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omments5.xml" ContentType="application/vnd.openxmlformats-officedocument.spreadsheetml.comments+xml"/>
  <Override PartName="/xl/comments6.xml" ContentType="application/vnd.openxmlformats-officedocument.spreadsheetml.comments+xml"/>
  <Override PartName="/xl/drawings/drawing5.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6.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drawings/drawing7.xml" ContentType="application/vnd.openxmlformats-officedocument.drawing+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8.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drawings/drawing9.xml" ContentType="application/vnd.openxmlformats-officedocument.drawing+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drawings/drawing10.xml" ContentType="application/vnd.openxmlformats-officedocument.drawing+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drawings/drawing11.xml" ContentType="application/vnd.openxmlformats-officedocument.drawing+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omments7.xml" ContentType="application/vnd.openxmlformats-officedocument.spreadsheetml.comments+xml"/>
  <Override PartName="/xl/drawings/drawing12.xml" ContentType="application/vnd.openxmlformats-officedocument.drawing+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codeName="ThisWorkbook"/>
  <mc:AlternateContent xmlns:mc="http://schemas.openxmlformats.org/markup-compatibility/2006">
    <mc:Choice Requires="x15">
      <x15ac:absPath xmlns:x15ac="http://schemas.microsoft.com/office/spreadsheetml/2010/11/ac" url="C:\Users\Acer\Documents\CHARM FILES\BPM\PRICELIST WITH AUTOMATED SAMPLE COMPUTATION\EMERALD ESTATES &amp; TSF PRICELIST\2025\September 2025\Form sir Charles\"/>
    </mc:Choice>
  </mc:AlternateContent>
  <xr:revisionPtr revIDLastSave="0" documentId="8_{CD6707A0-B2AA-4082-92F4-0E2D0F46A3DE}" xr6:coauthVersionLast="47" xr6:coauthVersionMax="47" xr10:uidLastSave="{00000000-0000-0000-0000-000000000000}"/>
  <bookViews>
    <workbookView xWindow="0" yWindow="0" windowWidth="19200" windowHeight="6940" tabRatio="902" firstSheet="7" activeTab="7" xr2:uid="{00000000-000D-0000-FFFF-FFFF00000000}"/>
  </bookViews>
  <sheets>
    <sheet name="Construction Sched 2023" sheetId="40" state="hidden" r:id="rId1"/>
    <sheet name="Amort Computation" sheetId="41" state="hidden" r:id="rId2"/>
    <sheet name="Sheet2" sheetId="42" state="hidden" r:id="rId3"/>
    <sheet name="Corrected and Updated TSF 1" sheetId="39" state="hidden" r:id="rId4"/>
    <sheet name="INTERNAL PRICELIST(OLD)" sheetId="22" state="hidden" r:id="rId5"/>
    <sheet name="Sheet1" sheetId="33" state="hidden" r:id="rId6"/>
    <sheet name="RECOVERIES" sheetId="43" state="hidden" r:id="rId7"/>
    <sheet name="Pricelist Link" sheetId="19" r:id="rId8"/>
    <sheet name="FORM" sheetId="4" r:id="rId9"/>
    <sheet name="STANDARD_NON RFO UNITS" sheetId="5" r:id="rId10"/>
    <sheet name="STANDARD_RFO UNITS" sheetId="44" r:id="rId11"/>
    <sheet name="STEP UP" sheetId="32" state="hidden" r:id="rId12"/>
    <sheet name="RA_Step Up" sheetId="25" state="hidden" r:id="rId13"/>
    <sheet name="7% Step-up plus 3% Lumpsum" sheetId="37" state="hidden" r:id="rId14"/>
    <sheet name="12.5% Step-up plus 2.5% lumpsum" sheetId="38" state="hidden" r:id="rId15"/>
    <sheet name="STEP UP_(10% Equity only)_2" sheetId="36" state="hidden" r:id="rId16"/>
    <sheet name="Step-up with Lumpsum" sheetId="23" state="hidden" r:id="rId17"/>
    <sheet name="2.5% Lumpsum" sheetId="24" r:id="rId18"/>
    <sheet name="RA_Standard" sheetId="26" state="hidden" r:id="rId19"/>
    <sheet name="SPOT EQUITY_7DAYS" sheetId="6" r:id="rId20"/>
    <sheet name="RA_SE7D" sheetId="13" state="hidden" r:id="rId21"/>
    <sheet name="SPOT EQUITY_30DAYS" sheetId="7" r:id="rId22"/>
    <sheet name="RA_SE30D" sheetId="27" state="hidden" r:id="rId23"/>
    <sheet name="SPOT CASH_30 DAYS" sheetId="8" r:id="rId24"/>
    <sheet name="RA_SC30D" sheetId="28" state="hidden" r:id="rId25"/>
    <sheet name="SPOT CASH_60 DAYS" sheetId="9" state="hidden" r:id="rId26"/>
    <sheet name="SPOT CASH_60 DAYS (2)" sheetId="34" r:id="rId27"/>
    <sheet name="RA_SC60D" sheetId="29" state="hidden" r:id="rId28"/>
    <sheet name="DEFERRED" sheetId="20" r:id="rId29"/>
    <sheet name="RA_Deferred" sheetId="30" state="hidden" r:id="rId30"/>
    <sheet name="SPECIAL PACKAGE" sheetId="10" r:id="rId31"/>
    <sheet name="RA_Special" sheetId="31" state="hidden" r:id="rId32"/>
  </sheets>
  <externalReferences>
    <externalReference r:id="rId33"/>
    <externalReference r:id="rId34"/>
    <externalReference r:id="rId35"/>
    <externalReference r:id="rId36"/>
    <externalReference r:id="rId37"/>
    <externalReference r:id="rId38"/>
  </externalReferences>
  <definedNames>
    <definedName name="_" localSheetId="6">DATE(YEAR(Loan_Start),MONTH(Loan_Start)+Payment_Number,DAY(Loan_Start))</definedName>
    <definedName name="_" localSheetId="10">DATE(YEAR('STANDARD_RFO UNITS'!Loan_Start),MONTH('STANDARD_RFO UNITS'!Loan_Start)+Payment_Number,DAY('STANDARD_RFO UNITS'!Loan_Start))</definedName>
    <definedName name="_">DATE(YEAR(Loan_Start),MONTH(Loan_Start)+Payment_Number,DAY(Loan_Start))</definedName>
    <definedName name="_xlnm._FilterDatabase" localSheetId="3" hidden="1">'Corrected and Updated TSF 1'!$A$6:$IE$220</definedName>
    <definedName name="_xlnm._FilterDatabase" localSheetId="4" hidden="1">'INTERNAL PRICELIST(OLD)'!$A$6:$AZ$150</definedName>
    <definedName name="_xlnm._FilterDatabase" localSheetId="7" hidden="1">'Pricelist Link'!$A$6:$AW$216</definedName>
    <definedName name="Ancheta">#N/A</definedName>
    <definedName name="Beg_Bal" localSheetId="1">'Amort Computation'!$C$25:$C$384</definedName>
    <definedName name="Beg_Bal" localSheetId="10">#REF!</definedName>
    <definedName name="Beg_Bal">#REF!</definedName>
    <definedName name="Calaca">#N/A</definedName>
    <definedName name="Data">'Amort Computation'!$A$25:$I$384</definedName>
    <definedName name="DocTemplates" localSheetId="14">OFFSET(#REF!,,,COUNTA(#REF!),1)</definedName>
    <definedName name="DocTemplates" localSheetId="13">OFFSET(#REF!,,,COUNTA(#REF!),1)</definedName>
    <definedName name="DocTemplates" localSheetId="10">OFFSET(#REF!,,,COUNTA(#REF!),1)</definedName>
    <definedName name="DocTemplates" localSheetId="11">OFFSET(#REF!,,,COUNTA(#REF!),1)</definedName>
    <definedName name="DocTemplates" localSheetId="15">OFFSET(#REF!,,,COUNTA(#REF!),1)</definedName>
    <definedName name="DocTemplates" localSheetId="16">OFFSET(#REF!,,,COUNTA(#REF!),1)</definedName>
    <definedName name="DocTemplates">OFFSET(#REF!,,,COUNTA(#REF!),1)</definedName>
    <definedName name="End_Bal" localSheetId="1">'Amort Computation'!$I$25:$I$384</definedName>
    <definedName name="End_Bal" localSheetId="10">#REF!</definedName>
    <definedName name="End_Bal">#REF!</definedName>
    <definedName name="Extra_Pay" localSheetId="1">'Amort Computation'!$E$25:$E$384</definedName>
    <definedName name="Extra_Pay" localSheetId="10">#REF!</definedName>
    <definedName name="Extra_Pay">#REF!</definedName>
    <definedName name="Full_Print" localSheetId="6">'[1]Amort Computation'!$A$1:$I$384</definedName>
    <definedName name="Full_Print">'Amort Computation'!$A$1:$I$384</definedName>
    <definedName name="Header_Row" localSheetId="1">ROW('Amort Computation'!$24:$24)</definedName>
    <definedName name="Header_Row" localSheetId="10">ROW(#REF!)</definedName>
    <definedName name="Header_Row">ROW(#REF!)</definedName>
    <definedName name="Int" localSheetId="1">'Amort Computation'!$H$25:$H$384</definedName>
    <definedName name="Int" localSheetId="10">#REF!</definedName>
    <definedName name="Int">#REF!</definedName>
    <definedName name="Interest_Rate" localSheetId="1">'Amort Computation'!$D$15</definedName>
    <definedName name="Interest_Rate" localSheetId="10">#REF!</definedName>
    <definedName name="Interest_Rate">#REF!</definedName>
    <definedName name="Last_Row" localSheetId="1">IF('Amort Computation'!Values_Entered,'Amort Computation'!Header_Row+'Amort Computation'!Number_of_Payments,'Amort Computation'!Header_Row)</definedName>
    <definedName name="Last_Row" localSheetId="6">IF(RECOVERIES!Values_Entered,Header_Row+RECOVERIES!Number_of_Payments,Header_Row)</definedName>
    <definedName name="Last_Row" localSheetId="10">IF('STANDARD_RFO UNITS'!Values_Entered,'STANDARD_RFO UNITS'!Header_Row+'STANDARD_RFO UNITS'!Number_of_Payments,'STANDARD_RFO UNITS'!Header_Row)</definedName>
    <definedName name="Last_Row">IF(Values_Entered,Header_Row+Number_of_Payments,Header_Row)</definedName>
    <definedName name="Loan_Amount" localSheetId="1">'Amort Computation'!$D$14</definedName>
    <definedName name="Loan_Amount" localSheetId="10">#REF!</definedName>
    <definedName name="Loan_Amount">#REF!</definedName>
    <definedName name="Loan_Start" localSheetId="1">'Amort Computation'!$D$18</definedName>
    <definedName name="Loan_Start" localSheetId="10">#REF!</definedName>
    <definedName name="Loan_Start">#REF!</definedName>
    <definedName name="Loan_Years" localSheetId="1">'Amort Computation'!$D$16</definedName>
    <definedName name="Loan_Years" localSheetId="10">#REF!</definedName>
    <definedName name="Loan_Years">#REF!</definedName>
    <definedName name="Num_Pmt_Per_Year" localSheetId="1">'Amort Computation'!$D$17</definedName>
    <definedName name="Num_Pmt_Per_Year" localSheetId="10">#REF!</definedName>
    <definedName name="Num_Pmt_Per_Year">#REF!</definedName>
    <definedName name="Number_of_Payments" localSheetId="1">MATCH(0.01,'Amort Computation'!End_Bal,-1)+1</definedName>
    <definedName name="Number_of_Payments" localSheetId="6">MATCH(0.01,End_Bal,-1)+1</definedName>
    <definedName name="Number_of_Payments" localSheetId="10">MATCH(0.01,'STANDARD_RFO UNITS'!End_Bal,-1)+1</definedName>
    <definedName name="Number_of_Payments">MATCH(0.01,End_Bal,-1)+1</definedName>
    <definedName name="Pay_Date">'Amort Computation'!$B$25:$B$384</definedName>
    <definedName name="Pay_Num" localSheetId="1">'Amort Computation'!$A$25:$A$384</definedName>
    <definedName name="Pay_Num" localSheetId="10">#REF!</definedName>
    <definedName name="Pay_Num">#REF!</definedName>
    <definedName name="Payment_Date" localSheetId="6">#N/A</definedName>
    <definedName name="Payment_Date" localSheetId="10">#N/A</definedName>
    <definedName name="Payment_Date">DATE(YEAR('Amort Computation'!Loan_Start),MONTH('Amort Computation'!Loan_Start)+Payment_Number,DAY('Amort Computation'!Loan_Start))</definedName>
    <definedName name="PAYOPILIN">#N/A</definedName>
    <definedName name="pricelist" localSheetId="17">'2.5% Lumpsum'!$AF$50:$BC$833</definedName>
    <definedName name="pricelist" localSheetId="10">'STANDARD_RFO UNITS'!$AF$50:$BC$833</definedName>
    <definedName name="pricelist">'STANDARD_NON RFO UNITS'!$AF$50:$BC$833</definedName>
    <definedName name="Princ" localSheetId="1">'Amort Computation'!$G$25:$G$384</definedName>
    <definedName name="Princ" localSheetId="10">#REF!</definedName>
    <definedName name="Princ">#REF!</definedName>
    <definedName name="_xlnm.Print_Area" localSheetId="14">'12.5% Step-up plus 2.5% lumpsum'!$B$1:$Q$69</definedName>
    <definedName name="_xlnm.Print_Area" localSheetId="17">'2.5% Lumpsum'!$A$1:$Q$82</definedName>
    <definedName name="_xlnm.Print_Area" localSheetId="13">'7% Step-up plus 3% Lumpsum'!$B$1:$Q$69</definedName>
    <definedName name="_xlnm.Print_Area" localSheetId="28">DEFERRED!$A$1:$R$64</definedName>
    <definedName name="_xlnm.Print_Area" localSheetId="7">'Pricelist Link'!$C$1:$AB$218</definedName>
    <definedName name="_xlnm.Print_Area" localSheetId="29">RA_Deferred!$A$1:$U$119</definedName>
    <definedName name="_xlnm.Print_Area" localSheetId="24">RA_SC30D!$A$1:$U$119</definedName>
    <definedName name="_xlnm.Print_Area" localSheetId="27">RA_SC60D!$A$1:$U$119</definedName>
    <definedName name="_xlnm.Print_Area" localSheetId="22">RA_SE30D!$A$1:$U$119</definedName>
    <definedName name="_xlnm.Print_Area" localSheetId="20">RA_SE7D!$A$1:$U$119</definedName>
    <definedName name="_xlnm.Print_Area" localSheetId="31">RA_Special!$A$1:$U$120</definedName>
    <definedName name="_xlnm.Print_Area" localSheetId="18">RA_Standard!$A$1:$U$120</definedName>
    <definedName name="_xlnm.Print_Area" localSheetId="12">'RA_Step Up'!$A$1:$U$119</definedName>
    <definedName name="_xlnm.Print_Area" localSheetId="30">'SPECIAL PACKAGE'!$A$1:$AD$69</definedName>
    <definedName name="_xlnm.Print_Area" localSheetId="23">'SPOT CASH_30 DAYS'!$A$1:$S$66</definedName>
    <definedName name="_xlnm.Print_Area" localSheetId="25">'SPOT CASH_60 DAYS'!$A$1:$S$56</definedName>
    <definedName name="_xlnm.Print_Area" localSheetId="26">'SPOT CASH_60 DAYS (2)'!$A$1:$S$56</definedName>
    <definedName name="_xlnm.Print_Area" localSheetId="21">'SPOT EQUITY_30DAYS'!$B$1:$U$78</definedName>
    <definedName name="_xlnm.Print_Area" localSheetId="19">'SPOT EQUITY_7DAYS'!$A$1:$P$81</definedName>
    <definedName name="_xlnm.Print_Area" localSheetId="9">'STANDARD_NON RFO UNITS'!$A$1:$Q$84</definedName>
    <definedName name="_xlnm.Print_Area" localSheetId="10">'STANDARD_RFO UNITS'!$A$1:$Q$84</definedName>
    <definedName name="_xlnm.Print_Area" localSheetId="11">'STEP UP'!$B$1:$Q$79</definedName>
    <definedName name="_xlnm.Print_Area" localSheetId="15">'STEP UP_(10% Equity only)_2'!$B$1:$Q$69</definedName>
    <definedName name="_xlnm.Print_Area" localSheetId="16">'Step-up with Lumpsum'!$B$1:$Q$84</definedName>
    <definedName name="Print_Area_Reset" localSheetId="6">#N/A</definedName>
    <definedName name="Print_Area_Reset" localSheetId="10">#N/A</definedName>
    <definedName name="Print_Area_Reset">OFFSET(Full_Print,0,0,'Amort Computation'!Last_Row)</definedName>
    <definedName name="_xlnm.Print_Titles" localSheetId="1">'Amort Computation'!$22:$24</definedName>
    <definedName name="Sched_Pay" localSheetId="1">'Amort Computation'!$D$25:$D$384</definedName>
    <definedName name="Sched_Pay" localSheetId="10">#REF!</definedName>
    <definedName name="Sched_Pay">#REF!</definedName>
    <definedName name="Scheduled_Extra_Payments" localSheetId="1">'Amort Computation'!$D$19</definedName>
    <definedName name="Scheduled_Extra_Payments" localSheetId="10">#REF!</definedName>
    <definedName name="Scheduled_Extra_Payments">#REF!</definedName>
    <definedName name="Scheduled_Interest_Rate">'Amort Computation'!$D$15</definedName>
    <definedName name="Scheduled_Monthly_Payment" localSheetId="1">'Amort Computation'!$H$14</definedName>
    <definedName name="Scheduled_Monthly_Payment">'[2]Amortization Table'!$H$17</definedName>
    <definedName name="Total_Interest">'Amort Computation'!$H$18</definedName>
    <definedName name="Total_Pay" localSheetId="1">'Amort Computation'!$F$25:$F$384</definedName>
    <definedName name="Total_Pay" localSheetId="10">#REF!</definedName>
    <definedName name="Total_Pay">#REF!</definedName>
    <definedName name="Total_Payment" localSheetId="6">Scheduled_Payment+Extra_Payment</definedName>
    <definedName name="Total_Payment" localSheetId="10">Scheduled_Payment+Extra_Payment</definedName>
    <definedName name="Total_Payment">Scheduled_Payment+Extra_Payment</definedName>
    <definedName name="Values_Entered" localSheetId="1">IF('Amort Computation'!Loan_Amount*'Amort Computation'!Interest_Rate*'Amort Computation'!Loan_Years*'Amort Computation'!Loan_Start&gt;0,1,0)</definedName>
    <definedName name="Values_Entered" localSheetId="6">IF(Loan_Amount*Interest_Rate*Loan_Years*Loan_Start&gt;0,1,0)</definedName>
    <definedName name="Values_Entered" localSheetId="10">IF('STANDARD_RFO UNITS'!Loan_Amount*'STANDARD_RFO UNITS'!Interest_Rate*'STANDARD_RFO UNITS'!Loan_Years*'STANDARD_RFO UNITS'!Loan_Start&gt;0,1,0)</definedName>
    <definedName name="Values_Entered">IF(Loan_Amount*Interest_Rate*Loan_Years*Loan_Start&gt;0,1,0)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217" i="39" l="1"/>
  <c r="M96" i="43" l="1"/>
  <c r="N95" i="43" l="1"/>
  <c r="N94" i="43"/>
  <c r="N93" i="43"/>
  <c r="H92" i="43"/>
  <c r="H91" i="43"/>
  <c r="H93" i="43" s="1"/>
  <c r="D91" i="43"/>
  <c r="H96" i="43" l="1"/>
  <c r="BZ5" i="39"/>
  <c r="CR3" i="39"/>
  <c r="CR2" i="39"/>
  <c r="ID13" i="39"/>
  <c r="IE13" i="39" s="1"/>
  <c r="ID12" i="39"/>
  <c r="IE12" i="39" s="1"/>
  <c r="ID11" i="39"/>
  <c r="IE11" i="39" s="1"/>
  <c r="ID10" i="39"/>
  <c r="IE10" i="39" s="1"/>
  <c r="ID9" i="39"/>
  <c r="IE9" i="39" s="1"/>
  <c r="ID8" i="39"/>
  <c r="IE8" i="39" s="1"/>
  <c r="ID19" i="39"/>
  <c r="IE19" i="39" s="1"/>
  <c r="ID18" i="39"/>
  <c r="IE18" i="39" s="1"/>
  <c r="ID17" i="39"/>
  <c r="IE17" i="39" s="1"/>
  <c r="ID16" i="39"/>
  <c r="IE16" i="39" s="1"/>
  <c r="ID15" i="39"/>
  <c r="IE15" i="39" s="1"/>
  <c r="ID14" i="39"/>
  <c r="IE14" i="39" s="1"/>
  <c r="BZ193" i="39" l="1"/>
  <c r="BZ190" i="39"/>
  <c r="BZ187" i="39"/>
  <c r="BZ182" i="39"/>
  <c r="BZ179" i="39"/>
  <c r="BZ174" i="39"/>
  <c r="BZ171" i="39"/>
  <c r="BZ167" i="39"/>
  <c r="BZ161" i="39"/>
  <c r="BZ151" i="39"/>
  <c r="BZ150" i="39"/>
  <c r="BZ149" i="39"/>
  <c r="BZ146" i="39"/>
  <c r="BZ131" i="39"/>
  <c r="BZ112" i="39"/>
  <c r="BZ97" i="39"/>
  <c r="BZ73" i="39"/>
  <c r="BZ69" i="39"/>
  <c r="BZ38" i="39"/>
  <c r="BZ18" i="39"/>
  <c r="BZ217" i="39" s="1"/>
  <c r="D85" i="43"/>
  <c r="H87" i="43"/>
  <c r="H82" i="43"/>
  <c r="BX4" i="39"/>
  <c r="BU193" i="39" l="1"/>
  <c r="BU190" i="39"/>
  <c r="BU187" i="39"/>
  <c r="BU182" i="39"/>
  <c r="BU174" i="39"/>
  <c r="BU171" i="39"/>
  <c r="BU167" i="39"/>
  <c r="BU151" i="39"/>
  <c r="BU150" i="39"/>
  <c r="BU149" i="39"/>
  <c r="BU146" i="39"/>
  <c r="BU131" i="39"/>
  <c r="BU112" i="39"/>
  <c r="BU97" i="39"/>
  <c r="BU73" i="39"/>
  <c r="BU69" i="39"/>
  <c r="BU38" i="39"/>
  <c r="BU18" i="39"/>
  <c r="BU12" i="39"/>
  <c r="BU11" i="39"/>
  <c r="BU10" i="39"/>
  <c r="BU9" i="39"/>
  <c r="BU8" i="39"/>
  <c r="BU7" i="39"/>
  <c r="GB35" i="39"/>
  <c r="GA35" i="39" s="1"/>
  <c r="H74" i="43"/>
  <c r="H76" i="43" s="1"/>
  <c r="BU217" i="39" l="1"/>
  <c r="H69" i="43"/>
  <c r="H71" i="43" s="1"/>
  <c r="CR207" i="39" l="1"/>
  <c r="CR211" i="39"/>
  <c r="CR206" i="39"/>
  <c r="CR215" i="39"/>
  <c r="CR202" i="39"/>
  <c r="CR201" i="39"/>
  <c r="CR200" i="39"/>
  <c r="CR209" i="39"/>
  <c r="CR208" i="39"/>
  <c r="CR205" i="39"/>
  <c r="CR199" i="39"/>
  <c r="CR210" i="39"/>
  <c r="CR216" i="39"/>
  <c r="CR204" i="39"/>
  <c r="CR203" i="39"/>
  <c r="CR214" i="39"/>
  <c r="CR213" i="39"/>
  <c r="CR212" i="39"/>
  <c r="T39" i="4"/>
  <c r="T40" i="4" l="1"/>
  <c r="T41" i="4"/>
  <c r="P40" i="4"/>
  <c r="E30" i="32" l="1"/>
  <c r="E31" i="32"/>
  <c r="E29" i="32"/>
  <c r="BM217" i="39" l="1"/>
  <c r="GA31" i="39"/>
  <c r="GB31" i="39" l="1"/>
  <c r="GA32" i="39"/>
  <c r="E12" i="44"/>
  <c r="F81" i="44"/>
  <c r="B81" i="44"/>
  <c r="O70" i="44"/>
  <c r="K70" i="44"/>
  <c r="G69" i="44"/>
  <c r="D69" i="44"/>
  <c r="B69" i="44"/>
  <c r="G67" i="44"/>
  <c r="D67" i="44"/>
  <c r="B67" i="44"/>
  <c r="G65" i="44"/>
  <c r="D65" i="44"/>
  <c r="B65" i="44"/>
  <c r="G63" i="44"/>
  <c r="D63" i="44"/>
  <c r="B63" i="44"/>
  <c r="G61" i="44"/>
  <c r="D61" i="44"/>
  <c r="B61" i="44"/>
  <c r="G59" i="44"/>
  <c r="D59" i="44"/>
  <c r="B59" i="44"/>
  <c r="D52" i="44"/>
  <c r="D51" i="44"/>
  <c r="D50" i="44"/>
  <c r="D49" i="44"/>
  <c r="D38" i="44"/>
  <c r="D37" i="44"/>
  <c r="D36" i="44"/>
  <c r="D35" i="44"/>
  <c r="N12" i="44"/>
  <c r="G7" i="44"/>
  <c r="E7" i="44"/>
  <c r="N7" i="44" s="1"/>
  <c r="E6" i="44"/>
  <c r="N6" i="44" s="1"/>
  <c r="C2" i="44"/>
  <c r="D1" i="44"/>
  <c r="GB32" i="39" l="1"/>
  <c r="GA33" i="39"/>
  <c r="L2" i="44"/>
  <c r="M17" i="44"/>
  <c r="W17" i="44" s="1"/>
  <c r="Y19" i="44" s="1"/>
  <c r="C38" i="32"/>
  <c r="C39" i="32"/>
  <c r="C40" i="32"/>
  <c r="C41" i="32"/>
  <c r="X6" i="19"/>
  <c r="W6" i="19"/>
  <c r="V6" i="19"/>
  <c r="U6" i="19"/>
  <c r="AA20" i="44" l="1"/>
  <c r="W18" i="44" s="1"/>
  <c r="W19" i="44" s="1"/>
  <c r="W20" i="44" s="1"/>
  <c r="W21" i="44" s="1"/>
  <c r="W22" i="44" s="1"/>
  <c r="W23" i="44" s="1"/>
  <c r="W24" i="44" s="1"/>
  <c r="W25" i="44" s="1"/>
  <c r="W26" i="44" s="1"/>
  <c r="W27" i="44" s="1"/>
  <c r="W28" i="44" s="1"/>
  <c r="W29" i="44" s="1"/>
  <c r="W30" i="44" s="1"/>
  <c r="W31" i="44" s="1"/>
  <c r="W32" i="44" s="1"/>
  <c r="W33" i="44" s="1"/>
  <c r="W34" i="44" s="1"/>
  <c r="W35" i="44" s="1"/>
  <c r="W36" i="44" s="1"/>
  <c r="W37" i="44" s="1"/>
  <c r="W38" i="44" s="1"/>
  <c r="W39" i="44" s="1"/>
  <c r="W40" i="44" s="1"/>
  <c r="W41" i="44" s="1"/>
  <c r="W42" i="44" s="1"/>
  <c r="W43" i="44" s="1"/>
  <c r="W44" i="44" s="1"/>
  <c r="W45" i="44" s="1"/>
  <c r="W46" i="44" s="1"/>
  <c r="W47" i="44" s="1"/>
  <c r="W48" i="44" s="1"/>
  <c r="W49" i="44" s="1"/>
  <c r="W50" i="44" s="1"/>
  <c r="W51" i="44" s="1"/>
  <c r="W52" i="44" s="1"/>
  <c r="W53" i="44" s="1"/>
  <c r="W54" i="44" s="1"/>
  <c r="W55" i="44" s="1"/>
  <c r="W56" i="44" s="1"/>
  <c r="W57" i="44" s="1"/>
  <c r="W58" i="44" s="1"/>
  <c r="W59" i="44" s="1"/>
  <c r="W60" i="44" s="1"/>
  <c r="W61" i="44" s="1"/>
  <c r="W62" i="44" s="1"/>
  <c r="Y20" i="44"/>
  <c r="GA34" i="39"/>
  <c r="GB33" i="39"/>
  <c r="H52" i="43"/>
  <c r="H51" i="43"/>
  <c r="H50" i="43"/>
  <c r="H49" i="43"/>
  <c r="H48" i="43"/>
  <c r="H54" i="43" s="1"/>
  <c r="BK5" i="39" s="1"/>
  <c r="GB34" i="39" l="1"/>
  <c r="BK217" i="39"/>
  <c r="GA36" i="39" l="1"/>
  <c r="GB36" i="39" s="1"/>
  <c r="BI217" i="39"/>
  <c r="H41" i="43"/>
  <c r="H44" i="43" s="1"/>
  <c r="GA28" i="39" l="1"/>
  <c r="GA29" i="39" s="1"/>
  <c r="GB28" i="39"/>
  <c r="H33" i="43"/>
  <c r="H37" i="43" s="1"/>
  <c r="BG5" i="39" s="1"/>
  <c r="GB29" i="39" l="1"/>
  <c r="GB30" i="39"/>
  <c r="BG217" i="39"/>
  <c r="GB27" i="39"/>
  <c r="BE216" i="39" l="1"/>
  <c r="BX216" i="39" s="1"/>
  <c r="BE215" i="39"/>
  <c r="BX215" i="39" s="1"/>
  <c r="BE214" i="39"/>
  <c r="BX214" i="39" s="1"/>
  <c r="BE213" i="39"/>
  <c r="BX213" i="39" s="1"/>
  <c r="BE212" i="39"/>
  <c r="BX212" i="39" s="1"/>
  <c r="BE211" i="39"/>
  <c r="BX211" i="39" s="1"/>
  <c r="BE210" i="39"/>
  <c r="BX210" i="39" s="1"/>
  <c r="BE209" i="39"/>
  <c r="BX209" i="39" s="1"/>
  <c r="BE208" i="39"/>
  <c r="BX208" i="39" s="1"/>
  <c r="BE207" i="39"/>
  <c r="BX207" i="39" s="1"/>
  <c r="BE206" i="39"/>
  <c r="BX206" i="39" s="1"/>
  <c r="BE205" i="39"/>
  <c r="BX205" i="39" s="1"/>
  <c r="BE204" i="39"/>
  <c r="BX204" i="39" s="1"/>
  <c r="BE203" i="39"/>
  <c r="BX203" i="39" s="1"/>
  <c r="BE202" i="39"/>
  <c r="BX202" i="39" s="1"/>
  <c r="BE201" i="39"/>
  <c r="BX201" i="39" s="1"/>
  <c r="BE200" i="39"/>
  <c r="BX200" i="39" s="1"/>
  <c r="BE199" i="39"/>
  <c r="BX199" i="39" s="1"/>
  <c r="BE198" i="39"/>
  <c r="BX198" i="39" s="1"/>
  <c r="BE197" i="39"/>
  <c r="BX197" i="39" s="1"/>
  <c r="BE196" i="39"/>
  <c r="BX196" i="39" s="1"/>
  <c r="BE195" i="39"/>
  <c r="BX195" i="39" s="1"/>
  <c r="BE194" i="39"/>
  <c r="BX194" i="39" s="1"/>
  <c r="BE193" i="39"/>
  <c r="BX193" i="39" s="1"/>
  <c r="BE192" i="39"/>
  <c r="BX192" i="39" s="1"/>
  <c r="BE191" i="39"/>
  <c r="BX191" i="39" s="1"/>
  <c r="BE190" i="39"/>
  <c r="BX190" i="39" s="1"/>
  <c r="BE189" i="39"/>
  <c r="BX189" i="39" s="1"/>
  <c r="BE188" i="39"/>
  <c r="BX188" i="39" s="1"/>
  <c r="BE187" i="39"/>
  <c r="BX187" i="39" s="1"/>
  <c r="BE186" i="39"/>
  <c r="BX186" i="39" s="1"/>
  <c r="BE185" i="39"/>
  <c r="BX185" i="39" s="1"/>
  <c r="BE184" i="39"/>
  <c r="BX184" i="39" s="1"/>
  <c r="BE183" i="39"/>
  <c r="BX183" i="39" s="1"/>
  <c r="BE182" i="39"/>
  <c r="BX182" i="39" s="1"/>
  <c r="BE181" i="39"/>
  <c r="BX181" i="39" s="1"/>
  <c r="BE180" i="39"/>
  <c r="BX180" i="39" s="1"/>
  <c r="BE179" i="39"/>
  <c r="BX179" i="39" s="1"/>
  <c r="BE178" i="39"/>
  <c r="BX178" i="39" s="1"/>
  <c r="BE177" i="39"/>
  <c r="BX177" i="39" s="1"/>
  <c r="BE176" i="39"/>
  <c r="BX176" i="39" s="1"/>
  <c r="BE175" i="39"/>
  <c r="BX175" i="39" s="1"/>
  <c r="BE174" i="39"/>
  <c r="BX174" i="39" s="1"/>
  <c r="BE173" i="39"/>
  <c r="BX173" i="39" s="1"/>
  <c r="BE172" i="39"/>
  <c r="BX172" i="39" s="1"/>
  <c r="BE171" i="39"/>
  <c r="BX171" i="39" s="1"/>
  <c r="BE170" i="39"/>
  <c r="BX170" i="39" s="1"/>
  <c r="BE169" i="39"/>
  <c r="BX169" i="39" s="1"/>
  <c r="BE168" i="39"/>
  <c r="BX168" i="39" s="1"/>
  <c r="BE167" i="39"/>
  <c r="BX167" i="39" s="1"/>
  <c r="BE166" i="39"/>
  <c r="BX166" i="39" s="1"/>
  <c r="BE165" i="39"/>
  <c r="BX165" i="39" s="1"/>
  <c r="BE164" i="39"/>
  <c r="BX164" i="39" s="1"/>
  <c r="BE163" i="39"/>
  <c r="BX163" i="39" s="1"/>
  <c r="BE162" i="39"/>
  <c r="BX162" i="39" s="1"/>
  <c r="BE161" i="39"/>
  <c r="BX161" i="39" s="1"/>
  <c r="BE160" i="39"/>
  <c r="BX160" i="39" s="1"/>
  <c r="BE159" i="39"/>
  <c r="BX159" i="39" s="1"/>
  <c r="BE158" i="39"/>
  <c r="BX158" i="39" s="1"/>
  <c r="BE157" i="39"/>
  <c r="BX157" i="39" s="1"/>
  <c r="BE156" i="39"/>
  <c r="BX156" i="39" s="1"/>
  <c r="BE155" i="39"/>
  <c r="BX155" i="39" s="1"/>
  <c r="BE154" i="39"/>
  <c r="BX154" i="39" s="1"/>
  <c r="BE153" i="39"/>
  <c r="BX153" i="39" s="1"/>
  <c r="BE152" i="39"/>
  <c r="BX152" i="39" s="1"/>
  <c r="BE151" i="39"/>
  <c r="BX151" i="39" s="1"/>
  <c r="BE150" i="39"/>
  <c r="BX150" i="39" s="1"/>
  <c r="BE149" i="39"/>
  <c r="BX149" i="39" s="1"/>
  <c r="BE148" i="39"/>
  <c r="BX148" i="39" s="1"/>
  <c r="BE147" i="39"/>
  <c r="BX147" i="39" s="1"/>
  <c r="BE146" i="39"/>
  <c r="BX146" i="39" s="1"/>
  <c r="BE145" i="39"/>
  <c r="BX145" i="39" s="1"/>
  <c r="BE144" i="39"/>
  <c r="BX144" i="39" s="1"/>
  <c r="BE143" i="39"/>
  <c r="BX143" i="39" s="1"/>
  <c r="BE142" i="39"/>
  <c r="BX142" i="39" s="1"/>
  <c r="BE141" i="39"/>
  <c r="BX141" i="39" s="1"/>
  <c r="BE140" i="39"/>
  <c r="BX140" i="39" s="1"/>
  <c r="BE139" i="39"/>
  <c r="BX139" i="39" s="1"/>
  <c r="BE138" i="39"/>
  <c r="BX138" i="39" s="1"/>
  <c r="BE137" i="39"/>
  <c r="BX137" i="39" s="1"/>
  <c r="BE136" i="39"/>
  <c r="BX136" i="39" s="1"/>
  <c r="BE135" i="39"/>
  <c r="BX135" i="39" s="1"/>
  <c r="BE134" i="39"/>
  <c r="BX134" i="39" s="1"/>
  <c r="BE133" i="39"/>
  <c r="BX133" i="39" s="1"/>
  <c r="BE132" i="39"/>
  <c r="BX132" i="39" s="1"/>
  <c r="BE131" i="39"/>
  <c r="BX131" i="39" s="1"/>
  <c r="BE130" i="39"/>
  <c r="BX130" i="39" s="1"/>
  <c r="BE129" i="39"/>
  <c r="BX129" i="39" s="1"/>
  <c r="BE128" i="39"/>
  <c r="BX128" i="39" s="1"/>
  <c r="BE127" i="39"/>
  <c r="BX127" i="39" s="1"/>
  <c r="BE126" i="39"/>
  <c r="BX126" i="39" s="1"/>
  <c r="BE125" i="39"/>
  <c r="BX125" i="39" s="1"/>
  <c r="BE124" i="39"/>
  <c r="BX124" i="39" s="1"/>
  <c r="BE123" i="39"/>
  <c r="BX123" i="39" s="1"/>
  <c r="BE122" i="39"/>
  <c r="BX122" i="39" s="1"/>
  <c r="BE121" i="39"/>
  <c r="BX121" i="39" s="1"/>
  <c r="BE120" i="39"/>
  <c r="BX120" i="39" s="1"/>
  <c r="BE119" i="39"/>
  <c r="BX119" i="39" s="1"/>
  <c r="BE118" i="39"/>
  <c r="BX118" i="39" s="1"/>
  <c r="BE117" i="39"/>
  <c r="BX117" i="39" s="1"/>
  <c r="BE116" i="39"/>
  <c r="BX116" i="39" s="1"/>
  <c r="BE115" i="39"/>
  <c r="BX115" i="39" s="1"/>
  <c r="BE114" i="39"/>
  <c r="BX114" i="39" s="1"/>
  <c r="BE113" i="39"/>
  <c r="BX113" i="39" s="1"/>
  <c r="BE112" i="39"/>
  <c r="BX112" i="39" s="1"/>
  <c r="BE111" i="39"/>
  <c r="BX111" i="39" s="1"/>
  <c r="BE110" i="39"/>
  <c r="BX110" i="39" s="1"/>
  <c r="BE109" i="39"/>
  <c r="BX109" i="39" s="1"/>
  <c r="BE108" i="39"/>
  <c r="BX108" i="39" s="1"/>
  <c r="BE107" i="39"/>
  <c r="BX107" i="39" s="1"/>
  <c r="BE106" i="39"/>
  <c r="BX106" i="39" s="1"/>
  <c r="BE105" i="39"/>
  <c r="BX105" i="39" s="1"/>
  <c r="BE104" i="39"/>
  <c r="BX104" i="39" s="1"/>
  <c r="BE103" i="39"/>
  <c r="BX103" i="39" s="1"/>
  <c r="BE102" i="39"/>
  <c r="BX102" i="39" s="1"/>
  <c r="BE101" i="39"/>
  <c r="BX101" i="39" s="1"/>
  <c r="BE100" i="39"/>
  <c r="BX100" i="39" s="1"/>
  <c r="BE99" i="39"/>
  <c r="BX99" i="39" s="1"/>
  <c r="BE98" i="39"/>
  <c r="BX98" i="39" s="1"/>
  <c r="BE97" i="39"/>
  <c r="BX97" i="39" s="1"/>
  <c r="BE96" i="39"/>
  <c r="BX96" i="39" s="1"/>
  <c r="BE95" i="39"/>
  <c r="BX95" i="39" s="1"/>
  <c r="BE94" i="39"/>
  <c r="BX94" i="39" s="1"/>
  <c r="BE93" i="39"/>
  <c r="BX93" i="39" s="1"/>
  <c r="BE92" i="39"/>
  <c r="BX92" i="39" s="1"/>
  <c r="BE91" i="39"/>
  <c r="BX91" i="39" s="1"/>
  <c r="BE90" i="39"/>
  <c r="BX90" i="39" s="1"/>
  <c r="BE89" i="39"/>
  <c r="BX89" i="39" s="1"/>
  <c r="BE88" i="39"/>
  <c r="BX88" i="39" s="1"/>
  <c r="BE87" i="39"/>
  <c r="BX87" i="39" s="1"/>
  <c r="BE86" i="39"/>
  <c r="BX86" i="39" s="1"/>
  <c r="BE85" i="39"/>
  <c r="BX85" i="39" s="1"/>
  <c r="BE84" i="39"/>
  <c r="BX84" i="39" s="1"/>
  <c r="BE83" i="39"/>
  <c r="BX83" i="39" s="1"/>
  <c r="BE82" i="39"/>
  <c r="BX82" i="39" s="1"/>
  <c r="BE81" i="39"/>
  <c r="BX81" i="39" s="1"/>
  <c r="BE80" i="39"/>
  <c r="BX80" i="39" s="1"/>
  <c r="BE79" i="39"/>
  <c r="BX79" i="39" s="1"/>
  <c r="BE78" i="39"/>
  <c r="BX78" i="39" s="1"/>
  <c r="BE77" i="39"/>
  <c r="BX77" i="39" s="1"/>
  <c r="BE76" i="39"/>
  <c r="BX76" i="39" s="1"/>
  <c r="BE75" i="39"/>
  <c r="BX75" i="39" s="1"/>
  <c r="BE74" i="39"/>
  <c r="BX74" i="39" s="1"/>
  <c r="BE73" i="39"/>
  <c r="BX73" i="39" s="1"/>
  <c r="BE72" i="39"/>
  <c r="BX72" i="39" s="1"/>
  <c r="BE71" i="39"/>
  <c r="BX71" i="39" s="1"/>
  <c r="BE70" i="39"/>
  <c r="BX70" i="39" s="1"/>
  <c r="BE69" i="39"/>
  <c r="BX69" i="39" s="1"/>
  <c r="BE68" i="39"/>
  <c r="BX68" i="39" s="1"/>
  <c r="BE67" i="39"/>
  <c r="BX67" i="39" s="1"/>
  <c r="BE66" i="39"/>
  <c r="BX66" i="39" s="1"/>
  <c r="BE65" i="39"/>
  <c r="BX65" i="39" s="1"/>
  <c r="BE64" i="39"/>
  <c r="BX64" i="39" s="1"/>
  <c r="BE63" i="39"/>
  <c r="BX63" i="39" s="1"/>
  <c r="BE62" i="39"/>
  <c r="BX62" i="39" s="1"/>
  <c r="BE61" i="39"/>
  <c r="BX61" i="39" s="1"/>
  <c r="BE60" i="39"/>
  <c r="BX60" i="39" s="1"/>
  <c r="BE59" i="39"/>
  <c r="BX59" i="39" s="1"/>
  <c r="BE58" i="39"/>
  <c r="BX58" i="39" s="1"/>
  <c r="BE57" i="39"/>
  <c r="BX57" i="39" s="1"/>
  <c r="BE56" i="39"/>
  <c r="BX56" i="39" s="1"/>
  <c r="BE55" i="39"/>
  <c r="BX55" i="39" s="1"/>
  <c r="BE54" i="39"/>
  <c r="BX54" i="39" s="1"/>
  <c r="BE53" i="39"/>
  <c r="BX53" i="39" s="1"/>
  <c r="BE52" i="39"/>
  <c r="BX52" i="39" s="1"/>
  <c r="BE51" i="39"/>
  <c r="BX51" i="39" s="1"/>
  <c r="BE50" i="39"/>
  <c r="BX50" i="39" s="1"/>
  <c r="BE49" i="39"/>
  <c r="BX49" i="39" s="1"/>
  <c r="BE48" i="39"/>
  <c r="BX48" i="39" s="1"/>
  <c r="BE47" i="39"/>
  <c r="BX47" i="39" s="1"/>
  <c r="BE46" i="39"/>
  <c r="BX46" i="39" s="1"/>
  <c r="BE45" i="39"/>
  <c r="BX45" i="39" s="1"/>
  <c r="BE44" i="39"/>
  <c r="BX44" i="39" s="1"/>
  <c r="BE43" i="39"/>
  <c r="BX43" i="39" s="1"/>
  <c r="BE42" i="39"/>
  <c r="BX42" i="39" s="1"/>
  <c r="BE41" i="39"/>
  <c r="BX41" i="39" s="1"/>
  <c r="BE40" i="39"/>
  <c r="BX40" i="39" s="1"/>
  <c r="BE39" i="39"/>
  <c r="BX39" i="39" s="1"/>
  <c r="BE38" i="39"/>
  <c r="BX38" i="39" s="1"/>
  <c r="BE37" i="39"/>
  <c r="BX37" i="39" s="1"/>
  <c r="BE36" i="39"/>
  <c r="BX36" i="39" s="1"/>
  <c r="BE35" i="39"/>
  <c r="BX35" i="39" s="1"/>
  <c r="BE34" i="39"/>
  <c r="BX34" i="39" s="1"/>
  <c r="BE33" i="39"/>
  <c r="BX33" i="39" s="1"/>
  <c r="BE32" i="39"/>
  <c r="BX32" i="39" s="1"/>
  <c r="BE31" i="39"/>
  <c r="BX31" i="39" s="1"/>
  <c r="BE30" i="39"/>
  <c r="BX30" i="39" s="1"/>
  <c r="BE29" i="39"/>
  <c r="BX29" i="39" s="1"/>
  <c r="BE28" i="39"/>
  <c r="BX28" i="39" s="1"/>
  <c r="BE27" i="39"/>
  <c r="BX27" i="39" s="1"/>
  <c r="BE26" i="39"/>
  <c r="BX26" i="39" s="1"/>
  <c r="BE25" i="39"/>
  <c r="BX25" i="39" s="1"/>
  <c r="BE24" i="39"/>
  <c r="BX24" i="39" s="1"/>
  <c r="BE23" i="39"/>
  <c r="BX23" i="39" s="1"/>
  <c r="BE22" i="39"/>
  <c r="BX22" i="39" s="1"/>
  <c r="BE21" i="39"/>
  <c r="BX21" i="39" s="1"/>
  <c r="BE20" i="39"/>
  <c r="BX20" i="39" s="1"/>
  <c r="BE19" i="39"/>
  <c r="BX19" i="39" s="1"/>
  <c r="BE18" i="39"/>
  <c r="BX18" i="39" s="1"/>
  <c r="BE17" i="39"/>
  <c r="BX17" i="39" s="1"/>
  <c r="BE16" i="39"/>
  <c r="BX16" i="39" s="1"/>
  <c r="BE15" i="39"/>
  <c r="BX15" i="39" s="1"/>
  <c r="BE14" i="39"/>
  <c r="BX14" i="39" s="1"/>
  <c r="BE13" i="39"/>
  <c r="BX13" i="39" s="1"/>
  <c r="BE7" i="39"/>
  <c r="BX217" i="39" l="1"/>
  <c r="BE12" i="39"/>
  <c r="BE11" i="39"/>
  <c r="BE10" i="39"/>
  <c r="BE9" i="39"/>
  <c r="BE8" i="39"/>
  <c r="BE217" i="39" s="1"/>
  <c r="H26" i="43" l="1"/>
  <c r="H22" i="43"/>
  <c r="H21" i="43"/>
  <c r="H20" i="43"/>
  <c r="H29" i="43" s="1"/>
  <c r="H11" i="43" l="1"/>
  <c r="H10" i="43"/>
  <c r="H9" i="43"/>
  <c r="H8" i="43"/>
  <c r="H7" i="43"/>
  <c r="H6" i="43"/>
  <c r="H5" i="43"/>
  <c r="H14" i="43" s="1"/>
  <c r="BA5" i="39" s="1"/>
  <c r="AD217" i="39" l="1"/>
  <c r="AC217" i="39"/>
  <c r="AB217" i="39"/>
  <c r="BA217" i="39" l="1"/>
  <c r="BA218" i="39" s="1"/>
  <c r="AF216" i="19"/>
  <c r="AF215" i="19"/>
  <c r="AF214" i="19"/>
  <c r="AF213" i="19"/>
  <c r="AF212" i="19"/>
  <c r="AF211" i="19"/>
  <c r="AF210" i="19"/>
  <c r="AF209" i="19"/>
  <c r="AF208" i="19"/>
  <c r="AF207" i="19"/>
  <c r="AF206" i="19"/>
  <c r="AF205" i="19"/>
  <c r="AF204" i="19"/>
  <c r="AF203" i="19"/>
  <c r="AF202" i="19"/>
  <c r="AF201" i="19"/>
  <c r="AF200" i="19"/>
  <c r="AF199" i="19"/>
  <c r="AF198" i="19"/>
  <c r="AF197" i="19"/>
  <c r="AF196" i="19"/>
  <c r="AF195" i="19"/>
  <c r="AF194" i="19"/>
  <c r="AF193" i="19"/>
  <c r="AF192" i="19"/>
  <c r="AF191" i="19"/>
  <c r="AF190" i="19"/>
  <c r="AF189" i="19"/>
  <c r="AF188" i="19"/>
  <c r="AF187" i="19"/>
  <c r="AF186" i="19"/>
  <c r="AF185" i="19"/>
  <c r="AF184" i="19"/>
  <c r="AF183" i="19"/>
  <c r="AF182" i="19"/>
  <c r="AF181" i="19"/>
  <c r="AF180" i="19"/>
  <c r="AF179" i="19"/>
  <c r="AF178" i="19"/>
  <c r="AF177" i="19"/>
  <c r="AF176" i="19"/>
  <c r="AF175" i="19"/>
  <c r="AF174" i="19"/>
  <c r="AF173" i="19"/>
  <c r="AF172" i="19"/>
  <c r="AF171" i="19"/>
  <c r="AF170" i="19"/>
  <c r="AF169" i="19"/>
  <c r="AF168" i="19"/>
  <c r="AF167" i="19"/>
  <c r="AF166" i="19"/>
  <c r="AF165" i="19"/>
  <c r="AF164" i="19"/>
  <c r="AF163" i="19"/>
  <c r="AF162" i="19"/>
  <c r="AF161" i="19"/>
  <c r="AF160" i="19"/>
  <c r="AF159" i="19"/>
  <c r="AF158" i="19"/>
  <c r="AF157" i="19"/>
  <c r="AF156" i="19"/>
  <c r="AF155" i="19"/>
  <c r="AF154" i="19"/>
  <c r="AF153" i="19"/>
  <c r="AF152" i="19"/>
  <c r="AF151" i="19"/>
  <c r="AF150" i="19"/>
  <c r="AF149" i="19"/>
  <c r="AF148" i="19"/>
  <c r="AF147" i="19"/>
  <c r="AF146" i="19"/>
  <c r="AF145" i="19"/>
  <c r="AF144" i="19"/>
  <c r="AF143" i="19"/>
  <c r="AF142" i="19"/>
  <c r="AF141" i="19"/>
  <c r="AF140" i="19"/>
  <c r="AF139" i="19"/>
  <c r="AF138" i="19"/>
  <c r="AF137" i="19"/>
  <c r="AF136" i="19"/>
  <c r="AF135" i="19"/>
  <c r="AF134" i="19"/>
  <c r="AF133" i="19"/>
  <c r="AF132" i="19"/>
  <c r="AF131" i="19"/>
  <c r="AF130" i="19"/>
  <c r="AF129" i="19"/>
  <c r="AF128" i="19"/>
  <c r="AF127" i="19"/>
  <c r="AF126" i="19"/>
  <c r="AF125" i="19"/>
  <c r="AF124" i="19"/>
  <c r="AF123" i="19"/>
  <c r="AF122" i="19"/>
  <c r="AF121" i="19"/>
  <c r="AF120" i="19"/>
  <c r="AF119" i="19"/>
  <c r="AF118" i="19"/>
  <c r="AF117" i="19"/>
  <c r="AF116" i="19"/>
  <c r="AF115" i="19"/>
  <c r="AF114" i="19"/>
  <c r="AF113" i="19"/>
  <c r="AF112" i="19"/>
  <c r="AF111" i="19"/>
  <c r="AF110" i="19"/>
  <c r="AF109" i="19"/>
  <c r="AF108" i="19"/>
  <c r="AF107" i="19"/>
  <c r="AF106" i="19"/>
  <c r="AF105" i="19"/>
  <c r="AF104" i="19"/>
  <c r="AF103" i="19"/>
  <c r="AF102" i="19"/>
  <c r="AF101" i="19"/>
  <c r="AF100" i="19"/>
  <c r="AF99" i="19"/>
  <c r="AF98" i="19"/>
  <c r="AF97" i="19"/>
  <c r="AF96" i="19"/>
  <c r="AF95" i="19"/>
  <c r="AF94" i="19"/>
  <c r="AF93" i="19"/>
  <c r="AF92" i="19"/>
  <c r="AF91" i="19"/>
  <c r="AF90" i="19"/>
  <c r="AF89" i="19"/>
  <c r="AF88" i="19"/>
  <c r="AF87" i="19"/>
  <c r="AF86" i="19"/>
  <c r="AF85" i="19"/>
  <c r="AF84" i="19"/>
  <c r="AF83" i="19"/>
  <c r="AF82" i="19"/>
  <c r="AF81" i="19"/>
  <c r="AF80" i="19"/>
  <c r="AF79" i="19"/>
  <c r="AF78" i="19"/>
  <c r="AF77" i="19"/>
  <c r="AF76" i="19"/>
  <c r="AF75" i="19"/>
  <c r="AF74" i="19"/>
  <c r="AF73" i="19"/>
  <c r="AF72" i="19"/>
  <c r="AF71" i="19"/>
  <c r="AF70" i="19"/>
  <c r="AF69" i="19"/>
  <c r="AF68" i="19"/>
  <c r="AF67" i="19"/>
  <c r="AF66" i="19"/>
  <c r="AF65" i="19"/>
  <c r="AF64" i="19"/>
  <c r="AF63" i="19"/>
  <c r="AF62" i="19"/>
  <c r="AF61" i="19"/>
  <c r="AF60" i="19"/>
  <c r="AF59" i="19"/>
  <c r="AF58" i="19"/>
  <c r="AF57" i="19"/>
  <c r="AF56" i="19"/>
  <c r="AF55" i="19"/>
  <c r="AF54" i="19"/>
  <c r="AF53" i="19"/>
  <c r="AF52" i="19"/>
  <c r="AF51" i="19"/>
  <c r="AF50" i="19"/>
  <c r="AF49" i="19"/>
  <c r="AF48" i="19"/>
  <c r="AF47" i="19"/>
  <c r="AF46" i="19"/>
  <c r="AF45" i="19"/>
  <c r="AF44" i="19"/>
  <c r="AF43" i="19"/>
  <c r="AF42" i="19"/>
  <c r="AF41" i="19"/>
  <c r="AF40" i="19"/>
  <c r="AF39" i="19"/>
  <c r="AF38" i="19"/>
  <c r="AF37" i="19"/>
  <c r="AF36" i="19"/>
  <c r="AF35" i="19"/>
  <c r="AF34" i="19"/>
  <c r="AF33" i="19"/>
  <c r="AF32" i="19"/>
  <c r="AF31" i="19"/>
  <c r="AF30" i="19"/>
  <c r="AF29" i="19"/>
  <c r="AF28" i="19"/>
  <c r="AF27" i="19"/>
  <c r="AF26" i="19"/>
  <c r="AF25" i="19"/>
  <c r="AF24" i="19"/>
  <c r="AF23" i="19"/>
  <c r="AF22" i="19"/>
  <c r="AF21" i="19"/>
  <c r="AF20" i="19"/>
  <c r="AF19" i="19"/>
  <c r="AF18" i="19"/>
  <c r="AF17" i="19"/>
  <c r="AF16" i="19"/>
  <c r="AF15" i="19"/>
  <c r="AF14" i="19"/>
  <c r="AF13" i="19"/>
  <c r="AF12" i="19"/>
  <c r="AF11" i="19"/>
  <c r="AF10" i="19"/>
  <c r="AF9" i="19"/>
  <c r="AF8" i="19"/>
  <c r="AF7" i="19"/>
  <c r="D49" i="5" l="1"/>
  <c r="AA3" i="39"/>
  <c r="AA1" i="39"/>
  <c r="AA2" i="39"/>
  <c r="AA5" i="39" l="1"/>
  <c r="AT57" i="39"/>
  <c r="AA10" i="39" l="1"/>
  <c r="AE10" i="39" s="1"/>
  <c r="AA7" i="39"/>
  <c r="AA12" i="39"/>
  <c r="AE12" i="39" s="1"/>
  <c r="AA11" i="39"/>
  <c r="AE11" i="39" s="1"/>
  <c r="AA8" i="39"/>
  <c r="AE8" i="39" s="1"/>
  <c r="AA9" i="39"/>
  <c r="AE9" i="39" s="1"/>
  <c r="AE7" i="39" l="1"/>
  <c r="AA217" i="39"/>
  <c r="D53" i="7"/>
  <c r="D52" i="7"/>
  <c r="D51" i="7"/>
  <c r="D50" i="7"/>
  <c r="D52" i="6"/>
  <c r="D51" i="6"/>
  <c r="D50" i="6"/>
  <c r="D49" i="6"/>
  <c r="D52" i="5"/>
  <c r="D51" i="5"/>
  <c r="D50" i="5"/>
  <c r="D53" i="24"/>
  <c r="D52" i="24"/>
  <c r="D51" i="24"/>
  <c r="D50" i="24"/>
  <c r="D56" i="23"/>
  <c r="D55" i="23"/>
  <c r="D54" i="23"/>
  <c r="D53" i="23"/>
  <c r="D55" i="32"/>
  <c r="D54" i="32"/>
  <c r="D53" i="32"/>
  <c r="D52" i="32"/>
  <c r="CE13" i="39" l="1"/>
  <c r="CE216" i="39"/>
  <c r="CF216" i="39" s="1"/>
  <c r="CE215" i="39"/>
  <c r="CE214" i="39"/>
  <c r="CE213" i="39"/>
  <c r="CE212" i="39"/>
  <c r="CE211" i="39"/>
  <c r="CE210" i="39"/>
  <c r="CF210" i="39" s="1"/>
  <c r="CG210" i="39" s="1"/>
  <c r="CE209" i="39"/>
  <c r="CF209" i="39" s="1"/>
  <c r="CE208" i="39"/>
  <c r="CF208" i="39" s="1"/>
  <c r="CE207" i="39"/>
  <c r="CE206" i="39"/>
  <c r="CE205" i="39"/>
  <c r="CF205" i="39" s="1"/>
  <c r="CE204" i="39"/>
  <c r="CE203" i="39"/>
  <c r="CE202" i="39"/>
  <c r="CF202" i="39" s="1"/>
  <c r="CE201" i="39"/>
  <c r="CF201" i="39" s="1"/>
  <c r="CE200" i="39"/>
  <c r="CF200" i="39" s="1"/>
  <c r="CE199" i="39"/>
  <c r="CE198" i="39"/>
  <c r="CE197" i="39"/>
  <c r="CF197" i="39" s="1"/>
  <c r="CE196" i="39"/>
  <c r="CE195" i="39"/>
  <c r="CF195" i="39" s="1"/>
  <c r="CE194" i="39"/>
  <c r="CF194" i="39" s="1"/>
  <c r="CG194" i="39" s="1"/>
  <c r="CE193" i="39"/>
  <c r="CF193" i="39" s="1"/>
  <c r="CE192" i="39"/>
  <c r="CF192" i="39" s="1"/>
  <c r="CE191" i="39"/>
  <c r="CE190" i="39"/>
  <c r="CE189" i="39"/>
  <c r="CE188" i="39"/>
  <c r="CE187" i="39"/>
  <c r="CF187" i="39" s="1"/>
  <c r="CE186" i="39"/>
  <c r="CE185" i="39"/>
  <c r="CF185" i="39" s="1"/>
  <c r="CE184" i="39"/>
  <c r="CF184" i="39" s="1"/>
  <c r="CE183" i="39"/>
  <c r="CE182" i="39"/>
  <c r="CE181" i="39"/>
  <c r="CE180" i="39"/>
  <c r="CE179" i="39"/>
  <c r="CF179" i="39" s="1"/>
  <c r="CE178" i="39"/>
  <c r="CE177" i="39"/>
  <c r="CF177" i="39" s="1"/>
  <c r="CE176" i="39"/>
  <c r="CF176" i="39" s="1"/>
  <c r="CE175" i="39"/>
  <c r="CE174" i="39"/>
  <c r="CE173" i="39"/>
  <c r="CF173" i="39" s="1"/>
  <c r="CG173" i="39" s="1"/>
  <c r="CE172" i="39"/>
  <c r="CE171" i="39"/>
  <c r="CF171" i="39" s="1"/>
  <c r="CE170" i="39"/>
  <c r="CE169" i="39"/>
  <c r="CF169" i="39" s="1"/>
  <c r="CE168" i="39"/>
  <c r="CF168" i="39" s="1"/>
  <c r="CE167" i="39"/>
  <c r="CE166" i="39"/>
  <c r="CE165" i="39"/>
  <c r="CF165" i="39" s="1"/>
  <c r="CG165" i="39" s="1"/>
  <c r="CE164" i="39"/>
  <c r="CE163" i="39"/>
  <c r="CF163" i="39" s="1"/>
  <c r="CE162" i="39"/>
  <c r="CE161" i="39"/>
  <c r="CF161" i="39" s="1"/>
  <c r="CE160" i="39"/>
  <c r="CF160" i="39" s="1"/>
  <c r="CE159" i="39"/>
  <c r="CE158" i="39"/>
  <c r="CE157" i="39"/>
  <c r="CF157" i="39" s="1"/>
  <c r="CG157" i="39" s="1"/>
  <c r="CE156" i="39"/>
  <c r="CE155" i="39"/>
  <c r="CE154" i="39"/>
  <c r="CE153" i="39"/>
  <c r="CF153" i="39" s="1"/>
  <c r="CE152" i="39"/>
  <c r="CF152" i="39" s="1"/>
  <c r="CE151" i="39"/>
  <c r="CE150" i="39"/>
  <c r="CE149" i="39"/>
  <c r="CF149" i="39" s="1"/>
  <c r="CG149" i="39" s="1"/>
  <c r="CE148" i="39"/>
  <c r="CE147" i="39"/>
  <c r="CF147" i="39" s="1"/>
  <c r="CE146" i="39"/>
  <c r="CE145" i="39"/>
  <c r="CF145" i="39" s="1"/>
  <c r="CE144" i="39"/>
  <c r="CF144" i="39" s="1"/>
  <c r="CE143" i="39"/>
  <c r="CE142" i="39"/>
  <c r="CE141" i="39"/>
  <c r="CE140" i="39"/>
  <c r="CE139" i="39"/>
  <c r="CE138" i="39"/>
  <c r="CE137" i="39"/>
  <c r="CF137" i="39" s="1"/>
  <c r="CE136" i="39"/>
  <c r="CF136" i="39" s="1"/>
  <c r="CE135" i="39"/>
  <c r="CE134" i="39"/>
  <c r="CE133" i="39"/>
  <c r="CE132" i="39"/>
  <c r="CE131" i="39"/>
  <c r="CE130" i="39"/>
  <c r="CE129" i="39"/>
  <c r="CF129" i="39" s="1"/>
  <c r="CE128" i="39"/>
  <c r="CF128" i="39" s="1"/>
  <c r="CE127" i="39"/>
  <c r="CE126" i="39"/>
  <c r="CE125" i="39"/>
  <c r="CE124" i="39"/>
  <c r="CE123" i="39"/>
  <c r="CE122" i="39"/>
  <c r="CE121" i="39"/>
  <c r="CF121" i="39" s="1"/>
  <c r="CE120" i="39"/>
  <c r="CF120" i="39" s="1"/>
  <c r="CE119" i="39"/>
  <c r="CE118" i="39"/>
  <c r="CE117" i="39"/>
  <c r="CE116" i="39"/>
  <c r="CE115" i="39"/>
  <c r="CF115" i="39" s="1"/>
  <c r="CE114" i="39"/>
  <c r="CE113" i="39"/>
  <c r="CF113" i="39" s="1"/>
  <c r="CE112" i="39"/>
  <c r="CF112" i="39" s="1"/>
  <c r="CE111" i="39"/>
  <c r="CE110" i="39"/>
  <c r="CE109" i="39"/>
  <c r="CE108" i="39"/>
  <c r="CE107" i="39"/>
  <c r="CF107" i="39" s="1"/>
  <c r="CE106" i="39"/>
  <c r="CE105" i="39"/>
  <c r="CE104" i="39"/>
  <c r="CF104" i="39" s="1"/>
  <c r="CE103" i="39"/>
  <c r="CE102" i="39"/>
  <c r="CE101" i="39"/>
  <c r="CE100" i="39"/>
  <c r="CF100" i="39" s="1"/>
  <c r="CE99" i="39"/>
  <c r="CF99" i="39" s="1"/>
  <c r="CE98" i="39"/>
  <c r="CE97" i="39"/>
  <c r="CF97" i="39" s="1"/>
  <c r="CE96" i="39"/>
  <c r="CF96" i="39" s="1"/>
  <c r="CE95" i="39"/>
  <c r="CE94" i="39"/>
  <c r="CE93" i="39"/>
  <c r="CE92" i="39"/>
  <c r="CF92" i="39" s="1"/>
  <c r="CE91" i="39"/>
  <c r="CF91" i="39" s="1"/>
  <c r="CE90" i="39"/>
  <c r="CE89" i="39"/>
  <c r="CF89" i="39" s="1"/>
  <c r="CE88" i="39"/>
  <c r="CF88" i="39" s="1"/>
  <c r="CE87" i="39"/>
  <c r="CE86" i="39"/>
  <c r="CE85" i="39"/>
  <c r="CE84" i="39"/>
  <c r="CF84" i="39" s="1"/>
  <c r="CE83" i="39"/>
  <c r="CF83" i="39" s="1"/>
  <c r="CE82" i="39"/>
  <c r="CE81" i="39"/>
  <c r="CF81" i="39" s="1"/>
  <c r="CE80" i="39"/>
  <c r="CF80" i="39" s="1"/>
  <c r="CE79" i="39"/>
  <c r="CE78" i="39"/>
  <c r="CE77" i="39"/>
  <c r="CE76" i="39"/>
  <c r="CF76" i="39" s="1"/>
  <c r="CE75" i="39"/>
  <c r="CF75" i="39" s="1"/>
  <c r="CE74" i="39"/>
  <c r="CE73" i="39"/>
  <c r="CF73" i="39" s="1"/>
  <c r="CE72" i="39"/>
  <c r="CF72" i="39" s="1"/>
  <c r="CE71" i="39"/>
  <c r="CE70" i="39"/>
  <c r="CE69" i="39"/>
  <c r="CE68" i="39"/>
  <c r="CF68" i="39" s="1"/>
  <c r="CE67" i="39"/>
  <c r="CF67" i="39" s="1"/>
  <c r="CE66" i="39"/>
  <c r="CE65" i="39"/>
  <c r="CF65" i="39" s="1"/>
  <c r="CE64" i="39"/>
  <c r="CF64" i="39" s="1"/>
  <c r="CE63" i="39"/>
  <c r="CE62" i="39"/>
  <c r="CE61" i="39"/>
  <c r="CE60" i="39"/>
  <c r="CF60" i="39" s="1"/>
  <c r="CE59" i="39"/>
  <c r="CF59" i="39" s="1"/>
  <c r="CE58" i="39"/>
  <c r="CE57" i="39"/>
  <c r="CF57" i="39" s="1"/>
  <c r="CE56" i="39"/>
  <c r="CF56" i="39" s="1"/>
  <c r="CE55" i="39"/>
  <c r="CE54" i="39"/>
  <c r="CE53" i="39"/>
  <c r="CE52" i="39"/>
  <c r="CF52" i="39" s="1"/>
  <c r="CE51" i="39"/>
  <c r="CF51" i="39" s="1"/>
  <c r="CE50" i="39"/>
  <c r="CE49" i="39"/>
  <c r="CF49" i="39" s="1"/>
  <c r="CE48" i="39"/>
  <c r="CF48" i="39" s="1"/>
  <c r="CE47" i="39"/>
  <c r="CE46" i="39"/>
  <c r="CE45" i="39"/>
  <c r="CE44" i="39"/>
  <c r="CE43" i="39"/>
  <c r="CF43" i="39" s="1"/>
  <c r="CE42" i="39"/>
  <c r="CE41" i="39"/>
  <c r="CF41" i="39" s="1"/>
  <c r="CE40" i="39"/>
  <c r="CF40" i="39" s="1"/>
  <c r="CE39" i="39"/>
  <c r="CE38" i="39"/>
  <c r="CE37" i="39"/>
  <c r="CE36" i="39"/>
  <c r="CF36" i="39" s="1"/>
  <c r="CE35" i="39"/>
  <c r="CE34" i="39"/>
  <c r="CE33" i="39"/>
  <c r="CF33" i="39" s="1"/>
  <c r="CE32" i="39"/>
  <c r="CF32" i="39" s="1"/>
  <c r="CE31" i="39"/>
  <c r="CE30" i="39"/>
  <c r="CE29" i="39"/>
  <c r="CE28" i="39"/>
  <c r="CF28" i="39" s="1"/>
  <c r="CE27" i="39"/>
  <c r="CF27" i="39" s="1"/>
  <c r="CE26" i="39"/>
  <c r="CE25" i="39"/>
  <c r="CF25" i="39" s="1"/>
  <c r="CE24" i="39"/>
  <c r="CF24" i="39" s="1"/>
  <c r="CE23" i="39"/>
  <c r="CE22" i="39"/>
  <c r="CE21" i="39"/>
  <c r="CE20" i="39"/>
  <c r="CF20" i="39" s="1"/>
  <c r="CE19" i="39"/>
  <c r="CF19" i="39" s="1"/>
  <c r="CE18" i="39"/>
  <c r="CE17" i="39"/>
  <c r="CF17" i="39" s="1"/>
  <c r="CE16" i="39"/>
  <c r="CF16" i="39" s="1"/>
  <c r="CE15" i="39"/>
  <c r="CE14" i="39"/>
  <c r="CE12" i="39"/>
  <c r="CF12" i="39" s="1"/>
  <c r="CE11" i="39"/>
  <c r="CF11" i="39" s="1"/>
  <c r="CE8" i="39"/>
  <c r="CG16" i="39" l="1"/>
  <c r="CG120" i="39"/>
  <c r="CG80" i="39"/>
  <c r="CG32" i="39"/>
  <c r="CG96" i="39"/>
  <c r="CG73" i="39"/>
  <c r="CF13" i="39"/>
  <c r="CF139" i="39"/>
  <c r="CG139" i="39" s="1"/>
  <c r="CF211" i="39"/>
  <c r="CG211" i="39" s="1"/>
  <c r="CG48" i="39"/>
  <c r="CF105" i="39"/>
  <c r="CG147" i="39"/>
  <c r="CG187" i="39"/>
  <c r="CG202" i="39"/>
  <c r="CG64" i="39"/>
  <c r="CG168" i="39"/>
  <c r="CG19" i="39"/>
  <c r="CG41" i="39"/>
  <c r="CG99" i="39"/>
  <c r="CG197" i="39"/>
  <c r="CG83" i="39"/>
  <c r="CF35" i="39"/>
  <c r="CG179" i="39"/>
  <c r="CG67" i="39"/>
  <c r="CG112" i="39"/>
  <c r="CF123" i="39"/>
  <c r="CG123" i="39" s="1"/>
  <c r="CG136" i="39"/>
  <c r="CG176" i="39"/>
  <c r="CF203" i="39"/>
  <c r="CF213" i="39"/>
  <c r="CG213" i="39" s="1"/>
  <c r="CG51" i="39"/>
  <c r="CF131" i="39"/>
  <c r="CG131" i="39" s="1"/>
  <c r="CF155" i="39"/>
  <c r="CG195" i="39"/>
  <c r="CG205" i="39"/>
  <c r="CF126" i="39"/>
  <c r="CG126" i="39" s="1"/>
  <c r="CG193" i="39"/>
  <c r="CG216" i="39"/>
  <c r="CF15" i="39"/>
  <c r="CG15" i="39" s="1"/>
  <c r="CG24" i="39"/>
  <c r="CF38" i="39"/>
  <c r="CG38" i="39" s="1"/>
  <c r="CF47" i="39"/>
  <c r="CG47" i="39" s="1"/>
  <c r="CG56" i="39"/>
  <c r="CF70" i="39"/>
  <c r="CG70" i="39" s="1"/>
  <c r="CF79" i="39"/>
  <c r="CG79" i="39" s="1"/>
  <c r="CG88" i="39"/>
  <c r="CF102" i="39"/>
  <c r="CG102" i="39" s="1"/>
  <c r="CF111" i="39"/>
  <c r="CG111" i="39" s="1"/>
  <c r="CG152" i="39"/>
  <c r="CF172" i="39"/>
  <c r="CG172" i="39" s="1"/>
  <c r="CF188" i="39"/>
  <c r="CG11" i="39"/>
  <c r="CG20" i="39"/>
  <c r="CG33" i="39"/>
  <c r="CG43" i="39"/>
  <c r="CG52" i="39"/>
  <c r="CG65" i="39"/>
  <c r="CG75" i="39"/>
  <c r="CG84" i="39"/>
  <c r="CG97" i="39"/>
  <c r="CG107" i="39"/>
  <c r="CF116" i="39"/>
  <c r="CG121" i="39"/>
  <c r="CF132" i="39"/>
  <c r="CG137" i="39"/>
  <c r="CF148" i="39"/>
  <c r="CF158" i="39"/>
  <c r="CG158" i="39" s="1"/>
  <c r="CG163" i="39"/>
  <c r="CG177" i="39"/>
  <c r="CG208" i="39"/>
  <c r="CF212" i="39"/>
  <c r="CG28" i="39"/>
  <c r="CG92" i="39"/>
  <c r="CF94" i="39"/>
  <c r="CG94" i="39" s="1"/>
  <c r="CG153" i="39"/>
  <c r="CF30" i="39"/>
  <c r="CG30" i="39" s="1"/>
  <c r="CG60" i="39"/>
  <c r="CF39" i="39"/>
  <c r="CG39" i="39" s="1"/>
  <c r="CF103" i="39"/>
  <c r="CG103" i="39" s="1"/>
  <c r="CG128" i="39"/>
  <c r="CF174" i="39"/>
  <c r="CG174" i="39" s="1"/>
  <c r="CG209" i="39"/>
  <c r="CF22" i="39"/>
  <c r="CG22" i="39" s="1"/>
  <c r="CF31" i="39"/>
  <c r="CG31" i="39" s="1"/>
  <c r="CG40" i="39"/>
  <c r="CF44" i="39"/>
  <c r="CF54" i="39"/>
  <c r="CG54" i="39" s="1"/>
  <c r="CF63" i="39"/>
  <c r="CG63" i="39" s="1"/>
  <c r="CG72" i="39"/>
  <c r="CF86" i="39"/>
  <c r="CG86" i="39" s="1"/>
  <c r="CF95" i="39"/>
  <c r="CG95" i="39" s="1"/>
  <c r="CG104" i="39"/>
  <c r="CF108" i="39"/>
  <c r="CG113" i="39"/>
  <c r="CF150" i="39"/>
  <c r="CG150" i="39" s="1"/>
  <c r="CG169" i="39"/>
  <c r="CG185" i="39"/>
  <c r="CF142" i="39"/>
  <c r="CG142" i="39" s="1"/>
  <c r="CG161" i="39"/>
  <c r="CF62" i="39"/>
  <c r="CG62" i="39" s="1"/>
  <c r="CF71" i="39"/>
  <c r="CG71" i="39" s="1"/>
  <c r="CG184" i="39"/>
  <c r="CG12" i="39"/>
  <c r="CG25" i="39"/>
  <c r="CG57" i="39"/>
  <c r="CG76" i="39"/>
  <c r="CG89" i="39"/>
  <c r="CF118" i="39"/>
  <c r="CG118" i="39" s="1"/>
  <c r="CF134" i="39"/>
  <c r="CG134" i="39" s="1"/>
  <c r="CG144" i="39"/>
  <c r="CF164" i="39"/>
  <c r="CG164" i="39" s="1"/>
  <c r="CG200" i="39"/>
  <c r="CF204" i="39"/>
  <c r="CG17" i="39"/>
  <c r="CG27" i="39"/>
  <c r="CG36" i="39"/>
  <c r="CG49" i="39"/>
  <c r="CG59" i="39"/>
  <c r="CG68" i="39"/>
  <c r="CG81" i="39"/>
  <c r="CG91" i="39"/>
  <c r="CG100" i="39"/>
  <c r="CF124" i="39"/>
  <c r="CG129" i="39"/>
  <c r="CF140" i="39"/>
  <c r="CG145" i="39"/>
  <c r="CG160" i="39"/>
  <c r="CF180" i="39"/>
  <c r="CG192" i="39"/>
  <c r="CF196" i="39"/>
  <c r="CG201" i="39"/>
  <c r="CF14" i="39"/>
  <c r="CF23" i="39"/>
  <c r="CG23" i="39" s="1"/>
  <c r="CF46" i="39"/>
  <c r="CG46" i="39" s="1"/>
  <c r="CF55" i="39"/>
  <c r="CG55" i="39" s="1"/>
  <c r="CF78" i="39"/>
  <c r="CG78" i="39" s="1"/>
  <c r="CF87" i="39"/>
  <c r="CG87" i="39" s="1"/>
  <c r="CF110" i="39"/>
  <c r="CG110" i="39" s="1"/>
  <c r="CG115" i="39"/>
  <c r="CF156" i="39"/>
  <c r="CF166" i="39"/>
  <c r="CG166" i="39" s="1"/>
  <c r="CG171" i="39"/>
  <c r="CF182" i="39"/>
  <c r="CG182" i="39" s="1"/>
  <c r="CF190" i="39"/>
  <c r="CG190" i="39" s="1"/>
  <c r="CF198" i="39"/>
  <c r="CG198" i="39" s="1"/>
  <c r="CF206" i="39"/>
  <c r="CG206" i="39" s="1"/>
  <c r="CF214" i="39"/>
  <c r="CG214" i="39" s="1"/>
  <c r="CF119" i="39"/>
  <c r="CG119" i="39" s="1"/>
  <c r="CF127" i="39"/>
  <c r="CG127" i="39" s="1"/>
  <c r="CF135" i="39"/>
  <c r="CG135" i="39" s="1"/>
  <c r="CF143" i="39"/>
  <c r="CF151" i="39"/>
  <c r="CF159" i="39"/>
  <c r="CG159" i="39" s="1"/>
  <c r="CF167" i="39"/>
  <c r="CG167" i="39" s="1"/>
  <c r="CF175" i="39"/>
  <c r="CG175" i="39" s="1"/>
  <c r="CF183" i="39"/>
  <c r="CG183" i="39" s="1"/>
  <c r="CF191" i="39"/>
  <c r="CG191" i="39" s="1"/>
  <c r="CF199" i="39"/>
  <c r="CG199" i="39" s="1"/>
  <c r="CF207" i="39"/>
  <c r="CF215" i="39"/>
  <c r="CF18" i="39"/>
  <c r="CF26" i="39"/>
  <c r="CF34" i="39"/>
  <c r="CF42" i="39"/>
  <c r="CF50" i="39"/>
  <c r="CF58" i="39"/>
  <c r="CF66" i="39"/>
  <c r="CF74" i="39"/>
  <c r="CF82" i="39"/>
  <c r="CF90" i="39"/>
  <c r="CF98" i="39"/>
  <c r="CF106" i="39"/>
  <c r="CF114" i="39"/>
  <c r="CF122" i="39"/>
  <c r="CF130" i="39"/>
  <c r="CF138" i="39"/>
  <c r="CF146" i="39"/>
  <c r="CF154" i="39"/>
  <c r="CF162" i="39"/>
  <c r="CF170" i="39"/>
  <c r="CF178" i="39"/>
  <c r="CF186" i="39"/>
  <c r="CF21" i="39"/>
  <c r="CF29" i="39"/>
  <c r="CF37" i="39"/>
  <c r="CG37" i="39" s="1"/>
  <c r="CF45" i="39"/>
  <c r="CF53" i="39"/>
  <c r="CF61" i="39"/>
  <c r="CG61" i="39" s="1"/>
  <c r="CF69" i="39"/>
  <c r="CF77" i="39"/>
  <c r="CF85" i="39"/>
  <c r="CF93" i="39"/>
  <c r="CF101" i="39"/>
  <c r="CF109" i="39"/>
  <c r="CF117" i="39"/>
  <c r="CF125" i="39"/>
  <c r="CF133" i="39"/>
  <c r="CF141" i="39"/>
  <c r="CF181" i="39"/>
  <c r="CF189" i="39"/>
  <c r="CG13" i="39" l="1"/>
  <c r="CG108" i="39"/>
  <c r="CG155" i="39"/>
  <c r="CG207" i="39"/>
  <c r="CG203" i="39"/>
  <c r="CG35" i="39"/>
  <c r="CG130" i="39"/>
  <c r="CG44" i="39"/>
  <c r="CG105" i="39"/>
  <c r="CG125" i="39"/>
  <c r="CG196" i="39"/>
  <c r="CG170" i="39"/>
  <c r="CG45" i="39"/>
  <c r="CG204" i="39"/>
  <c r="CG178" i="39"/>
  <c r="CG143" i="39"/>
  <c r="CG162" i="39"/>
  <c r="CG156" i="39"/>
  <c r="CG124" i="39"/>
  <c r="CG58" i="39"/>
  <c r="CG26" i="39"/>
  <c r="CG18" i="39"/>
  <c r="CG77" i="39"/>
  <c r="CG90" i="39"/>
  <c r="CG66" i="39"/>
  <c r="CG117" i="39"/>
  <c r="CG212" i="39"/>
  <c r="CG188" i="39"/>
  <c r="CG116" i="39"/>
  <c r="CG14" i="39"/>
  <c r="CG215" i="39"/>
  <c r="CG151" i="39"/>
  <c r="CG186" i="39"/>
  <c r="CG98" i="39"/>
  <c r="CG132" i="39"/>
  <c r="CG93" i="39"/>
  <c r="CG146" i="39"/>
  <c r="CG50" i="39"/>
  <c r="CG180" i="39"/>
  <c r="CG140" i="39"/>
  <c r="CG114" i="39"/>
  <c r="CG34" i="39"/>
  <c r="CG53" i="39"/>
  <c r="CG69" i="39"/>
  <c r="CG42" i="39"/>
  <c r="CG181" i="39"/>
  <c r="CG141" i="39"/>
  <c r="CG109" i="39"/>
  <c r="CG85" i="39"/>
  <c r="CG138" i="39"/>
  <c r="CG21" i="39"/>
  <c r="CG148" i="39"/>
  <c r="CG29" i="39"/>
  <c r="CG74" i="39"/>
  <c r="CG82" i="39"/>
  <c r="CG154" i="39"/>
  <c r="CG122" i="39"/>
  <c r="CG133" i="39"/>
  <c r="CG101" i="39"/>
  <c r="CG189" i="39"/>
  <c r="CG106" i="39"/>
  <c r="CE10" i="39"/>
  <c r="CF10" i="39" s="1"/>
  <c r="CG10" i="39" s="1"/>
  <c r="CE9" i="39"/>
  <c r="CF9" i="39" s="1"/>
  <c r="CG9" i="39" s="1"/>
  <c r="CI1" i="39"/>
  <c r="CF7" i="39"/>
  <c r="CD217" i="39"/>
  <c r="CF8" i="39" l="1"/>
  <c r="CG8" i="39" s="1"/>
  <c r="CG7" i="39"/>
  <c r="AT162" i="39"/>
  <c r="AT152" i="39"/>
  <c r="AT145" i="39"/>
  <c r="AT144" i="39"/>
  <c r="AT134" i="39"/>
  <c r="AT127" i="39"/>
  <c r="AT13" i="39" l="1"/>
  <c r="CS224" i="39" l="1"/>
  <c r="CR224" i="39"/>
  <c r="CP223" i="39"/>
  <c r="CJ225" i="39"/>
  <c r="CN225" i="39" s="1"/>
  <c r="CI243" i="39" l="1"/>
  <c r="CJ242" i="39"/>
  <c r="CK242" i="39" s="1"/>
  <c r="CJ241" i="39"/>
  <c r="CK241" i="39" s="1"/>
  <c r="CJ240" i="39"/>
  <c r="CK240" i="39" s="1"/>
  <c r="CJ239" i="39"/>
  <c r="CK239" i="39" s="1"/>
  <c r="CL239" i="39" s="1"/>
  <c r="CM239" i="39" s="1"/>
  <c r="CJ238" i="39"/>
  <c r="CK238" i="39" s="1"/>
  <c r="CJ237" i="39"/>
  <c r="CK237" i="39" s="1"/>
  <c r="CJ236" i="39"/>
  <c r="CK236" i="39" s="1"/>
  <c r="CL236" i="39" s="1"/>
  <c r="CM236" i="39" s="1"/>
  <c r="CJ235" i="39"/>
  <c r="CK235" i="39" s="1"/>
  <c r="CL235" i="39" s="1"/>
  <c r="CM235" i="39" s="1"/>
  <c r="CJ234" i="39"/>
  <c r="CK234" i="39" s="1"/>
  <c r="CJ233" i="39"/>
  <c r="CK233" i="39" s="1"/>
  <c r="CJ232" i="39"/>
  <c r="CK232" i="39" s="1"/>
  <c r="CL232" i="39" s="1"/>
  <c r="CJ231" i="39"/>
  <c r="CK231" i="39" s="1"/>
  <c r="CJ230" i="39"/>
  <c r="CK230" i="39" s="1"/>
  <c r="CJ229" i="39"/>
  <c r="CK229" i="39" s="1"/>
  <c r="CJ228" i="39"/>
  <c r="CK228" i="39" s="1"/>
  <c r="CL228" i="39" s="1"/>
  <c r="CM228" i="39" s="1"/>
  <c r="CJ227" i="39"/>
  <c r="CK227" i="39" s="1"/>
  <c r="CL227" i="39" s="1"/>
  <c r="CM227" i="39" s="1"/>
  <c r="CJ226" i="39"/>
  <c r="CK226" i="39" s="1"/>
  <c r="CJ243" i="39" l="1"/>
  <c r="CL234" i="39"/>
  <c r="CM234" i="39" s="1"/>
  <c r="CL229" i="39"/>
  <c r="CM229" i="39" s="1"/>
  <c r="CL230" i="39"/>
  <c r="CM230" i="39" s="1"/>
  <c r="CL226" i="39"/>
  <c r="CM226" i="39" s="1"/>
  <c r="CL242" i="39"/>
  <c r="CM242" i="39" s="1"/>
  <c r="CL238" i="39"/>
  <c r="CM238" i="39" s="1"/>
  <c r="CL237" i="39"/>
  <c r="CM237" i="39" s="1"/>
  <c r="CL233" i="39"/>
  <c r="CM233" i="39" s="1"/>
  <c r="CL241" i="39"/>
  <c r="CM241" i="39" s="1"/>
  <c r="CL240" i="39"/>
  <c r="CM240" i="39" s="1"/>
  <c r="CK225" i="39"/>
  <c r="CM232" i="39"/>
  <c r="CL231" i="39"/>
  <c r="CM231" i="39" s="1"/>
  <c r="GA16" i="39"/>
  <c r="GA17" i="39" s="1"/>
  <c r="GB17" i="39" l="1"/>
  <c r="GA18" i="39"/>
  <c r="CK243" i="39"/>
  <c r="CL225" i="39"/>
  <c r="CL243" i="39" s="1"/>
  <c r="GB16" i="39"/>
  <c r="GB18" i="39" l="1"/>
  <c r="GA19" i="39"/>
  <c r="CM225" i="39"/>
  <c r="GA20" i="39" l="1"/>
  <c r="GB19" i="39"/>
  <c r="CM243" i="39"/>
  <c r="CP225" i="39"/>
  <c r="GB20" i="39" l="1"/>
  <c r="GA21" i="39"/>
  <c r="GB15" i="39"/>
  <c r="GB21" i="39" l="1"/>
  <c r="GA22" i="39"/>
  <c r="GT6" i="39"/>
  <c r="HH6" i="39" s="1"/>
  <c r="GU6" i="39"/>
  <c r="HI6" i="39" s="1"/>
  <c r="GP6" i="39"/>
  <c r="HD6" i="39" s="1"/>
  <c r="GQ6" i="39"/>
  <c r="HE6" i="39" s="1"/>
  <c r="GR6" i="39"/>
  <c r="HF6" i="39" s="1"/>
  <c r="GS6" i="39"/>
  <c r="HG6" i="39" s="1"/>
  <c r="HB216" i="39"/>
  <c r="HB215" i="39"/>
  <c r="HB214" i="39"/>
  <c r="HB213" i="39"/>
  <c r="HB212" i="39"/>
  <c r="HB211" i="39"/>
  <c r="HB210" i="39"/>
  <c r="HB209" i="39"/>
  <c r="HB208" i="39"/>
  <c r="HB207" i="39"/>
  <c r="HB206" i="39"/>
  <c r="HB205" i="39"/>
  <c r="HB204" i="39"/>
  <c r="HB203" i="39"/>
  <c r="HB202" i="39"/>
  <c r="HB201" i="39"/>
  <c r="HB200" i="39"/>
  <c r="HB199" i="39"/>
  <c r="HB198" i="39"/>
  <c r="HB197" i="39"/>
  <c r="HB196" i="39"/>
  <c r="HB195" i="39"/>
  <c r="HB194" i="39"/>
  <c r="HB193" i="39"/>
  <c r="HB192" i="39"/>
  <c r="HB191" i="39"/>
  <c r="HB190" i="39"/>
  <c r="HB189" i="39"/>
  <c r="HB188" i="39"/>
  <c r="HB187" i="39"/>
  <c r="HB186" i="39"/>
  <c r="HB185" i="39"/>
  <c r="HB184" i="39"/>
  <c r="HB183" i="39"/>
  <c r="HB182" i="39"/>
  <c r="HB181" i="39"/>
  <c r="HB180" i="39"/>
  <c r="HB179" i="39"/>
  <c r="HB178" i="39"/>
  <c r="HB177" i="39"/>
  <c r="HB176" i="39"/>
  <c r="HB175" i="39"/>
  <c r="HB174" i="39"/>
  <c r="HB173" i="39"/>
  <c r="HB172" i="39"/>
  <c r="HB171" i="39"/>
  <c r="HB170" i="39"/>
  <c r="HB169" i="39"/>
  <c r="HB168" i="39"/>
  <c r="HB167" i="39"/>
  <c r="HB166" i="39"/>
  <c r="HB165" i="39"/>
  <c r="HB164" i="39"/>
  <c r="HB163" i="39"/>
  <c r="HB162" i="39"/>
  <c r="HB161" i="39"/>
  <c r="HB160" i="39"/>
  <c r="HB159" i="39"/>
  <c r="HB158" i="39"/>
  <c r="HB157" i="39"/>
  <c r="HB156" i="39"/>
  <c r="HB155" i="39"/>
  <c r="HB154" i="39"/>
  <c r="HB153" i="39"/>
  <c r="HB152" i="39"/>
  <c r="HB151" i="39"/>
  <c r="HB150" i="39"/>
  <c r="HB149" i="39"/>
  <c r="HB148" i="39"/>
  <c r="HB147" i="39"/>
  <c r="HB146" i="39"/>
  <c r="HB145" i="39"/>
  <c r="HB144" i="39"/>
  <c r="HB143" i="39"/>
  <c r="HB142" i="39"/>
  <c r="HB141" i="39"/>
  <c r="HB140" i="39"/>
  <c r="HB139" i="39"/>
  <c r="HB138" i="39"/>
  <c r="HB137" i="39"/>
  <c r="HB136" i="39"/>
  <c r="HB135" i="39"/>
  <c r="HB134" i="39"/>
  <c r="HB133" i="39"/>
  <c r="HB132" i="39"/>
  <c r="HB131" i="39"/>
  <c r="HB130" i="39"/>
  <c r="HB129" i="39"/>
  <c r="HB128" i="39"/>
  <c r="HB127" i="39"/>
  <c r="HB126" i="39"/>
  <c r="HB125" i="39"/>
  <c r="HB124" i="39"/>
  <c r="HB123" i="39"/>
  <c r="HB122" i="39"/>
  <c r="HB121" i="39"/>
  <c r="HB120" i="39"/>
  <c r="HB119" i="39"/>
  <c r="HB118" i="39"/>
  <c r="HB117" i="39"/>
  <c r="HB116" i="39"/>
  <c r="HB115" i="39"/>
  <c r="HB114" i="39"/>
  <c r="HB113" i="39"/>
  <c r="HB112" i="39"/>
  <c r="HB111" i="39"/>
  <c r="HB110" i="39"/>
  <c r="HB109" i="39"/>
  <c r="HB108" i="39"/>
  <c r="HB107" i="39"/>
  <c r="HB106" i="39"/>
  <c r="HB105" i="39"/>
  <c r="HB104" i="39"/>
  <c r="HB103" i="39"/>
  <c r="HB102" i="39"/>
  <c r="HB101" i="39"/>
  <c r="HB100" i="39"/>
  <c r="HB99" i="39"/>
  <c r="HB98" i="39"/>
  <c r="HB97" i="39"/>
  <c r="HB96" i="39"/>
  <c r="HB95" i="39"/>
  <c r="HB94" i="39"/>
  <c r="HB93" i="39"/>
  <c r="HB92" i="39"/>
  <c r="HB91" i="39"/>
  <c r="HB90" i="39"/>
  <c r="HB89" i="39"/>
  <c r="HB88" i="39"/>
  <c r="HB87" i="39"/>
  <c r="HB86" i="39"/>
  <c r="HB85" i="39"/>
  <c r="HB84" i="39"/>
  <c r="HB83" i="39"/>
  <c r="HB82" i="39"/>
  <c r="HB81" i="39"/>
  <c r="HB80" i="39"/>
  <c r="HB79" i="39"/>
  <c r="HB78" i="39"/>
  <c r="HB77" i="39"/>
  <c r="HB76" i="39"/>
  <c r="HB75" i="39"/>
  <c r="HB74" i="39"/>
  <c r="HB73" i="39"/>
  <c r="HB72" i="39"/>
  <c r="HB71" i="39"/>
  <c r="HB70" i="39"/>
  <c r="HB69" i="39"/>
  <c r="HB68" i="39"/>
  <c r="HB67" i="39"/>
  <c r="HB66" i="39"/>
  <c r="HB65" i="39"/>
  <c r="HB64" i="39"/>
  <c r="HB63" i="39"/>
  <c r="HB62" i="39"/>
  <c r="HB61" i="39"/>
  <c r="HB60" i="39"/>
  <c r="HB59" i="39"/>
  <c r="HB58" i="39"/>
  <c r="HB57" i="39"/>
  <c r="HB56" i="39"/>
  <c r="HB55" i="39"/>
  <c r="HB54" i="39"/>
  <c r="HB53" i="39"/>
  <c r="HB52" i="39"/>
  <c r="HB51" i="39"/>
  <c r="HB50" i="39"/>
  <c r="HB49" i="39"/>
  <c r="HB48" i="39"/>
  <c r="HB47" i="39"/>
  <c r="HB46" i="39"/>
  <c r="HB45" i="39"/>
  <c r="HB44" i="39"/>
  <c r="HB43" i="39"/>
  <c r="HB42" i="39"/>
  <c r="HB41" i="39"/>
  <c r="HB40" i="39"/>
  <c r="HB39" i="39"/>
  <c r="HB38" i="39"/>
  <c r="HB37" i="39"/>
  <c r="HB36" i="39"/>
  <c r="HB35" i="39"/>
  <c r="HB34" i="39"/>
  <c r="HB33" i="39"/>
  <c r="HB32" i="39"/>
  <c r="HB31" i="39"/>
  <c r="HB30" i="39"/>
  <c r="HB29" i="39"/>
  <c r="HB28" i="39"/>
  <c r="HB27" i="39"/>
  <c r="HB26" i="39"/>
  <c r="HB25" i="39"/>
  <c r="HB24" i="39"/>
  <c r="HB23" i="39"/>
  <c r="HB22" i="39"/>
  <c r="HB21" i="39"/>
  <c r="HB20" i="39"/>
  <c r="HB19" i="39"/>
  <c r="HB18" i="39"/>
  <c r="HB17" i="39"/>
  <c r="HB16" i="39"/>
  <c r="HB15" i="39"/>
  <c r="HB14" i="39"/>
  <c r="HB13" i="39"/>
  <c r="HB12" i="39"/>
  <c r="HB11" i="39"/>
  <c r="HB10" i="39"/>
  <c r="HB9" i="39"/>
  <c r="HB8" i="39"/>
  <c r="HB7" i="39"/>
  <c r="GJ8" i="39"/>
  <c r="GX8" i="39" s="1"/>
  <c r="HD8" i="39" s="1"/>
  <c r="GL8" i="39"/>
  <c r="GZ8" i="39" s="1"/>
  <c r="GJ9" i="39"/>
  <c r="GX9" i="39" s="1"/>
  <c r="HD9" i="39" s="1"/>
  <c r="GL9" i="39"/>
  <c r="GZ9" i="39" s="1"/>
  <c r="GJ10" i="39"/>
  <c r="GX10" i="39" s="1"/>
  <c r="HD10" i="39" s="1"/>
  <c r="GL10" i="39"/>
  <c r="GZ10" i="39" s="1"/>
  <c r="GJ11" i="39"/>
  <c r="GX11" i="39" s="1"/>
  <c r="HD11" i="39" s="1"/>
  <c r="GL11" i="39"/>
  <c r="GZ11" i="39" s="1"/>
  <c r="GJ12" i="39"/>
  <c r="GX12" i="39" s="1"/>
  <c r="HD12" i="39" s="1"/>
  <c r="GL12" i="39"/>
  <c r="GZ12" i="39" s="1"/>
  <c r="GJ7" i="39"/>
  <c r="GX7" i="39" s="1"/>
  <c r="HD7" i="39" s="1"/>
  <c r="GL7" i="39"/>
  <c r="GZ7" i="39" s="1"/>
  <c r="GO6" i="39"/>
  <c r="HC6" i="39" s="1"/>
  <c r="GM6" i="39"/>
  <c r="HA6" i="39" s="1"/>
  <c r="GN6" i="39"/>
  <c r="HB6" i="39" s="1"/>
  <c r="GJ6" i="39"/>
  <c r="GX6" i="39" s="1"/>
  <c r="GK6" i="39"/>
  <c r="GY6" i="39" s="1"/>
  <c r="GL6" i="39"/>
  <c r="GZ6" i="39" s="1"/>
  <c r="GI6" i="39"/>
  <c r="GW6" i="39" s="1"/>
  <c r="GB22" i="39" l="1"/>
  <c r="GA23" i="39"/>
  <c r="GA14" i="39"/>
  <c r="GB23" i="39" l="1"/>
  <c r="GA24" i="39"/>
  <c r="GB14" i="39"/>
  <c r="EK32" i="39"/>
  <c r="EK33" i="39"/>
  <c r="EK31" i="39"/>
  <c r="GB24" i="39" l="1"/>
  <c r="GA25" i="39"/>
  <c r="GB13" i="39"/>
  <c r="GB25" i="39" l="1"/>
  <c r="GA26" i="39"/>
  <c r="GB26" i="39" s="1"/>
  <c r="GB12" i="39"/>
  <c r="B43" i="32" l="1"/>
  <c r="GA11" i="39" l="1"/>
  <c r="GB11" i="39" s="1"/>
  <c r="CN216" i="39" l="1"/>
  <c r="GJ216" i="39" s="1"/>
  <c r="GX216" i="39" s="1"/>
  <c r="HD216" i="39" s="1"/>
  <c r="CN215" i="39"/>
  <c r="GJ215" i="39" s="1"/>
  <c r="GX215" i="39" s="1"/>
  <c r="HD215" i="39" s="1"/>
  <c r="CN214" i="39"/>
  <c r="GJ214" i="39" s="1"/>
  <c r="GX214" i="39" s="1"/>
  <c r="HD214" i="39" s="1"/>
  <c r="CN213" i="39"/>
  <c r="GJ213" i="39" s="1"/>
  <c r="GX213" i="39" s="1"/>
  <c r="HD213" i="39" s="1"/>
  <c r="CN212" i="39"/>
  <c r="GJ212" i="39" s="1"/>
  <c r="GX212" i="39" s="1"/>
  <c r="HD212" i="39" s="1"/>
  <c r="CN211" i="39"/>
  <c r="GJ211" i="39" s="1"/>
  <c r="GX211" i="39" s="1"/>
  <c r="HD211" i="39" s="1"/>
  <c r="CN210" i="39"/>
  <c r="GJ210" i="39" s="1"/>
  <c r="GX210" i="39" s="1"/>
  <c r="HD210" i="39" s="1"/>
  <c r="CN209" i="39"/>
  <c r="GJ209" i="39" s="1"/>
  <c r="GX209" i="39" s="1"/>
  <c r="HD209" i="39" s="1"/>
  <c r="CN208" i="39"/>
  <c r="GJ208" i="39" s="1"/>
  <c r="GX208" i="39" s="1"/>
  <c r="HD208" i="39" s="1"/>
  <c r="CN207" i="39"/>
  <c r="GJ207" i="39" s="1"/>
  <c r="GX207" i="39" s="1"/>
  <c r="HD207" i="39" s="1"/>
  <c r="CN206" i="39"/>
  <c r="GJ206" i="39" s="1"/>
  <c r="GX206" i="39" s="1"/>
  <c r="HD206" i="39" s="1"/>
  <c r="CN205" i="39"/>
  <c r="GJ205" i="39" s="1"/>
  <c r="GX205" i="39" s="1"/>
  <c r="HD205" i="39" s="1"/>
  <c r="CN204" i="39"/>
  <c r="GJ204" i="39" s="1"/>
  <c r="GX204" i="39" s="1"/>
  <c r="HD204" i="39" s="1"/>
  <c r="CN203" i="39"/>
  <c r="GJ203" i="39" s="1"/>
  <c r="GX203" i="39" s="1"/>
  <c r="HD203" i="39" s="1"/>
  <c r="CN202" i="39"/>
  <c r="GJ202" i="39" s="1"/>
  <c r="GX202" i="39" s="1"/>
  <c r="HD202" i="39" s="1"/>
  <c r="CN201" i="39"/>
  <c r="GJ201" i="39" s="1"/>
  <c r="GX201" i="39" s="1"/>
  <c r="HD201" i="39" s="1"/>
  <c r="CN200" i="39"/>
  <c r="GJ200" i="39" s="1"/>
  <c r="GX200" i="39" s="1"/>
  <c r="HD200" i="39" s="1"/>
  <c r="CN199" i="39"/>
  <c r="GJ199" i="39" s="1"/>
  <c r="GX199" i="39" s="1"/>
  <c r="HD199" i="39" s="1"/>
  <c r="CN198" i="39"/>
  <c r="GJ198" i="39" s="1"/>
  <c r="GX198" i="39" s="1"/>
  <c r="HD198" i="39" s="1"/>
  <c r="CN197" i="39"/>
  <c r="GJ197" i="39" s="1"/>
  <c r="GX197" i="39" s="1"/>
  <c r="HD197" i="39" s="1"/>
  <c r="CN196" i="39"/>
  <c r="GJ196" i="39" s="1"/>
  <c r="GX196" i="39" s="1"/>
  <c r="HD196" i="39" s="1"/>
  <c r="CN195" i="39"/>
  <c r="GJ195" i="39" s="1"/>
  <c r="GX195" i="39" s="1"/>
  <c r="HD195" i="39" s="1"/>
  <c r="CN194" i="39"/>
  <c r="GJ194" i="39" s="1"/>
  <c r="GX194" i="39" s="1"/>
  <c r="HD194" i="39" s="1"/>
  <c r="CN193" i="39"/>
  <c r="GJ193" i="39" s="1"/>
  <c r="GX193" i="39" s="1"/>
  <c r="HD193" i="39" s="1"/>
  <c r="CN192" i="39"/>
  <c r="GJ192" i="39" s="1"/>
  <c r="GX192" i="39" s="1"/>
  <c r="HD192" i="39" s="1"/>
  <c r="CN191" i="39"/>
  <c r="GJ191" i="39" s="1"/>
  <c r="GX191" i="39" s="1"/>
  <c r="HD191" i="39" s="1"/>
  <c r="CN190" i="39"/>
  <c r="GJ190" i="39" s="1"/>
  <c r="GX190" i="39" s="1"/>
  <c r="HD190" i="39" s="1"/>
  <c r="CN189" i="39"/>
  <c r="GJ189" i="39" s="1"/>
  <c r="GX189" i="39" s="1"/>
  <c r="HD189" i="39" s="1"/>
  <c r="CN188" i="39"/>
  <c r="GJ188" i="39" s="1"/>
  <c r="GX188" i="39" s="1"/>
  <c r="HD188" i="39" s="1"/>
  <c r="CN187" i="39"/>
  <c r="GJ187" i="39" s="1"/>
  <c r="GX187" i="39" s="1"/>
  <c r="HD187" i="39" s="1"/>
  <c r="CN186" i="39"/>
  <c r="GJ186" i="39" s="1"/>
  <c r="GX186" i="39" s="1"/>
  <c r="HD186" i="39" s="1"/>
  <c r="CN185" i="39"/>
  <c r="GJ185" i="39" s="1"/>
  <c r="GX185" i="39" s="1"/>
  <c r="HD185" i="39" s="1"/>
  <c r="CN184" i="39"/>
  <c r="GJ184" i="39" s="1"/>
  <c r="GX184" i="39" s="1"/>
  <c r="HD184" i="39" s="1"/>
  <c r="CN183" i="39"/>
  <c r="GJ183" i="39" s="1"/>
  <c r="GX183" i="39" s="1"/>
  <c r="HD183" i="39" s="1"/>
  <c r="CN182" i="39"/>
  <c r="GJ182" i="39" s="1"/>
  <c r="GX182" i="39" s="1"/>
  <c r="HD182" i="39" s="1"/>
  <c r="CN181" i="39"/>
  <c r="GJ181" i="39" s="1"/>
  <c r="GX181" i="39" s="1"/>
  <c r="HD181" i="39" s="1"/>
  <c r="CN180" i="39"/>
  <c r="GJ180" i="39" s="1"/>
  <c r="GX180" i="39" s="1"/>
  <c r="HD180" i="39" s="1"/>
  <c r="CN179" i="39"/>
  <c r="GJ179" i="39" s="1"/>
  <c r="GX179" i="39" s="1"/>
  <c r="HD179" i="39" s="1"/>
  <c r="CN178" i="39"/>
  <c r="GJ178" i="39" s="1"/>
  <c r="GX178" i="39" s="1"/>
  <c r="HD178" i="39" s="1"/>
  <c r="CN177" i="39"/>
  <c r="GJ177" i="39" s="1"/>
  <c r="GX177" i="39" s="1"/>
  <c r="HD177" i="39" s="1"/>
  <c r="CN176" i="39"/>
  <c r="GJ176" i="39" s="1"/>
  <c r="GX176" i="39" s="1"/>
  <c r="HD176" i="39" s="1"/>
  <c r="CN175" i="39"/>
  <c r="GJ175" i="39" s="1"/>
  <c r="GX175" i="39" s="1"/>
  <c r="HD175" i="39" s="1"/>
  <c r="CN174" i="39"/>
  <c r="GJ174" i="39" s="1"/>
  <c r="GX174" i="39" s="1"/>
  <c r="HD174" i="39" s="1"/>
  <c r="CN173" i="39"/>
  <c r="GJ173" i="39" s="1"/>
  <c r="GX173" i="39" s="1"/>
  <c r="HD173" i="39" s="1"/>
  <c r="CN172" i="39"/>
  <c r="GJ172" i="39" s="1"/>
  <c r="GX172" i="39" s="1"/>
  <c r="HD172" i="39" s="1"/>
  <c r="CN171" i="39"/>
  <c r="GJ171" i="39" s="1"/>
  <c r="GX171" i="39" s="1"/>
  <c r="HD171" i="39" s="1"/>
  <c r="CN170" i="39"/>
  <c r="GJ170" i="39" s="1"/>
  <c r="GX170" i="39" s="1"/>
  <c r="HD170" i="39" s="1"/>
  <c r="CN169" i="39"/>
  <c r="GJ169" i="39" s="1"/>
  <c r="GX169" i="39" s="1"/>
  <c r="HD169" i="39" s="1"/>
  <c r="CN168" i="39"/>
  <c r="GJ168" i="39" s="1"/>
  <c r="GX168" i="39" s="1"/>
  <c r="HD168" i="39" s="1"/>
  <c r="CN167" i="39"/>
  <c r="GJ167" i="39" s="1"/>
  <c r="GX167" i="39" s="1"/>
  <c r="HD167" i="39" s="1"/>
  <c r="CN166" i="39"/>
  <c r="GJ166" i="39" s="1"/>
  <c r="GX166" i="39" s="1"/>
  <c r="HD166" i="39" s="1"/>
  <c r="CN165" i="39"/>
  <c r="GJ165" i="39" s="1"/>
  <c r="GX165" i="39" s="1"/>
  <c r="HD165" i="39" s="1"/>
  <c r="CN164" i="39"/>
  <c r="GJ164" i="39" s="1"/>
  <c r="GX164" i="39" s="1"/>
  <c r="HD164" i="39" s="1"/>
  <c r="CN163" i="39"/>
  <c r="GJ163" i="39" s="1"/>
  <c r="GX163" i="39" s="1"/>
  <c r="HD163" i="39" s="1"/>
  <c r="CN162" i="39"/>
  <c r="GJ162" i="39" s="1"/>
  <c r="GX162" i="39" s="1"/>
  <c r="HD162" i="39" s="1"/>
  <c r="CN161" i="39"/>
  <c r="GJ161" i="39" s="1"/>
  <c r="GX161" i="39" s="1"/>
  <c r="HD161" i="39" s="1"/>
  <c r="CN160" i="39"/>
  <c r="GJ160" i="39" s="1"/>
  <c r="GX160" i="39" s="1"/>
  <c r="HD160" i="39" s="1"/>
  <c r="CN159" i="39"/>
  <c r="GJ159" i="39" s="1"/>
  <c r="GX159" i="39" s="1"/>
  <c r="HD159" i="39" s="1"/>
  <c r="CN158" i="39"/>
  <c r="GJ158" i="39" s="1"/>
  <c r="GX158" i="39" s="1"/>
  <c r="HD158" i="39" s="1"/>
  <c r="CN157" i="39"/>
  <c r="GJ157" i="39" s="1"/>
  <c r="GX157" i="39" s="1"/>
  <c r="HD157" i="39" s="1"/>
  <c r="CN156" i="39"/>
  <c r="GJ156" i="39" s="1"/>
  <c r="GX156" i="39" s="1"/>
  <c r="HD156" i="39" s="1"/>
  <c r="CN155" i="39"/>
  <c r="GJ155" i="39" s="1"/>
  <c r="GX155" i="39" s="1"/>
  <c r="HD155" i="39" s="1"/>
  <c r="CN154" i="39"/>
  <c r="GJ154" i="39" s="1"/>
  <c r="GX154" i="39" s="1"/>
  <c r="HD154" i="39" s="1"/>
  <c r="CN153" i="39"/>
  <c r="GJ153" i="39" s="1"/>
  <c r="GX153" i="39" s="1"/>
  <c r="HD153" i="39" s="1"/>
  <c r="CN152" i="39"/>
  <c r="GJ152" i="39" s="1"/>
  <c r="GX152" i="39" s="1"/>
  <c r="HD152" i="39" s="1"/>
  <c r="CN151" i="39"/>
  <c r="GJ151" i="39" s="1"/>
  <c r="GX151" i="39" s="1"/>
  <c r="HD151" i="39" s="1"/>
  <c r="CN150" i="39"/>
  <c r="GJ150" i="39" s="1"/>
  <c r="GX150" i="39" s="1"/>
  <c r="HD150" i="39" s="1"/>
  <c r="CN149" i="39"/>
  <c r="GJ149" i="39" s="1"/>
  <c r="GX149" i="39" s="1"/>
  <c r="HD149" i="39" s="1"/>
  <c r="CN148" i="39"/>
  <c r="GJ148" i="39" s="1"/>
  <c r="GX148" i="39" s="1"/>
  <c r="HD148" i="39" s="1"/>
  <c r="CN147" i="39"/>
  <c r="GJ147" i="39" s="1"/>
  <c r="GX147" i="39" s="1"/>
  <c r="HD147" i="39" s="1"/>
  <c r="CN146" i="39"/>
  <c r="GJ146" i="39" s="1"/>
  <c r="GX146" i="39" s="1"/>
  <c r="HD146" i="39" s="1"/>
  <c r="CN145" i="39"/>
  <c r="GJ145" i="39" s="1"/>
  <c r="GX145" i="39" s="1"/>
  <c r="HD145" i="39" s="1"/>
  <c r="CN144" i="39"/>
  <c r="GJ144" i="39" s="1"/>
  <c r="GX144" i="39" s="1"/>
  <c r="HD144" i="39" s="1"/>
  <c r="CN143" i="39"/>
  <c r="GJ143" i="39" s="1"/>
  <c r="GX143" i="39" s="1"/>
  <c r="HD143" i="39" s="1"/>
  <c r="CN142" i="39"/>
  <c r="GJ142" i="39" s="1"/>
  <c r="GX142" i="39" s="1"/>
  <c r="HD142" i="39" s="1"/>
  <c r="CN141" i="39"/>
  <c r="GJ141" i="39" s="1"/>
  <c r="GX141" i="39" s="1"/>
  <c r="HD141" i="39" s="1"/>
  <c r="CN140" i="39"/>
  <c r="GJ140" i="39" s="1"/>
  <c r="GX140" i="39" s="1"/>
  <c r="HD140" i="39" s="1"/>
  <c r="CN139" i="39"/>
  <c r="GJ139" i="39" s="1"/>
  <c r="GX139" i="39" s="1"/>
  <c r="HD139" i="39" s="1"/>
  <c r="CN138" i="39"/>
  <c r="GJ138" i="39" s="1"/>
  <c r="GX138" i="39" s="1"/>
  <c r="HD138" i="39" s="1"/>
  <c r="CN137" i="39"/>
  <c r="GJ137" i="39" s="1"/>
  <c r="GX137" i="39" s="1"/>
  <c r="HD137" i="39" s="1"/>
  <c r="CN136" i="39"/>
  <c r="GJ136" i="39" s="1"/>
  <c r="GX136" i="39" s="1"/>
  <c r="HD136" i="39" s="1"/>
  <c r="CN135" i="39"/>
  <c r="GJ135" i="39" s="1"/>
  <c r="GX135" i="39" s="1"/>
  <c r="HD135" i="39" s="1"/>
  <c r="CN134" i="39"/>
  <c r="GJ134" i="39" s="1"/>
  <c r="GX134" i="39" s="1"/>
  <c r="HD134" i="39" s="1"/>
  <c r="CN133" i="39"/>
  <c r="GJ133" i="39" s="1"/>
  <c r="GX133" i="39" s="1"/>
  <c r="HD133" i="39" s="1"/>
  <c r="CN132" i="39"/>
  <c r="GJ132" i="39" s="1"/>
  <c r="GX132" i="39" s="1"/>
  <c r="HD132" i="39" s="1"/>
  <c r="CN131" i="39"/>
  <c r="GJ131" i="39" s="1"/>
  <c r="GX131" i="39" s="1"/>
  <c r="HD131" i="39" s="1"/>
  <c r="CN130" i="39"/>
  <c r="GJ130" i="39" s="1"/>
  <c r="GX130" i="39" s="1"/>
  <c r="HD130" i="39" s="1"/>
  <c r="CN129" i="39"/>
  <c r="GJ129" i="39" s="1"/>
  <c r="GX129" i="39" s="1"/>
  <c r="HD129" i="39" s="1"/>
  <c r="CN128" i="39"/>
  <c r="GJ128" i="39" s="1"/>
  <c r="GX128" i="39" s="1"/>
  <c r="HD128" i="39" s="1"/>
  <c r="CN127" i="39"/>
  <c r="GJ127" i="39" s="1"/>
  <c r="GX127" i="39" s="1"/>
  <c r="HD127" i="39" s="1"/>
  <c r="CN126" i="39"/>
  <c r="GJ126" i="39" s="1"/>
  <c r="GX126" i="39" s="1"/>
  <c r="HD126" i="39" s="1"/>
  <c r="CN125" i="39"/>
  <c r="GJ125" i="39" s="1"/>
  <c r="GX125" i="39" s="1"/>
  <c r="HD125" i="39" s="1"/>
  <c r="CN124" i="39"/>
  <c r="GJ124" i="39" s="1"/>
  <c r="GX124" i="39" s="1"/>
  <c r="HD124" i="39" s="1"/>
  <c r="CN123" i="39"/>
  <c r="GJ123" i="39" s="1"/>
  <c r="GX123" i="39" s="1"/>
  <c r="HD123" i="39" s="1"/>
  <c r="CN122" i="39"/>
  <c r="GJ122" i="39" s="1"/>
  <c r="GX122" i="39" s="1"/>
  <c r="HD122" i="39" s="1"/>
  <c r="CN121" i="39"/>
  <c r="GJ121" i="39" s="1"/>
  <c r="GX121" i="39" s="1"/>
  <c r="HD121" i="39" s="1"/>
  <c r="CN120" i="39"/>
  <c r="GJ120" i="39" s="1"/>
  <c r="GX120" i="39" s="1"/>
  <c r="HD120" i="39" s="1"/>
  <c r="CN119" i="39"/>
  <c r="GJ119" i="39" s="1"/>
  <c r="GX119" i="39" s="1"/>
  <c r="HD119" i="39" s="1"/>
  <c r="CN118" i="39"/>
  <c r="GJ118" i="39" s="1"/>
  <c r="GX118" i="39" s="1"/>
  <c r="HD118" i="39" s="1"/>
  <c r="CN117" i="39"/>
  <c r="GJ117" i="39" s="1"/>
  <c r="GX117" i="39" s="1"/>
  <c r="HD117" i="39" s="1"/>
  <c r="CN116" i="39"/>
  <c r="GJ116" i="39" s="1"/>
  <c r="GX116" i="39" s="1"/>
  <c r="HD116" i="39" s="1"/>
  <c r="CN115" i="39"/>
  <c r="GJ115" i="39" s="1"/>
  <c r="GX115" i="39" s="1"/>
  <c r="HD115" i="39" s="1"/>
  <c r="CN114" i="39"/>
  <c r="GJ114" i="39" s="1"/>
  <c r="GX114" i="39" s="1"/>
  <c r="HD114" i="39" s="1"/>
  <c r="CN113" i="39"/>
  <c r="GJ113" i="39" s="1"/>
  <c r="GX113" i="39" s="1"/>
  <c r="HD113" i="39" s="1"/>
  <c r="CN112" i="39"/>
  <c r="GJ112" i="39" s="1"/>
  <c r="GX112" i="39" s="1"/>
  <c r="HD112" i="39" s="1"/>
  <c r="CN111" i="39"/>
  <c r="GJ111" i="39" s="1"/>
  <c r="GX111" i="39" s="1"/>
  <c r="HD111" i="39" s="1"/>
  <c r="CN110" i="39"/>
  <c r="GJ110" i="39" s="1"/>
  <c r="GX110" i="39" s="1"/>
  <c r="HD110" i="39" s="1"/>
  <c r="CN109" i="39"/>
  <c r="GJ109" i="39" s="1"/>
  <c r="GX109" i="39" s="1"/>
  <c r="HD109" i="39" s="1"/>
  <c r="CN108" i="39"/>
  <c r="GJ108" i="39" s="1"/>
  <c r="GX108" i="39" s="1"/>
  <c r="HD108" i="39" s="1"/>
  <c r="CN107" i="39"/>
  <c r="GJ107" i="39" s="1"/>
  <c r="GX107" i="39" s="1"/>
  <c r="HD107" i="39" s="1"/>
  <c r="CN106" i="39"/>
  <c r="GJ106" i="39" s="1"/>
  <c r="GX106" i="39" s="1"/>
  <c r="HD106" i="39" s="1"/>
  <c r="CN105" i="39"/>
  <c r="GJ105" i="39" s="1"/>
  <c r="GX105" i="39" s="1"/>
  <c r="HD105" i="39" s="1"/>
  <c r="CN104" i="39"/>
  <c r="GJ104" i="39" s="1"/>
  <c r="GX104" i="39" s="1"/>
  <c r="HD104" i="39" s="1"/>
  <c r="CN103" i="39"/>
  <c r="GJ103" i="39" s="1"/>
  <c r="GX103" i="39" s="1"/>
  <c r="HD103" i="39" s="1"/>
  <c r="CN102" i="39"/>
  <c r="GJ102" i="39" s="1"/>
  <c r="GX102" i="39" s="1"/>
  <c r="HD102" i="39" s="1"/>
  <c r="CN101" i="39"/>
  <c r="GJ101" i="39" s="1"/>
  <c r="GX101" i="39" s="1"/>
  <c r="HD101" i="39" s="1"/>
  <c r="CN100" i="39"/>
  <c r="GJ100" i="39" s="1"/>
  <c r="GX100" i="39" s="1"/>
  <c r="HD100" i="39" s="1"/>
  <c r="CN99" i="39"/>
  <c r="GJ99" i="39" s="1"/>
  <c r="GX99" i="39" s="1"/>
  <c r="HD99" i="39" s="1"/>
  <c r="CN98" i="39"/>
  <c r="GJ98" i="39" s="1"/>
  <c r="GX98" i="39" s="1"/>
  <c r="HD98" i="39" s="1"/>
  <c r="CN97" i="39"/>
  <c r="GJ97" i="39" s="1"/>
  <c r="GX97" i="39" s="1"/>
  <c r="HD97" i="39" s="1"/>
  <c r="CN96" i="39"/>
  <c r="GJ96" i="39" s="1"/>
  <c r="GX96" i="39" s="1"/>
  <c r="HD96" i="39" s="1"/>
  <c r="CN95" i="39"/>
  <c r="GJ95" i="39" s="1"/>
  <c r="GX95" i="39" s="1"/>
  <c r="HD95" i="39" s="1"/>
  <c r="CN94" i="39"/>
  <c r="GJ94" i="39" s="1"/>
  <c r="GX94" i="39" s="1"/>
  <c r="HD94" i="39" s="1"/>
  <c r="CN93" i="39"/>
  <c r="GJ93" i="39" s="1"/>
  <c r="GX93" i="39" s="1"/>
  <c r="HD93" i="39" s="1"/>
  <c r="CN92" i="39"/>
  <c r="GJ92" i="39" s="1"/>
  <c r="GX92" i="39" s="1"/>
  <c r="HD92" i="39" s="1"/>
  <c r="CN91" i="39"/>
  <c r="GJ91" i="39" s="1"/>
  <c r="GX91" i="39" s="1"/>
  <c r="HD91" i="39" s="1"/>
  <c r="CN90" i="39"/>
  <c r="GJ90" i="39" s="1"/>
  <c r="GX90" i="39" s="1"/>
  <c r="HD90" i="39" s="1"/>
  <c r="CN89" i="39"/>
  <c r="GJ89" i="39" s="1"/>
  <c r="GX89" i="39" s="1"/>
  <c r="HD89" i="39" s="1"/>
  <c r="CN88" i="39"/>
  <c r="GJ88" i="39" s="1"/>
  <c r="GX88" i="39" s="1"/>
  <c r="HD88" i="39" s="1"/>
  <c r="CN87" i="39"/>
  <c r="GJ87" i="39" s="1"/>
  <c r="GX87" i="39" s="1"/>
  <c r="HD87" i="39" s="1"/>
  <c r="CN86" i="39"/>
  <c r="GJ86" i="39" s="1"/>
  <c r="GX86" i="39" s="1"/>
  <c r="HD86" i="39" s="1"/>
  <c r="CN85" i="39"/>
  <c r="GJ85" i="39" s="1"/>
  <c r="GX85" i="39" s="1"/>
  <c r="HD85" i="39" s="1"/>
  <c r="CN84" i="39"/>
  <c r="GJ84" i="39" s="1"/>
  <c r="GX84" i="39" s="1"/>
  <c r="HD84" i="39" s="1"/>
  <c r="CN83" i="39"/>
  <c r="GJ83" i="39" s="1"/>
  <c r="GX83" i="39" s="1"/>
  <c r="HD83" i="39" s="1"/>
  <c r="CN82" i="39"/>
  <c r="GJ82" i="39" s="1"/>
  <c r="GX82" i="39" s="1"/>
  <c r="HD82" i="39" s="1"/>
  <c r="CN81" i="39"/>
  <c r="GJ81" i="39" s="1"/>
  <c r="GX81" i="39" s="1"/>
  <c r="HD81" i="39" s="1"/>
  <c r="CN80" i="39"/>
  <c r="GJ80" i="39" s="1"/>
  <c r="GX80" i="39" s="1"/>
  <c r="HD80" i="39" s="1"/>
  <c r="CN79" i="39"/>
  <c r="GJ79" i="39" s="1"/>
  <c r="GX79" i="39" s="1"/>
  <c r="HD79" i="39" s="1"/>
  <c r="CN78" i="39"/>
  <c r="GJ78" i="39" s="1"/>
  <c r="GX78" i="39" s="1"/>
  <c r="HD78" i="39" s="1"/>
  <c r="CN77" i="39"/>
  <c r="GJ77" i="39" s="1"/>
  <c r="GX77" i="39" s="1"/>
  <c r="HD77" i="39" s="1"/>
  <c r="CN76" i="39"/>
  <c r="GJ76" i="39" s="1"/>
  <c r="GX76" i="39" s="1"/>
  <c r="HD76" i="39" s="1"/>
  <c r="CN75" i="39"/>
  <c r="GJ75" i="39" s="1"/>
  <c r="GX75" i="39" s="1"/>
  <c r="HD75" i="39" s="1"/>
  <c r="CN74" i="39"/>
  <c r="GJ74" i="39" s="1"/>
  <c r="GX74" i="39" s="1"/>
  <c r="HD74" i="39" s="1"/>
  <c r="CN73" i="39"/>
  <c r="GJ73" i="39" s="1"/>
  <c r="GX73" i="39" s="1"/>
  <c r="HD73" i="39" s="1"/>
  <c r="CN72" i="39"/>
  <c r="GJ72" i="39" s="1"/>
  <c r="GX72" i="39" s="1"/>
  <c r="HD72" i="39" s="1"/>
  <c r="CN71" i="39"/>
  <c r="GJ71" i="39" s="1"/>
  <c r="GX71" i="39" s="1"/>
  <c r="HD71" i="39" s="1"/>
  <c r="CN70" i="39"/>
  <c r="GJ70" i="39" s="1"/>
  <c r="GX70" i="39" s="1"/>
  <c r="HD70" i="39" s="1"/>
  <c r="CN69" i="39"/>
  <c r="GJ69" i="39" s="1"/>
  <c r="GX69" i="39" s="1"/>
  <c r="HD69" i="39" s="1"/>
  <c r="CN68" i="39"/>
  <c r="GJ68" i="39" s="1"/>
  <c r="GX68" i="39" s="1"/>
  <c r="HD68" i="39" s="1"/>
  <c r="CN67" i="39"/>
  <c r="GJ67" i="39" s="1"/>
  <c r="GX67" i="39" s="1"/>
  <c r="HD67" i="39" s="1"/>
  <c r="CN66" i="39"/>
  <c r="GJ66" i="39" s="1"/>
  <c r="GX66" i="39" s="1"/>
  <c r="HD66" i="39" s="1"/>
  <c r="CN65" i="39"/>
  <c r="GJ65" i="39" s="1"/>
  <c r="GX65" i="39" s="1"/>
  <c r="HD65" i="39" s="1"/>
  <c r="CN64" i="39"/>
  <c r="GJ64" i="39" s="1"/>
  <c r="GX64" i="39" s="1"/>
  <c r="HD64" i="39" s="1"/>
  <c r="CN63" i="39"/>
  <c r="GJ63" i="39" s="1"/>
  <c r="GX63" i="39" s="1"/>
  <c r="HD63" i="39" s="1"/>
  <c r="CN62" i="39"/>
  <c r="GJ62" i="39" s="1"/>
  <c r="GX62" i="39" s="1"/>
  <c r="HD62" i="39" s="1"/>
  <c r="CN61" i="39"/>
  <c r="GJ61" i="39" s="1"/>
  <c r="GX61" i="39" s="1"/>
  <c r="HD61" i="39" s="1"/>
  <c r="CN60" i="39"/>
  <c r="GJ60" i="39" s="1"/>
  <c r="GX60" i="39" s="1"/>
  <c r="HD60" i="39" s="1"/>
  <c r="CN59" i="39"/>
  <c r="GJ59" i="39" s="1"/>
  <c r="GX59" i="39" s="1"/>
  <c r="HD59" i="39" s="1"/>
  <c r="CN58" i="39"/>
  <c r="GJ58" i="39" s="1"/>
  <c r="GX58" i="39" s="1"/>
  <c r="HD58" i="39" s="1"/>
  <c r="CN57" i="39"/>
  <c r="GJ57" i="39" s="1"/>
  <c r="GX57" i="39" s="1"/>
  <c r="HD57" i="39" s="1"/>
  <c r="CN56" i="39"/>
  <c r="GJ56" i="39" s="1"/>
  <c r="GX56" i="39" s="1"/>
  <c r="HD56" i="39" s="1"/>
  <c r="CN55" i="39"/>
  <c r="GJ55" i="39" s="1"/>
  <c r="GX55" i="39" s="1"/>
  <c r="HD55" i="39" s="1"/>
  <c r="CN54" i="39"/>
  <c r="GJ54" i="39" s="1"/>
  <c r="GX54" i="39" s="1"/>
  <c r="HD54" i="39" s="1"/>
  <c r="CN53" i="39"/>
  <c r="GJ53" i="39" s="1"/>
  <c r="GX53" i="39" s="1"/>
  <c r="HD53" i="39" s="1"/>
  <c r="CN52" i="39"/>
  <c r="GJ52" i="39" s="1"/>
  <c r="GX52" i="39" s="1"/>
  <c r="HD52" i="39" s="1"/>
  <c r="CN51" i="39"/>
  <c r="GJ51" i="39" s="1"/>
  <c r="GX51" i="39" s="1"/>
  <c r="HD51" i="39" s="1"/>
  <c r="CN50" i="39"/>
  <c r="GJ50" i="39" s="1"/>
  <c r="GX50" i="39" s="1"/>
  <c r="HD50" i="39" s="1"/>
  <c r="CN49" i="39"/>
  <c r="GJ49" i="39" s="1"/>
  <c r="GX49" i="39" s="1"/>
  <c r="HD49" i="39" s="1"/>
  <c r="CN48" i="39"/>
  <c r="GJ48" i="39" s="1"/>
  <c r="GX48" i="39" s="1"/>
  <c r="HD48" i="39" s="1"/>
  <c r="CN47" i="39"/>
  <c r="GJ47" i="39" s="1"/>
  <c r="GX47" i="39" s="1"/>
  <c r="HD47" i="39" s="1"/>
  <c r="CN46" i="39"/>
  <c r="GJ46" i="39" s="1"/>
  <c r="GX46" i="39" s="1"/>
  <c r="HD46" i="39" s="1"/>
  <c r="CN45" i="39"/>
  <c r="GJ45" i="39" s="1"/>
  <c r="GX45" i="39" s="1"/>
  <c r="HD45" i="39" s="1"/>
  <c r="CN44" i="39"/>
  <c r="GJ44" i="39" s="1"/>
  <c r="GX44" i="39" s="1"/>
  <c r="HD44" i="39" s="1"/>
  <c r="CN43" i="39"/>
  <c r="GJ43" i="39" s="1"/>
  <c r="GX43" i="39" s="1"/>
  <c r="HD43" i="39" s="1"/>
  <c r="CN42" i="39"/>
  <c r="GJ42" i="39" s="1"/>
  <c r="GX42" i="39" s="1"/>
  <c r="HD42" i="39" s="1"/>
  <c r="CN41" i="39"/>
  <c r="GJ41" i="39" s="1"/>
  <c r="GX41" i="39" s="1"/>
  <c r="HD41" i="39" s="1"/>
  <c r="CN40" i="39"/>
  <c r="GJ40" i="39" s="1"/>
  <c r="GX40" i="39" s="1"/>
  <c r="HD40" i="39" s="1"/>
  <c r="CN39" i="39"/>
  <c r="GJ39" i="39" s="1"/>
  <c r="GX39" i="39" s="1"/>
  <c r="HD39" i="39" s="1"/>
  <c r="CN38" i="39"/>
  <c r="GJ38" i="39" s="1"/>
  <c r="GX38" i="39" s="1"/>
  <c r="HD38" i="39" s="1"/>
  <c r="CN37" i="39"/>
  <c r="GJ37" i="39" s="1"/>
  <c r="GX37" i="39" s="1"/>
  <c r="HD37" i="39" s="1"/>
  <c r="CN36" i="39"/>
  <c r="GJ36" i="39" s="1"/>
  <c r="GX36" i="39" s="1"/>
  <c r="HD36" i="39" s="1"/>
  <c r="CN35" i="39"/>
  <c r="GJ35" i="39" s="1"/>
  <c r="GX35" i="39" s="1"/>
  <c r="HD35" i="39" s="1"/>
  <c r="CN34" i="39"/>
  <c r="GJ34" i="39" s="1"/>
  <c r="GX34" i="39" s="1"/>
  <c r="HD34" i="39" s="1"/>
  <c r="CN33" i="39"/>
  <c r="GJ33" i="39" s="1"/>
  <c r="GX33" i="39" s="1"/>
  <c r="HD33" i="39" s="1"/>
  <c r="CN32" i="39"/>
  <c r="GJ32" i="39" s="1"/>
  <c r="GX32" i="39" s="1"/>
  <c r="HD32" i="39" s="1"/>
  <c r="CN31" i="39"/>
  <c r="GJ31" i="39" s="1"/>
  <c r="GX31" i="39" s="1"/>
  <c r="HD31" i="39" s="1"/>
  <c r="CN30" i="39"/>
  <c r="GJ30" i="39" s="1"/>
  <c r="GX30" i="39" s="1"/>
  <c r="HD30" i="39" s="1"/>
  <c r="CN29" i="39"/>
  <c r="GJ29" i="39" s="1"/>
  <c r="GX29" i="39" s="1"/>
  <c r="HD29" i="39" s="1"/>
  <c r="CN28" i="39"/>
  <c r="GJ28" i="39" s="1"/>
  <c r="GX28" i="39" s="1"/>
  <c r="HD28" i="39" s="1"/>
  <c r="CN27" i="39"/>
  <c r="GJ27" i="39" s="1"/>
  <c r="GX27" i="39" s="1"/>
  <c r="HD27" i="39" s="1"/>
  <c r="CN26" i="39"/>
  <c r="GJ26" i="39" s="1"/>
  <c r="GX26" i="39" s="1"/>
  <c r="HD26" i="39" s="1"/>
  <c r="CN25" i="39"/>
  <c r="GJ25" i="39" s="1"/>
  <c r="GX25" i="39" s="1"/>
  <c r="HD25" i="39" s="1"/>
  <c r="CN24" i="39"/>
  <c r="GJ24" i="39" s="1"/>
  <c r="GX24" i="39" s="1"/>
  <c r="HD24" i="39" s="1"/>
  <c r="CN23" i="39"/>
  <c r="GJ23" i="39" s="1"/>
  <c r="GX23" i="39" s="1"/>
  <c r="HD23" i="39" s="1"/>
  <c r="CN22" i="39"/>
  <c r="GJ22" i="39" s="1"/>
  <c r="GX22" i="39" s="1"/>
  <c r="HD22" i="39" s="1"/>
  <c r="CN21" i="39"/>
  <c r="GJ21" i="39" s="1"/>
  <c r="GX21" i="39" s="1"/>
  <c r="HD21" i="39" s="1"/>
  <c r="CN20" i="39"/>
  <c r="GJ20" i="39" s="1"/>
  <c r="GX20" i="39" s="1"/>
  <c r="HD20" i="39" s="1"/>
  <c r="CN19" i="39"/>
  <c r="GJ19" i="39" s="1"/>
  <c r="GX19" i="39" s="1"/>
  <c r="HD19" i="39" s="1"/>
  <c r="CN18" i="39"/>
  <c r="GJ18" i="39" s="1"/>
  <c r="GX18" i="39" s="1"/>
  <c r="HD18" i="39" s="1"/>
  <c r="CN17" i="39"/>
  <c r="GJ17" i="39" s="1"/>
  <c r="GX17" i="39" s="1"/>
  <c r="HD17" i="39" s="1"/>
  <c r="CN16" i="39"/>
  <c r="GJ16" i="39" s="1"/>
  <c r="GX16" i="39" s="1"/>
  <c r="HD16" i="39" s="1"/>
  <c r="CN15" i="39"/>
  <c r="GJ15" i="39" s="1"/>
  <c r="GX15" i="39" s="1"/>
  <c r="HD15" i="39" s="1"/>
  <c r="CN14" i="39"/>
  <c r="GJ14" i="39" s="1"/>
  <c r="GX14" i="39" s="1"/>
  <c r="HD14" i="39" s="1"/>
  <c r="CN13" i="39"/>
  <c r="GJ13" i="39" s="1"/>
  <c r="GX13" i="39" s="1"/>
  <c r="HD13" i="39" s="1"/>
  <c r="GB10" i="39" l="1"/>
  <c r="C41" i="10" l="1"/>
  <c r="C42" i="10"/>
  <c r="C43" i="10"/>
  <c r="B45" i="10"/>
  <c r="B44" i="10"/>
  <c r="C40" i="10"/>
  <c r="B44" i="23"/>
  <c r="B43" i="23"/>
  <c r="B41" i="24"/>
  <c r="B40" i="24"/>
  <c r="B40" i="6"/>
  <c r="B39" i="6"/>
  <c r="B41" i="7"/>
  <c r="B40" i="7"/>
  <c r="C37" i="7"/>
  <c r="C38" i="7"/>
  <c r="C39" i="7"/>
  <c r="C36" i="7"/>
  <c r="C36" i="6"/>
  <c r="C37" i="6"/>
  <c r="C38" i="6"/>
  <c r="C35" i="6"/>
  <c r="C40" i="23"/>
  <c r="C41" i="23"/>
  <c r="C42" i="23"/>
  <c r="C39" i="23"/>
  <c r="C37" i="24"/>
  <c r="C38" i="24"/>
  <c r="C39" i="24"/>
  <c r="C36" i="24"/>
  <c r="GB9" i="39" l="1"/>
  <c r="GB8" i="39"/>
  <c r="D38" i="32" l="1"/>
  <c r="DH7" i="39" l="1"/>
  <c r="DK7" i="39" s="1"/>
  <c r="DH8" i="39" l="1"/>
  <c r="DI7" i="39"/>
  <c r="DL5" i="39"/>
  <c r="DL7" i="39" s="1"/>
  <c r="AN216" i="39" l="1"/>
  <c r="AN215" i="39"/>
  <c r="AN214" i="39"/>
  <c r="AN213" i="39"/>
  <c r="AN212" i="39"/>
  <c r="AN211" i="39"/>
  <c r="AN210" i="39"/>
  <c r="AN209" i="39"/>
  <c r="AN208" i="39"/>
  <c r="AN207" i="39"/>
  <c r="AN206" i="39"/>
  <c r="AN205" i="39"/>
  <c r="AN204" i="39"/>
  <c r="AN203" i="39"/>
  <c r="AN202" i="39"/>
  <c r="AN201" i="39"/>
  <c r="AN200" i="39"/>
  <c r="AN199" i="39"/>
  <c r="AN198" i="39"/>
  <c r="AN197" i="39"/>
  <c r="AN196" i="39"/>
  <c r="AN195" i="39"/>
  <c r="AN194" i="39"/>
  <c r="AN193" i="39"/>
  <c r="AN192" i="39"/>
  <c r="AN191" i="39"/>
  <c r="AN190" i="39"/>
  <c r="AN189" i="39"/>
  <c r="AN188" i="39"/>
  <c r="AN187" i="39"/>
  <c r="AN186" i="39"/>
  <c r="AN185" i="39"/>
  <c r="AN184" i="39"/>
  <c r="AN183" i="39"/>
  <c r="AN182" i="39"/>
  <c r="AN181" i="39"/>
  <c r="AN180" i="39"/>
  <c r="AN179" i="39"/>
  <c r="AN178" i="39"/>
  <c r="AN177" i="39"/>
  <c r="AN176" i="39"/>
  <c r="AN175" i="39"/>
  <c r="AN174" i="39"/>
  <c r="AN173" i="39"/>
  <c r="AN172" i="39"/>
  <c r="AN171" i="39"/>
  <c r="AN170" i="39"/>
  <c r="AN169" i="39"/>
  <c r="AN168" i="39"/>
  <c r="AN167" i="39"/>
  <c r="AN166" i="39"/>
  <c r="AN165" i="39"/>
  <c r="AN164" i="39"/>
  <c r="AN163" i="39"/>
  <c r="AN162" i="39"/>
  <c r="AN161" i="39"/>
  <c r="AN160" i="39"/>
  <c r="AN159" i="39"/>
  <c r="AN158" i="39"/>
  <c r="AN157" i="39"/>
  <c r="AN156" i="39"/>
  <c r="AN155" i="39"/>
  <c r="AN154" i="39"/>
  <c r="AN153" i="39"/>
  <c r="AN152" i="39"/>
  <c r="AN151" i="39"/>
  <c r="AN150" i="39"/>
  <c r="AN149" i="39"/>
  <c r="AN148" i="39"/>
  <c r="AN147" i="39"/>
  <c r="AN146" i="39"/>
  <c r="AN145" i="39"/>
  <c r="AN144" i="39"/>
  <c r="AN143" i="39"/>
  <c r="AN142" i="39"/>
  <c r="AN141" i="39"/>
  <c r="AN140" i="39"/>
  <c r="AN139" i="39"/>
  <c r="AN138" i="39"/>
  <c r="AN137" i="39"/>
  <c r="AN136" i="39"/>
  <c r="AN135" i="39"/>
  <c r="AN134" i="39"/>
  <c r="AN133" i="39"/>
  <c r="AN132" i="39"/>
  <c r="AN131" i="39"/>
  <c r="AN130" i="39"/>
  <c r="AN129" i="39"/>
  <c r="AN128" i="39"/>
  <c r="AN127" i="39"/>
  <c r="AN126" i="39"/>
  <c r="AN125" i="39"/>
  <c r="AN124" i="39"/>
  <c r="AN123" i="39"/>
  <c r="AN122" i="39"/>
  <c r="AN121" i="39"/>
  <c r="AN120" i="39"/>
  <c r="AN119" i="39"/>
  <c r="AN118" i="39"/>
  <c r="AN117" i="39"/>
  <c r="AN116" i="39"/>
  <c r="AN115" i="39"/>
  <c r="AN114" i="39"/>
  <c r="AN113" i="39"/>
  <c r="AN112" i="39"/>
  <c r="AN111" i="39"/>
  <c r="AN110" i="39"/>
  <c r="AN109" i="39"/>
  <c r="AN108" i="39"/>
  <c r="AN107" i="39"/>
  <c r="AN106" i="39"/>
  <c r="AN105" i="39"/>
  <c r="AN104" i="39"/>
  <c r="AN103" i="39"/>
  <c r="AN102" i="39"/>
  <c r="AN101" i="39"/>
  <c r="AN100" i="39"/>
  <c r="AN99" i="39"/>
  <c r="AN98" i="39"/>
  <c r="AN97" i="39"/>
  <c r="AN96" i="39"/>
  <c r="AN95" i="39"/>
  <c r="AN94" i="39"/>
  <c r="AN93" i="39"/>
  <c r="AN92" i="39"/>
  <c r="AN91" i="39"/>
  <c r="AN90" i="39"/>
  <c r="AN89" i="39"/>
  <c r="AN88" i="39"/>
  <c r="AN87" i="39"/>
  <c r="AN86" i="39"/>
  <c r="AN85" i="39"/>
  <c r="AN84" i="39"/>
  <c r="AN83" i="39"/>
  <c r="AN82" i="39"/>
  <c r="AN81" i="39"/>
  <c r="AN80" i="39"/>
  <c r="AN79" i="39"/>
  <c r="AN78" i="39"/>
  <c r="AN77" i="39"/>
  <c r="AN76" i="39"/>
  <c r="AN75" i="39"/>
  <c r="AN74" i="39"/>
  <c r="AN73" i="39"/>
  <c r="AN72" i="39"/>
  <c r="AN71" i="39"/>
  <c r="AN70" i="39"/>
  <c r="AN69" i="39"/>
  <c r="AN68" i="39"/>
  <c r="AN67" i="39"/>
  <c r="AN66" i="39"/>
  <c r="AN65" i="39"/>
  <c r="AN64" i="39"/>
  <c r="AN63" i="39"/>
  <c r="AN62" i="39"/>
  <c r="AN61" i="39"/>
  <c r="AN60" i="39"/>
  <c r="AN59" i="39"/>
  <c r="AN58" i="39"/>
  <c r="AN57" i="39"/>
  <c r="AN56" i="39"/>
  <c r="AN55" i="39"/>
  <c r="AN54" i="39"/>
  <c r="AN53" i="39"/>
  <c r="AN52" i="39"/>
  <c r="AN51" i="39"/>
  <c r="AN50" i="39"/>
  <c r="AN49" i="39"/>
  <c r="AN48" i="39"/>
  <c r="AN47" i="39"/>
  <c r="AN46" i="39"/>
  <c r="AN45" i="39"/>
  <c r="AN44" i="39"/>
  <c r="AN43" i="39"/>
  <c r="AN42" i="39"/>
  <c r="AN41" i="39"/>
  <c r="AN40" i="39"/>
  <c r="AN39" i="39"/>
  <c r="AN38" i="39"/>
  <c r="AN37" i="39"/>
  <c r="AN36" i="39"/>
  <c r="AN35" i="39"/>
  <c r="AN34" i="39"/>
  <c r="AN33" i="39"/>
  <c r="AN32" i="39"/>
  <c r="AN31" i="39"/>
  <c r="AN30" i="39"/>
  <c r="AN29" i="39"/>
  <c r="AN28" i="39"/>
  <c r="AN27" i="39"/>
  <c r="AN26" i="39"/>
  <c r="AN25" i="39"/>
  <c r="AN24" i="39"/>
  <c r="AN23" i="39"/>
  <c r="AN22" i="39"/>
  <c r="AN21" i="39"/>
  <c r="AN20" i="39"/>
  <c r="AN19" i="39"/>
  <c r="AN18" i="39"/>
  <c r="AN17" i="39"/>
  <c r="AN16" i="39"/>
  <c r="AN15" i="39"/>
  <c r="AN14" i="39"/>
  <c r="AN13" i="39"/>
  <c r="AN12" i="39"/>
  <c r="AN11" i="39"/>
  <c r="AN10" i="39"/>
  <c r="AN9" i="39"/>
  <c r="AN8" i="39"/>
  <c r="AN7" i="39"/>
  <c r="AN2" i="39" l="1"/>
  <c r="FO14" i="39" l="1"/>
  <c r="AN217" i="39"/>
  <c r="AT95" i="39"/>
  <c r="FV2" i="39"/>
  <c r="EY211" i="39"/>
  <c r="ER222" i="39" l="1"/>
  <c r="ER221" i="39"/>
  <c r="ER223" i="39"/>
  <c r="ER219" i="39"/>
  <c r="ER220" i="39"/>
  <c r="FO216" i="39"/>
  <c r="FN216" i="39"/>
  <c r="FO215" i="39"/>
  <c r="FN215" i="39"/>
  <c r="FO214" i="39"/>
  <c r="FN214" i="39"/>
  <c r="FO213" i="39"/>
  <c r="FN213" i="39"/>
  <c r="FO212" i="39"/>
  <c r="FN212" i="39"/>
  <c r="FO211" i="39"/>
  <c r="FN211" i="39"/>
  <c r="FO210" i="39"/>
  <c r="FN210" i="39"/>
  <c r="FO209" i="39"/>
  <c r="FN209" i="39"/>
  <c r="FO208" i="39"/>
  <c r="FN208" i="39"/>
  <c r="FO207" i="39"/>
  <c r="FN207" i="39"/>
  <c r="FO206" i="39"/>
  <c r="FN206" i="39"/>
  <c r="FO205" i="39"/>
  <c r="FN205" i="39"/>
  <c r="FO204" i="39"/>
  <c r="FN204" i="39"/>
  <c r="FO203" i="39"/>
  <c r="FN203" i="39"/>
  <c r="FO202" i="39"/>
  <c r="FN202" i="39"/>
  <c r="FO201" i="39"/>
  <c r="FN201" i="39"/>
  <c r="FO200" i="39"/>
  <c r="FN200" i="39"/>
  <c r="FO199" i="39"/>
  <c r="FN199" i="39"/>
  <c r="FO198" i="39"/>
  <c r="FN198" i="39"/>
  <c r="FO197" i="39"/>
  <c r="FN197" i="39"/>
  <c r="FO196" i="39"/>
  <c r="FN196" i="39"/>
  <c r="FO195" i="39"/>
  <c r="FN195" i="39"/>
  <c r="FO194" i="39"/>
  <c r="FN194" i="39"/>
  <c r="FO193" i="39"/>
  <c r="FN193" i="39"/>
  <c r="FO192" i="39"/>
  <c r="FN192" i="39"/>
  <c r="FO191" i="39"/>
  <c r="FN191" i="39"/>
  <c r="FO190" i="39"/>
  <c r="FN190" i="39"/>
  <c r="FO189" i="39"/>
  <c r="FN189" i="39"/>
  <c r="FO188" i="39"/>
  <c r="FN188" i="39"/>
  <c r="FO187" i="39"/>
  <c r="FN187" i="39"/>
  <c r="FO186" i="39"/>
  <c r="FN186" i="39"/>
  <c r="FO185" i="39"/>
  <c r="FN185" i="39"/>
  <c r="FO184" i="39"/>
  <c r="FN184" i="39"/>
  <c r="FO183" i="39"/>
  <c r="FN183" i="39"/>
  <c r="FO182" i="39"/>
  <c r="FN182" i="39"/>
  <c r="FO181" i="39"/>
  <c r="FN181" i="39"/>
  <c r="FO180" i="39"/>
  <c r="FN180" i="39"/>
  <c r="FO179" i="39"/>
  <c r="FN179" i="39"/>
  <c r="FO178" i="39"/>
  <c r="FN178" i="39"/>
  <c r="FO177" i="39"/>
  <c r="FN177" i="39"/>
  <c r="FO176" i="39"/>
  <c r="FN176" i="39"/>
  <c r="FO175" i="39"/>
  <c r="FN175" i="39"/>
  <c r="FO174" i="39"/>
  <c r="FN174" i="39"/>
  <c r="FO173" i="39"/>
  <c r="FN173" i="39"/>
  <c r="FO172" i="39"/>
  <c r="FN172" i="39"/>
  <c r="FO171" i="39"/>
  <c r="FN171" i="39"/>
  <c r="FO170" i="39"/>
  <c r="FN170" i="39"/>
  <c r="FO169" i="39"/>
  <c r="FN169" i="39"/>
  <c r="FO168" i="39"/>
  <c r="FN168" i="39"/>
  <c r="FO167" i="39"/>
  <c r="FN167" i="39"/>
  <c r="FO166" i="39"/>
  <c r="FN166" i="39"/>
  <c r="FO165" i="39"/>
  <c r="FN165" i="39"/>
  <c r="FO164" i="39"/>
  <c r="FN164" i="39"/>
  <c r="FO163" i="39"/>
  <c r="FN163" i="39"/>
  <c r="FO162" i="39"/>
  <c r="FN162" i="39"/>
  <c r="FO161" i="39"/>
  <c r="FN161" i="39"/>
  <c r="FO160" i="39"/>
  <c r="FN160" i="39"/>
  <c r="FO159" i="39"/>
  <c r="FN159" i="39"/>
  <c r="FO158" i="39"/>
  <c r="FN158" i="39"/>
  <c r="FO157" i="39"/>
  <c r="FN157" i="39"/>
  <c r="FO156" i="39"/>
  <c r="FN156" i="39"/>
  <c r="FO155" i="39"/>
  <c r="FN155" i="39"/>
  <c r="FO154" i="39"/>
  <c r="FN154" i="39"/>
  <c r="FO153" i="39"/>
  <c r="FN153" i="39"/>
  <c r="FO152" i="39"/>
  <c r="FN152" i="39"/>
  <c r="FO151" i="39"/>
  <c r="FN151" i="39"/>
  <c r="FO150" i="39"/>
  <c r="FN150" i="39"/>
  <c r="FO149" i="39"/>
  <c r="FN149" i="39"/>
  <c r="FO148" i="39"/>
  <c r="FN148" i="39"/>
  <c r="FO147" i="39"/>
  <c r="FN147" i="39"/>
  <c r="FO146" i="39"/>
  <c r="FN146" i="39"/>
  <c r="FO145" i="39"/>
  <c r="FN145" i="39"/>
  <c r="FO144" i="39"/>
  <c r="FN144" i="39"/>
  <c r="FO143" i="39"/>
  <c r="FN143" i="39"/>
  <c r="FO142" i="39"/>
  <c r="FN142" i="39"/>
  <c r="FO141" i="39"/>
  <c r="FN141" i="39"/>
  <c r="FO140" i="39"/>
  <c r="FN140" i="39"/>
  <c r="FO139" i="39"/>
  <c r="FN139" i="39"/>
  <c r="FO138" i="39"/>
  <c r="FN138" i="39"/>
  <c r="FO137" i="39"/>
  <c r="FN137" i="39"/>
  <c r="FO136" i="39"/>
  <c r="FN136" i="39"/>
  <c r="FO135" i="39"/>
  <c r="FN135" i="39"/>
  <c r="FO134" i="39"/>
  <c r="FN134" i="39"/>
  <c r="FO133" i="39"/>
  <c r="FN133" i="39"/>
  <c r="FO132" i="39"/>
  <c r="FN132" i="39"/>
  <c r="FO131" i="39"/>
  <c r="FN131" i="39"/>
  <c r="FO130" i="39"/>
  <c r="FN130" i="39"/>
  <c r="FO129" i="39"/>
  <c r="FN129" i="39"/>
  <c r="FO128" i="39"/>
  <c r="FN128" i="39"/>
  <c r="FO127" i="39"/>
  <c r="FN127" i="39"/>
  <c r="FO126" i="39"/>
  <c r="FN126" i="39"/>
  <c r="FO125" i="39"/>
  <c r="FN125" i="39"/>
  <c r="FO124" i="39"/>
  <c r="FN124" i="39"/>
  <c r="FO123" i="39"/>
  <c r="FN123" i="39"/>
  <c r="FO122" i="39"/>
  <c r="FN122" i="39"/>
  <c r="FO121" i="39"/>
  <c r="FN121" i="39"/>
  <c r="FO120" i="39"/>
  <c r="FN120" i="39"/>
  <c r="FO119" i="39"/>
  <c r="FN119" i="39"/>
  <c r="FO118" i="39"/>
  <c r="FN118" i="39"/>
  <c r="FO117" i="39"/>
  <c r="FN117" i="39"/>
  <c r="FO116" i="39"/>
  <c r="FN116" i="39"/>
  <c r="FO115" i="39"/>
  <c r="FN115" i="39"/>
  <c r="FO114" i="39"/>
  <c r="FN114" i="39"/>
  <c r="FO113" i="39"/>
  <c r="FN113" i="39"/>
  <c r="FO112" i="39"/>
  <c r="FN112" i="39"/>
  <c r="FO111" i="39"/>
  <c r="FN111" i="39"/>
  <c r="FO110" i="39"/>
  <c r="FN110" i="39"/>
  <c r="FO109" i="39"/>
  <c r="FN109" i="39"/>
  <c r="FO108" i="39"/>
  <c r="FN108" i="39"/>
  <c r="FO107" i="39"/>
  <c r="FN107" i="39"/>
  <c r="FO106" i="39"/>
  <c r="FN106" i="39"/>
  <c r="FO105" i="39"/>
  <c r="FN105" i="39"/>
  <c r="FO104" i="39"/>
  <c r="FN104" i="39"/>
  <c r="FO103" i="39"/>
  <c r="FN103" i="39"/>
  <c r="FO102" i="39"/>
  <c r="FN102" i="39"/>
  <c r="FO101" i="39"/>
  <c r="FN101" i="39"/>
  <c r="FO100" i="39"/>
  <c r="FN100" i="39"/>
  <c r="FO99" i="39"/>
  <c r="FN99" i="39"/>
  <c r="FO98" i="39"/>
  <c r="FN98" i="39"/>
  <c r="FO97" i="39"/>
  <c r="FN97" i="39"/>
  <c r="FO96" i="39"/>
  <c r="FN96" i="39"/>
  <c r="FO95" i="39"/>
  <c r="FN95" i="39"/>
  <c r="FO94" i="39"/>
  <c r="FN94" i="39"/>
  <c r="FO93" i="39"/>
  <c r="FN93" i="39"/>
  <c r="FO92" i="39"/>
  <c r="FN92" i="39"/>
  <c r="FO91" i="39"/>
  <c r="FN91" i="39"/>
  <c r="FO90" i="39"/>
  <c r="FN90" i="39"/>
  <c r="FO89" i="39"/>
  <c r="FN89" i="39"/>
  <c r="FO88" i="39"/>
  <c r="FN88" i="39"/>
  <c r="FO87" i="39"/>
  <c r="FN87" i="39"/>
  <c r="FO86" i="39"/>
  <c r="FN86" i="39"/>
  <c r="FO85" i="39"/>
  <c r="FN85" i="39"/>
  <c r="FO84" i="39"/>
  <c r="FN84" i="39"/>
  <c r="FO83" i="39"/>
  <c r="FN83" i="39"/>
  <c r="FO82" i="39"/>
  <c r="FN82" i="39"/>
  <c r="FO81" i="39"/>
  <c r="FN81" i="39"/>
  <c r="FO80" i="39"/>
  <c r="FN80" i="39"/>
  <c r="FO79" i="39"/>
  <c r="FN79" i="39"/>
  <c r="FO78" i="39"/>
  <c r="FN78" i="39"/>
  <c r="FO77" i="39"/>
  <c r="FN77" i="39"/>
  <c r="FO76" i="39"/>
  <c r="FN76" i="39"/>
  <c r="FO75" i="39"/>
  <c r="FN75" i="39"/>
  <c r="FO74" i="39"/>
  <c r="FN74" i="39"/>
  <c r="FO73" i="39"/>
  <c r="FN73" i="39"/>
  <c r="FO72" i="39"/>
  <c r="FN72" i="39"/>
  <c r="FO71" i="39"/>
  <c r="FN71" i="39"/>
  <c r="FO70" i="39"/>
  <c r="FN70" i="39"/>
  <c r="FO69" i="39"/>
  <c r="FN69" i="39"/>
  <c r="FO68" i="39"/>
  <c r="FN68" i="39"/>
  <c r="FO67" i="39"/>
  <c r="FN67" i="39"/>
  <c r="FO66" i="39"/>
  <c r="FN66" i="39"/>
  <c r="FO65" i="39"/>
  <c r="FN65" i="39"/>
  <c r="FO64" i="39"/>
  <c r="FN64" i="39"/>
  <c r="FO63" i="39"/>
  <c r="FN63" i="39"/>
  <c r="FO62" i="39"/>
  <c r="FN62" i="39"/>
  <c r="FO61" i="39"/>
  <c r="FN61" i="39"/>
  <c r="FO60" i="39"/>
  <c r="FN60" i="39"/>
  <c r="FO59" i="39"/>
  <c r="FN59" i="39"/>
  <c r="FO58" i="39"/>
  <c r="FN58" i="39"/>
  <c r="FO57" i="39"/>
  <c r="FN57" i="39"/>
  <c r="FO56" i="39"/>
  <c r="FN56" i="39"/>
  <c r="FO55" i="39"/>
  <c r="FN55" i="39"/>
  <c r="FO54" i="39"/>
  <c r="FN54" i="39"/>
  <c r="FO53" i="39"/>
  <c r="FN53" i="39"/>
  <c r="FO52" i="39"/>
  <c r="FN52" i="39"/>
  <c r="FO51" i="39"/>
  <c r="FN51" i="39"/>
  <c r="FO50" i="39"/>
  <c r="FN50" i="39"/>
  <c r="FO49" i="39"/>
  <c r="FN49" i="39"/>
  <c r="FO48" i="39"/>
  <c r="FN48" i="39"/>
  <c r="FO47" i="39"/>
  <c r="FN47" i="39"/>
  <c r="FO46" i="39"/>
  <c r="FN46" i="39"/>
  <c r="FO45" i="39"/>
  <c r="FN45" i="39"/>
  <c r="FO44" i="39"/>
  <c r="FN44" i="39"/>
  <c r="FO43" i="39"/>
  <c r="FN43" i="39"/>
  <c r="FO42" i="39"/>
  <c r="FN42" i="39"/>
  <c r="FO41" i="39"/>
  <c r="FN41" i="39"/>
  <c r="FO40" i="39"/>
  <c r="FN40" i="39"/>
  <c r="FO39" i="39"/>
  <c r="FN39" i="39"/>
  <c r="FO38" i="39"/>
  <c r="FN38" i="39"/>
  <c r="FO37" i="39"/>
  <c r="FN37" i="39"/>
  <c r="FO36" i="39"/>
  <c r="FN36" i="39"/>
  <c r="FO35" i="39"/>
  <c r="FN35" i="39"/>
  <c r="FO34" i="39"/>
  <c r="FN34" i="39"/>
  <c r="FO33" i="39"/>
  <c r="FN33" i="39"/>
  <c r="FO32" i="39"/>
  <c r="FN32" i="39"/>
  <c r="FO31" i="39"/>
  <c r="FN31" i="39"/>
  <c r="FO30" i="39"/>
  <c r="FN30" i="39"/>
  <c r="FO29" i="39"/>
  <c r="FN29" i="39"/>
  <c r="FO28" i="39"/>
  <c r="FN28" i="39"/>
  <c r="FO27" i="39"/>
  <c r="FN27" i="39"/>
  <c r="FO26" i="39"/>
  <c r="FN26" i="39"/>
  <c r="FO25" i="39"/>
  <c r="FN25" i="39"/>
  <c r="FO24" i="39"/>
  <c r="FN24" i="39"/>
  <c r="FO23" i="39"/>
  <c r="FN23" i="39"/>
  <c r="FO22" i="39"/>
  <c r="FN22" i="39"/>
  <c r="FO21" i="39"/>
  <c r="FN21" i="39"/>
  <c r="FO20" i="39"/>
  <c r="FN20" i="39"/>
  <c r="FO19" i="39"/>
  <c r="FN19" i="39"/>
  <c r="FO18" i="39"/>
  <c r="FN18" i="39"/>
  <c r="FO17" i="39"/>
  <c r="FN17" i="39"/>
  <c r="FO16" i="39"/>
  <c r="FN16" i="39"/>
  <c r="FO15" i="39"/>
  <c r="FN15" i="39"/>
  <c r="FN14" i="39"/>
  <c r="FO13" i="39"/>
  <c r="FN13" i="39"/>
  <c r="ER224" i="39" l="1"/>
  <c r="FO222" i="39"/>
  <c r="FO217" i="39"/>
  <c r="B26" i="41" l="1"/>
  <c r="B27" i="41" s="1"/>
  <c r="N21" i="41"/>
  <c r="J84" i="41"/>
  <c r="J83" i="41"/>
  <c r="J82" i="41"/>
  <c r="J81" i="41"/>
  <c r="J80" i="41"/>
  <c r="J79" i="41"/>
  <c r="J78" i="41"/>
  <c r="J77" i="41"/>
  <c r="J76" i="41"/>
  <c r="J75" i="41"/>
  <c r="J74" i="41"/>
  <c r="J73" i="41"/>
  <c r="J72" i="41"/>
  <c r="J71" i="41"/>
  <c r="J70" i="41"/>
  <c r="J69" i="41"/>
  <c r="J68" i="41"/>
  <c r="J67" i="41"/>
  <c r="J66" i="41"/>
  <c r="J65" i="41"/>
  <c r="J64" i="41"/>
  <c r="J63" i="41"/>
  <c r="J62" i="41"/>
  <c r="J61" i="41"/>
  <c r="J60" i="41"/>
  <c r="J59" i="41"/>
  <c r="J58" i="41"/>
  <c r="J57" i="41"/>
  <c r="J56" i="41"/>
  <c r="J55" i="41"/>
  <c r="J54" i="41"/>
  <c r="J53" i="41"/>
  <c r="J52" i="41"/>
  <c r="J51" i="41"/>
  <c r="J50" i="41"/>
  <c r="J49" i="41"/>
  <c r="J48" i="41"/>
  <c r="J47" i="41"/>
  <c r="J46" i="41"/>
  <c r="J45" i="41"/>
  <c r="J44" i="41"/>
  <c r="J43" i="41"/>
  <c r="J42" i="41"/>
  <c r="J41" i="41"/>
  <c r="J40" i="41"/>
  <c r="J39" i="41"/>
  <c r="J38" i="41"/>
  <c r="J37" i="41"/>
  <c r="J36" i="41"/>
  <c r="J35" i="41"/>
  <c r="J34" i="41"/>
  <c r="J33" i="41"/>
  <c r="J32" i="41"/>
  <c r="J31" i="41"/>
  <c r="J30" i="41"/>
  <c r="J29" i="41"/>
  <c r="N28" i="41"/>
  <c r="J28" i="41"/>
  <c r="J27" i="41"/>
  <c r="L26" i="41"/>
  <c r="J26" i="41"/>
  <c r="L25" i="41"/>
  <c r="J25" i="41"/>
  <c r="M28" i="41" s="1"/>
  <c r="B25" i="41"/>
  <c r="N23" i="41"/>
  <c r="O23" i="41" s="1"/>
  <c r="P23" i="41" s="1"/>
  <c r="Q23" i="41" s="1"/>
  <c r="R23" i="41" s="1"/>
  <c r="S23" i="41" s="1"/>
  <c r="T23" i="41" s="1"/>
  <c r="U23" i="41" s="1"/>
  <c r="V23" i="41" s="1"/>
  <c r="W23" i="41" s="1"/>
  <c r="X23" i="41" s="1"/>
  <c r="Y23" i="41" s="1"/>
  <c r="Z23" i="41" s="1"/>
  <c r="AA23" i="41" s="1"/>
  <c r="AB23" i="41" s="1"/>
  <c r="AC23" i="41" s="1"/>
  <c r="AD23" i="41" s="1"/>
  <c r="AE23" i="41" s="1"/>
  <c r="AF23" i="41" s="1"/>
  <c r="AG23" i="41" s="1"/>
  <c r="AH23" i="41" s="1"/>
  <c r="AI23" i="41" s="1"/>
  <c r="AJ23" i="41" s="1"/>
  <c r="AK23" i="41" s="1"/>
  <c r="AL23" i="41" s="1"/>
  <c r="AM23" i="41" s="1"/>
  <c r="AN23" i="41" s="1"/>
  <c r="AO23" i="41" s="1"/>
  <c r="AP23" i="41" s="1"/>
  <c r="AQ23" i="41" s="1"/>
  <c r="AR23" i="41" s="1"/>
  <c r="AS23" i="41" s="1"/>
  <c r="AT23" i="41" s="1"/>
  <c r="AU23" i="41" s="1"/>
  <c r="AV23" i="41" s="1"/>
  <c r="AW23" i="41" s="1"/>
  <c r="AX23" i="41" s="1"/>
  <c r="AY23" i="41" s="1"/>
  <c r="AZ23" i="41" s="1"/>
  <c r="BA23" i="41" s="1"/>
  <c r="BB23" i="41" s="1"/>
  <c r="BC23" i="41" s="1"/>
  <c r="BD23" i="41" s="1"/>
  <c r="BE23" i="41" s="1"/>
  <c r="BF23" i="41" s="1"/>
  <c r="BG23" i="41" s="1"/>
  <c r="BH23" i="41" s="1"/>
  <c r="BI23" i="41" s="1"/>
  <c r="BJ23" i="41" s="1"/>
  <c r="BK23" i="41" s="1"/>
  <c r="BL23" i="41" s="1"/>
  <c r="BM23" i="41" s="1"/>
  <c r="BN23" i="41" s="1"/>
  <c r="BO23" i="41" s="1"/>
  <c r="BP23" i="41" s="1"/>
  <c r="BQ23" i="41" s="1"/>
  <c r="BR23" i="41" s="1"/>
  <c r="BS23" i="41" s="1"/>
  <c r="BT23" i="41" s="1"/>
  <c r="M21" i="41"/>
  <c r="I4" i="41"/>
  <c r="D35" i="5"/>
  <c r="D36" i="5"/>
  <c r="O21" i="41" l="1"/>
  <c r="B28" i="41"/>
  <c r="B29" i="41" s="1"/>
  <c r="B30" i="41" s="1"/>
  <c r="B31" i="41" s="1"/>
  <c r="R21" i="41" l="1"/>
  <c r="Q21" i="41"/>
  <c r="P21" i="41"/>
  <c r="S21" i="41"/>
  <c r="B32" i="41"/>
  <c r="B33" i="41" s="1"/>
  <c r="B34" i="41" s="1"/>
  <c r="B35" i="41" s="1"/>
  <c r="B36" i="41" s="1"/>
  <c r="B37" i="41" s="1"/>
  <c r="B38" i="41" s="1"/>
  <c r="B39" i="41" s="1"/>
  <c r="B40" i="41" l="1"/>
  <c r="B41" i="41" s="1"/>
  <c r="T21" i="41"/>
  <c r="B42" i="41" l="1"/>
  <c r="B43" i="41" s="1"/>
  <c r="B44" i="41" s="1"/>
  <c r="U21" i="41"/>
  <c r="E22" i="8"/>
  <c r="E21" i="34"/>
  <c r="E20" i="20"/>
  <c r="B45" i="41" l="1"/>
  <c r="B46" i="41" s="1"/>
  <c r="V21" i="41"/>
  <c r="CK5" i="39"/>
  <c r="CO223" i="39" s="1"/>
  <c r="CO225" i="39" s="1"/>
  <c r="CQ225" i="39" s="1"/>
  <c r="B47" i="41" l="1"/>
  <c r="B48" i="41" s="1"/>
  <c r="B49" i="41" s="1"/>
  <c r="B50" i="41" s="1"/>
  <c r="B51" i="41" s="1"/>
  <c r="W21" i="41"/>
  <c r="B52" i="41" l="1"/>
  <c r="B53" i="41" s="1"/>
  <c r="X21" i="41"/>
  <c r="ES220" i="39"/>
  <c r="B54" i="41" l="1"/>
  <c r="B55" i="41" s="1"/>
  <c r="B56" i="41" s="1"/>
  <c r="Y21" i="41"/>
  <c r="F16" i="5"/>
  <c r="F16" i="44" s="1"/>
  <c r="B226" i="19"/>
  <c r="C226" i="19" s="1"/>
  <c r="D226" i="19" s="1"/>
  <c r="E226" i="19" s="1"/>
  <c r="F226" i="19" s="1"/>
  <c r="G226" i="19" s="1"/>
  <c r="H226" i="19" s="1"/>
  <c r="I226" i="19" s="1"/>
  <c r="J226" i="19" s="1"/>
  <c r="K226" i="19" s="1"/>
  <c r="L226" i="19" s="1"/>
  <c r="M226" i="19" s="1"/>
  <c r="N226" i="19" s="1"/>
  <c r="O226" i="19" s="1"/>
  <c r="P226" i="19" s="1"/>
  <c r="Q226" i="19" s="1"/>
  <c r="R226" i="19" s="1"/>
  <c r="S226" i="19" s="1"/>
  <c r="T226" i="19" s="1"/>
  <c r="U226" i="19" s="1"/>
  <c r="V226" i="19" s="1"/>
  <c r="W226" i="19" s="1"/>
  <c r="X226" i="19" s="1"/>
  <c r="Y226" i="19" s="1"/>
  <c r="Z226" i="19" s="1"/>
  <c r="AA226" i="19" s="1"/>
  <c r="AB226" i="19" s="1"/>
  <c r="AC226" i="19" s="1"/>
  <c r="AD226" i="19" s="1"/>
  <c r="AE226" i="19" s="1"/>
  <c r="AF226" i="19" s="1"/>
  <c r="AG226" i="19" s="1"/>
  <c r="AH226" i="19" s="1"/>
  <c r="AI226" i="19" s="1"/>
  <c r="ET216" i="39"/>
  <c r="ET215" i="39"/>
  <c r="ET214" i="39"/>
  <c r="ET213" i="39"/>
  <c r="ET212" i="39"/>
  <c r="ET211" i="39"/>
  <c r="ET210" i="39"/>
  <c r="ET209" i="39"/>
  <c r="ET208" i="39"/>
  <c r="ET207" i="39"/>
  <c r="ET206" i="39"/>
  <c r="ET205" i="39"/>
  <c r="ET204" i="39"/>
  <c r="ET203" i="39"/>
  <c r="ET202" i="39"/>
  <c r="ET201" i="39"/>
  <c r="ET200" i="39"/>
  <c r="ET199" i="39"/>
  <c r="ET198" i="39"/>
  <c r="ET197" i="39"/>
  <c r="ET196" i="39"/>
  <c r="ET195" i="39"/>
  <c r="ET194" i="39"/>
  <c r="ET193" i="39"/>
  <c r="ET192" i="39"/>
  <c r="ET191" i="39"/>
  <c r="ET190" i="39"/>
  <c r="ET189" i="39"/>
  <c r="ET188" i="39"/>
  <c r="ET187" i="39"/>
  <c r="ET186" i="39"/>
  <c r="ET185" i="39"/>
  <c r="ET184" i="39"/>
  <c r="ET183" i="39"/>
  <c r="ET182" i="39"/>
  <c r="ET181" i="39"/>
  <c r="ET180" i="39"/>
  <c r="ET179" i="39"/>
  <c r="ET178" i="39"/>
  <c r="ET177" i="39"/>
  <c r="ET176" i="39"/>
  <c r="ET175" i="39"/>
  <c r="ET174" i="39"/>
  <c r="ET173" i="39"/>
  <c r="ET172" i="39"/>
  <c r="ET171" i="39"/>
  <c r="ET170" i="39"/>
  <c r="ET169" i="39"/>
  <c r="ET168" i="39"/>
  <c r="ET167" i="39"/>
  <c r="ET166" i="39"/>
  <c r="ET165" i="39"/>
  <c r="ET164" i="39"/>
  <c r="ET163" i="39"/>
  <c r="ET162" i="39"/>
  <c r="ET161" i="39"/>
  <c r="ET160" i="39"/>
  <c r="ET159" i="39"/>
  <c r="ET158" i="39"/>
  <c r="ET157" i="39"/>
  <c r="ET156" i="39"/>
  <c r="ET155" i="39"/>
  <c r="ET154" i="39"/>
  <c r="ET153" i="39"/>
  <c r="ET152" i="39"/>
  <c r="ET151" i="39"/>
  <c r="ET150" i="39"/>
  <c r="ET149" i="39"/>
  <c r="ET148" i="39"/>
  <c r="ET147" i="39"/>
  <c r="ET146" i="39"/>
  <c r="ET145" i="39"/>
  <c r="ET144" i="39"/>
  <c r="ET143" i="39"/>
  <c r="ET142" i="39"/>
  <c r="ET141" i="39"/>
  <c r="ET140" i="39"/>
  <c r="ET139" i="39"/>
  <c r="ET138" i="39"/>
  <c r="ET137" i="39"/>
  <c r="ET136" i="39"/>
  <c r="ET135" i="39"/>
  <c r="ET134" i="39"/>
  <c r="ET133" i="39"/>
  <c r="ET132" i="39"/>
  <c r="ET131" i="39"/>
  <c r="ET130" i="39"/>
  <c r="ET129" i="39"/>
  <c r="ET128" i="39"/>
  <c r="ET127" i="39"/>
  <c r="ET126" i="39"/>
  <c r="ET125" i="39"/>
  <c r="ET124" i="39"/>
  <c r="ET123" i="39"/>
  <c r="ET122" i="39"/>
  <c r="ET121" i="39"/>
  <c r="ET120" i="39"/>
  <c r="ET119" i="39"/>
  <c r="ET118" i="39"/>
  <c r="ET117" i="39"/>
  <c r="ET116" i="39"/>
  <c r="ET115" i="39"/>
  <c r="ET114" i="39"/>
  <c r="ET113" i="39"/>
  <c r="ET112" i="39"/>
  <c r="ET111" i="39"/>
  <c r="ET110" i="39"/>
  <c r="ET109" i="39"/>
  <c r="ET108" i="39"/>
  <c r="ET107" i="39"/>
  <c r="ET106" i="39"/>
  <c r="ET105" i="39"/>
  <c r="ET104" i="39"/>
  <c r="ET103" i="39"/>
  <c r="ET102" i="39"/>
  <c r="ET101" i="39"/>
  <c r="ET100" i="39"/>
  <c r="ET99" i="39"/>
  <c r="ET98" i="39"/>
  <c r="ET97" i="39"/>
  <c r="ET96" i="39"/>
  <c r="ET95" i="39"/>
  <c r="ET94" i="39"/>
  <c r="ET93" i="39"/>
  <c r="ET92" i="39"/>
  <c r="ET91" i="39"/>
  <c r="ET90" i="39"/>
  <c r="ET89" i="39"/>
  <c r="ET88" i="39"/>
  <c r="ET87" i="39"/>
  <c r="ET86" i="39"/>
  <c r="ET85" i="39"/>
  <c r="ET84" i="39"/>
  <c r="ET83" i="39"/>
  <c r="ET82" i="39"/>
  <c r="ET81" i="39"/>
  <c r="ET80" i="39"/>
  <c r="ET79" i="39"/>
  <c r="ET78" i="39"/>
  <c r="ET77" i="39"/>
  <c r="ET76" i="39"/>
  <c r="ET75" i="39"/>
  <c r="ET74" i="39"/>
  <c r="ET73" i="39"/>
  <c r="ET72" i="39"/>
  <c r="ET71" i="39"/>
  <c r="ET70" i="39"/>
  <c r="ET69" i="39"/>
  <c r="ET68" i="39"/>
  <c r="ET67" i="39"/>
  <c r="ET66" i="39"/>
  <c r="ET65" i="39"/>
  <c r="ET64" i="39"/>
  <c r="ET63" i="39"/>
  <c r="ET62" i="39"/>
  <c r="ET61" i="39"/>
  <c r="ET60" i="39"/>
  <c r="ET59" i="39"/>
  <c r="ET58" i="39"/>
  <c r="ET57" i="39"/>
  <c r="ET56" i="39"/>
  <c r="ET55" i="39"/>
  <c r="ET54" i="39"/>
  <c r="ET53" i="39"/>
  <c r="ET52" i="39"/>
  <c r="ET51" i="39"/>
  <c r="ET50" i="39"/>
  <c r="ET49" i="39"/>
  <c r="ET48" i="39"/>
  <c r="ET47" i="39"/>
  <c r="ET46" i="39"/>
  <c r="ET45" i="39"/>
  <c r="ET44" i="39"/>
  <c r="ET43" i="39"/>
  <c r="ET42" i="39"/>
  <c r="ET41" i="39"/>
  <c r="ET40" i="39"/>
  <c r="ET39" i="39"/>
  <c r="ET38" i="39"/>
  <c r="ET37" i="39"/>
  <c r="ET36" i="39"/>
  <c r="ET35" i="39"/>
  <c r="ET34" i="39"/>
  <c r="ET33" i="39"/>
  <c r="ET32" i="39"/>
  <c r="ET31" i="39"/>
  <c r="ET30" i="39"/>
  <c r="ET29" i="39"/>
  <c r="ET28" i="39"/>
  <c r="ET27" i="39"/>
  <c r="ET26" i="39"/>
  <c r="ET25" i="39"/>
  <c r="ET24" i="39"/>
  <c r="ET23" i="39"/>
  <c r="ET22" i="39"/>
  <c r="ET21" i="39"/>
  <c r="ET20" i="39"/>
  <c r="ET19" i="39"/>
  <c r="ET18" i="39"/>
  <c r="ET17" i="39"/>
  <c r="ET16" i="39"/>
  <c r="ET15" i="39"/>
  <c r="ET14" i="39"/>
  <c r="ET13" i="39"/>
  <c r="ET12" i="39"/>
  <c r="ET11" i="39"/>
  <c r="ET10" i="39"/>
  <c r="ET9" i="39"/>
  <c r="ET8" i="39"/>
  <c r="ET7" i="39"/>
  <c r="B57" i="41" l="1"/>
  <c r="B58" i="41" s="1"/>
  <c r="Z21" i="41"/>
  <c r="CP215" i="39"/>
  <c r="GL215" i="39" s="1"/>
  <c r="GZ215" i="39" s="1"/>
  <c r="CP214" i="39"/>
  <c r="GL214" i="39" s="1"/>
  <c r="GZ214" i="39" s="1"/>
  <c r="CP213" i="39"/>
  <c r="GL213" i="39" s="1"/>
  <c r="GZ213" i="39" s="1"/>
  <c r="CP212" i="39"/>
  <c r="GL212" i="39" s="1"/>
  <c r="GZ212" i="39" s="1"/>
  <c r="CP211" i="39"/>
  <c r="GL211" i="39" s="1"/>
  <c r="GZ211" i="39" s="1"/>
  <c r="CP210" i="39"/>
  <c r="GL210" i="39" s="1"/>
  <c r="GZ210" i="39" s="1"/>
  <c r="CP209" i="39"/>
  <c r="GL209" i="39" s="1"/>
  <c r="GZ209" i="39" s="1"/>
  <c r="CP208" i="39"/>
  <c r="GL208" i="39" s="1"/>
  <c r="GZ208" i="39" s="1"/>
  <c r="CP207" i="39"/>
  <c r="GL207" i="39" s="1"/>
  <c r="GZ207" i="39" s="1"/>
  <c r="CP206" i="39"/>
  <c r="GL206" i="39" s="1"/>
  <c r="GZ206" i="39" s="1"/>
  <c r="CP205" i="39"/>
  <c r="GL205" i="39" s="1"/>
  <c r="GZ205" i="39" s="1"/>
  <c r="CP204" i="39"/>
  <c r="GL204" i="39" s="1"/>
  <c r="GZ204" i="39" s="1"/>
  <c r="CP203" i="39"/>
  <c r="GL203" i="39" s="1"/>
  <c r="GZ203" i="39" s="1"/>
  <c r="CP202" i="39"/>
  <c r="GL202" i="39" s="1"/>
  <c r="GZ202" i="39" s="1"/>
  <c r="CP201" i="39"/>
  <c r="GL201" i="39" s="1"/>
  <c r="GZ201" i="39" s="1"/>
  <c r="CP200" i="39"/>
  <c r="GL200" i="39" s="1"/>
  <c r="GZ200" i="39" s="1"/>
  <c r="CP199" i="39"/>
  <c r="GL199" i="39" s="1"/>
  <c r="GZ199" i="39" s="1"/>
  <c r="CP198" i="39"/>
  <c r="GL198" i="39" s="1"/>
  <c r="GZ198" i="39" s="1"/>
  <c r="CP197" i="39"/>
  <c r="GL197" i="39" s="1"/>
  <c r="GZ197" i="39" s="1"/>
  <c r="CP196" i="39"/>
  <c r="GL196" i="39" s="1"/>
  <c r="GZ196" i="39" s="1"/>
  <c r="CP195" i="39"/>
  <c r="GL195" i="39" s="1"/>
  <c r="GZ195" i="39" s="1"/>
  <c r="CP194" i="39"/>
  <c r="GL194" i="39" s="1"/>
  <c r="GZ194" i="39" s="1"/>
  <c r="CP193" i="39"/>
  <c r="GL193" i="39" s="1"/>
  <c r="GZ193" i="39" s="1"/>
  <c r="CP192" i="39"/>
  <c r="GL192" i="39" s="1"/>
  <c r="GZ192" i="39" s="1"/>
  <c r="CP191" i="39"/>
  <c r="GL191" i="39" s="1"/>
  <c r="GZ191" i="39" s="1"/>
  <c r="CP190" i="39"/>
  <c r="GL190" i="39" s="1"/>
  <c r="GZ190" i="39" s="1"/>
  <c r="CP189" i="39"/>
  <c r="GL189" i="39" s="1"/>
  <c r="GZ189" i="39" s="1"/>
  <c r="CP188" i="39"/>
  <c r="GL188" i="39" s="1"/>
  <c r="GZ188" i="39" s="1"/>
  <c r="CP187" i="39"/>
  <c r="GL187" i="39" s="1"/>
  <c r="GZ187" i="39" s="1"/>
  <c r="CP186" i="39"/>
  <c r="GL186" i="39" s="1"/>
  <c r="GZ186" i="39" s="1"/>
  <c r="CP185" i="39"/>
  <c r="GL185" i="39" s="1"/>
  <c r="GZ185" i="39" s="1"/>
  <c r="CP184" i="39"/>
  <c r="GL184" i="39" s="1"/>
  <c r="GZ184" i="39" s="1"/>
  <c r="CP183" i="39"/>
  <c r="GL183" i="39" s="1"/>
  <c r="GZ183" i="39" s="1"/>
  <c r="CP182" i="39"/>
  <c r="GL182" i="39" s="1"/>
  <c r="GZ182" i="39" s="1"/>
  <c r="CP181" i="39"/>
  <c r="GL181" i="39" s="1"/>
  <c r="GZ181" i="39" s="1"/>
  <c r="CP180" i="39"/>
  <c r="GL180" i="39" s="1"/>
  <c r="GZ180" i="39" s="1"/>
  <c r="CP179" i="39"/>
  <c r="GL179" i="39" s="1"/>
  <c r="GZ179" i="39" s="1"/>
  <c r="CP178" i="39"/>
  <c r="GL178" i="39" s="1"/>
  <c r="GZ178" i="39" s="1"/>
  <c r="CP177" i="39"/>
  <c r="GL177" i="39" s="1"/>
  <c r="GZ177" i="39" s="1"/>
  <c r="CP176" i="39"/>
  <c r="GL176" i="39" s="1"/>
  <c r="GZ176" i="39" s="1"/>
  <c r="CP175" i="39"/>
  <c r="GL175" i="39" s="1"/>
  <c r="GZ175" i="39" s="1"/>
  <c r="CP174" i="39"/>
  <c r="GL174" i="39" s="1"/>
  <c r="GZ174" i="39" s="1"/>
  <c r="CP173" i="39"/>
  <c r="GL173" i="39" s="1"/>
  <c r="GZ173" i="39" s="1"/>
  <c r="CP172" i="39"/>
  <c r="GL172" i="39" s="1"/>
  <c r="GZ172" i="39" s="1"/>
  <c r="CP171" i="39"/>
  <c r="GL171" i="39" s="1"/>
  <c r="GZ171" i="39" s="1"/>
  <c r="CP170" i="39"/>
  <c r="GL170" i="39" s="1"/>
  <c r="GZ170" i="39" s="1"/>
  <c r="CP169" i="39"/>
  <c r="GL169" i="39" s="1"/>
  <c r="GZ169" i="39" s="1"/>
  <c r="CP168" i="39"/>
  <c r="GL168" i="39" s="1"/>
  <c r="GZ168" i="39" s="1"/>
  <c r="CP167" i="39"/>
  <c r="GL167" i="39" s="1"/>
  <c r="GZ167" i="39" s="1"/>
  <c r="CP166" i="39"/>
  <c r="GL166" i="39" s="1"/>
  <c r="GZ166" i="39" s="1"/>
  <c r="CP165" i="39"/>
  <c r="GL165" i="39" s="1"/>
  <c r="GZ165" i="39" s="1"/>
  <c r="CP164" i="39"/>
  <c r="GL164" i="39" s="1"/>
  <c r="GZ164" i="39" s="1"/>
  <c r="CP163" i="39"/>
  <c r="GL163" i="39" s="1"/>
  <c r="GZ163" i="39" s="1"/>
  <c r="CP216" i="39"/>
  <c r="GL216" i="39" s="1"/>
  <c r="GZ216" i="39" s="1"/>
  <c r="CP162" i="39"/>
  <c r="GL162" i="39" s="1"/>
  <c r="GZ162" i="39" s="1"/>
  <c r="CP161" i="39"/>
  <c r="GL161" i="39" s="1"/>
  <c r="GZ161" i="39" s="1"/>
  <c r="CP160" i="39"/>
  <c r="GL160" i="39" s="1"/>
  <c r="GZ160" i="39" s="1"/>
  <c r="CP159" i="39"/>
  <c r="GL159" i="39" s="1"/>
  <c r="GZ159" i="39" s="1"/>
  <c r="CP158" i="39"/>
  <c r="GL158" i="39" s="1"/>
  <c r="GZ158" i="39" s="1"/>
  <c r="CP157" i="39"/>
  <c r="GL157" i="39" s="1"/>
  <c r="GZ157" i="39" s="1"/>
  <c r="CP156" i="39"/>
  <c r="GL156" i="39" s="1"/>
  <c r="GZ156" i="39" s="1"/>
  <c r="CP155" i="39"/>
  <c r="GL155" i="39" s="1"/>
  <c r="GZ155" i="39" s="1"/>
  <c r="CP133" i="39"/>
  <c r="GL133" i="39" s="1"/>
  <c r="GZ133" i="39" s="1"/>
  <c r="CP154" i="39"/>
  <c r="GL154" i="39" s="1"/>
  <c r="GZ154" i="39" s="1"/>
  <c r="CP153" i="39"/>
  <c r="GL153" i="39" s="1"/>
  <c r="GZ153" i="39" s="1"/>
  <c r="CP152" i="39"/>
  <c r="GL152" i="39" s="1"/>
  <c r="GZ152" i="39" s="1"/>
  <c r="CP151" i="39"/>
  <c r="GL151" i="39" s="1"/>
  <c r="GZ151" i="39" s="1"/>
  <c r="CP150" i="39"/>
  <c r="GL150" i="39" s="1"/>
  <c r="GZ150" i="39" s="1"/>
  <c r="CP149" i="39"/>
  <c r="GL149" i="39" s="1"/>
  <c r="GZ149" i="39" s="1"/>
  <c r="CP148" i="39"/>
  <c r="GL148" i="39" s="1"/>
  <c r="GZ148" i="39" s="1"/>
  <c r="CP147" i="39"/>
  <c r="GL147" i="39" s="1"/>
  <c r="GZ147" i="39" s="1"/>
  <c r="CP146" i="39"/>
  <c r="GL146" i="39" s="1"/>
  <c r="GZ146" i="39" s="1"/>
  <c r="CP145" i="39"/>
  <c r="GL145" i="39" s="1"/>
  <c r="GZ145" i="39" s="1"/>
  <c r="CP144" i="39"/>
  <c r="GL144" i="39" s="1"/>
  <c r="GZ144" i="39" s="1"/>
  <c r="CP143" i="39"/>
  <c r="GL143" i="39" s="1"/>
  <c r="GZ143" i="39" s="1"/>
  <c r="CP142" i="39"/>
  <c r="GL142" i="39" s="1"/>
  <c r="GZ142" i="39" s="1"/>
  <c r="CP141" i="39"/>
  <c r="GL141" i="39" s="1"/>
  <c r="GZ141" i="39" s="1"/>
  <c r="CP140" i="39"/>
  <c r="GL140" i="39" s="1"/>
  <c r="GZ140" i="39" s="1"/>
  <c r="CP139" i="39"/>
  <c r="GL139" i="39" s="1"/>
  <c r="GZ139" i="39" s="1"/>
  <c r="CP138" i="39"/>
  <c r="GL138" i="39" s="1"/>
  <c r="GZ138" i="39" s="1"/>
  <c r="CP137" i="39"/>
  <c r="GL137" i="39" s="1"/>
  <c r="GZ137" i="39" s="1"/>
  <c r="CP136" i="39"/>
  <c r="GL136" i="39" s="1"/>
  <c r="GZ136" i="39" s="1"/>
  <c r="CP135" i="39"/>
  <c r="GL135" i="39" s="1"/>
  <c r="GZ135" i="39" s="1"/>
  <c r="CP134" i="39"/>
  <c r="GL134" i="39" s="1"/>
  <c r="GZ134" i="39" s="1"/>
  <c r="CP132" i="39"/>
  <c r="GL132" i="39" s="1"/>
  <c r="GZ132" i="39" s="1"/>
  <c r="CP131" i="39"/>
  <c r="GL131" i="39" s="1"/>
  <c r="GZ131" i="39" s="1"/>
  <c r="CP130" i="39"/>
  <c r="GL130" i="39" s="1"/>
  <c r="GZ130" i="39" s="1"/>
  <c r="CP129" i="39"/>
  <c r="GL129" i="39" s="1"/>
  <c r="GZ129" i="39" s="1"/>
  <c r="CP128" i="39"/>
  <c r="GL128" i="39" s="1"/>
  <c r="GZ128" i="39" s="1"/>
  <c r="CP127" i="39"/>
  <c r="GL127" i="39" s="1"/>
  <c r="GZ127" i="39" s="1"/>
  <c r="CP126" i="39"/>
  <c r="GL126" i="39" s="1"/>
  <c r="GZ126" i="39" s="1"/>
  <c r="CP125" i="39"/>
  <c r="GL125" i="39" s="1"/>
  <c r="GZ125" i="39" s="1"/>
  <c r="CP124" i="39"/>
  <c r="GL124" i="39" s="1"/>
  <c r="GZ124" i="39" s="1"/>
  <c r="CP123" i="39"/>
  <c r="GL123" i="39" s="1"/>
  <c r="GZ123" i="39" s="1"/>
  <c r="CP122" i="39"/>
  <c r="GL122" i="39" s="1"/>
  <c r="GZ122" i="39" s="1"/>
  <c r="CP121" i="39"/>
  <c r="GL121" i="39" s="1"/>
  <c r="GZ121" i="39" s="1"/>
  <c r="CP120" i="39"/>
  <c r="GL120" i="39" s="1"/>
  <c r="GZ120" i="39" s="1"/>
  <c r="CP118" i="39"/>
  <c r="GL118" i="39" s="1"/>
  <c r="GZ118" i="39" s="1"/>
  <c r="CP117" i="39"/>
  <c r="GL117" i="39" s="1"/>
  <c r="GZ117" i="39" s="1"/>
  <c r="CP116" i="39"/>
  <c r="GL116" i="39" s="1"/>
  <c r="GZ116" i="39" s="1"/>
  <c r="CP115" i="39"/>
  <c r="GL115" i="39" s="1"/>
  <c r="GZ115" i="39" s="1"/>
  <c r="CP114" i="39"/>
  <c r="GL114" i="39" s="1"/>
  <c r="GZ114" i="39" s="1"/>
  <c r="CP113" i="39"/>
  <c r="GL113" i="39" s="1"/>
  <c r="GZ113" i="39" s="1"/>
  <c r="CP119" i="39"/>
  <c r="GL119" i="39" s="1"/>
  <c r="GZ119" i="39" s="1"/>
  <c r="CP112" i="39"/>
  <c r="GL112" i="39" s="1"/>
  <c r="GZ112" i="39" s="1"/>
  <c r="CP111" i="39"/>
  <c r="GL111" i="39" s="1"/>
  <c r="GZ111" i="39" s="1"/>
  <c r="CP110" i="39"/>
  <c r="GL110" i="39" s="1"/>
  <c r="GZ110" i="39" s="1"/>
  <c r="CP109" i="39"/>
  <c r="GL109" i="39" s="1"/>
  <c r="GZ109" i="39" s="1"/>
  <c r="CP108" i="39"/>
  <c r="GL108" i="39" s="1"/>
  <c r="GZ108" i="39" s="1"/>
  <c r="CP107" i="39"/>
  <c r="GL107" i="39" s="1"/>
  <c r="GZ107" i="39" s="1"/>
  <c r="CP106" i="39"/>
  <c r="GL106" i="39" s="1"/>
  <c r="GZ106" i="39" s="1"/>
  <c r="CP105" i="39"/>
  <c r="GL105" i="39" s="1"/>
  <c r="GZ105" i="39" s="1"/>
  <c r="CP104" i="39"/>
  <c r="GL104" i="39" s="1"/>
  <c r="GZ104" i="39" s="1"/>
  <c r="CP103" i="39"/>
  <c r="GL103" i="39" s="1"/>
  <c r="GZ103" i="39" s="1"/>
  <c r="CP102" i="39"/>
  <c r="GL102" i="39" s="1"/>
  <c r="GZ102" i="39" s="1"/>
  <c r="CP101" i="39"/>
  <c r="GL101" i="39" s="1"/>
  <c r="GZ101" i="39" s="1"/>
  <c r="CP100" i="39"/>
  <c r="GL100" i="39" s="1"/>
  <c r="GZ100" i="39" s="1"/>
  <c r="CP99" i="39"/>
  <c r="GL99" i="39" s="1"/>
  <c r="GZ99" i="39" s="1"/>
  <c r="CP98" i="39"/>
  <c r="GL98" i="39" s="1"/>
  <c r="GZ98" i="39" s="1"/>
  <c r="CP97" i="39"/>
  <c r="GL97" i="39" s="1"/>
  <c r="GZ97" i="39" s="1"/>
  <c r="CP96" i="39"/>
  <c r="GL96" i="39" s="1"/>
  <c r="GZ96" i="39" s="1"/>
  <c r="CP95" i="39"/>
  <c r="GL95" i="39" s="1"/>
  <c r="GZ95" i="39" s="1"/>
  <c r="CP94" i="39"/>
  <c r="GL94" i="39" s="1"/>
  <c r="GZ94" i="39" s="1"/>
  <c r="CP93" i="39"/>
  <c r="GL93" i="39" s="1"/>
  <c r="GZ93" i="39" s="1"/>
  <c r="CP92" i="39"/>
  <c r="GL92" i="39" s="1"/>
  <c r="GZ92" i="39" s="1"/>
  <c r="CP91" i="39"/>
  <c r="GL91" i="39" s="1"/>
  <c r="GZ91" i="39" s="1"/>
  <c r="CP90" i="39"/>
  <c r="GL90" i="39" s="1"/>
  <c r="GZ90" i="39" s="1"/>
  <c r="CP89" i="39"/>
  <c r="GL89" i="39" s="1"/>
  <c r="GZ89" i="39" s="1"/>
  <c r="CP88" i="39"/>
  <c r="GL88" i="39" s="1"/>
  <c r="GZ88" i="39" s="1"/>
  <c r="CP87" i="39"/>
  <c r="GL87" i="39" s="1"/>
  <c r="GZ87" i="39" s="1"/>
  <c r="CP86" i="39"/>
  <c r="GL86" i="39" s="1"/>
  <c r="GZ86" i="39" s="1"/>
  <c r="CP85" i="39"/>
  <c r="GL85" i="39" s="1"/>
  <c r="GZ85" i="39" s="1"/>
  <c r="CP84" i="39"/>
  <c r="GL84" i="39" s="1"/>
  <c r="GZ84" i="39" s="1"/>
  <c r="CP83" i="39"/>
  <c r="GL83" i="39" s="1"/>
  <c r="GZ83" i="39" s="1"/>
  <c r="CP82" i="39"/>
  <c r="GL82" i="39" s="1"/>
  <c r="GZ82" i="39" s="1"/>
  <c r="CP81" i="39"/>
  <c r="GL81" i="39" s="1"/>
  <c r="GZ81" i="39" s="1"/>
  <c r="CP80" i="39"/>
  <c r="GL80" i="39" s="1"/>
  <c r="GZ80" i="39" s="1"/>
  <c r="CP79" i="39"/>
  <c r="GL79" i="39" s="1"/>
  <c r="GZ79" i="39" s="1"/>
  <c r="CP78" i="39"/>
  <c r="GL78" i="39" s="1"/>
  <c r="GZ78" i="39" s="1"/>
  <c r="CP77" i="39"/>
  <c r="GL77" i="39" s="1"/>
  <c r="GZ77" i="39" s="1"/>
  <c r="CP76" i="39"/>
  <c r="GL76" i="39" s="1"/>
  <c r="GZ76" i="39" s="1"/>
  <c r="CP75" i="39"/>
  <c r="GL75" i="39" s="1"/>
  <c r="GZ75" i="39" s="1"/>
  <c r="CP74" i="39"/>
  <c r="GL74" i="39" s="1"/>
  <c r="GZ74" i="39" s="1"/>
  <c r="CP73" i="39"/>
  <c r="GL73" i="39" s="1"/>
  <c r="GZ73" i="39" s="1"/>
  <c r="CP72" i="39"/>
  <c r="GL72" i="39" s="1"/>
  <c r="GZ72" i="39" s="1"/>
  <c r="CP71" i="39"/>
  <c r="GL71" i="39" s="1"/>
  <c r="GZ71" i="39" s="1"/>
  <c r="CP70" i="39"/>
  <c r="GL70" i="39" s="1"/>
  <c r="GZ70" i="39" s="1"/>
  <c r="CP69" i="39"/>
  <c r="GL69" i="39" s="1"/>
  <c r="GZ69" i="39" s="1"/>
  <c r="CP68" i="39"/>
  <c r="GL68" i="39" s="1"/>
  <c r="GZ68" i="39" s="1"/>
  <c r="CP67" i="39"/>
  <c r="GL67" i="39" s="1"/>
  <c r="GZ67" i="39" s="1"/>
  <c r="CP66" i="39"/>
  <c r="GL66" i="39" s="1"/>
  <c r="GZ66" i="39" s="1"/>
  <c r="CP65" i="39"/>
  <c r="GL65" i="39" s="1"/>
  <c r="GZ65" i="39" s="1"/>
  <c r="CP64" i="39"/>
  <c r="GL64" i="39" s="1"/>
  <c r="GZ64" i="39" s="1"/>
  <c r="CP63" i="39"/>
  <c r="GL63" i="39" s="1"/>
  <c r="GZ63" i="39" s="1"/>
  <c r="CP62" i="39"/>
  <c r="GL62" i="39" s="1"/>
  <c r="GZ62" i="39" s="1"/>
  <c r="CP61" i="39"/>
  <c r="GL61" i="39" s="1"/>
  <c r="GZ61" i="39" s="1"/>
  <c r="CP60" i="39"/>
  <c r="GL60" i="39" s="1"/>
  <c r="GZ60" i="39" s="1"/>
  <c r="CP59" i="39"/>
  <c r="GL59" i="39" s="1"/>
  <c r="GZ59" i="39" s="1"/>
  <c r="CP58" i="39"/>
  <c r="GL58" i="39" s="1"/>
  <c r="GZ58" i="39" s="1"/>
  <c r="CP57" i="39"/>
  <c r="GL57" i="39" s="1"/>
  <c r="GZ57" i="39" s="1"/>
  <c r="CP56" i="39"/>
  <c r="GL56" i="39" s="1"/>
  <c r="GZ56" i="39" s="1"/>
  <c r="CP55" i="39"/>
  <c r="GL55" i="39" s="1"/>
  <c r="GZ55" i="39" s="1"/>
  <c r="CP54" i="39"/>
  <c r="GL54" i="39" s="1"/>
  <c r="GZ54" i="39" s="1"/>
  <c r="CP53" i="39"/>
  <c r="GL53" i="39" s="1"/>
  <c r="GZ53" i="39" s="1"/>
  <c r="CP52" i="39"/>
  <c r="GL52" i="39" s="1"/>
  <c r="GZ52" i="39" s="1"/>
  <c r="CP51" i="39"/>
  <c r="GL51" i="39" s="1"/>
  <c r="GZ51" i="39" s="1"/>
  <c r="CP50" i="39"/>
  <c r="GL50" i="39" s="1"/>
  <c r="GZ50" i="39" s="1"/>
  <c r="CP49" i="39"/>
  <c r="GL49" i="39" s="1"/>
  <c r="GZ49" i="39" s="1"/>
  <c r="CP48" i="39"/>
  <c r="GL48" i="39" s="1"/>
  <c r="GZ48" i="39" s="1"/>
  <c r="CP47" i="39"/>
  <c r="GL47" i="39" s="1"/>
  <c r="GZ47" i="39" s="1"/>
  <c r="CP46" i="39"/>
  <c r="GL46" i="39" s="1"/>
  <c r="GZ46" i="39" s="1"/>
  <c r="CP45" i="39"/>
  <c r="GL45" i="39" s="1"/>
  <c r="GZ45" i="39" s="1"/>
  <c r="CP44" i="39"/>
  <c r="GL44" i="39" s="1"/>
  <c r="GZ44" i="39" s="1"/>
  <c r="CP43" i="39"/>
  <c r="GL43" i="39" s="1"/>
  <c r="GZ43" i="39" s="1"/>
  <c r="CP42" i="39"/>
  <c r="GL42" i="39" s="1"/>
  <c r="GZ42" i="39" s="1"/>
  <c r="CP41" i="39"/>
  <c r="GL41" i="39" s="1"/>
  <c r="GZ41" i="39" s="1"/>
  <c r="CP40" i="39"/>
  <c r="GL40" i="39" s="1"/>
  <c r="GZ40" i="39" s="1"/>
  <c r="CP39" i="39"/>
  <c r="GL39" i="39" s="1"/>
  <c r="GZ39" i="39" s="1"/>
  <c r="CP38" i="39"/>
  <c r="GL38" i="39" s="1"/>
  <c r="GZ38" i="39" s="1"/>
  <c r="CP37" i="39"/>
  <c r="GL37" i="39" s="1"/>
  <c r="GZ37" i="39" s="1"/>
  <c r="CP35" i="39"/>
  <c r="GL35" i="39" s="1"/>
  <c r="GZ35" i="39" s="1"/>
  <c r="CP34" i="39"/>
  <c r="GL34" i="39" s="1"/>
  <c r="GZ34" i="39" s="1"/>
  <c r="CP32" i="39"/>
  <c r="GL32" i="39" s="1"/>
  <c r="GZ32" i="39" s="1"/>
  <c r="CP36" i="39"/>
  <c r="GL36" i="39" s="1"/>
  <c r="GZ36" i="39" s="1"/>
  <c r="CP33" i="39"/>
  <c r="GL33" i="39" s="1"/>
  <c r="GZ33" i="39" s="1"/>
  <c r="CP31" i="39"/>
  <c r="GL31" i="39" s="1"/>
  <c r="GZ31" i="39" s="1"/>
  <c r="CP30" i="39"/>
  <c r="GL30" i="39" s="1"/>
  <c r="GZ30" i="39" s="1"/>
  <c r="CP29" i="39"/>
  <c r="GL29" i="39" s="1"/>
  <c r="GZ29" i="39" s="1"/>
  <c r="CP28" i="39"/>
  <c r="GL28" i="39" s="1"/>
  <c r="GZ28" i="39" s="1"/>
  <c r="CP27" i="39"/>
  <c r="GL27" i="39" s="1"/>
  <c r="GZ27" i="39" s="1"/>
  <c r="CP26" i="39"/>
  <c r="GL26" i="39" s="1"/>
  <c r="GZ26" i="39" s="1"/>
  <c r="CP25" i="39"/>
  <c r="GL25" i="39" s="1"/>
  <c r="GZ25" i="39" s="1"/>
  <c r="CP24" i="39"/>
  <c r="GL24" i="39" s="1"/>
  <c r="GZ24" i="39" s="1"/>
  <c r="CP23" i="39"/>
  <c r="GL23" i="39" s="1"/>
  <c r="GZ23" i="39" s="1"/>
  <c r="CP22" i="39"/>
  <c r="GL22" i="39" s="1"/>
  <c r="GZ22" i="39" s="1"/>
  <c r="CP21" i="39"/>
  <c r="GL21" i="39" s="1"/>
  <c r="GZ21" i="39" s="1"/>
  <c r="CP20" i="39"/>
  <c r="GL20" i="39" s="1"/>
  <c r="GZ20" i="39" s="1"/>
  <c r="CP19" i="39"/>
  <c r="GL19" i="39" s="1"/>
  <c r="GZ19" i="39" s="1"/>
  <c r="CP18" i="39"/>
  <c r="GL18" i="39" s="1"/>
  <c r="GZ18" i="39" s="1"/>
  <c r="CP17" i="39"/>
  <c r="GL17" i="39" s="1"/>
  <c r="GZ17" i="39" s="1"/>
  <c r="CP16" i="39"/>
  <c r="GL16" i="39" s="1"/>
  <c r="GZ16" i="39" s="1"/>
  <c r="CP15" i="39"/>
  <c r="GL15" i="39" s="1"/>
  <c r="GZ15" i="39" s="1"/>
  <c r="CP14" i="39"/>
  <c r="GL14" i="39" s="1"/>
  <c r="GZ14" i="39" s="1"/>
  <c r="CP13" i="39"/>
  <c r="GL13" i="39" s="1"/>
  <c r="GZ13" i="39" s="1"/>
  <c r="B59" i="41" l="1"/>
  <c r="B60" i="41" s="1"/>
  <c r="B61" i="41" s="1"/>
  <c r="B62" i="41" s="1"/>
  <c r="B63" i="41" s="1"/>
  <c r="AA21" i="41"/>
  <c r="B26" i="23"/>
  <c r="B33" i="38"/>
  <c r="B64" i="41" l="1"/>
  <c r="B65" i="41" s="1"/>
  <c r="AB21" i="41"/>
  <c r="B32" i="37"/>
  <c r="B29" i="37"/>
  <c r="K41" i="4"/>
  <c r="B32" i="23" s="1"/>
  <c r="K40" i="4"/>
  <c r="B31" i="23" s="1"/>
  <c r="K39" i="4"/>
  <c r="B30" i="23" s="1"/>
  <c r="B221" i="19"/>
  <c r="C221" i="19" s="1"/>
  <c r="D221" i="19" s="1"/>
  <c r="E221" i="19" s="1"/>
  <c r="F221" i="19" s="1"/>
  <c r="G221" i="19" s="1"/>
  <c r="H221" i="19" s="1"/>
  <c r="I221" i="19" s="1"/>
  <c r="J221" i="19" s="1"/>
  <c r="K221" i="19" s="1"/>
  <c r="L221" i="19" s="1"/>
  <c r="M221" i="19" s="1"/>
  <c r="N221" i="19" s="1"/>
  <c r="O221" i="19" s="1"/>
  <c r="P221" i="19" s="1"/>
  <c r="Q221" i="19" s="1"/>
  <c r="R221" i="19" s="1"/>
  <c r="S221" i="19" s="1"/>
  <c r="T221" i="19" s="1"/>
  <c r="U221" i="19" s="1"/>
  <c r="V221" i="19" s="1"/>
  <c r="W221" i="19" s="1"/>
  <c r="X221" i="19" s="1"/>
  <c r="B8" i="19"/>
  <c r="B9" i="19"/>
  <c r="B10" i="19"/>
  <c r="B11" i="19"/>
  <c r="B12" i="19"/>
  <c r="B13" i="19"/>
  <c r="B14" i="19"/>
  <c r="B15" i="19"/>
  <c r="B16" i="19"/>
  <c r="B17" i="19"/>
  <c r="B18" i="19"/>
  <c r="B19" i="19"/>
  <c r="B20" i="19"/>
  <c r="B21" i="19"/>
  <c r="B22" i="19"/>
  <c r="B23" i="19"/>
  <c r="B24" i="19"/>
  <c r="B25" i="19"/>
  <c r="B26" i="19"/>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B101" i="19"/>
  <c r="B102" i="19"/>
  <c r="B103" i="19"/>
  <c r="B104" i="19"/>
  <c r="B105" i="19"/>
  <c r="B106" i="19"/>
  <c r="B107" i="19"/>
  <c r="B108" i="19"/>
  <c r="B109" i="19"/>
  <c r="B110" i="19"/>
  <c r="B111" i="19"/>
  <c r="B112" i="19"/>
  <c r="B113" i="19"/>
  <c r="B114" i="19"/>
  <c r="B115" i="19"/>
  <c r="B116" i="19"/>
  <c r="B117" i="19"/>
  <c r="B118" i="19"/>
  <c r="B119" i="19"/>
  <c r="B120" i="19"/>
  <c r="B121" i="19"/>
  <c r="B122" i="19"/>
  <c r="B123" i="19"/>
  <c r="B124" i="19"/>
  <c r="B125" i="19"/>
  <c r="B126" i="19"/>
  <c r="B127" i="19"/>
  <c r="B128" i="19"/>
  <c r="B129" i="19"/>
  <c r="B130" i="19"/>
  <c r="B131" i="19"/>
  <c r="B132" i="19"/>
  <c r="B133" i="19"/>
  <c r="B134" i="19"/>
  <c r="B135" i="19"/>
  <c r="B136" i="19"/>
  <c r="B137" i="19"/>
  <c r="B138" i="19"/>
  <c r="B139" i="19"/>
  <c r="B140" i="19"/>
  <c r="B141" i="19"/>
  <c r="B142" i="19"/>
  <c r="B143" i="19"/>
  <c r="B144" i="19"/>
  <c r="B145" i="19"/>
  <c r="B146" i="19"/>
  <c r="B147" i="19"/>
  <c r="B148" i="19"/>
  <c r="B149" i="19"/>
  <c r="B150" i="19"/>
  <c r="B151" i="19"/>
  <c r="B152" i="19"/>
  <c r="B153" i="19"/>
  <c r="B154" i="19"/>
  <c r="B155" i="19"/>
  <c r="B156" i="19"/>
  <c r="B157" i="19"/>
  <c r="B158" i="19"/>
  <c r="B159" i="19"/>
  <c r="B160" i="19"/>
  <c r="B161" i="19"/>
  <c r="B162" i="19"/>
  <c r="B163" i="19"/>
  <c r="B164" i="19"/>
  <c r="B165" i="19"/>
  <c r="B166" i="19"/>
  <c r="B167" i="19"/>
  <c r="B168" i="19"/>
  <c r="B169" i="19"/>
  <c r="B170" i="19"/>
  <c r="B171" i="19"/>
  <c r="B172" i="19"/>
  <c r="B173" i="19"/>
  <c r="B174" i="19"/>
  <c r="B175" i="19"/>
  <c r="B176" i="19"/>
  <c r="B177" i="19"/>
  <c r="B178" i="19"/>
  <c r="B179" i="19"/>
  <c r="B180" i="19"/>
  <c r="B181" i="19"/>
  <c r="B182" i="19"/>
  <c r="B183" i="19"/>
  <c r="B184" i="19"/>
  <c r="B185" i="19"/>
  <c r="B186" i="19"/>
  <c r="B187" i="19"/>
  <c r="B188" i="19"/>
  <c r="B189" i="19"/>
  <c r="B190" i="19"/>
  <c r="B191" i="19"/>
  <c r="B192" i="19"/>
  <c r="B193" i="19"/>
  <c r="B194" i="19"/>
  <c r="B195" i="19"/>
  <c r="B196" i="19"/>
  <c r="B197" i="19"/>
  <c r="B198" i="19"/>
  <c r="B199" i="19"/>
  <c r="B200" i="19"/>
  <c r="B201" i="19"/>
  <c r="B202" i="19"/>
  <c r="B203" i="19"/>
  <c r="B204" i="19"/>
  <c r="B205" i="19"/>
  <c r="B206" i="19"/>
  <c r="B207" i="19"/>
  <c r="B208" i="19"/>
  <c r="B209" i="19"/>
  <c r="B210" i="19"/>
  <c r="B211" i="19"/>
  <c r="B212" i="19"/>
  <c r="B213" i="19"/>
  <c r="B214" i="19"/>
  <c r="B215" i="19"/>
  <c r="B216" i="19"/>
  <c r="B7" i="19"/>
  <c r="B66" i="41" l="1"/>
  <c r="B67" i="41" s="1"/>
  <c r="B68" i="41" s="1"/>
  <c r="AC21" i="41"/>
  <c r="P216" i="19"/>
  <c r="N216" i="19"/>
  <c r="G216" i="19"/>
  <c r="F216" i="19"/>
  <c r="E216" i="19"/>
  <c r="A216" i="19" s="1"/>
  <c r="D216" i="19"/>
  <c r="C216" i="19"/>
  <c r="P215" i="19"/>
  <c r="N215" i="19"/>
  <c r="G215" i="19"/>
  <c r="F215" i="19"/>
  <c r="E215" i="19"/>
  <c r="A215" i="19" s="1"/>
  <c r="D215" i="19"/>
  <c r="C215" i="19"/>
  <c r="P214" i="19"/>
  <c r="N214" i="19"/>
  <c r="G214" i="19"/>
  <c r="F214" i="19"/>
  <c r="E214" i="19"/>
  <c r="A214" i="19" s="1"/>
  <c r="D214" i="19"/>
  <c r="C214" i="19"/>
  <c r="P213" i="19"/>
  <c r="N213" i="19"/>
  <c r="G213" i="19"/>
  <c r="F213" i="19"/>
  <c r="E213" i="19"/>
  <c r="A213" i="19" s="1"/>
  <c r="D213" i="19"/>
  <c r="C213" i="19"/>
  <c r="P212" i="19"/>
  <c r="N212" i="19"/>
  <c r="G212" i="19"/>
  <c r="F212" i="19"/>
  <c r="E212" i="19"/>
  <c r="A212" i="19" s="1"/>
  <c r="D212" i="19"/>
  <c r="C212" i="19"/>
  <c r="P211" i="19"/>
  <c r="N211" i="19"/>
  <c r="G211" i="19"/>
  <c r="F211" i="19"/>
  <c r="E211" i="19"/>
  <c r="A211" i="19" s="1"/>
  <c r="D211" i="19"/>
  <c r="C211" i="19"/>
  <c r="P210" i="19"/>
  <c r="N210" i="19"/>
  <c r="G210" i="19"/>
  <c r="F210" i="19"/>
  <c r="E210" i="19"/>
  <c r="A210" i="19" s="1"/>
  <c r="D210" i="19"/>
  <c r="C210" i="19"/>
  <c r="P209" i="19"/>
  <c r="N209" i="19"/>
  <c r="G209" i="19"/>
  <c r="F209" i="19"/>
  <c r="E209" i="19"/>
  <c r="A209" i="19" s="1"/>
  <c r="D209" i="19"/>
  <c r="C209" i="19"/>
  <c r="P208" i="19"/>
  <c r="N208" i="19"/>
  <c r="G208" i="19"/>
  <c r="F208" i="19"/>
  <c r="E208" i="19"/>
  <c r="A208" i="19" s="1"/>
  <c r="D208" i="19"/>
  <c r="C208" i="19"/>
  <c r="P207" i="19"/>
  <c r="N207" i="19"/>
  <c r="G207" i="19"/>
  <c r="F207" i="19"/>
  <c r="E207" i="19"/>
  <c r="A207" i="19" s="1"/>
  <c r="D207" i="19"/>
  <c r="C207" i="19"/>
  <c r="P206" i="19"/>
  <c r="N206" i="19"/>
  <c r="G206" i="19"/>
  <c r="F206" i="19"/>
  <c r="E206" i="19"/>
  <c r="A206" i="19" s="1"/>
  <c r="D206" i="19"/>
  <c r="C206" i="19"/>
  <c r="P205" i="19"/>
  <c r="N205" i="19"/>
  <c r="G205" i="19"/>
  <c r="F205" i="19"/>
  <c r="E205" i="19"/>
  <c r="A205" i="19" s="1"/>
  <c r="D205" i="19"/>
  <c r="C205" i="19"/>
  <c r="P204" i="19"/>
  <c r="N204" i="19"/>
  <c r="G204" i="19"/>
  <c r="F204" i="19"/>
  <c r="E204" i="19"/>
  <c r="A204" i="19" s="1"/>
  <c r="D204" i="19"/>
  <c r="C204" i="19"/>
  <c r="P203" i="19"/>
  <c r="N203" i="19"/>
  <c r="G203" i="19"/>
  <c r="F203" i="19"/>
  <c r="E203" i="19"/>
  <c r="A203" i="19" s="1"/>
  <c r="D203" i="19"/>
  <c r="C203" i="19"/>
  <c r="P202" i="19"/>
  <c r="N202" i="19"/>
  <c r="G202" i="19"/>
  <c r="F202" i="19"/>
  <c r="E202" i="19"/>
  <c r="A202" i="19" s="1"/>
  <c r="D202" i="19"/>
  <c r="C202" i="19"/>
  <c r="P201" i="19"/>
  <c r="N201" i="19"/>
  <c r="G201" i="19"/>
  <c r="F201" i="19"/>
  <c r="E201" i="19"/>
  <c r="A201" i="19" s="1"/>
  <c r="D201" i="19"/>
  <c r="C201" i="19"/>
  <c r="P200" i="19"/>
  <c r="N200" i="19"/>
  <c r="G200" i="19"/>
  <c r="F200" i="19"/>
  <c r="E200" i="19"/>
  <c r="A200" i="19" s="1"/>
  <c r="D200" i="19"/>
  <c r="C200" i="19"/>
  <c r="P199" i="19"/>
  <c r="N199" i="19"/>
  <c r="G199" i="19"/>
  <c r="F199" i="19"/>
  <c r="E199" i="19"/>
  <c r="A199" i="19" s="1"/>
  <c r="D199" i="19"/>
  <c r="C199" i="19"/>
  <c r="P198" i="19"/>
  <c r="N198" i="19"/>
  <c r="G198" i="19"/>
  <c r="F198" i="19"/>
  <c r="E198" i="19"/>
  <c r="A198" i="19" s="1"/>
  <c r="D198" i="19"/>
  <c r="P197" i="19"/>
  <c r="N197" i="19"/>
  <c r="G197" i="19"/>
  <c r="F197" i="19"/>
  <c r="E197" i="19"/>
  <c r="A197" i="19" s="1"/>
  <c r="D197" i="19"/>
  <c r="P196" i="19"/>
  <c r="N196" i="19"/>
  <c r="G196" i="19"/>
  <c r="F196" i="19"/>
  <c r="E196" i="19"/>
  <c r="A196" i="19" s="1"/>
  <c r="D196" i="19"/>
  <c r="P195" i="19"/>
  <c r="N195" i="19"/>
  <c r="G195" i="19"/>
  <c r="F195" i="19"/>
  <c r="E195" i="19"/>
  <c r="A195" i="19" s="1"/>
  <c r="D195" i="19"/>
  <c r="P194" i="19"/>
  <c r="N194" i="19"/>
  <c r="G194" i="19"/>
  <c r="F194" i="19"/>
  <c r="E194" i="19"/>
  <c r="A194" i="19" s="1"/>
  <c r="D194" i="19"/>
  <c r="P193" i="19"/>
  <c r="N193" i="19"/>
  <c r="G193" i="19"/>
  <c r="F193" i="19"/>
  <c r="E193" i="19"/>
  <c r="A193" i="19" s="1"/>
  <c r="D193" i="19"/>
  <c r="P192" i="19"/>
  <c r="N192" i="19"/>
  <c r="G192" i="19"/>
  <c r="F192" i="19"/>
  <c r="E192" i="19"/>
  <c r="A192" i="19" s="1"/>
  <c r="D192" i="19"/>
  <c r="P191" i="19"/>
  <c r="N191" i="19"/>
  <c r="G191" i="19"/>
  <c r="F191" i="19"/>
  <c r="E191" i="19"/>
  <c r="A191" i="19" s="1"/>
  <c r="D191" i="19"/>
  <c r="P190" i="19"/>
  <c r="N190" i="19"/>
  <c r="G190" i="19"/>
  <c r="F190" i="19"/>
  <c r="E190" i="19"/>
  <c r="A190" i="19" s="1"/>
  <c r="D190" i="19"/>
  <c r="P189" i="19"/>
  <c r="N189" i="19"/>
  <c r="G189" i="19"/>
  <c r="F189" i="19"/>
  <c r="E189" i="19"/>
  <c r="A189" i="19" s="1"/>
  <c r="D189" i="19"/>
  <c r="P188" i="19"/>
  <c r="N188" i="19"/>
  <c r="G188" i="19"/>
  <c r="F188" i="19"/>
  <c r="E188" i="19"/>
  <c r="A188" i="19" s="1"/>
  <c r="D188" i="19"/>
  <c r="P187" i="19"/>
  <c r="N187" i="19"/>
  <c r="G187" i="19"/>
  <c r="F187" i="19"/>
  <c r="E187" i="19"/>
  <c r="A187" i="19" s="1"/>
  <c r="D187" i="19"/>
  <c r="P186" i="19"/>
  <c r="N186" i="19"/>
  <c r="G186" i="19"/>
  <c r="F186" i="19"/>
  <c r="E186" i="19"/>
  <c r="A186" i="19" s="1"/>
  <c r="D186" i="19"/>
  <c r="P185" i="19"/>
  <c r="N185" i="19"/>
  <c r="G185" i="19"/>
  <c r="F185" i="19"/>
  <c r="E185" i="19"/>
  <c r="A185" i="19" s="1"/>
  <c r="D185" i="19"/>
  <c r="P184" i="19"/>
  <c r="N184" i="19"/>
  <c r="G184" i="19"/>
  <c r="F184" i="19"/>
  <c r="E184" i="19"/>
  <c r="A184" i="19" s="1"/>
  <c r="D184" i="19"/>
  <c r="P183" i="19"/>
  <c r="N183" i="19"/>
  <c r="G183" i="19"/>
  <c r="F183" i="19"/>
  <c r="E183" i="19"/>
  <c r="A183" i="19" s="1"/>
  <c r="D183" i="19"/>
  <c r="P182" i="19"/>
  <c r="N182" i="19"/>
  <c r="G182" i="19"/>
  <c r="F182" i="19"/>
  <c r="E182" i="19"/>
  <c r="A182" i="19" s="1"/>
  <c r="D182" i="19"/>
  <c r="P181" i="19"/>
  <c r="N181" i="19"/>
  <c r="G181" i="19"/>
  <c r="F181" i="19"/>
  <c r="E181" i="19"/>
  <c r="A181" i="19" s="1"/>
  <c r="D181" i="19"/>
  <c r="P180" i="19"/>
  <c r="N180" i="19"/>
  <c r="G180" i="19"/>
  <c r="F180" i="19"/>
  <c r="E180" i="19"/>
  <c r="A180" i="19" s="1"/>
  <c r="D180" i="19"/>
  <c r="P179" i="19"/>
  <c r="N179" i="19"/>
  <c r="G179" i="19"/>
  <c r="F179" i="19"/>
  <c r="E179" i="19"/>
  <c r="A179" i="19" s="1"/>
  <c r="D179" i="19"/>
  <c r="P178" i="19"/>
  <c r="N178" i="19"/>
  <c r="G178" i="19"/>
  <c r="F178" i="19"/>
  <c r="E178" i="19"/>
  <c r="A178" i="19" s="1"/>
  <c r="D178" i="19"/>
  <c r="P177" i="19"/>
  <c r="N177" i="19"/>
  <c r="G177" i="19"/>
  <c r="F177" i="19"/>
  <c r="E177" i="19"/>
  <c r="A177" i="19" s="1"/>
  <c r="D177" i="19"/>
  <c r="P176" i="19"/>
  <c r="N176" i="19"/>
  <c r="G176" i="19"/>
  <c r="F176" i="19"/>
  <c r="E176" i="19"/>
  <c r="A176" i="19" s="1"/>
  <c r="D176" i="19"/>
  <c r="P175" i="19"/>
  <c r="N175" i="19"/>
  <c r="G175" i="19"/>
  <c r="F175" i="19"/>
  <c r="E175" i="19"/>
  <c r="A175" i="19" s="1"/>
  <c r="D175" i="19"/>
  <c r="P174" i="19"/>
  <c r="N174" i="19"/>
  <c r="G174" i="19"/>
  <c r="F174" i="19"/>
  <c r="E174" i="19"/>
  <c r="A174" i="19" s="1"/>
  <c r="D174" i="19"/>
  <c r="P173" i="19"/>
  <c r="N173" i="19"/>
  <c r="G173" i="19"/>
  <c r="F173" i="19"/>
  <c r="E173" i="19"/>
  <c r="A173" i="19" s="1"/>
  <c r="D173" i="19"/>
  <c r="P172" i="19"/>
  <c r="N172" i="19"/>
  <c r="G172" i="19"/>
  <c r="F172" i="19"/>
  <c r="E172" i="19"/>
  <c r="A172" i="19" s="1"/>
  <c r="D172" i="19"/>
  <c r="P171" i="19"/>
  <c r="N171" i="19"/>
  <c r="G171" i="19"/>
  <c r="F171" i="19"/>
  <c r="E171" i="19"/>
  <c r="A171" i="19" s="1"/>
  <c r="D171" i="19"/>
  <c r="P170" i="19"/>
  <c r="N170" i="19"/>
  <c r="G170" i="19"/>
  <c r="F170" i="19"/>
  <c r="E170" i="19"/>
  <c r="A170" i="19" s="1"/>
  <c r="D170" i="19"/>
  <c r="P169" i="19"/>
  <c r="N169" i="19"/>
  <c r="G169" i="19"/>
  <c r="F169" i="19"/>
  <c r="E169" i="19"/>
  <c r="A169" i="19" s="1"/>
  <c r="D169" i="19"/>
  <c r="P168" i="19"/>
  <c r="N168" i="19"/>
  <c r="G168" i="19"/>
  <c r="F168" i="19"/>
  <c r="E168" i="19"/>
  <c r="A168" i="19" s="1"/>
  <c r="D168" i="19"/>
  <c r="P167" i="19"/>
  <c r="N167" i="19"/>
  <c r="G167" i="19"/>
  <c r="F167" i="19"/>
  <c r="E167" i="19"/>
  <c r="A167" i="19" s="1"/>
  <c r="D167" i="19"/>
  <c r="P166" i="19"/>
  <c r="N166" i="19"/>
  <c r="G166" i="19"/>
  <c r="F166" i="19"/>
  <c r="E166" i="19"/>
  <c r="A166" i="19" s="1"/>
  <c r="D166" i="19"/>
  <c r="P165" i="19"/>
  <c r="N165" i="19"/>
  <c r="G165" i="19"/>
  <c r="F165" i="19"/>
  <c r="E165" i="19"/>
  <c r="A165" i="19" s="1"/>
  <c r="D165" i="19"/>
  <c r="P164" i="19"/>
  <c r="N164" i="19"/>
  <c r="G164" i="19"/>
  <c r="F164" i="19"/>
  <c r="E164" i="19"/>
  <c r="A164" i="19" s="1"/>
  <c r="D164" i="19"/>
  <c r="P163" i="19"/>
  <c r="N163" i="19"/>
  <c r="G163" i="19"/>
  <c r="F163" i="19"/>
  <c r="E163" i="19"/>
  <c r="A163" i="19" s="1"/>
  <c r="D163" i="19"/>
  <c r="P162" i="19"/>
  <c r="N162" i="19"/>
  <c r="G162" i="19"/>
  <c r="F162" i="19"/>
  <c r="E162" i="19"/>
  <c r="A162" i="19" s="1"/>
  <c r="D162" i="19"/>
  <c r="P161" i="19"/>
  <c r="N161" i="19"/>
  <c r="G161" i="19"/>
  <c r="F161" i="19"/>
  <c r="E161" i="19"/>
  <c r="A161" i="19" s="1"/>
  <c r="D161" i="19"/>
  <c r="P160" i="19"/>
  <c r="N160" i="19"/>
  <c r="G160" i="19"/>
  <c r="F160" i="19"/>
  <c r="E160" i="19"/>
  <c r="A160" i="19" s="1"/>
  <c r="D160" i="19"/>
  <c r="P159" i="19"/>
  <c r="N159" i="19"/>
  <c r="G159" i="19"/>
  <c r="F159" i="19"/>
  <c r="E159" i="19"/>
  <c r="A159" i="19" s="1"/>
  <c r="D159" i="19"/>
  <c r="P158" i="19"/>
  <c r="N158" i="19"/>
  <c r="G158" i="19"/>
  <c r="F158" i="19"/>
  <c r="E158" i="19"/>
  <c r="A158" i="19" s="1"/>
  <c r="D158" i="19"/>
  <c r="P157" i="19"/>
  <c r="N157" i="19"/>
  <c r="G157" i="19"/>
  <c r="F157" i="19"/>
  <c r="E157" i="19"/>
  <c r="A157" i="19" s="1"/>
  <c r="D157" i="19"/>
  <c r="P156" i="19"/>
  <c r="N156" i="19"/>
  <c r="G156" i="19"/>
  <c r="F156" i="19"/>
  <c r="E156" i="19"/>
  <c r="A156" i="19" s="1"/>
  <c r="D156" i="19"/>
  <c r="P155" i="19"/>
  <c r="N155" i="19"/>
  <c r="G155" i="19"/>
  <c r="F155" i="19"/>
  <c r="E155" i="19"/>
  <c r="A155" i="19" s="1"/>
  <c r="D155" i="19"/>
  <c r="P154" i="19"/>
  <c r="N154" i="19"/>
  <c r="G154" i="19"/>
  <c r="F154" i="19"/>
  <c r="E154" i="19"/>
  <c r="A154" i="19" s="1"/>
  <c r="D154" i="19"/>
  <c r="P153" i="19"/>
  <c r="N153" i="19"/>
  <c r="G153" i="19"/>
  <c r="F153" i="19"/>
  <c r="E153" i="19"/>
  <c r="A153" i="19" s="1"/>
  <c r="D153" i="19"/>
  <c r="P152" i="19"/>
  <c r="N152" i="19"/>
  <c r="G152" i="19"/>
  <c r="F152" i="19"/>
  <c r="E152" i="19"/>
  <c r="A152" i="19" s="1"/>
  <c r="D152" i="19"/>
  <c r="P151" i="19"/>
  <c r="N151" i="19"/>
  <c r="G151" i="19"/>
  <c r="F151" i="19"/>
  <c r="E151" i="19"/>
  <c r="A151" i="19" s="1"/>
  <c r="D151" i="19"/>
  <c r="P150" i="19"/>
  <c r="N150" i="19"/>
  <c r="G150" i="19"/>
  <c r="F150" i="19"/>
  <c r="E150" i="19"/>
  <c r="A150" i="19" s="1"/>
  <c r="D150" i="19"/>
  <c r="P149" i="19"/>
  <c r="N149" i="19"/>
  <c r="G149" i="19"/>
  <c r="F149" i="19"/>
  <c r="E149" i="19"/>
  <c r="A149" i="19" s="1"/>
  <c r="D149" i="19"/>
  <c r="P148" i="19"/>
  <c r="N148" i="19"/>
  <c r="G148" i="19"/>
  <c r="F148" i="19"/>
  <c r="E148" i="19"/>
  <c r="A148" i="19" s="1"/>
  <c r="D148" i="19"/>
  <c r="P147" i="19"/>
  <c r="N147" i="19"/>
  <c r="G147" i="19"/>
  <c r="F147" i="19"/>
  <c r="E147" i="19"/>
  <c r="A147" i="19" s="1"/>
  <c r="D147" i="19"/>
  <c r="P146" i="19"/>
  <c r="N146" i="19"/>
  <c r="G146" i="19"/>
  <c r="F146" i="19"/>
  <c r="E146" i="19"/>
  <c r="A146" i="19" s="1"/>
  <c r="D146" i="19"/>
  <c r="P145" i="19"/>
  <c r="N145" i="19"/>
  <c r="G145" i="19"/>
  <c r="F145" i="19"/>
  <c r="E145" i="19"/>
  <c r="A145" i="19" s="1"/>
  <c r="D145" i="19"/>
  <c r="P144" i="19"/>
  <c r="N144" i="19"/>
  <c r="G144" i="19"/>
  <c r="F144" i="19"/>
  <c r="E144" i="19"/>
  <c r="A144" i="19" s="1"/>
  <c r="D144" i="19"/>
  <c r="P143" i="19"/>
  <c r="N143" i="19"/>
  <c r="G143" i="19"/>
  <c r="F143" i="19"/>
  <c r="E143" i="19"/>
  <c r="A143" i="19" s="1"/>
  <c r="D143" i="19"/>
  <c r="P142" i="19"/>
  <c r="N142" i="19"/>
  <c r="G142" i="19"/>
  <c r="F142" i="19"/>
  <c r="E142" i="19"/>
  <c r="A142" i="19" s="1"/>
  <c r="D142" i="19"/>
  <c r="P141" i="19"/>
  <c r="N141" i="19"/>
  <c r="G141" i="19"/>
  <c r="F141" i="19"/>
  <c r="E141" i="19"/>
  <c r="A141" i="19" s="1"/>
  <c r="D141" i="19"/>
  <c r="P140" i="19"/>
  <c r="N140" i="19"/>
  <c r="G140" i="19"/>
  <c r="F140" i="19"/>
  <c r="E140" i="19"/>
  <c r="A140" i="19" s="1"/>
  <c r="D140" i="19"/>
  <c r="P139" i="19"/>
  <c r="N139" i="19"/>
  <c r="G139" i="19"/>
  <c r="F139" i="19"/>
  <c r="E139" i="19"/>
  <c r="A139" i="19" s="1"/>
  <c r="D139" i="19"/>
  <c r="P138" i="19"/>
  <c r="N138" i="19"/>
  <c r="G138" i="19"/>
  <c r="F138" i="19"/>
  <c r="E138" i="19"/>
  <c r="A138" i="19" s="1"/>
  <c r="D138" i="19"/>
  <c r="P137" i="19"/>
  <c r="N137" i="19"/>
  <c r="G137" i="19"/>
  <c r="F137" i="19"/>
  <c r="E137" i="19"/>
  <c r="A137" i="19" s="1"/>
  <c r="D137" i="19"/>
  <c r="P136" i="19"/>
  <c r="N136" i="19"/>
  <c r="G136" i="19"/>
  <c r="F136" i="19"/>
  <c r="E136" i="19"/>
  <c r="A136" i="19" s="1"/>
  <c r="D136" i="19"/>
  <c r="P135" i="19"/>
  <c r="N135" i="19"/>
  <c r="G135" i="19"/>
  <c r="F135" i="19"/>
  <c r="E135" i="19"/>
  <c r="A135" i="19" s="1"/>
  <c r="D135" i="19"/>
  <c r="P134" i="19"/>
  <c r="N134" i="19"/>
  <c r="G134" i="19"/>
  <c r="F134" i="19"/>
  <c r="E134" i="19"/>
  <c r="A134" i="19" s="1"/>
  <c r="D134" i="19"/>
  <c r="P133" i="19"/>
  <c r="N133" i="19"/>
  <c r="G133" i="19"/>
  <c r="F133" i="19"/>
  <c r="E133" i="19"/>
  <c r="A133" i="19" s="1"/>
  <c r="D133" i="19"/>
  <c r="P132" i="19"/>
  <c r="N132" i="19"/>
  <c r="G132" i="19"/>
  <c r="F132" i="19"/>
  <c r="E132" i="19"/>
  <c r="A132" i="19" s="1"/>
  <c r="D132" i="19"/>
  <c r="P131" i="19"/>
  <c r="N131" i="19"/>
  <c r="G131" i="19"/>
  <c r="F131" i="19"/>
  <c r="E131" i="19"/>
  <c r="A131" i="19" s="1"/>
  <c r="D131" i="19"/>
  <c r="P130" i="19"/>
  <c r="N130" i="19"/>
  <c r="G130" i="19"/>
  <c r="F130" i="19"/>
  <c r="E130" i="19"/>
  <c r="A130" i="19" s="1"/>
  <c r="D130" i="19"/>
  <c r="P129" i="19"/>
  <c r="N129" i="19"/>
  <c r="G129" i="19"/>
  <c r="F129" i="19"/>
  <c r="E129" i="19"/>
  <c r="A129" i="19" s="1"/>
  <c r="D129" i="19"/>
  <c r="P128" i="19"/>
  <c r="N128" i="19"/>
  <c r="G128" i="19"/>
  <c r="F128" i="19"/>
  <c r="E128" i="19"/>
  <c r="A128" i="19" s="1"/>
  <c r="D128" i="19"/>
  <c r="P127" i="19"/>
  <c r="N127" i="19"/>
  <c r="G127" i="19"/>
  <c r="F127" i="19"/>
  <c r="E127" i="19"/>
  <c r="A127" i="19" s="1"/>
  <c r="D127" i="19"/>
  <c r="P126" i="19"/>
  <c r="N126" i="19"/>
  <c r="G126" i="19"/>
  <c r="F126" i="19"/>
  <c r="E126" i="19"/>
  <c r="A126" i="19" s="1"/>
  <c r="D126" i="19"/>
  <c r="P125" i="19"/>
  <c r="N125" i="19"/>
  <c r="G125" i="19"/>
  <c r="F125" i="19"/>
  <c r="E125" i="19"/>
  <c r="A125" i="19" s="1"/>
  <c r="D125" i="19"/>
  <c r="P124" i="19"/>
  <c r="N124" i="19"/>
  <c r="G124" i="19"/>
  <c r="F124" i="19"/>
  <c r="E124" i="19"/>
  <c r="A124" i="19" s="1"/>
  <c r="D124" i="19"/>
  <c r="P123" i="19"/>
  <c r="N123" i="19"/>
  <c r="G123" i="19"/>
  <c r="F123" i="19"/>
  <c r="E123" i="19"/>
  <c r="A123" i="19" s="1"/>
  <c r="D123" i="19"/>
  <c r="P122" i="19"/>
  <c r="N122" i="19"/>
  <c r="G122" i="19"/>
  <c r="F122" i="19"/>
  <c r="E122" i="19"/>
  <c r="A122" i="19" s="1"/>
  <c r="D122" i="19"/>
  <c r="P121" i="19"/>
  <c r="N121" i="19"/>
  <c r="G121" i="19"/>
  <c r="F121" i="19"/>
  <c r="E121" i="19"/>
  <c r="A121" i="19" s="1"/>
  <c r="D121" i="19"/>
  <c r="P120" i="19"/>
  <c r="N120" i="19"/>
  <c r="G120" i="19"/>
  <c r="F120" i="19"/>
  <c r="E120" i="19"/>
  <c r="A120" i="19" s="1"/>
  <c r="D120" i="19"/>
  <c r="P119" i="19"/>
  <c r="N119" i="19"/>
  <c r="G119" i="19"/>
  <c r="F119" i="19"/>
  <c r="E119" i="19"/>
  <c r="A119" i="19" s="1"/>
  <c r="D119" i="19"/>
  <c r="P118" i="19"/>
  <c r="N118" i="19"/>
  <c r="G118" i="19"/>
  <c r="F118" i="19"/>
  <c r="E118" i="19"/>
  <c r="A118" i="19" s="1"/>
  <c r="D118" i="19"/>
  <c r="P117" i="19"/>
  <c r="N117" i="19"/>
  <c r="G117" i="19"/>
  <c r="F117" i="19"/>
  <c r="E117" i="19"/>
  <c r="A117" i="19" s="1"/>
  <c r="D117" i="19"/>
  <c r="P116" i="19"/>
  <c r="N116" i="19"/>
  <c r="G116" i="19"/>
  <c r="F116" i="19"/>
  <c r="E116" i="19"/>
  <c r="A116" i="19" s="1"/>
  <c r="D116" i="19"/>
  <c r="P115" i="19"/>
  <c r="N115" i="19"/>
  <c r="G115" i="19"/>
  <c r="F115" i="19"/>
  <c r="E115" i="19"/>
  <c r="A115" i="19" s="1"/>
  <c r="D115" i="19"/>
  <c r="P114" i="19"/>
  <c r="N114" i="19"/>
  <c r="G114" i="19"/>
  <c r="F114" i="19"/>
  <c r="E114" i="19"/>
  <c r="A114" i="19" s="1"/>
  <c r="D114" i="19"/>
  <c r="P113" i="19"/>
  <c r="N113" i="19"/>
  <c r="G113" i="19"/>
  <c r="F113" i="19"/>
  <c r="E113" i="19"/>
  <c r="A113" i="19" s="1"/>
  <c r="D113" i="19"/>
  <c r="P112" i="19"/>
  <c r="N112" i="19"/>
  <c r="G112" i="19"/>
  <c r="F112" i="19"/>
  <c r="E112" i="19"/>
  <c r="A112" i="19" s="1"/>
  <c r="D112" i="19"/>
  <c r="P111" i="19"/>
  <c r="N111" i="19"/>
  <c r="G111" i="19"/>
  <c r="F111" i="19"/>
  <c r="E111" i="19"/>
  <c r="A111" i="19" s="1"/>
  <c r="D111" i="19"/>
  <c r="P110" i="19"/>
  <c r="N110" i="19"/>
  <c r="G110" i="19"/>
  <c r="F110" i="19"/>
  <c r="E110" i="19"/>
  <c r="A110" i="19" s="1"/>
  <c r="D110" i="19"/>
  <c r="P109" i="19"/>
  <c r="N109" i="19"/>
  <c r="G109" i="19"/>
  <c r="F109" i="19"/>
  <c r="E109" i="19"/>
  <c r="A109" i="19" s="1"/>
  <c r="D109" i="19"/>
  <c r="P108" i="19"/>
  <c r="N108" i="19"/>
  <c r="G108" i="19"/>
  <c r="F108" i="19"/>
  <c r="E108" i="19"/>
  <c r="A108" i="19" s="1"/>
  <c r="D108" i="19"/>
  <c r="P107" i="19"/>
  <c r="N107" i="19"/>
  <c r="G107" i="19"/>
  <c r="F107" i="19"/>
  <c r="E107" i="19"/>
  <c r="A107" i="19" s="1"/>
  <c r="D107" i="19"/>
  <c r="P106" i="19"/>
  <c r="N106" i="19"/>
  <c r="G106" i="19"/>
  <c r="F106" i="19"/>
  <c r="E106" i="19"/>
  <c r="A106" i="19" s="1"/>
  <c r="D106" i="19"/>
  <c r="P105" i="19"/>
  <c r="N105" i="19"/>
  <c r="G105" i="19"/>
  <c r="F105" i="19"/>
  <c r="E105" i="19"/>
  <c r="A105" i="19" s="1"/>
  <c r="D105" i="19"/>
  <c r="P104" i="19"/>
  <c r="N104" i="19"/>
  <c r="G104" i="19"/>
  <c r="F104" i="19"/>
  <c r="E104" i="19"/>
  <c r="A104" i="19" s="1"/>
  <c r="D104" i="19"/>
  <c r="P103" i="19"/>
  <c r="N103" i="19"/>
  <c r="G103" i="19"/>
  <c r="F103" i="19"/>
  <c r="E103" i="19"/>
  <c r="A103" i="19" s="1"/>
  <c r="D103" i="19"/>
  <c r="P102" i="19"/>
  <c r="N102" i="19"/>
  <c r="G102" i="19"/>
  <c r="F102" i="19"/>
  <c r="E102" i="19"/>
  <c r="A102" i="19" s="1"/>
  <c r="D102" i="19"/>
  <c r="P101" i="19"/>
  <c r="N101" i="19"/>
  <c r="G101" i="19"/>
  <c r="F101" i="19"/>
  <c r="E101" i="19"/>
  <c r="A101" i="19" s="1"/>
  <c r="D101" i="19"/>
  <c r="P100" i="19"/>
  <c r="N100" i="19"/>
  <c r="G100" i="19"/>
  <c r="F100" i="19"/>
  <c r="E100" i="19"/>
  <c r="A100" i="19" s="1"/>
  <c r="D100" i="19"/>
  <c r="P99" i="19"/>
  <c r="N99" i="19"/>
  <c r="G99" i="19"/>
  <c r="F99" i="19"/>
  <c r="E99" i="19"/>
  <c r="A99" i="19" s="1"/>
  <c r="D99" i="19"/>
  <c r="P98" i="19"/>
  <c r="N98" i="19"/>
  <c r="G98" i="19"/>
  <c r="F98" i="19"/>
  <c r="E98" i="19"/>
  <c r="A98" i="19" s="1"/>
  <c r="D98" i="19"/>
  <c r="P97" i="19"/>
  <c r="N97" i="19"/>
  <c r="G97" i="19"/>
  <c r="F97" i="19"/>
  <c r="E97" i="19"/>
  <c r="A97" i="19" s="1"/>
  <c r="D97" i="19"/>
  <c r="P96" i="19"/>
  <c r="N96" i="19"/>
  <c r="G96" i="19"/>
  <c r="F96" i="19"/>
  <c r="E96" i="19"/>
  <c r="A96" i="19" s="1"/>
  <c r="D96" i="19"/>
  <c r="P95" i="19"/>
  <c r="N95" i="19"/>
  <c r="G95" i="19"/>
  <c r="F95" i="19"/>
  <c r="E95" i="19"/>
  <c r="A95" i="19" s="1"/>
  <c r="D95" i="19"/>
  <c r="P94" i="19"/>
  <c r="N94" i="19"/>
  <c r="G94" i="19"/>
  <c r="F94" i="19"/>
  <c r="E94" i="19"/>
  <c r="A94" i="19" s="1"/>
  <c r="D94" i="19"/>
  <c r="P93" i="19"/>
  <c r="N93" i="19"/>
  <c r="G93" i="19"/>
  <c r="F93" i="19"/>
  <c r="E93" i="19"/>
  <c r="A93" i="19" s="1"/>
  <c r="D93" i="19"/>
  <c r="P92" i="19"/>
  <c r="N92" i="19"/>
  <c r="G92" i="19"/>
  <c r="F92" i="19"/>
  <c r="E92" i="19"/>
  <c r="A92" i="19" s="1"/>
  <c r="D92" i="19"/>
  <c r="P91" i="19"/>
  <c r="N91" i="19"/>
  <c r="G91" i="19"/>
  <c r="F91" i="19"/>
  <c r="E91" i="19"/>
  <c r="A91" i="19" s="1"/>
  <c r="D91" i="19"/>
  <c r="P90" i="19"/>
  <c r="N90" i="19"/>
  <c r="G90" i="19"/>
  <c r="F90" i="19"/>
  <c r="E90" i="19"/>
  <c r="A90" i="19" s="1"/>
  <c r="D90" i="19"/>
  <c r="P89" i="19"/>
  <c r="N89" i="19"/>
  <c r="G89" i="19"/>
  <c r="F89" i="19"/>
  <c r="E89" i="19"/>
  <c r="A89" i="19" s="1"/>
  <c r="D89" i="19"/>
  <c r="P88" i="19"/>
  <c r="N88" i="19"/>
  <c r="G88" i="19"/>
  <c r="F88" i="19"/>
  <c r="E88" i="19"/>
  <c r="A88" i="19" s="1"/>
  <c r="D88" i="19"/>
  <c r="P87" i="19"/>
  <c r="N87" i="19"/>
  <c r="G87" i="19"/>
  <c r="F87" i="19"/>
  <c r="E87" i="19"/>
  <c r="A87" i="19" s="1"/>
  <c r="D87" i="19"/>
  <c r="P86" i="19"/>
  <c r="N86" i="19"/>
  <c r="G86" i="19"/>
  <c r="F86" i="19"/>
  <c r="E86" i="19"/>
  <c r="A86" i="19" s="1"/>
  <c r="D86" i="19"/>
  <c r="P85" i="19"/>
  <c r="N85" i="19"/>
  <c r="G85" i="19"/>
  <c r="F85" i="19"/>
  <c r="E85" i="19"/>
  <c r="A85" i="19" s="1"/>
  <c r="D85" i="19"/>
  <c r="P84" i="19"/>
  <c r="N84" i="19"/>
  <c r="G84" i="19"/>
  <c r="F84" i="19"/>
  <c r="E84" i="19"/>
  <c r="A84" i="19" s="1"/>
  <c r="D84" i="19"/>
  <c r="P83" i="19"/>
  <c r="N83" i="19"/>
  <c r="G83" i="19"/>
  <c r="F83" i="19"/>
  <c r="E83" i="19"/>
  <c r="A83" i="19" s="1"/>
  <c r="D83" i="19"/>
  <c r="P82" i="19"/>
  <c r="N82" i="19"/>
  <c r="G82" i="19"/>
  <c r="F82" i="19"/>
  <c r="E82" i="19"/>
  <c r="A82" i="19" s="1"/>
  <c r="D82" i="19"/>
  <c r="P81" i="19"/>
  <c r="N81" i="19"/>
  <c r="G81" i="19"/>
  <c r="F81" i="19"/>
  <c r="E81" i="19"/>
  <c r="A81" i="19" s="1"/>
  <c r="D81" i="19"/>
  <c r="P80" i="19"/>
  <c r="N80" i="19"/>
  <c r="G80" i="19"/>
  <c r="F80" i="19"/>
  <c r="E80" i="19"/>
  <c r="A80" i="19" s="1"/>
  <c r="D80" i="19"/>
  <c r="P79" i="19"/>
  <c r="N79" i="19"/>
  <c r="G79" i="19"/>
  <c r="F79" i="19"/>
  <c r="E79" i="19"/>
  <c r="A79" i="19" s="1"/>
  <c r="D79" i="19"/>
  <c r="P78" i="19"/>
  <c r="N78" i="19"/>
  <c r="G78" i="19"/>
  <c r="F78" i="19"/>
  <c r="E78" i="19"/>
  <c r="A78" i="19" s="1"/>
  <c r="D78" i="19"/>
  <c r="P77" i="19"/>
  <c r="N77" i="19"/>
  <c r="G77" i="19"/>
  <c r="F77" i="19"/>
  <c r="E77" i="19"/>
  <c r="A77" i="19" s="1"/>
  <c r="D77" i="19"/>
  <c r="P76" i="19"/>
  <c r="N76" i="19"/>
  <c r="G76" i="19"/>
  <c r="F76" i="19"/>
  <c r="E76" i="19"/>
  <c r="A76" i="19" s="1"/>
  <c r="D76" i="19"/>
  <c r="P75" i="19"/>
  <c r="N75" i="19"/>
  <c r="G75" i="19"/>
  <c r="F75" i="19"/>
  <c r="E75" i="19"/>
  <c r="A75" i="19" s="1"/>
  <c r="D75" i="19"/>
  <c r="P74" i="19"/>
  <c r="N74" i="19"/>
  <c r="G74" i="19"/>
  <c r="F74" i="19"/>
  <c r="E74" i="19"/>
  <c r="A74" i="19" s="1"/>
  <c r="D74" i="19"/>
  <c r="P73" i="19"/>
  <c r="N73" i="19"/>
  <c r="G73" i="19"/>
  <c r="F73" i="19"/>
  <c r="E73" i="19"/>
  <c r="A73" i="19" s="1"/>
  <c r="D73" i="19"/>
  <c r="P72" i="19"/>
  <c r="N72" i="19"/>
  <c r="G72" i="19"/>
  <c r="F72" i="19"/>
  <c r="E72" i="19"/>
  <c r="A72" i="19" s="1"/>
  <c r="D72" i="19"/>
  <c r="P71" i="19"/>
  <c r="N71" i="19"/>
  <c r="G71" i="19"/>
  <c r="F71" i="19"/>
  <c r="E71" i="19"/>
  <c r="A71" i="19" s="1"/>
  <c r="D71" i="19"/>
  <c r="P70" i="19"/>
  <c r="N70" i="19"/>
  <c r="G70" i="19"/>
  <c r="F70" i="19"/>
  <c r="E70" i="19"/>
  <c r="A70" i="19" s="1"/>
  <c r="D70" i="19"/>
  <c r="P69" i="19"/>
  <c r="N69" i="19"/>
  <c r="G69" i="19"/>
  <c r="F69" i="19"/>
  <c r="E69" i="19"/>
  <c r="A69" i="19" s="1"/>
  <c r="D69" i="19"/>
  <c r="P68" i="19"/>
  <c r="N68" i="19"/>
  <c r="G68" i="19"/>
  <c r="F68" i="19"/>
  <c r="E68" i="19"/>
  <c r="A68" i="19" s="1"/>
  <c r="D68" i="19"/>
  <c r="P67" i="19"/>
  <c r="N67" i="19"/>
  <c r="G67" i="19"/>
  <c r="F67" i="19"/>
  <c r="E67" i="19"/>
  <c r="A67" i="19" s="1"/>
  <c r="D67" i="19"/>
  <c r="P66" i="19"/>
  <c r="N66" i="19"/>
  <c r="G66" i="19"/>
  <c r="F66" i="19"/>
  <c r="E66" i="19"/>
  <c r="A66" i="19" s="1"/>
  <c r="D66" i="19"/>
  <c r="P65" i="19"/>
  <c r="N65" i="19"/>
  <c r="G65" i="19"/>
  <c r="F65" i="19"/>
  <c r="E65" i="19"/>
  <c r="A65" i="19" s="1"/>
  <c r="D65" i="19"/>
  <c r="P64" i="19"/>
  <c r="N64" i="19"/>
  <c r="G64" i="19"/>
  <c r="F64" i="19"/>
  <c r="E64" i="19"/>
  <c r="A64" i="19" s="1"/>
  <c r="D64" i="19"/>
  <c r="P63" i="19"/>
  <c r="N63" i="19"/>
  <c r="G63" i="19"/>
  <c r="F63" i="19"/>
  <c r="E63" i="19"/>
  <c r="A63" i="19" s="1"/>
  <c r="D63" i="19"/>
  <c r="P62" i="19"/>
  <c r="N62" i="19"/>
  <c r="G62" i="19"/>
  <c r="F62" i="19"/>
  <c r="E62" i="19"/>
  <c r="A62" i="19" s="1"/>
  <c r="D62" i="19"/>
  <c r="P61" i="19"/>
  <c r="N61" i="19"/>
  <c r="G61" i="19"/>
  <c r="F61" i="19"/>
  <c r="E61" i="19"/>
  <c r="A61" i="19" s="1"/>
  <c r="D61" i="19"/>
  <c r="P60" i="19"/>
  <c r="N60" i="19"/>
  <c r="G60" i="19"/>
  <c r="F60" i="19"/>
  <c r="E60" i="19"/>
  <c r="A60" i="19" s="1"/>
  <c r="D60" i="19"/>
  <c r="P59" i="19"/>
  <c r="N59" i="19"/>
  <c r="G59" i="19"/>
  <c r="F59" i="19"/>
  <c r="E59" i="19"/>
  <c r="A59" i="19" s="1"/>
  <c r="D59" i="19"/>
  <c r="P58" i="19"/>
  <c r="N58" i="19"/>
  <c r="G58" i="19"/>
  <c r="F58" i="19"/>
  <c r="E58" i="19"/>
  <c r="A58" i="19" s="1"/>
  <c r="D58" i="19"/>
  <c r="P57" i="19"/>
  <c r="N57" i="19"/>
  <c r="G57" i="19"/>
  <c r="F57" i="19"/>
  <c r="E57" i="19"/>
  <c r="A57" i="19" s="1"/>
  <c r="D57" i="19"/>
  <c r="P56" i="19"/>
  <c r="N56" i="19"/>
  <c r="G56" i="19"/>
  <c r="F56" i="19"/>
  <c r="E56" i="19"/>
  <c r="A56" i="19" s="1"/>
  <c r="D56" i="19"/>
  <c r="P55" i="19"/>
  <c r="N55" i="19"/>
  <c r="G55" i="19"/>
  <c r="F55" i="19"/>
  <c r="E55" i="19"/>
  <c r="A55" i="19" s="1"/>
  <c r="D55" i="19"/>
  <c r="P54" i="19"/>
  <c r="N54" i="19"/>
  <c r="G54" i="19"/>
  <c r="F54" i="19"/>
  <c r="E54" i="19"/>
  <c r="A54" i="19" s="1"/>
  <c r="D54" i="19"/>
  <c r="P53" i="19"/>
  <c r="N53" i="19"/>
  <c r="G53" i="19"/>
  <c r="F53" i="19"/>
  <c r="E53" i="19"/>
  <c r="A53" i="19" s="1"/>
  <c r="D53" i="19"/>
  <c r="P52" i="19"/>
  <c r="N52" i="19"/>
  <c r="G52" i="19"/>
  <c r="F52" i="19"/>
  <c r="E52" i="19"/>
  <c r="A52" i="19" s="1"/>
  <c r="D52" i="19"/>
  <c r="P51" i="19"/>
  <c r="N51" i="19"/>
  <c r="G51" i="19"/>
  <c r="F51" i="19"/>
  <c r="E51" i="19"/>
  <c r="A51" i="19" s="1"/>
  <c r="D51" i="19"/>
  <c r="P50" i="19"/>
  <c r="N50" i="19"/>
  <c r="G50" i="19"/>
  <c r="F50" i="19"/>
  <c r="E50" i="19"/>
  <c r="A50" i="19" s="1"/>
  <c r="D50" i="19"/>
  <c r="P49" i="19"/>
  <c r="N49" i="19"/>
  <c r="G49" i="19"/>
  <c r="F49" i="19"/>
  <c r="E49" i="19"/>
  <c r="A49" i="19" s="1"/>
  <c r="D49" i="19"/>
  <c r="P48" i="19"/>
  <c r="N48" i="19"/>
  <c r="G48" i="19"/>
  <c r="F48" i="19"/>
  <c r="E48" i="19"/>
  <c r="A48" i="19" s="1"/>
  <c r="D48" i="19"/>
  <c r="P47" i="19"/>
  <c r="N47" i="19"/>
  <c r="G47" i="19"/>
  <c r="F47" i="19"/>
  <c r="E47" i="19"/>
  <c r="A47" i="19" s="1"/>
  <c r="D47" i="19"/>
  <c r="P46" i="19"/>
  <c r="N46" i="19"/>
  <c r="G46" i="19"/>
  <c r="F46" i="19"/>
  <c r="E46" i="19"/>
  <c r="A46" i="19" s="1"/>
  <c r="D46" i="19"/>
  <c r="P45" i="19"/>
  <c r="N45" i="19"/>
  <c r="G45" i="19"/>
  <c r="F45" i="19"/>
  <c r="E45" i="19"/>
  <c r="A45" i="19" s="1"/>
  <c r="D45" i="19"/>
  <c r="P44" i="19"/>
  <c r="N44" i="19"/>
  <c r="G44" i="19"/>
  <c r="F44" i="19"/>
  <c r="E44" i="19"/>
  <c r="A44" i="19" s="1"/>
  <c r="D44" i="19"/>
  <c r="P43" i="19"/>
  <c r="N43" i="19"/>
  <c r="G43" i="19"/>
  <c r="F43" i="19"/>
  <c r="E43" i="19"/>
  <c r="A43" i="19" s="1"/>
  <c r="D43" i="19"/>
  <c r="P42" i="19"/>
  <c r="N42" i="19"/>
  <c r="G42" i="19"/>
  <c r="F42" i="19"/>
  <c r="E42" i="19"/>
  <c r="A42" i="19" s="1"/>
  <c r="D42" i="19"/>
  <c r="P41" i="19"/>
  <c r="N41" i="19"/>
  <c r="G41" i="19"/>
  <c r="F41" i="19"/>
  <c r="E41" i="19"/>
  <c r="A41" i="19" s="1"/>
  <c r="D41" i="19"/>
  <c r="P40" i="19"/>
  <c r="N40" i="19"/>
  <c r="G40" i="19"/>
  <c r="F40" i="19"/>
  <c r="E40" i="19"/>
  <c r="A40" i="19" s="1"/>
  <c r="D40" i="19"/>
  <c r="P39" i="19"/>
  <c r="N39" i="19"/>
  <c r="G39" i="19"/>
  <c r="F39" i="19"/>
  <c r="E39" i="19"/>
  <c r="A39" i="19" s="1"/>
  <c r="D39" i="19"/>
  <c r="P38" i="19"/>
  <c r="N38" i="19"/>
  <c r="G38" i="19"/>
  <c r="F38" i="19"/>
  <c r="E38" i="19"/>
  <c r="A38" i="19" s="1"/>
  <c r="D38" i="19"/>
  <c r="P37" i="19"/>
  <c r="N37" i="19"/>
  <c r="G37" i="19"/>
  <c r="F37" i="19"/>
  <c r="E37" i="19"/>
  <c r="A37" i="19" s="1"/>
  <c r="D37" i="19"/>
  <c r="P36" i="19"/>
  <c r="N36" i="19"/>
  <c r="G36" i="19"/>
  <c r="F36" i="19"/>
  <c r="E36" i="19"/>
  <c r="A36" i="19" s="1"/>
  <c r="D36" i="19"/>
  <c r="P35" i="19"/>
  <c r="N35" i="19"/>
  <c r="G35" i="19"/>
  <c r="F35" i="19"/>
  <c r="E35" i="19"/>
  <c r="A35" i="19" s="1"/>
  <c r="D35" i="19"/>
  <c r="P34" i="19"/>
  <c r="N34" i="19"/>
  <c r="G34" i="19"/>
  <c r="F34" i="19"/>
  <c r="E34" i="19"/>
  <c r="A34" i="19" s="1"/>
  <c r="D34" i="19"/>
  <c r="P33" i="19"/>
  <c r="N33" i="19"/>
  <c r="G33" i="19"/>
  <c r="F33" i="19"/>
  <c r="E33" i="19"/>
  <c r="A33" i="19" s="1"/>
  <c r="D33" i="19"/>
  <c r="P32" i="19"/>
  <c r="N32" i="19"/>
  <c r="G32" i="19"/>
  <c r="F32" i="19"/>
  <c r="E32" i="19"/>
  <c r="A32" i="19" s="1"/>
  <c r="D32" i="19"/>
  <c r="P31" i="19"/>
  <c r="N31" i="19"/>
  <c r="G31" i="19"/>
  <c r="F31" i="19"/>
  <c r="E31" i="19"/>
  <c r="A31" i="19" s="1"/>
  <c r="D31" i="19"/>
  <c r="P30" i="19"/>
  <c r="N30" i="19"/>
  <c r="G30" i="19"/>
  <c r="F30" i="19"/>
  <c r="E30" i="19"/>
  <c r="A30" i="19" s="1"/>
  <c r="D30" i="19"/>
  <c r="P29" i="19"/>
  <c r="N29" i="19"/>
  <c r="G29" i="19"/>
  <c r="F29" i="19"/>
  <c r="E29" i="19"/>
  <c r="A29" i="19" s="1"/>
  <c r="D29" i="19"/>
  <c r="P28" i="19"/>
  <c r="N28" i="19"/>
  <c r="G28" i="19"/>
  <c r="F28" i="19"/>
  <c r="E28" i="19"/>
  <c r="A28" i="19" s="1"/>
  <c r="D28" i="19"/>
  <c r="P27" i="19"/>
  <c r="N27" i="19"/>
  <c r="G27" i="19"/>
  <c r="F27" i="19"/>
  <c r="E27" i="19"/>
  <c r="A27" i="19" s="1"/>
  <c r="D27" i="19"/>
  <c r="P26" i="19"/>
  <c r="N26" i="19"/>
  <c r="G26" i="19"/>
  <c r="F26" i="19"/>
  <c r="E26" i="19"/>
  <c r="A26" i="19" s="1"/>
  <c r="D26" i="19"/>
  <c r="P25" i="19"/>
  <c r="N25" i="19"/>
  <c r="G25" i="19"/>
  <c r="F25" i="19"/>
  <c r="E25" i="19"/>
  <c r="A25" i="19" s="1"/>
  <c r="D25" i="19"/>
  <c r="P24" i="19"/>
  <c r="N24" i="19"/>
  <c r="G24" i="19"/>
  <c r="F24" i="19"/>
  <c r="E24" i="19"/>
  <c r="A24" i="19" s="1"/>
  <c r="D24" i="19"/>
  <c r="P23" i="19"/>
  <c r="N23" i="19"/>
  <c r="G23" i="19"/>
  <c r="F23" i="19"/>
  <c r="E23" i="19"/>
  <c r="A23" i="19" s="1"/>
  <c r="D23" i="19"/>
  <c r="P22" i="19"/>
  <c r="N22" i="19"/>
  <c r="G22" i="19"/>
  <c r="F22" i="19"/>
  <c r="E22" i="19"/>
  <c r="A22" i="19" s="1"/>
  <c r="D22" i="19"/>
  <c r="P21" i="19"/>
  <c r="N21" i="19"/>
  <c r="G21" i="19"/>
  <c r="F21" i="19"/>
  <c r="E21" i="19"/>
  <c r="A21" i="19" s="1"/>
  <c r="D21" i="19"/>
  <c r="P20" i="19"/>
  <c r="N20" i="19"/>
  <c r="G20" i="19"/>
  <c r="F20" i="19"/>
  <c r="E20" i="19"/>
  <c r="A20" i="19" s="1"/>
  <c r="D20" i="19"/>
  <c r="P19" i="19"/>
  <c r="N19" i="19"/>
  <c r="G19" i="19"/>
  <c r="F19" i="19"/>
  <c r="E19" i="19"/>
  <c r="A19" i="19" s="1"/>
  <c r="D19" i="19"/>
  <c r="P18" i="19"/>
  <c r="N18" i="19"/>
  <c r="G18" i="19"/>
  <c r="F18" i="19"/>
  <c r="E18" i="19"/>
  <c r="A18" i="19" s="1"/>
  <c r="D18" i="19"/>
  <c r="P17" i="19"/>
  <c r="N17" i="19"/>
  <c r="G17" i="19"/>
  <c r="F17" i="19"/>
  <c r="E17" i="19"/>
  <c r="A17" i="19" s="1"/>
  <c r="D17" i="19"/>
  <c r="P16" i="19"/>
  <c r="N16" i="19"/>
  <c r="G16" i="19"/>
  <c r="F16" i="19"/>
  <c r="E16" i="19"/>
  <c r="A16" i="19" s="1"/>
  <c r="D16" i="19"/>
  <c r="P15" i="19"/>
  <c r="N15" i="19"/>
  <c r="G15" i="19"/>
  <c r="F15" i="19"/>
  <c r="E15" i="19"/>
  <c r="A15" i="19" s="1"/>
  <c r="D15" i="19"/>
  <c r="P14" i="19"/>
  <c r="N14" i="19"/>
  <c r="G14" i="19"/>
  <c r="F14" i="19"/>
  <c r="E14" i="19"/>
  <c r="A14" i="19" s="1"/>
  <c r="D14" i="19"/>
  <c r="N13" i="19"/>
  <c r="G13" i="19"/>
  <c r="F13" i="19"/>
  <c r="E13" i="19"/>
  <c r="A13" i="19" s="1"/>
  <c r="D13" i="19"/>
  <c r="P12" i="19"/>
  <c r="N12" i="19"/>
  <c r="G12" i="19"/>
  <c r="F12" i="19"/>
  <c r="E12" i="19"/>
  <c r="A12" i="19" s="1"/>
  <c r="D12" i="19"/>
  <c r="P11" i="19"/>
  <c r="N11" i="19"/>
  <c r="G11" i="19"/>
  <c r="F11" i="19"/>
  <c r="E11" i="19"/>
  <c r="A11" i="19" s="1"/>
  <c r="D11" i="19"/>
  <c r="P10" i="19"/>
  <c r="N10" i="19"/>
  <c r="G10" i="19"/>
  <c r="F10" i="19"/>
  <c r="E10" i="19"/>
  <c r="A10" i="19" s="1"/>
  <c r="D10" i="19"/>
  <c r="P9" i="19"/>
  <c r="N9" i="19"/>
  <c r="G9" i="19"/>
  <c r="F9" i="19"/>
  <c r="E9" i="19"/>
  <c r="A9" i="19" s="1"/>
  <c r="D9" i="19"/>
  <c r="P8" i="19"/>
  <c r="N8" i="19"/>
  <c r="G8" i="19"/>
  <c r="F8" i="19"/>
  <c r="E8" i="19"/>
  <c r="A8" i="19" s="1"/>
  <c r="D8" i="19"/>
  <c r="P7" i="19"/>
  <c r="N7" i="19"/>
  <c r="G7" i="19"/>
  <c r="F7" i="19"/>
  <c r="E7" i="19"/>
  <c r="A7" i="19" s="1"/>
  <c r="D7" i="19"/>
  <c r="P39" i="4"/>
  <c r="F30" i="23" s="1"/>
  <c r="P41" i="4"/>
  <c r="F32" i="23" s="1"/>
  <c r="F31" i="23"/>
  <c r="B31" i="37"/>
  <c r="EJ33" i="39"/>
  <c r="F31" i="37" s="1"/>
  <c r="B30" i="37"/>
  <c r="EJ32" i="39"/>
  <c r="F30" i="37" s="1"/>
  <c r="EJ31" i="39"/>
  <c r="F29" i="37" s="1"/>
  <c r="EM12" i="39"/>
  <c r="EL12" i="39"/>
  <c r="AJ219" i="39"/>
  <c r="AH219" i="39"/>
  <c r="X217" i="39"/>
  <c r="U217" i="39"/>
  <c r="R217" i="39"/>
  <c r="N217" i="39"/>
  <c r="M217" i="39"/>
  <c r="L217" i="39"/>
  <c r="K217" i="39"/>
  <c r="J217" i="39"/>
  <c r="B217" i="39"/>
  <c r="EA216" i="39"/>
  <c r="DT216" i="39"/>
  <c r="CT216" i="39"/>
  <c r="GP216" i="39" s="1"/>
  <c r="Z216" i="39"/>
  <c r="V216" i="39"/>
  <c r="Q216" i="39"/>
  <c r="O216" i="39"/>
  <c r="EA215" i="39"/>
  <c r="DT215" i="39"/>
  <c r="CT215" i="39"/>
  <c r="GP215" i="39" s="1"/>
  <c r="AT215" i="39"/>
  <c r="Z215" i="39"/>
  <c r="Q215" i="39"/>
  <c r="O215" i="39"/>
  <c r="EA214" i="39"/>
  <c r="DT214" i="39"/>
  <c r="CT214" i="39"/>
  <c r="GP214" i="39" s="1"/>
  <c r="AT214" i="39"/>
  <c r="Z214" i="39"/>
  <c r="Q214" i="39"/>
  <c r="O214" i="39"/>
  <c r="EA213" i="39"/>
  <c r="DT213" i="39"/>
  <c r="CT213" i="39"/>
  <c r="GP213" i="39" s="1"/>
  <c r="AT213" i="39"/>
  <c r="Z213" i="39"/>
  <c r="Q213" i="39"/>
  <c r="O213" i="39"/>
  <c r="EA212" i="39"/>
  <c r="DT212" i="39"/>
  <c r="CT212" i="39"/>
  <c r="GP212" i="39" s="1"/>
  <c r="AT212" i="39"/>
  <c r="Z212" i="39"/>
  <c r="Q212" i="39"/>
  <c r="O212" i="39"/>
  <c r="EA211" i="39"/>
  <c r="DT211" i="39"/>
  <c r="CT211" i="39"/>
  <c r="GP211" i="39" s="1"/>
  <c r="AT211" i="39"/>
  <c r="Z211" i="39"/>
  <c r="Q211" i="39"/>
  <c r="O211" i="39"/>
  <c r="EA210" i="39"/>
  <c r="DT210" i="39"/>
  <c r="CT210" i="39"/>
  <c r="GP210" i="39" s="1"/>
  <c r="AT210" i="39"/>
  <c r="Z210" i="39"/>
  <c r="Q210" i="39"/>
  <c r="O210" i="39"/>
  <c r="EA209" i="39"/>
  <c r="DT209" i="39"/>
  <c r="CT209" i="39"/>
  <c r="GP209" i="39" s="1"/>
  <c r="AT209" i="39"/>
  <c r="Z209" i="39"/>
  <c r="Q209" i="39"/>
  <c r="O209" i="39"/>
  <c r="EA208" i="39"/>
  <c r="DT208" i="39"/>
  <c r="CT208" i="39"/>
  <c r="GP208" i="39" s="1"/>
  <c r="AT208" i="39"/>
  <c r="Z208" i="39"/>
  <c r="Q208" i="39"/>
  <c r="O208" i="39"/>
  <c r="EA207" i="39"/>
  <c r="DT207" i="39"/>
  <c r="CT207" i="39"/>
  <c r="GP207" i="39" s="1"/>
  <c r="AT207" i="39"/>
  <c r="Z207" i="39"/>
  <c r="Q207" i="39"/>
  <c r="O207" i="39"/>
  <c r="EA206" i="39"/>
  <c r="DT206" i="39"/>
  <c r="CT206" i="39"/>
  <c r="GP206" i="39" s="1"/>
  <c r="Z206" i="39"/>
  <c r="V206" i="39"/>
  <c r="Q206" i="39"/>
  <c r="O206" i="39"/>
  <c r="EA205" i="39"/>
  <c r="DT205" i="39"/>
  <c r="CT205" i="39"/>
  <c r="GP205" i="39" s="1"/>
  <c r="Z205" i="39"/>
  <c r="W205" i="39"/>
  <c r="Q205" i="39"/>
  <c r="O205" i="39"/>
  <c r="EA204" i="39"/>
  <c r="DT204" i="39"/>
  <c r="CT204" i="39"/>
  <c r="GP204" i="39" s="1"/>
  <c r="AT204" i="39"/>
  <c r="Z204" i="39"/>
  <c r="Q204" i="39"/>
  <c r="O204" i="39"/>
  <c r="EA203" i="39"/>
  <c r="DT203" i="39"/>
  <c r="CT203" i="39"/>
  <c r="GP203" i="39" s="1"/>
  <c r="Z203" i="39"/>
  <c r="W203" i="39"/>
  <c r="Q203" i="39"/>
  <c r="O203" i="39"/>
  <c r="EA202" i="39"/>
  <c r="DT202" i="39"/>
  <c r="CT202" i="39"/>
  <c r="GP202" i="39" s="1"/>
  <c r="Z202" i="39"/>
  <c r="W202" i="39"/>
  <c r="Q202" i="39"/>
  <c r="O202" i="39"/>
  <c r="EA201" i="39"/>
  <c r="DT201" i="39"/>
  <c r="CT201" i="39"/>
  <c r="GP201" i="39" s="1"/>
  <c r="Z201" i="39"/>
  <c r="W201" i="39"/>
  <c r="Q201" i="39"/>
  <c r="O201" i="39"/>
  <c r="EA200" i="39"/>
  <c r="DT200" i="39"/>
  <c r="CT200" i="39"/>
  <c r="GP200" i="39" s="1"/>
  <c r="Z200" i="39"/>
  <c r="W200" i="39"/>
  <c r="Q200" i="39"/>
  <c r="O200" i="39"/>
  <c r="C200" i="39"/>
  <c r="C201" i="39" s="1"/>
  <c r="C202" i="39" s="1"/>
  <c r="C203" i="39" s="1"/>
  <c r="C204" i="39" s="1"/>
  <c r="C205" i="39" s="1"/>
  <c r="C206" i="39" s="1"/>
  <c r="C207" i="39" s="1"/>
  <c r="C208" i="39" s="1"/>
  <c r="C209" i="39" s="1"/>
  <c r="C210" i="39" s="1"/>
  <c r="C211" i="39" s="1"/>
  <c r="C212" i="39" s="1"/>
  <c r="C213" i="39" s="1"/>
  <c r="C214" i="39" s="1"/>
  <c r="C215" i="39" s="1"/>
  <c r="C216" i="39" s="1"/>
  <c r="EA199" i="39"/>
  <c r="DT199" i="39"/>
  <c r="CT199" i="39"/>
  <c r="GP199" i="39" s="1"/>
  <c r="Z199" i="39"/>
  <c r="V199" i="39"/>
  <c r="Q199" i="39"/>
  <c r="O199" i="39"/>
  <c r="EA198" i="39"/>
  <c r="DT198" i="39"/>
  <c r="CT198" i="39"/>
  <c r="GP198" i="39" s="1"/>
  <c r="Z198" i="39"/>
  <c r="V198" i="39"/>
  <c r="Q198" i="39"/>
  <c r="O198" i="39"/>
  <c r="E198" i="39"/>
  <c r="EA197" i="39"/>
  <c r="DT197" i="39"/>
  <c r="CT197" i="39"/>
  <c r="GP197" i="39" s="1"/>
  <c r="AT197" i="39"/>
  <c r="Z197" i="39"/>
  <c r="Q197" i="39"/>
  <c r="O197" i="39"/>
  <c r="E197" i="39"/>
  <c r="EA196" i="39"/>
  <c r="DT196" i="39"/>
  <c r="CT196" i="39"/>
  <c r="GP196" i="39" s="1"/>
  <c r="AT196" i="39"/>
  <c r="Z196" i="39"/>
  <c r="Q196" i="39"/>
  <c r="O196" i="39"/>
  <c r="E196" i="39"/>
  <c r="EA195" i="39"/>
  <c r="DT195" i="39"/>
  <c r="CT195" i="39"/>
  <c r="GP195" i="39" s="1"/>
  <c r="AT195" i="39"/>
  <c r="Z195" i="39"/>
  <c r="Q195" i="39"/>
  <c r="O195" i="39"/>
  <c r="E195" i="39"/>
  <c r="EA194" i="39"/>
  <c r="DT194" i="39"/>
  <c r="CT194" i="39"/>
  <c r="GP194" i="39" s="1"/>
  <c r="AT194" i="39"/>
  <c r="Z194" i="39"/>
  <c r="Q194" i="39"/>
  <c r="O194" i="39"/>
  <c r="E194" i="39"/>
  <c r="EA193" i="39"/>
  <c r="DT193" i="39"/>
  <c r="CT193" i="39"/>
  <c r="GP193" i="39" s="1"/>
  <c r="AT193" i="39"/>
  <c r="Z193" i="39"/>
  <c r="Q193" i="39"/>
  <c r="O193" i="39"/>
  <c r="E193" i="39"/>
  <c r="EA192" i="39"/>
  <c r="DT192" i="39"/>
  <c r="CT192" i="39"/>
  <c r="GP192" i="39" s="1"/>
  <c r="AT192" i="39"/>
  <c r="Z192" i="39"/>
  <c r="Q192" i="39"/>
  <c r="O192" i="39"/>
  <c r="E192" i="39"/>
  <c r="EA191" i="39"/>
  <c r="DT191" i="39"/>
  <c r="CT191" i="39"/>
  <c r="GP191" i="39" s="1"/>
  <c r="AT191" i="39"/>
  <c r="Z191" i="39"/>
  <c r="Q191" i="39"/>
  <c r="O191" i="39"/>
  <c r="E191" i="39"/>
  <c r="EA190" i="39"/>
  <c r="DT190" i="39"/>
  <c r="CT190" i="39"/>
  <c r="GP190" i="39" s="1"/>
  <c r="AT190" i="39"/>
  <c r="Z190" i="39"/>
  <c r="Q190" i="39"/>
  <c r="O190" i="39"/>
  <c r="E190" i="39"/>
  <c r="EA189" i="39"/>
  <c r="DT189" i="39"/>
  <c r="CT189" i="39"/>
  <c r="GP189" i="39" s="1"/>
  <c r="AT189" i="39"/>
  <c r="Z189" i="39"/>
  <c r="Q189" i="39"/>
  <c r="O189" i="39"/>
  <c r="E189" i="39"/>
  <c r="EA188" i="39"/>
  <c r="DT188" i="39"/>
  <c r="CT188" i="39"/>
  <c r="GP188" i="39" s="1"/>
  <c r="Z188" i="39"/>
  <c r="V188" i="39"/>
  <c r="Q188" i="39"/>
  <c r="O188" i="39"/>
  <c r="E188" i="39"/>
  <c r="EA187" i="39"/>
  <c r="DT187" i="39"/>
  <c r="CT187" i="39"/>
  <c r="GP187" i="39" s="1"/>
  <c r="AT187" i="39"/>
  <c r="Z187" i="39"/>
  <c r="W187" i="39"/>
  <c r="Q187" i="39"/>
  <c r="O187" i="39"/>
  <c r="E187" i="39"/>
  <c r="EA186" i="39"/>
  <c r="DT186" i="39"/>
  <c r="CT186" i="39"/>
  <c r="GP186" i="39" s="1"/>
  <c r="AT186" i="39"/>
  <c r="Z186" i="39"/>
  <c r="Q186" i="39"/>
  <c r="O186" i="39"/>
  <c r="E186" i="39"/>
  <c r="EA185" i="39"/>
  <c r="DT185" i="39"/>
  <c r="CT185" i="39"/>
  <c r="GP185" i="39" s="1"/>
  <c r="AT185" i="39"/>
  <c r="Z185" i="39"/>
  <c r="W185" i="39"/>
  <c r="Q185" i="39"/>
  <c r="O185" i="39"/>
  <c r="E185" i="39"/>
  <c r="EA184" i="39"/>
  <c r="DT184" i="39"/>
  <c r="CT184" i="39"/>
  <c r="GP184" i="39" s="1"/>
  <c r="AT184" i="39"/>
  <c r="Z184" i="39"/>
  <c r="W184" i="39"/>
  <c r="Q184" i="39"/>
  <c r="O184" i="39"/>
  <c r="E184" i="39"/>
  <c r="EA183" i="39"/>
  <c r="DT183" i="39"/>
  <c r="CT183" i="39"/>
  <c r="GP183" i="39" s="1"/>
  <c r="AT183" i="39"/>
  <c r="Z183" i="39"/>
  <c r="W183" i="39"/>
  <c r="Q183" i="39"/>
  <c r="O183" i="39"/>
  <c r="E183" i="39"/>
  <c r="EA182" i="39"/>
  <c r="DT182" i="39"/>
  <c r="CT182" i="39"/>
  <c r="GP182" i="39" s="1"/>
  <c r="AT182" i="39"/>
  <c r="Z182" i="39"/>
  <c r="W182" i="39"/>
  <c r="Q182" i="39"/>
  <c r="O182" i="39"/>
  <c r="E182" i="39"/>
  <c r="C182" i="39"/>
  <c r="C183" i="39" s="1"/>
  <c r="C184" i="39" s="1"/>
  <c r="C185" i="39" s="1"/>
  <c r="C186" i="39" s="1"/>
  <c r="C187" i="39" s="1"/>
  <c r="C188" i="39" s="1"/>
  <c r="C189" i="39" s="1"/>
  <c r="C190" i="39" s="1"/>
  <c r="C191" i="39" s="1"/>
  <c r="C192" i="39" s="1"/>
  <c r="C193" i="39" s="1"/>
  <c r="C194" i="39" s="1"/>
  <c r="C195" i="39" s="1"/>
  <c r="C196" i="39" s="1"/>
  <c r="C197" i="39" s="1"/>
  <c r="C198" i="39" s="1"/>
  <c r="EA181" i="39"/>
  <c r="DT181" i="39"/>
  <c r="CT181" i="39"/>
  <c r="GP181" i="39" s="1"/>
  <c r="Z181" i="39"/>
  <c r="V181" i="39"/>
  <c r="Q181" i="39"/>
  <c r="O181" i="39"/>
  <c r="E181" i="39"/>
  <c r="EA180" i="39"/>
  <c r="DT180" i="39"/>
  <c r="CT180" i="39"/>
  <c r="GP180" i="39" s="1"/>
  <c r="Z180" i="39"/>
  <c r="V180" i="39"/>
  <c r="Q180" i="39"/>
  <c r="O180" i="39"/>
  <c r="E180" i="39"/>
  <c r="EA179" i="39"/>
  <c r="DT179" i="39"/>
  <c r="CT179" i="39"/>
  <c r="GP179" i="39" s="1"/>
  <c r="AT179" i="39"/>
  <c r="Z179" i="39"/>
  <c r="Q179" i="39"/>
  <c r="O179" i="39"/>
  <c r="E179" i="39"/>
  <c r="EA178" i="39"/>
  <c r="DT178" i="39"/>
  <c r="CT178" i="39"/>
  <c r="GP178" i="39" s="1"/>
  <c r="AT178" i="39"/>
  <c r="Z178" i="39"/>
  <c r="Q178" i="39"/>
  <c r="O178" i="39"/>
  <c r="E178" i="39"/>
  <c r="EA177" i="39"/>
  <c r="DT177" i="39"/>
  <c r="CT177" i="39"/>
  <c r="GP177" i="39" s="1"/>
  <c r="AT177" i="39"/>
  <c r="Z177" i="39"/>
  <c r="Q177" i="39"/>
  <c r="O177" i="39"/>
  <c r="E177" i="39"/>
  <c r="EA176" i="39"/>
  <c r="DT176" i="39"/>
  <c r="CT176" i="39"/>
  <c r="GP176" i="39" s="1"/>
  <c r="AT176" i="39"/>
  <c r="Z176" i="39"/>
  <c r="Q176" i="39"/>
  <c r="O176" i="39"/>
  <c r="E176" i="39"/>
  <c r="EA175" i="39"/>
  <c r="DT175" i="39"/>
  <c r="CT175" i="39"/>
  <c r="GP175" i="39" s="1"/>
  <c r="AT175" i="39"/>
  <c r="Z175" i="39"/>
  <c r="Q175" i="39"/>
  <c r="O175" i="39"/>
  <c r="E175" i="39"/>
  <c r="EA174" i="39"/>
  <c r="DT174" i="39"/>
  <c r="CT174" i="39"/>
  <c r="GP174" i="39" s="1"/>
  <c r="AT174" i="39"/>
  <c r="Z174" i="39"/>
  <c r="Q174" i="39"/>
  <c r="O174" i="39"/>
  <c r="E174" i="39"/>
  <c r="EA173" i="39"/>
  <c r="DT173" i="39"/>
  <c r="CT173" i="39"/>
  <c r="GP173" i="39" s="1"/>
  <c r="AT173" i="39"/>
  <c r="Z173" i="39"/>
  <c r="Q173" i="39"/>
  <c r="O173" i="39"/>
  <c r="E173" i="39"/>
  <c r="EA172" i="39"/>
  <c r="DT172" i="39"/>
  <c r="CT172" i="39"/>
  <c r="GP172" i="39" s="1"/>
  <c r="AT172" i="39"/>
  <c r="Z172" i="39"/>
  <c r="Q172" i="39"/>
  <c r="O172" i="39"/>
  <c r="E172" i="39"/>
  <c r="EA171" i="39"/>
  <c r="DT171" i="39"/>
  <c r="CT171" i="39"/>
  <c r="GP171" i="39" s="1"/>
  <c r="AT171" i="39"/>
  <c r="Z171" i="39"/>
  <c r="Q171" i="39"/>
  <c r="O171" i="39"/>
  <c r="E171" i="39"/>
  <c r="EA170" i="39"/>
  <c r="DT170" i="39"/>
  <c r="CT170" i="39"/>
  <c r="GP170" i="39" s="1"/>
  <c r="Z170" i="39"/>
  <c r="V170" i="39"/>
  <c r="Q170" i="39"/>
  <c r="O170" i="39"/>
  <c r="E170" i="39"/>
  <c r="EA169" i="39"/>
  <c r="DT169" i="39"/>
  <c r="CT169" i="39"/>
  <c r="GP169" i="39" s="1"/>
  <c r="AT169" i="39"/>
  <c r="Z169" i="39"/>
  <c r="W169" i="39"/>
  <c r="Q169" i="39"/>
  <c r="O169" i="39"/>
  <c r="E169" i="39"/>
  <c r="EA168" i="39"/>
  <c r="DT168" i="39"/>
  <c r="CT168" i="39"/>
  <c r="GP168" i="39" s="1"/>
  <c r="AT168" i="39"/>
  <c r="Z168" i="39"/>
  <c r="Q168" i="39"/>
  <c r="O168" i="39"/>
  <c r="E168" i="39"/>
  <c r="EA167" i="39"/>
  <c r="DT167" i="39"/>
  <c r="CT167" i="39"/>
  <c r="GP167" i="39" s="1"/>
  <c r="AT167" i="39"/>
  <c r="Z167" i="39"/>
  <c r="W167" i="39"/>
  <c r="Q167" i="39"/>
  <c r="O167" i="39"/>
  <c r="E167" i="39"/>
  <c r="EA166" i="39"/>
  <c r="DT166" i="39"/>
  <c r="CT166" i="39"/>
  <c r="GP166" i="39" s="1"/>
  <c r="AT166" i="39"/>
  <c r="Z166" i="39"/>
  <c r="W166" i="39"/>
  <c r="Q166" i="39"/>
  <c r="O166" i="39"/>
  <c r="E166" i="39"/>
  <c r="EA165" i="39"/>
  <c r="DT165" i="39"/>
  <c r="CT165" i="39"/>
  <c r="GP165" i="39" s="1"/>
  <c r="AT165" i="39"/>
  <c r="Z165" i="39"/>
  <c r="W165" i="39"/>
  <c r="Q165" i="39"/>
  <c r="O165" i="39"/>
  <c r="E165" i="39"/>
  <c r="EA164" i="39"/>
  <c r="DT164" i="39"/>
  <c r="CT164" i="39"/>
  <c r="GP164" i="39" s="1"/>
  <c r="AT164" i="39"/>
  <c r="Z164" i="39"/>
  <c r="W164" i="39"/>
  <c r="Q164" i="39"/>
  <c r="O164" i="39"/>
  <c r="E164" i="39"/>
  <c r="C164" i="39"/>
  <c r="C165" i="39" s="1"/>
  <c r="C166" i="39" s="1"/>
  <c r="C167" i="39" s="1"/>
  <c r="C168" i="39" s="1"/>
  <c r="C169" i="39" s="1"/>
  <c r="C170" i="39" s="1"/>
  <c r="C171" i="39" s="1"/>
  <c r="C172" i="39" s="1"/>
  <c r="C173" i="39" s="1"/>
  <c r="C174" i="39" s="1"/>
  <c r="C175" i="39" s="1"/>
  <c r="C176" i="39" s="1"/>
  <c r="C177" i="39" s="1"/>
  <c r="C178" i="39" s="1"/>
  <c r="C179" i="39" s="1"/>
  <c r="C180" i="39" s="1"/>
  <c r="EA163" i="39"/>
  <c r="DT163" i="39"/>
  <c r="CT163" i="39"/>
  <c r="GP163" i="39" s="1"/>
  <c r="Z163" i="39"/>
  <c r="V163" i="39"/>
  <c r="Q163" i="39"/>
  <c r="O163" i="39"/>
  <c r="E163" i="39"/>
  <c r="EA162" i="39"/>
  <c r="DT162" i="39"/>
  <c r="CT162" i="39"/>
  <c r="GP162" i="39" s="1"/>
  <c r="Z162" i="39"/>
  <c r="V162" i="39"/>
  <c r="Q162" i="39"/>
  <c r="O162" i="39"/>
  <c r="E162" i="39"/>
  <c r="EA161" i="39"/>
  <c r="DT161" i="39"/>
  <c r="CT161" i="39"/>
  <c r="GP161" i="39" s="1"/>
  <c r="AT161" i="39"/>
  <c r="Z161" i="39"/>
  <c r="Q161" i="39"/>
  <c r="O161" i="39"/>
  <c r="E161" i="39"/>
  <c r="EA160" i="39"/>
  <c r="DT160" i="39"/>
  <c r="CT160" i="39"/>
  <c r="GP160" i="39" s="1"/>
  <c r="AT160" i="39"/>
  <c r="Z160" i="39"/>
  <c r="Q160" i="39"/>
  <c r="O160" i="39"/>
  <c r="E160" i="39"/>
  <c r="EA159" i="39"/>
  <c r="DT159" i="39"/>
  <c r="CT159" i="39"/>
  <c r="GP159" i="39" s="1"/>
  <c r="AT159" i="39"/>
  <c r="Z159" i="39"/>
  <c r="Q159" i="39"/>
  <c r="O159" i="39"/>
  <c r="E159" i="39"/>
  <c r="EA158" i="39"/>
  <c r="DT158" i="39"/>
  <c r="CT158" i="39"/>
  <c r="GP158" i="39" s="1"/>
  <c r="AT158" i="39"/>
  <c r="Z158" i="39"/>
  <c r="Q158" i="39"/>
  <c r="O158" i="39"/>
  <c r="E158" i="39"/>
  <c r="EA157" i="39"/>
  <c r="DT157" i="39"/>
  <c r="CT157" i="39"/>
  <c r="GP157" i="39" s="1"/>
  <c r="AT157" i="39"/>
  <c r="Z157" i="39"/>
  <c r="Q157" i="39"/>
  <c r="O157" i="39"/>
  <c r="E157" i="39"/>
  <c r="EA156" i="39"/>
  <c r="DT156" i="39"/>
  <c r="CT156" i="39"/>
  <c r="GP156" i="39" s="1"/>
  <c r="AT156" i="39"/>
  <c r="Z156" i="39"/>
  <c r="Q156" i="39"/>
  <c r="O156" i="39"/>
  <c r="E156" i="39"/>
  <c r="EA155" i="39"/>
  <c r="DT155" i="39"/>
  <c r="CT155" i="39"/>
  <c r="GP155" i="39" s="1"/>
  <c r="AT155" i="39"/>
  <c r="Z155" i="39"/>
  <c r="Q155" i="39"/>
  <c r="O155" i="39"/>
  <c r="E155" i="39"/>
  <c r="EA154" i="39"/>
  <c r="DT154" i="39"/>
  <c r="CT154" i="39"/>
  <c r="GP154" i="39" s="1"/>
  <c r="AT154" i="39"/>
  <c r="Z154" i="39"/>
  <c r="Q154" i="39"/>
  <c r="O154" i="39"/>
  <c r="E154" i="39"/>
  <c r="EA153" i="39"/>
  <c r="DT153" i="39"/>
  <c r="CT153" i="39"/>
  <c r="GP153" i="39" s="1"/>
  <c r="AT153" i="39"/>
  <c r="Z153" i="39"/>
  <c r="Q153" i="39"/>
  <c r="O153" i="39"/>
  <c r="E153" i="39"/>
  <c r="EA152" i="39"/>
  <c r="DT152" i="39"/>
  <c r="CT152" i="39"/>
  <c r="GP152" i="39" s="1"/>
  <c r="Z152" i="39"/>
  <c r="V152" i="39"/>
  <c r="Q152" i="39"/>
  <c r="O152" i="39"/>
  <c r="E152" i="39"/>
  <c r="EA151" i="39"/>
  <c r="DT151" i="39"/>
  <c r="CT151" i="39"/>
  <c r="GP151" i="39" s="1"/>
  <c r="AT151" i="39"/>
  <c r="Z151" i="39"/>
  <c r="W151" i="39"/>
  <c r="Q151" i="39"/>
  <c r="O151" i="39"/>
  <c r="E151" i="39"/>
  <c r="EA150" i="39"/>
  <c r="DT150" i="39"/>
  <c r="CT150" i="39"/>
  <c r="GP150" i="39" s="1"/>
  <c r="AT150" i="39"/>
  <c r="Z150" i="39"/>
  <c r="Q150" i="39"/>
  <c r="O150" i="39"/>
  <c r="E150" i="39"/>
  <c r="EA149" i="39"/>
  <c r="DT149" i="39"/>
  <c r="CT149" i="39"/>
  <c r="GP149" i="39" s="1"/>
  <c r="AT149" i="39"/>
  <c r="Z149" i="39"/>
  <c r="W149" i="39"/>
  <c r="Q149" i="39"/>
  <c r="O149" i="39"/>
  <c r="E149" i="39"/>
  <c r="EA148" i="39"/>
  <c r="DT148" i="39"/>
  <c r="CT148" i="39"/>
  <c r="GP148" i="39" s="1"/>
  <c r="AT148" i="39"/>
  <c r="Z148" i="39"/>
  <c r="W148" i="39"/>
  <c r="Q148" i="39"/>
  <c r="O148" i="39"/>
  <c r="E148" i="39"/>
  <c r="EA147" i="39"/>
  <c r="DT147" i="39"/>
  <c r="CT147" i="39"/>
  <c r="GP147" i="39" s="1"/>
  <c r="AT147" i="39"/>
  <c r="Z147" i="39"/>
  <c r="W147" i="39"/>
  <c r="Q147" i="39"/>
  <c r="O147" i="39"/>
  <c r="E147" i="39"/>
  <c r="EA146" i="39"/>
  <c r="DT146" i="39"/>
  <c r="CT146" i="39"/>
  <c r="GP146" i="39" s="1"/>
  <c r="AT146" i="39"/>
  <c r="Z146" i="39"/>
  <c r="W146" i="39"/>
  <c r="Q146" i="39"/>
  <c r="O146" i="39"/>
  <c r="E146" i="39"/>
  <c r="C146" i="39"/>
  <c r="C147" i="39" s="1"/>
  <c r="C148" i="39" s="1"/>
  <c r="C149" i="39" s="1"/>
  <c r="C150" i="39" s="1"/>
  <c r="C151" i="39" s="1"/>
  <c r="C152" i="39" s="1"/>
  <c r="C153" i="39" s="1"/>
  <c r="C154" i="39" s="1"/>
  <c r="C155" i="39" s="1"/>
  <c r="C156" i="39" s="1"/>
  <c r="C157" i="39" s="1"/>
  <c r="C158" i="39" s="1"/>
  <c r="C159" i="39" s="1"/>
  <c r="C160" i="39" s="1"/>
  <c r="C161" i="39" s="1"/>
  <c r="C162" i="39" s="1"/>
  <c r="EA145" i="39"/>
  <c r="DT145" i="39"/>
  <c r="CT145" i="39"/>
  <c r="GP145" i="39" s="1"/>
  <c r="Z145" i="39"/>
  <c r="V145" i="39"/>
  <c r="Q145" i="39"/>
  <c r="O145" i="39"/>
  <c r="E145" i="39"/>
  <c r="EA144" i="39"/>
  <c r="DT144" i="39"/>
  <c r="CT144" i="39"/>
  <c r="GP144" i="39" s="1"/>
  <c r="Z144" i="39"/>
  <c r="V144" i="39"/>
  <c r="Q144" i="39"/>
  <c r="O144" i="39"/>
  <c r="E144" i="39"/>
  <c r="EA143" i="39"/>
  <c r="DT143" i="39"/>
  <c r="CT143" i="39"/>
  <c r="GP143" i="39" s="1"/>
  <c r="AT143" i="39"/>
  <c r="Z143" i="39"/>
  <c r="Q143" i="39"/>
  <c r="O143" i="39"/>
  <c r="E143" i="39"/>
  <c r="EA142" i="39"/>
  <c r="DT142" i="39"/>
  <c r="CT142" i="39"/>
  <c r="GP142" i="39" s="1"/>
  <c r="AT142" i="39"/>
  <c r="Z142" i="39"/>
  <c r="Q142" i="39"/>
  <c r="O142" i="39"/>
  <c r="E142" i="39"/>
  <c r="EA141" i="39"/>
  <c r="DT141" i="39"/>
  <c r="CT141" i="39"/>
  <c r="GP141" i="39" s="1"/>
  <c r="AT141" i="39"/>
  <c r="Z141" i="39"/>
  <c r="Q141" i="39"/>
  <c r="O141" i="39"/>
  <c r="E141" i="39"/>
  <c r="EA140" i="39"/>
  <c r="DT140" i="39"/>
  <c r="CT140" i="39"/>
  <c r="GP140" i="39" s="1"/>
  <c r="AT140" i="39"/>
  <c r="Z140" i="39"/>
  <c r="Q140" i="39"/>
  <c r="O140" i="39"/>
  <c r="E140" i="39"/>
  <c r="EA139" i="39"/>
  <c r="DT139" i="39"/>
  <c r="CT139" i="39"/>
  <c r="GP139" i="39" s="1"/>
  <c r="AT139" i="39"/>
  <c r="Z139" i="39"/>
  <c r="Q139" i="39"/>
  <c r="O139" i="39"/>
  <c r="E139" i="39"/>
  <c r="EA138" i="39"/>
  <c r="DT138" i="39"/>
  <c r="CT138" i="39"/>
  <c r="GP138" i="39" s="1"/>
  <c r="AT138" i="39"/>
  <c r="Z138" i="39"/>
  <c r="Q138" i="39"/>
  <c r="O138" i="39"/>
  <c r="E138" i="39"/>
  <c r="EA137" i="39"/>
  <c r="DT137" i="39"/>
  <c r="CT137" i="39"/>
  <c r="GP137" i="39" s="1"/>
  <c r="AT137" i="39"/>
  <c r="Z137" i="39"/>
  <c r="Q137" i="39"/>
  <c r="O137" i="39"/>
  <c r="E137" i="39"/>
  <c r="EA136" i="39"/>
  <c r="DT136" i="39"/>
  <c r="CT136" i="39"/>
  <c r="GP136" i="39" s="1"/>
  <c r="AT136" i="39"/>
  <c r="Z136" i="39"/>
  <c r="Q136" i="39"/>
  <c r="O136" i="39"/>
  <c r="E136" i="39"/>
  <c r="EA135" i="39"/>
  <c r="DT135" i="39"/>
  <c r="CT135" i="39"/>
  <c r="GP135" i="39" s="1"/>
  <c r="AT135" i="39"/>
  <c r="Z135" i="39"/>
  <c r="Q135" i="39"/>
  <c r="O135" i="39"/>
  <c r="E135" i="39"/>
  <c r="EA134" i="39"/>
  <c r="DT134" i="39"/>
  <c r="CT134" i="39"/>
  <c r="GP134" i="39" s="1"/>
  <c r="Z134" i="39"/>
  <c r="V134" i="39"/>
  <c r="Q134" i="39"/>
  <c r="O134" i="39"/>
  <c r="E134" i="39"/>
  <c r="EA133" i="39"/>
  <c r="DT133" i="39"/>
  <c r="CT133" i="39"/>
  <c r="GP133" i="39" s="1"/>
  <c r="AT133" i="39"/>
  <c r="Z133" i="39"/>
  <c r="W133" i="39"/>
  <c r="Q133" i="39"/>
  <c r="O133" i="39"/>
  <c r="E133" i="39"/>
  <c r="EA132" i="39"/>
  <c r="DT132" i="39"/>
  <c r="CT132" i="39"/>
  <c r="GP132" i="39" s="1"/>
  <c r="AT132" i="39"/>
  <c r="Z132" i="39"/>
  <c r="Q132" i="39"/>
  <c r="O132" i="39"/>
  <c r="E132" i="39"/>
  <c r="EA131" i="39"/>
  <c r="DT131" i="39"/>
  <c r="CT131" i="39"/>
  <c r="GP131" i="39" s="1"/>
  <c r="AT131" i="39"/>
  <c r="Z131" i="39"/>
  <c r="W131" i="39"/>
  <c r="Q131" i="39"/>
  <c r="O131" i="39"/>
  <c r="E131" i="39"/>
  <c r="EA130" i="39"/>
  <c r="DT130" i="39"/>
  <c r="CT130" i="39"/>
  <c r="GP130" i="39" s="1"/>
  <c r="AT130" i="39"/>
  <c r="Z130" i="39"/>
  <c r="W130" i="39"/>
  <c r="Q130" i="39"/>
  <c r="O130" i="39"/>
  <c r="E130" i="39"/>
  <c r="EA129" i="39"/>
  <c r="DT129" i="39"/>
  <c r="CT129" i="39"/>
  <c r="GP129" i="39" s="1"/>
  <c r="AT129" i="39"/>
  <c r="Z129" i="39"/>
  <c r="W129" i="39"/>
  <c r="Q129" i="39"/>
  <c r="O129" i="39"/>
  <c r="E129" i="39"/>
  <c r="EA128" i="39"/>
  <c r="DT128" i="39"/>
  <c r="CT128" i="39"/>
  <c r="GP128" i="39" s="1"/>
  <c r="AT128" i="39"/>
  <c r="Z128" i="39"/>
  <c r="W128" i="39"/>
  <c r="Q128" i="39"/>
  <c r="O128" i="39"/>
  <c r="E128" i="39"/>
  <c r="C128" i="39"/>
  <c r="C129" i="39" s="1"/>
  <c r="C130" i="39" s="1"/>
  <c r="C131" i="39" s="1"/>
  <c r="C132" i="39" s="1"/>
  <c r="C133" i="39" s="1"/>
  <c r="C134" i="39" s="1"/>
  <c r="C135" i="39" s="1"/>
  <c r="C136" i="39" s="1"/>
  <c r="C137" i="39" s="1"/>
  <c r="C138" i="39" s="1"/>
  <c r="C139" i="39" s="1"/>
  <c r="C140" i="39" s="1"/>
  <c r="C141" i="39" s="1"/>
  <c r="C142" i="39" s="1"/>
  <c r="C143" i="39" s="1"/>
  <c r="C144" i="39" s="1"/>
  <c r="EA127" i="39"/>
  <c r="DT127" i="39"/>
  <c r="CT127" i="39"/>
  <c r="GP127" i="39" s="1"/>
  <c r="Z127" i="39"/>
  <c r="V127" i="39"/>
  <c r="Q127" i="39"/>
  <c r="O127" i="39"/>
  <c r="E127" i="39"/>
  <c r="EA126" i="39"/>
  <c r="DT126" i="39"/>
  <c r="CT126" i="39"/>
  <c r="GP126" i="39" s="1"/>
  <c r="Z126" i="39"/>
  <c r="V126" i="39"/>
  <c r="T126" i="39"/>
  <c r="Q126" i="39"/>
  <c r="O126" i="39"/>
  <c r="E126" i="39"/>
  <c r="EA125" i="39"/>
  <c r="DT125" i="39"/>
  <c r="CT125" i="39"/>
  <c r="GP125" i="39" s="1"/>
  <c r="AT125" i="39"/>
  <c r="Z125" i="39"/>
  <c r="T125" i="39"/>
  <c r="Q125" i="39"/>
  <c r="O125" i="39"/>
  <c r="E125" i="39"/>
  <c r="EA124" i="39"/>
  <c r="DT124" i="39"/>
  <c r="CT124" i="39"/>
  <c r="GP124" i="39" s="1"/>
  <c r="AT124" i="39"/>
  <c r="Z124" i="39"/>
  <c r="T124" i="39"/>
  <c r="Q124" i="39"/>
  <c r="O124" i="39"/>
  <c r="E124" i="39"/>
  <c r="EA123" i="39"/>
  <c r="DT123" i="39"/>
  <c r="CT123" i="39"/>
  <c r="GP123" i="39" s="1"/>
  <c r="AT123" i="39"/>
  <c r="Z123" i="39"/>
  <c r="T123" i="39"/>
  <c r="Q123" i="39"/>
  <c r="O123" i="39"/>
  <c r="E123" i="39"/>
  <c r="EA122" i="39"/>
  <c r="DT122" i="39"/>
  <c r="CT122" i="39"/>
  <c r="GP122" i="39" s="1"/>
  <c r="AT122" i="39"/>
  <c r="Z122" i="39"/>
  <c r="T122" i="39"/>
  <c r="Q122" i="39"/>
  <c r="O122" i="39"/>
  <c r="E122" i="39"/>
  <c r="EA121" i="39"/>
  <c r="DT121" i="39"/>
  <c r="CT121" i="39"/>
  <c r="GP121" i="39" s="1"/>
  <c r="AT121" i="39"/>
  <c r="Z121" i="39"/>
  <c r="T121" i="39"/>
  <c r="Q121" i="39"/>
  <c r="O121" i="39"/>
  <c r="E121" i="39"/>
  <c r="EA120" i="39"/>
  <c r="DT120" i="39"/>
  <c r="CT120" i="39"/>
  <c r="GP120" i="39" s="1"/>
  <c r="AT120" i="39"/>
  <c r="Z120" i="39"/>
  <c r="T120" i="39"/>
  <c r="Q120" i="39"/>
  <c r="O120" i="39"/>
  <c r="E120" i="39"/>
  <c r="EA119" i="39"/>
  <c r="DT119" i="39"/>
  <c r="CT119" i="39"/>
  <c r="GP119" i="39" s="1"/>
  <c r="AT119" i="39"/>
  <c r="Z119" i="39"/>
  <c r="T119" i="39"/>
  <c r="Q119" i="39"/>
  <c r="O119" i="39"/>
  <c r="E119" i="39"/>
  <c r="EA118" i="39"/>
  <c r="DT118" i="39"/>
  <c r="CT118" i="39"/>
  <c r="GP118" i="39" s="1"/>
  <c r="AT118" i="39"/>
  <c r="Z118" i="39"/>
  <c r="T118" i="39"/>
  <c r="Q118" i="39"/>
  <c r="O118" i="39"/>
  <c r="E118" i="39"/>
  <c r="EA117" i="39"/>
  <c r="DT117" i="39"/>
  <c r="CT117" i="39"/>
  <c r="GP117" i="39" s="1"/>
  <c r="AT117" i="39"/>
  <c r="Z117" i="39"/>
  <c r="T117" i="39"/>
  <c r="Q117" i="39"/>
  <c r="O117" i="39"/>
  <c r="E117" i="39"/>
  <c r="EA116" i="39"/>
  <c r="DT116" i="39"/>
  <c r="CT116" i="39"/>
  <c r="GP116" i="39" s="1"/>
  <c r="Z116" i="39"/>
  <c r="V116" i="39"/>
  <c r="T116" i="39"/>
  <c r="Q116" i="39"/>
  <c r="O116" i="39"/>
  <c r="E116" i="39"/>
  <c r="EA115" i="39"/>
  <c r="DT115" i="39"/>
  <c r="CT115" i="39"/>
  <c r="GP115" i="39" s="1"/>
  <c r="AT115" i="39"/>
  <c r="Z115" i="39"/>
  <c r="W115" i="39"/>
  <c r="T115" i="39"/>
  <c r="Q115" i="39"/>
  <c r="O115" i="39"/>
  <c r="E115" i="39"/>
  <c r="EA114" i="39"/>
  <c r="DT114" i="39"/>
  <c r="CT114" i="39"/>
  <c r="GP114" i="39" s="1"/>
  <c r="AT114" i="39"/>
  <c r="Z114" i="39"/>
  <c r="T114" i="39"/>
  <c r="Q114" i="39"/>
  <c r="O114" i="39"/>
  <c r="E114" i="39"/>
  <c r="EA113" i="39"/>
  <c r="DT113" i="39"/>
  <c r="CT113" i="39"/>
  <c r="GP113" i="39" s="1"/>
  <c r="AT113" i="39"/>
  <c r="Z113" i="39"/>
  <c r="W113" i="39"/>
  <c r="T113" i="39"/>
  <c r="Q113" i="39"/>
  <c r="O113" i="39"/>
  <c r="E113" i="39"/>
  <c r="EA112" i="39"/>
  <c r="DT112" i="39"/>
  <c r="CT112" i="39"/>
  <c r="GP112" i="39" s="1"/>
  <c r="AT112" i="39"/>
  <c r="Z112" i="39"/>
  <c r="W112" i="39"/>
  <c r="T112" i="39"/>
  <c r="Q112" i="39"/>
  <c r="O112" i="39"/>
  <c r="E112" i="39"/>
  <c r="EA111" i="39"/>
  <c r="DT111" i="39"/>
  <c r="CT111" i="39"/>
  <c r="GP111" i="39" s="1"/>
  <c r="AT111" i="39"/>
  <c r="Z111" i="39"/>
  <c r="W111" i="39"/>
  <c r="T111" i="39"/>
  <c r="Q111" i="39"/>
  <c r="O111" i="39"/>
  <c r="E111" i="39"/>
  <c r="EA110" i="39"/>
  <c r="DT110" i="39"/>
  <c r="CT110" i="39"/>
  <c r="GP110" i="39" s="1"/>
  <c r="AT110" i="39"/>
  <c r="Z110" i="39"/>
  <c r="W110" i="39"/>
  <c r="T110" i="39"/>
  <c r="Q110" i="39"/>
  <c r="O110" i="39"/>
  <c r="E110" i="39"/>
  <c r="C110" i="39"/>
  <c r="C111" i="39" s="1"/>
  <c r="C112" i="39" s="1"/>
  <c r="C113" i="39" s="1"/>
  <c r="C114" i="39" s="1"/>
  <c r="C115" i="39" s="1"/>
  <c r="C116" i="39" s="1"/>
  <c r="C117" i="39" s="1"/>
  <c r="C118" i="39" s="1"/>
  <c r="C119" i="39" s="1"/>
  <c r="C120" i="39" s="1"/>
  <c r="C121" i="39" s="1"/>
  <c r="C122" i="39" s="1"/>
  <c r="C123" i="39" s="1"/>
  <c r="C124" i="39" s="1"/>
  <c r="C125" i="39" s="1"/>
  <c r="C126" i="39" s="1"/>
  <c r="EA109" i="39"/>
  <c r="DT109" i="39"/>
  <c r="CT109" i="39"/>
  <c r="GP109" i="39" s="1"/>
  <c r="Z109" i="39"/>
  <c r="V109" i="39"/>
  <c r="T109" i="39"/>
  <c r="Q109" i="39"/>
  <c r="O109" i="39"/>
  <c r="E109" i="39"/>
  <c r="EA108" i="39"/>
  <c r="DT108" i="39"/>
  <c r="CT108" i="39"/>
  <c r="GP108" i="39" s="1"/>
  <c r="AT108" i="39"/>
  <c r="Z108" i="39"/>
  <c r="V108" i="39"/>
  <c r="Q108" i="39"/>
  <c r="O108" i="39"/>
  <c r="E108" i="39"/>
  <c r="EA107" i="39"/>
  <c r="DT107" i="39"/>
  <c r="CT107" i="39"/>
  <c r="GP107" i="39" s="1"/>
  <c r="AT107" i="39"/>
  <c r="Z107" i="39"/>
  <c r="Q107" i="39"/>
  <c r="O107" i="39"/>
  <c r="E107" i="39"/>
  <c r="EA106" i="39"/>
  <c r="DT106" i="39"/>
  <c r="CT106" i="39"/>
  <c r="GP106" i="39" s="1"/>
  <c r="AT106" i="39"/>
  <c r="Z106" i="39"/>
  <c r="Q106" i="39"/>
  <c r="O106" i="39"/>
  <c r="E106" i="39"/>
  <c r="EA105" i="39"/>
  <c r="DT105" i="39"/>
  <c r="CT105" i="39"/>
  <c r="GP105" i="39" s="1"/>
  <c r="AT105" i="39"/>
  <c r="Z105" i="39"/>
  <c r="Q105" i="39"/>
  <c r="O105" i="39"/>
  <c r="E105" i="39"/>
  <c r="EA104" i="39"/>
  <c r="DT104" i="39"/>
  <c r="CT104" i="39"/>
  <c r="GP104" i="39" s="1"/>
  <c r="AT104" i="39"/>
  <c r="Z104" i="39"/>
  <c r="Q104" i="39"/>
  <c r="O104" i="39"/>
  <c r="E104" i="39"/>
  <c r="EA103" i="39"/>
  <c r="DT103" i="39"/>
  <c r="CT103" i="39"/>
  <c r="GP103" i="39" s="1"/>
  <c r="AT103" i="39"/>
  <c r="Z103" i="39"/>
  <c r="Q103" i="39"/>
  <c r="O103" i="39"/>
  <c r="E103" i="39"/>
  <c r="EA102" i="39"/>
  <c r="DT102" i="39"/>
  <c r="CT102" i="39"/>
  <c r="GP102" i="39" s="1"/>
  <c r="AT102" i="39"/>
  <c r="Z102" i="39"/>
  <c r="Q102" i="39"/>
  <c r="O102" i="39"/>
  <c r="E102" i="39"/>
  <c r="EA101" i="39"/>
  <c r="DT101" i="39"/>
  <c r="CT101" i="39"/>
  <c r="GP101" i="39" s="1"/>
  <c r="AT101" i="39"/>
  <c r="Z101" i="39"/>
  <c r="Q101" i="39"/>
  <c r="O101" i="39"/>
  <c r="E101" i="39"/>
  <c r="EA100" i="39"/>
  <c r="DT100" i="39"/>
  <c r="CT100" i="39"/>
  <c r="GP100" i="39" s="1"/>
  <c r="AT100" i="39"/>
  <c r="Z100" i="39"/>
  <c r="Q100" i="39"/>
  <c r="O100" i="39"/>
  <c r="E100" i="39"/>
  <c r="EA99" i="39"/>
  <c r="DT99" i="39"/>
  <c r="CT99" i="39"/>
  <c r="GP99" i="39" s="1"/>
  <c r="AT99" i="39"/>
  <c r="Z99" i="39"/>
  <c r="Q99" i="39"/>
  <c r="O99" i="39"/>
  <c r="E99" i="39"/>
  <c r="EA98" i="39"/>
  <c r="DT98" i="39"/>
  <c r="CT98" i="39"/>
  <c r="GP98" i="39" s="1"/>
  <c r="AT98" i="39"/>
  <c r="Z98" i="39"/>
  <c r="V98" i="39"/>
  <c r="Q98" i="39"/>
  <c r="O98" i="39"/>
  <c r="E98" i="39"/>
  <c r="EA97" i="39"/>
  <c r="DT97" i="39"/>
  <c r="CT97" i="39"/>
  <c r="GP97" i="39" s="1"/>
  <c r="AT97" i="39"/>
  <c r="Z97" i="39"/>
  <c r="W97" i="39"/>
  <c r="Q97" i="39"/>
  <c r="O97" i="39"/>
  <c r="E97" i="39"/>
  <c r="EA96" i="39"/>
  <c r="DT96" i="39"/>
  <c r="CT96" i="39"/>
  <c r="GP96" i="39" s="1"/>
  <c r="AT96" i="39"/>
  <c r="Z96" i="39"/>
  <c r="Q96" i="39"/>
  <c r="O96" i="39"/>
  <c r="E96" i="39"/>
  <c r="EA95" i="39"/>
  <c r="DT95" i="39"/>
  <c r="CT95" i="39"/>
  <c r="GP95" i="39" s="1"/>
  <c r="Z95" i="39"/>
  <c r="W95" i="39"/>
  <c r="Q95" i="39"/>
  <c r="O95" i="39"/>
  <c r="E95" i="39"/>
  <c r="EA94" i="39"/>
  <c r="DT94" i="39"/>
  <c r="CT94" i="39"/>
  <c r="GP94" i="39" s="1"/>
  <c r="AT94" i="39"/>
  <c r="Z94" i="39"/>
  <c r="W94" i="39"/>
  <c r="Q94" i="39"/>
  <c r="O94" i="39"/>
  <c r="E94" i="39"/>
  <c r="EA93" i="39"/>
  <c r="DT93" i="39"/>
  <c r="CT93" i="39"/>
  <c r="GP93" i="39" s="1"/>
  <c r="AT93" i="39"/>
  <c r="Z93" i="39"/>
  <c r="W93" i="39"/>
  <c r="Q93" i="39"/>
  <c r="O93" i="39"/>
  <c r="E93" i="39"/>
  <c r="EA92" i="39"/>
  <c r="DT92" i="39"/>
  <c r="CT92" i="39"/>
  <c r="GP92" i="39" s="1"/>
  <c r="AT92" i="39"/>
  <c r="Z92" i="39"/>
  <c r="W92" i="39"/>
  <c r="Q92" i="39"/>
  <c r="O92" i="39"/>
  <c r="E92" i="39"/>
  <c r="C92" i="39"/>
  <c r="C93" i="39" s="1"/>
  <c r="C94" i="39" s="1"/>
  <c r="C95" i="39" s="1"/>
  <c r="C96" i="39" s="1"/>
  <c r="C97" i="39" s="1"/>
  <c r="C98" i="39" s="1"/>
  <c r="C99" i="39" s="1"/>
  <c r="C100" i="39" s="1"/>
  <c r="C101" i="39" s="1"/>
  <c r="C102" i="39" s="1"/>
  <c r="C103" i="39" s="1"/>
  <c r="C104" i="39" s="1"/>
  <c r="C105" i="39" s="1"/>
  <c r="C106" i="39" s="1"/>
  <c r="C107" i="39" s="1"/>
  <c r="C108" i="39" s="1"/>
  <c r="EA91" i="39"/>
  <c r="DT91" i="39"/>
  <c r="CT91" i="39"/>
  <c r="GP91" i="39" s="1"/>
  <c r="AT91" i="39"/>
  <c r="Z91" i="39"/>
  <c r="V91" i="39"/>
  <c r="Q91" i="39"/>
  <c r="O91" i="39"/>
  <c r="E91" i="39"/>
  <c r="EA90" i="39"/>
  <c r="DT90" i="39"/>
  <c r="CT90" i="39"/>
  <c r="GP90" i="39" s="1"/>
  <c r="AT90" i="39"/>
  <c r="Z90" i="39"/>
  <c r="V90" i="39"/>
  <c r="Q90" i="39"/>
  <c r="O90" i="39"/>
  <c r="E90" i="39"/>
  <c r="EA89" i="39"/>
  <c r="DT89" i="39"/>
  <c r="CT89" i="39"/>
  <c r="GP89" i="39" s="1"/>
  <c r="AT89" i="39"/>
  <c r="Z89" i="39"/>
  <c r="Q89" i="39"/>
  <c r="O89" i="39"/>
  <c r="E89" i="39"/>
  <c r="EA88" i="39"/>
  <c r="DT88" i="39"/>
  <c r="CT88" i="39"/>
  <c r="GP88" i="39" s="1"/>
  <c r="AT88" i="39"/>
  <c r="Z88" i="39"/>
  <c r="Q88" i="39"/>
  <c r="O88" i="39"/>
  <c r="E88" i="39"/>
  <c r="EA87" i="39"/>
  <c r="DT87" i="39"/>
  <c r="CT87" i="39"/>
  <c r="GP87" i="39" s="1"/>
  <c r="AT87" i="39"/>
  <c r="Z87" i="39"/>
  <c r="Q87" i="39"/>
  <c r="O87" i="39"/>
  <c r="E87" i="39"/>
  <c r="EA86" i="39"/>
  <c r="DT86" i="39"/>
  <c r="CT86" i="39"/>
  <c r="GP86" i="39" s="1"/>
  <c r="AT86" i="39"/>
  <c r="Z86" i="39"/>
  <c r="Q86" i="39"/>
  <c r="O86" i="39"/>
  <c r="E86" i="39"/>
  <c r="EA85" i="39"/>
  <c r="DT85" i="39"/>
  <c r="CT85" i="39"/>
  <c r="GP85" i="39" s="1"/>
  <c r="AT85" i="39"/>
  <c r="Z85" i="39"/>
  <c r="Q85" i="39"/>
  <c r="O85" i="39"/>
  <c r="E85" i="39"/>
  <c r="EA84" i="39"/>
  <c r="DT84" i="39"/>
  <c r="CT84" i="39"/>
  <c r="GP84" i="39" s="1"/>
  <c r="AT84" i="39"/>
  <c r="Z84" i="39"/>
  <c r="Q84" i="39"/>
  <c r="O84" i="39"/>
  <c r="E84" i="39"/>
  <c r="EA83" i="39"/>
  <c r="DT83" i="39"/>
  <c r="CT83" i="39"/>
  <c r="GP83" i="39" s="1"/>
  <c r="AT83" i="39"/>
  <c r="Z83" i="39"/>
  <c r="Q83" i="39"/>
  <c r="O83" i="39"/>
  <c r="E83" i="39"/>
  <c r="EA82" i="39"/>
  <c r="DT82" i="39"/>
  <c r="CT82" i="39"/>
  <c r="GP82" i="39" s="1"/>
  <c r="AT82" i="39"/>
  <c r="Z82" i="39"/>
  <c r="Q82" i="39"/>
  <c r="O82" i="39"/>
  <c r="E82" i="39"/>
  <c r="EA81" i="39"/>
  <c r="DT81" i="39"/>
  <c r="CT81" i="39"/>
  <c r="GP81" i="39" s="1"/>
  <c r="AT81" i="39"/>
  <c r="Z81" i="39"/>
  <c r="Q81" i="39"/>
  <c r="O81" i="39"/>
  <c r="E81" i="39"/>
  <c r="EA80" i="39"/>
  <c r="DT80" i="39"/>
  <c r="CT80" i="39"/>
  <c r="GP80" i="39" s="1"/>
  <c r="AT80" i="39"/>
  <c r="Z80" i="39"/>
  <c r="V80" i="39"/>
  <c r="Q80" i="39"/>
  <c r="O80" i="39"/>
  <c r="E80" i="39"/>
  <c r="EA79" i="39"/>
  <c r="DT79" i="39"/>
  <c r="CT79" i="39"/>
  <c r="GP79" i="39" s="1"/>
  <c r="AT79" i="39"/>
  <c r="Z79" i="39"/>
  <c r="W79" i="39"/>
  <c r="Q79" i="39"/>
  <c r="O79" i="39"/>
  <c r="E79" i="39"/>
  <c r="EA78" i="39"/>
  <c r="DT78" i="39"/>
  <c r="CT78" i="39"/>
  <c r="GP78" i="39" s="1"/>
  <c r="AT78" i="39"/>
  <c r="Z78" i="39"/>
  <c r="Q78" i="39"/>
  <c r="O78" i="39"/>
  <c r="E78" i="39"/>
  <c r="EA77" i="39"/>
  <c r="DT77" i="39"/>
  <c r="CT77" i="39"/>
  <c r="GP77" i="39" s="1"/>
  <c r="AT77" i="39"/>
  <c r="Z77" i="39"/>
  <c r="W77" i="39"/>
  <c r="Q77" i="39"/>
  <c r="O77" i="39"/>
  <c r="E77" i="39"/>
  <c r="EA76" i="39"/>
  <c r="DT76" i="39"/>
  <c r="CT76" i="39"/>
  <c r="GP76" i="39" s="1"/>
  <c r="AT76" i="39"/>
  <c r="Z76" i="39"/>
  <c r="W76" i="39"/>
  <c r="Q76" i="39"/>
  <c r="O76" i="39"/>
  <c r="E76" i="39"/>
  <c r="EA75" i="39"/>
  <c r="DT75" i="39"/>
  <c r="CT75" i="39"/>
  <c r="GP75" i="39" s="1"/>
  <c r="AT75" i="39"/>
  <c r="Z75" i="39"/>
  <c r="W75" i="39"/>
  <c r="Q75" i="39"/>
  <c r="O75" i="39"/>
  <c r="E75" i="39"/>
  <c r="EA74" i="39"/>
  <c r="DT74" i="39"/>
  <c r="CT74" i="39"/>
  <c r="GP74" i="39" s="1"/>
  <c r="AT74" i="39"/>
  <c r="Z74" i="39"/>
  <c r="W74" i="39"/>
  <c r="Q74" i="39"/>
  <c r="O74" i="39"/>
  <c r="E74" i="39"/>
  <c r="C74" i="39"/>
  <c r="C75" i="39" s="1"/>
  <c r="C76" i="39" s="1"/>
  <c r="C77" i="39" s="1"/>
  <c r="C78" i="39" s="1"/>
  <c r="C79" i="39" s="1"/>
  <c r="C80" i="39" s="1"/>
  <c r="C81" i="39" s="1"/>
  <c r="C82" i="39" s="1"/>
  <c r="C83" i="39" s="1"/>
  <c r="C84" i="39" s="1"/>
  <c r="C85" i="39" s="1"/>
  <c r="C86" i="39" s="1"/>
  <c r="C87" i="39" s="1"/>
  <c r="C88" i="39" s="1"/>
  <c r="C89" i="39" s="1"/>
  <c r="C90" i="39" s="1"/>
  <c r="EA73" i="39"/>
  <c r="DT73" i="39"/>
  <c r="CT73" i="39"/>
  <c r="GP73" i="39" s="1"/>
  <c r="AT73" i="39"/>
  <c r="Z73" i="39"/>
  <c r="V73" i="39"/>
  <c r="Q73" i="39"/>
  <c r="O73" i="39"/>
  <c r="E73" i="39"/>
  <c r="EA72" i="39"/>
  <c r="DT72" i="39"/>
  <c r="CT72" i="39"/>
  <c r="GP72" i="39" s="1"/>
  <c r="AT72" i="39"/>
  <c r="Z72" i="39"/>
  <c r="V72" i="39"/>
  <c r="Q72" i="39"/>
  <c r="O72" i="39"/>
  <c r="E72" i="39"/>
  <c r="EA71" i="39"/>
  <c r="DT71" i="39"/>
  <c r="CT71" i="39"/>
  <c r="GP71" i="39" s="1"/>
  <c r="AT71" i="39"/>
  <c r="Z71" i="39"/>
  <c r="Q71" i="39"/>
  <c r="O71" i="39"/>
  <c r="E71" i="39"/>
  <c r="EA70" i="39"/>
  <c r="DT70" i="39"/>
  <c r="CT70" i="39"/>
  <c r="GP70" i="39" s="1"/>
  <c r="AT70" i="39"/>
  <c r="Z70" i="39"/>
  <c r="Q70" i="39"/>
  <c r="O70" i="39"/>
  <c r="E70" i="39"/>
  <c r="EA69" i="39"/>
  <c r="DT69" i="39"/>
  <c r="CT69" i="39"/>
  <c r="GP69" i="39" s="1"/>
  <c r="AT69" i="39"/>
  <c r="Z69" i="39"/>
  <c r="Q69" i="39"/>
  <c r="O69" i="39"/>
  <c r="E69" i="39"/>
  <c r="EA68" i="39"/>
  <c r="DT68" i="39"/>
  <c r="CT68" i="39"/>
  <c r="GP68" i="39" s="1"/>
  <c r="AT68" i="39"/>
  <c r="Z68" i="39"/>
  <c r="Q68" i="39"/>
  <c r="O68" i="39"/>
  <c r="E68" i="39"/>
  <c r="EA67" i="39"/>
  <c r="DT67" i="39"/>
  <c r="CT67" i="39"/>
  <c r="GP67" i="39" s="1"/>
  <c r="AT67" i="39"/>
  <c r="Z67" i="39"/>
  <c r="Q67" i="39"/>
  <c r="O67" i="39"/>
  <c r="E67" i="39"/>
  <c r="EA66" i="39"/>
  <c r="DT66" i="39"/>
  <c r="CT66" i="39"/>
  <c r="GP66" i="39" s="1"/>
  <c r="AT66" i="39"/>
  <c r="Z66" i="39"/>
  <c r="Q66" i="39"/>
  <c r="O66" i="39"/>
  <c r="E66" i="39"/>
  <c r="EA65" i="39"/>
  <c r="DT65" i="39"/>
  <c r="CT65" i="39"/>
  <c r="GP65" i="39" s="1"/>
  <c r="AT65" i="39"/>
  <c r="Z65" i="39"/>
  <c r="Q65" i="39"/>
  <c r="O65" i="39"/>
  <c r="E65" i="39"/>
  <c r="EA64" i="39"/>
  <c r="DT64" i="39"/>
  <c r="CT64" i="39"/>
  <c r="GP64" i="39" s="1"/>
  <c r="AT64" i="39"/>
  <c r="Z64" i="39"/>
  <c r="Q64" i="39"/>
  <c r="O64" i="39"/>
  <c r="E64" i="39"/>
  <c r="EA63" i="39"/>
  <c r="DT63" i="39"/>
  <c r="CT63" i="39"/>
  <c r="GP63" i="39" s="1"/>
  <c r="AT63" i="39"/>
  <c r="Z63" i="39"/>
  <c r="Q63" i="39"/>
  <c r="O63" i="39"/>
  <c r="E63" i="39"/>
  <c r="EA62" i="39"/>
  <c r="DT62" i="39"/>
  <c r="CT62" i="39"/>
  <c r="GP62" i="39" s="1"/>
  <c r="AT62" i="39"/>
  <c r="Z62" i="39"/>
  <c r="V62" i="39"/>
  <c r="Q62" i="39"/>
  <c r="O62" i="39"/>
  <c r="E62" i="39"/>
  <c r="EA61" i="39"/>
  <c r="DT61" i="39"/>
  <c r="CT61" i="39"/>
  <c r="GP61" i="39" s="1"/>
  <c r="AT61" i="39"/>
  <c r="Z61" i="39"/>
  <c r="W61" i="39"/>
  <c r="Q61" i="39"/>
  <c r="O61" i="39"/>
  <c r="E61" i="39"/>
  <c r="EA60" i="39"/>
  <c r="DT60" i="39"/>
  <c r="CT60" i="39"/>
  <c r="GP60" i="39" s="1"/>
  <c r="AT60" i="39"/>
  <c r="Z60" i="39"/>
  <c r="Q60" i="39"/>
  <c r="O60" i="39"/>
  <c r="E60" i="39"/>
  <c r="EA59" i="39"/>
  <c r="DT59" i="39"/>
  <c r="CT59" i="39"/>
  <c r="GP59" i="39" s="1"/>
  <c r="AT59" i="39"/>
  <c r="Z59" i="39"/>
  <c r="W59" i="39"/>
  <c r="Q59" i="39"/>
  <c r="O59" i="39"/>
  <c r="E59" i="39"/>
  <c r="EA58" i="39"/>
  <c r="DT58" i="39"/>
  <c r="CT58" i="39"/>
  <c r="GP58" i="39" s="1"/>
  <c r="AT58" i="39"/>
  <c r="Z58" i="39"/>
  <c r="W58" i="39"/>
  <c r="Q58" i="39"/>
  <c r="O58" i="39"/>
  <c r="E58" i="39"/>
  <c r="EA57" i="39"/>
  <c r="DT57" i="39"/>
  <c r="CT57" i="39"/>
  <c r="GP57" i="39" s="1"/>
  <c r="Z57" i="39"/>
  <c r="W57" i="39"/>
  <c r="Q57" i="39"/>
  <c r="O57" i="39"/>
  <c r="E57" i="39"/>
  <c r="EA56" i="39"/>
  <c r="DT56" i="39"/>
  <c r="CT56" i="39"/>
  <c r="GP56" i="39" s="1"/>
  <c r="AT56" i="39"/>
  <c r="Z56" i="39"/>
  <c r="W56" i="39"/>
  <c r="Q56" i="39"/>
  <c r="O56" i="39"/>
  <c r="E56" i="39"/>
  <c r="C56" i="39"/>
  <c r="C57" i="39" s="1"/>
  <c r="C58" i="39" s="1"/>
  <c r="C59" i="39" s="1"/>
  <c r="C60" i="39" s="1"/>
  <c r="C61" i="39" s="1"/>
  <c r="C62" i="39" s="1"/>
  <c r="C63" i="39" s="1"/>
  <c r="C64" i="39" s="1"/>
  <c r="C65" i="39" s="1"/>
  <c r="C66" i="39" s="1"/>
  <c r="C67" i="39" s="1"/>
  <c r="C68" i="39" s="1"/>
  <c r="C69" i="39" s="1"/>
  <c r="C70" i="39" s="1"/>
  <c r="C71" i="39" s="1"/>
  <c r="C72" i="39" s="1"/>
  <c r="EA55" i="39"/>
  <c r="DT55" i="39"/>
  <c r="CT55" i="39"/>
  <c r="GP55" i="39" s="1"/>
  <c r="AT55" i="39"/>
  <c r="Z55" i="39"/>
  <c r="Y55" i="39"/>
  <c r="V55" i="39"/>
  <c r="Q55" i="39"/>
  <c r="O55" i="39"/>
  <c r="E55" i="39"/>
  <c r="EA54" i="39"/>
  <c r="DT54" i="39"/>
  <c r="CT54" i="39"/>
  <c r="GP54" i="39" s="1"/>
  <c r="AT54" i="39"/>
  <c r="Z54" i="39"/>
  <c r="V54" i="39"/>
  <c r="Q54" i="39"/>
  <c r="O54" i="39"/>
  <c r="E54" i="39"/>
  <c r="EA53" i="39"/>
  <c r="DT53" i="39"/>
  <c r="CT53" i="39"/>
  <c r="GP53" i="39" s="1"/>
  <c r="AT53" i="39"/>
  <c r="Z53" i="39"/>
  <c r="Q53" i="39"/>
  <c r="O53" i="39"/>
  <c r="E53" i="39"/>
  <c r="EA52" i="39"/>
  <c r="DT52" i="39"/>
  <c r="CT52" i="39"/>
  <c r="GP52" i="39" s="1"/>
  <c r="AT52" i="39"/>
  <c r="Z52" i="39"/>
  <c r="Q52" i="39"/>
  <c r="O52" i="39"/>
  <c r="E52" i="39"/>
  <c r="EA51" i="39"/>
  <c r="DT51" i="39"/>
  <c r="CT51" i="39"/>
  <c r="GP51" i="39" s="1"/>
  <c r="AT51" i="39"/>
  <c r="Z51" i="39"/>
  <c r="Q51" i="39"/>
  <c r="O51" i="39"/>
  <c r="E51" i="39"/>
  <c r="EA50" i="39"/>
  <c r="DT50" i="39"/>
  <c r="CT50" i="39"/>
  <c r="GP50" i="39" s="1"/>
  <c r="AT50" i="39"/>
  <c r="Z50" i="39"/>
  <c r="Q50" i="39"/>
  <c r="O50" i="39"/>
  <c r="E50" i="39"/>
  <c r="EA49" i="39"/>
  <c r="DT49" i="39"/>
  <c r="CT49" i="39"/>
  <c r="GP49" i="39" s="1"/>
  <c r="AT49" i="39"/>
  <c r="Z49" i="39"/>
  <c r="Q49" i="39"/>
  <c r="O49" i="39"/>
  <c r="E49" i="39"/>
  <c r="EA48" i="39"/>
  <c r="DT48" i="39"/>
  <c r="CT48" i="39"/>
  <c r="GP48" i="39" s="1"/>
  <c r="AT48" i="39"/>
  <c r="Z48" i="39"/>
  <c r="Q48" i="39"/>
  <c r="O48" i="39"/>
  <c r="E48" i="39"/>
  <c r="EA47" i="39"/>
  <c r="DT47" i="39"/>
  <c r="CT47" i="39"/>
  <c r="GP47" i="39" s="1"/>
  <c r="AT47" i="39"/>
  <c r="Z47" i="39"/>
  <c r="Q47" i="39"/>
  <c r="O47" i="39"/>
  <c r="E47" i="39"/>
  <c r="EA46" i="39"/>
  <c r="DT46" i="39"/>
  <c r="CT46" i="39"/>
  <c r="GP46" i="39" s="1"/>
  <c r="AT46" i="39"/>
  <c r="Z46" i="39"/>
  <c r="Q46" i="39"/>
  <c r="O46" i="39"/>
  <c r="E46" i="39"/>
  <c r="EA45" i="39"/>
  <c r="DT45" i="39"/>
  <c r="CT45" i="39"/>
  <c r="GP45" i="39" s="1"/>
  <c r="AT45" i="39"/>
  <c r="Z45" i="39"/>
  <c r="Q45" i="39"/>
  <c r="O45" i="39"/>
  <c r="E45" i="39"/>
  <c r="EA44" i="39"/>
  <c r="DT44" i="39"/>
  <c r="CT44" i="39"/>
  <c r="GP44" i="39" s="1"/>
  <c r="AT44" i="39"/>
  <c r="Z44" i="39"/>
  <c r="V44" i="39"/>
  <c r="Q44" i="39"/>
  <c r="O44" i="39"/>
  <c r="E44" i="39"/>
  <c r="EA43" i="39"/>
  <c r="DT43" i="39"/>
  <c r="CT43" i="39"/>
  <c r="GP43" i="39" s="1"/>
  <c r="AT43" i="39"/>
  <c r="Z43" i="39"/>
  <c r="W43" i="39"/>
  <c r="Q43" i="39"/>
  <c r="O43" i="39"/>
  <c r="E43" i="39"/>
  <c r="EA42" i="39"/>
  <c r="DT42" i="39"/>
  <c r="CT42" i="39"/>
  <c r="GP42" i="39" s="1"/>
  <c r="AT42" i="39"/>
  <c r="Z42" i="39"/>
  <c r="Q42" i="39"/>
  <c r="O42" i="39"/>
  <c r="E42" i="39"/>
  <c r="EA41" i="39"/>
  <c r="DT41" i="39"/>
  <c r="CT41" i="39"/>
  <c r="GP41" i="39" s="1"/>
  <c r="AT41" i="39"/>
  <c r="Z41" i="39"/>
  <c r="W41" i="39"/>
  <c r="Q41" i="39"/>
  <c r="O41" i="39"/>
  <c r="E41" i="39"/>
  <c r="EA40" i="39"/>
  <c r="DT40" i="39"/>
  <c r="CT40" i="39"/>
  <c r="GP40" i="39" s="1"/>
  <c r="AT40" i="39"/>
  <c r="Z40" i="39"/>
  <c r="W40" i="39"/>
  <c r="Q40" i="39"/>
  <c r="O40" i="39"/>
  <c r="E40" i="39"/>
  <c r="EA39" i="39"/>
  <c r="DT39" i="39"/>
  <c r="CT39" i="39"/>
  <c r="GP39" i="39" s="1"/>
  <c r="AT39" i="39"/>
  <c r="Z39" i="39"/>
  <c r="W39" i="39"/>
  <c r="Q39" i="39"/>
  <c r="O39" i="39"/>
  <c r="E39" i="39"/>
  <c r="EA38" i="39"/>
  <c r="DT38" i="39"/>
  <c r="CT38" i="39"/>
  <c r="GP38" i="39" s="1"/>
  <c r="AT38" i="39"/>
  <c r="Z38" i="39"/>
  <c r="W38" i="39"/>
  <c r="Q38" i="39"/>
  <c r="O38" i="39"/>
  <c r="E38" i="39"/>
  <c r="C38" i="39"/>
  <c r="C39" i="39" s="1"/>
  <c r="C40" i="39" s="1"/>
  <c r="C41" i="39" s="1"/>
  <c r="C42" i="39" s="1"/>
  <c r="C43" i="39" s="1"/>
  <c r="C44" i="39" s="1"/>
  <c r="C45" i="39" s="1"/>
  <c r="C46" i="39" s="1"/>
  <c r="C47" i="39" s="1"/>
  <c r="C48" i="39" s="1"/>
  <c r="C49" i="39" s="1"/>
  <c r="C50" i="39" s="1"/>
  <c r="C51" i="39" s="1"/>
  <c r="C52" i="39" s="1"/>
  <c r="C53" i="39" s="1"/>
  <c r="C54" i="39" s="1"/>
  <c r="EA37" i="39"/>
  <c r="DT37" i="39"/>
  <c r="CT37" i="39"/>
  <c r="GP37" i="39" s="1"/>
  <c r="AT37" i="39"/>
  <c r="Z37" i="39"/>
  <c r="V37" i="39"/>
  <c r="Q37" i="39"/>
  <c r="O37" i="39"/>
  <c r="E37" i="39"/>
  <c r="EA36" i="39"/>
  <c r="DT36" i="39"/>
  <c r="CT36" i="39"/>
  <c r="GP36" i="39" s="1"/>
  <c r="AT36" i="39"/>
  <c r="Z36" i="39"/>
  <c r="V36" i="39"/>
  <c r="Q36" i="39"/>
  <c r="O36" i="39"/>
  <c r="E36" i="39"/>
  <c r="EA35" i="39"/>
  <c r="DT35" i="39"/>
  <c r="CT35" i="39"/>
  <c r="GP35" i="39" s="1"/>
  <c r="AT35" i="39"/>
  <c r="Z35" i="39"/>
  <c r="Q35" i="39"/>
  <c r="O35" i="39"/>
  <c r="E35" i="39"/>
  <c r="EA34" i="39"/>
  <c r="DT34" i="39"/>
  <c r="CT34" i="39"/>
  <c r="GP34" i="39" s="1"/>
  <c r="AT34" i="39"/>
  <c r="Z34" i="39"/>
  <c r="Q34" i="39"/>
  <c r="O34" i="39"/>
  <c r="E34" i="39"/>
  <c r="EA33" i="39"/>
  <c r="DT33" i="39"/>
  <c r="CT33" i="39"/>
  <c r="GP33" i="39" s="1"/>
  <c r="AT33" i="39"/>
  <c r="Z33" i="39"/>
  <c r="Q33" i="39"/>
  <c r="O33" i="39"/>
  <c r="E33" i="39"/>
  <c r="EA32" i="39"/>
  <c r="DT32" i="39"/>
  <c r="CT32" i="39"/>
  <c r="GP32" i="39" s="1"/>
  <c r="AT32" i="39"/>
  <c r="Z32" i="39"/>
  <c r="Q32" i="39"/>
  <c r="O32" i="39"/>
  <c r="E32" i="39"/>
  <c r="EA31" i="39"/>
  <c r="DT31" i="39"/>
  <c r="CT31" i="39"/>
  <c r="GP31" i="39" s="1"/>
  <c r="AT31" i="39"/>
  <c r="Z31" i="39"/>
  <c r="Q31" i="39"/>
  <c r="O31" i="39"/>
  <c r="E31" i="39"/>
  <c r="EA30" i="39"/>
  <c r="DT30" i="39"/>
  <c r="CT30" i="39"/>
  <c r="GP30" i="39" s="1"/>
  <c r="AT30" i="39"/>
  <c r="Z30" i="39"/>
  <c r="Q30" i="39"/>
  <c r="O30" i="39"/>
  <c r="E30" i="39"/>
  <c r="EA29" i="39"/>
  <c r="DT29" i="39"/>
  <c r="CT29" i="39"/>
  <c r="GP29" i="39" s="1"/>
  <c r="AT29" i="39"/>
  <c r="Z29" i="39"/>
  <c r="Q29" i="39"/>
  <c r="O29" i="39"/>
  <c r="E29" i="39"/>
  <c r="EA28" i="39"/>
  <c r="DT28" i="39"/>
  <c r="CT28" i="39"/>
  <c r="GP28" i="39" s="1"/>
  <c r="AT28" i="39"/>
  <c r="Z28" i="39"/>
  <c r="Q28" i="39"/>
  <c r="O28" i="39"/>
  <c r="E28" i="39"/>
  <c r="EA27" i="39"/>
  <c r="DT27" i="39"/>
  <c r="CT27" i="39"/>
  <c r="GP27" i="39" s="1"/>
  <c r="AT27" i="39"/>
  <c r="Z27" i="39"/>
  <c r="Q27" i="39"/>
  <c r="O27" i="39"/>
  <c r="E27" i="39"/>
  <c r="EA26" i="39"/>
  <c r="DT26" i="39"/>
  <c r="CT26" i="39"/>
  <c r="GP26" i="39" s="1"/>
  <c r="AT26" i="39"/>
  <c r="Z26" i="39"/>
  <c r="V26" i="39"/>
  <c r="Q26" i="39"/>
  <c r="O26" i="39"/>
  <c r="E26" i="39"/>
  <c r="EA25" i="39"/>
  <c r="DT25" i="39"/>
  <c r="CT25" i="39"/>
  <c r="GP25" i="39" s="1"/>
  <c r="AT25" i="39"/>
  <c r="Z25" i="39"/>
  <c r="W25" i="39"/>
  <c r="Q25" i="39"/>
  <c r="O25" i="39"/>
  <c r="E25" i="39"/>
  <c r="EA24" i="39"/>
  <c r="DT24" i="39"/>
  <c r="CT24" i="39"/>
  <c r="GP24" i="39" s="1"/>
  <c r="AT24" i="39"/>
  <c r="Z24" i="39"/>
  <c r="Q24" i="39"/>
  <c r="O24" i="39"/>
  <c r="E24" i="39"/>
  <c r="EA23" i="39"/>
  <c r="DT23" i="39"/>
  <c r="CT23" i="39"/>
  <c r="GP23" i="39" s="1"/>
  <c r="AT23" i="39"/>
  <c r="Z23" i="39"/>
  <c r="W23" i="39"/>
  <c r="Q23" i="39"/>
  <c r="O23" i="39"/>
  <c r="E23" i="39"/>
  <c r="EA22" i="39"/>
  <c r="DT22" i="39"/>
  <c r="CT22" i="39"/>
  <c r="GP22" i="39" s="1"/>
  <c r="AT22" i="39"/>
  <c r="Z22" i="39"/>
  <c r="W22" i="39"/>
  <c r="Q22" i="39"/>
  <c r="O22" i="39"/>
  <c r="E22" i="39"/>
  <c r="EA21" i="39"/>
  <c r="DT21" i="39"/>
  <c r="CT21" i="39"/>
  <c r="GP21" i="39" s="1"/>
  <c r="AT21" i="39"/>
  <c r="Z21" i="39"/>
  <c r="W21" i="39"/>
  <c r="Q21" i="39"/>
  <c r="O21" i="39"/>
  <c r="E21" i="39"/>
  <c r="EA20" i="39"/>
  <c r="DT20" i="39"/>
  <c r="CT20" i="39"/>
  <c r="GP20" i="39" s="1"/>
  <c r="AT20" i="39"/>
  <c r="Z20" i="39"/>
  <c r="W20" i="39"/>
  <c r="Q20" i="39"/>
  <c r="O20" i="39"/>
  <c r="E20" i="39"/>
  <c r="C20" i="39"/>
  <c r="C21" i="39" s="1"/>
  <c r="C22" i="39" s="1"/>
  <c r="C23" i="39" s="1"/>
  <c r="C24" i="39" s="1"/>
  <c r="C25" i="39" s="1"/>
  <c r="C26" i="39" s="1"/>
  <c r="C27" i="39" s="1"/>
  <c r="C28" i="39" s="1"/>
  <c r="C29" i="39" s="1"/>
  <c r="C30" i="39" s="1"/>
  <c r="C31" i="39" s="1"/>
  <c r="C32" i="39" s="1"/>
  <c r="C33" i="39" s="1"/>
  <c r="C34" i="39" s="1"/>
  <c r="C35" i="39" s="1"/>
  <c r="C36" i="39" s="1"/>
  <c r="EA19" i="39"/>
  <c r="DT19" i="39"/>
  <c r="CT19" i="39"/>
  <c r="GP19" i="39" s="1"/>
  <c r="AT19" i="39"/>
  <c r="Z19" i="39"/>
  <c r="V19" i="39"/>
  <c r="Q19" i="39"/>
  <c r="O19" i="39"/>
  <c r="E19" i="39"/>
  <c r="EA18" i="39"/>
  <c r="DT18" i="39"/>
  <c r="CT18" i="39"/>
  <c r="GP18" i="39" s="1"/>
  <c r="AT18" i="39"/>
  <c r="Z18" i="39"/>
  <c r="V18" i="39"/>
  <c r="Q18" i="39"/>
  <c r="O18" i="39"/>
  <c r="E18" i="39"/>
  <c r="EA17" i="39"/>
  <c r="DT17" i="39"/>
  <c r="CT17" i="39"/>
  <c r="GP17" i="39" s="1"/>
  <c r="AT17" i="39"/>
  <c r="Z17" i="39"/>
  <c r="Q17" i="39"/>
  <c r="O17" i="39"/>
  <c r="E17" i="39"/>
  <c r="EA16" i="39"/>
  <c r="DT16" i="39"/>
  <c r="CT16" i="39"/>
  <c r="GP16" i="39" s="1"/>
  <c r="AT16" i="39"/>
  <c r="Z16" i="39"/>
  <c r="Q16" i="39"/>
  <c r="O16" i="39"/>
  <c r="E16" i="39"/>
  <c r="EA15" i="39"/>
  <c r="DT15" i="39"/>
  <c r="CT15" i="39"/>
  <c r="GP15" i="39" s="1"/>
  <c r="AT15" i="39"/>
  <c r="Z15" i="39"/>
  <c r="Q15" i="39"/>
  <c r="O15" i="39"/>
  <c r="E15" i="39"/>
  <c r="EA14" i="39"/>
  <c r="DT14" i="39"/>
  <c r="CT14" i="39"/>
  <c r="GP14" i="39" s="1"/>
  <c r="AT14" i="39"/>
  <c r="Z14" i="39"/>
  <c r="Q14" i="39"/>
  <c r="O14" i="39"/>
  <c r="E14" i="39"/>
  <c r="EA13" i="39"/>
  <c r="DT13" i="39"/>
  <c r="CT13" i="39"/>
  <c r="GP13" i="39" s="1"/>
  <c r="CP217" i="39"/>
  <c r="Z13" i="39"/>
  <c r="W13" i="39"/>
  <c r="Q13" i="39"/>
  <c r="O13" i="39"/>
  <c r="E13" i="39"/>
  <c r="EA12" i="39"/>
  <c r="DU12" i="39"/>
  <c r="CT12" i="39"/>
  <c r="GP12" i="39" s="1"/>
  <c r="AW12" i="39"/>
  <c r="AX12" i="39" s="1"/>
  <c r="DP12" i="39" s="1"/>
  <c r="DO12" i="39" s="1"/>
  <c r="AU12" i="39"/>
  <c r="O12" i="39"/>
  <c r="E12" i="39"/>
  <c r="C12" i="19" s="1"/>
  <c r="EA11" i="39"/>
  <c r="DU11" i="39"/>
  <c r="CT11" i="39"/>
  <c r="GP11" i="39" s="1"/>
  <c r="AW11" i="39"/>
  <c r="AX11" i="39" s="1"/>
  <c r="DP11" i="39" s="1"/>
  <c r="DO11" i="39" s="1"/>
  <c r="AU11" i="39"/>
  <c r="O11" i="39"/>
  <c r="E11" i="39"/>
  <c r="C11" i="19" s="1"/>
  <c r="EA10" i="39"/>
  <c r="DU10" i="39"/>
  <c r="CT10" i="39"/>
  <c r="GP10" i="39" s="1"/>
  <c r="AW10" i="39"/>
  <c r="AX10" i="39" s="1"/>
  <c r="DP10" i="39" s="1"/>
  <c r="DO10" i="39" s="1"/>
  <c r="AU10" i="39"/>
  <c r="O10" i="39"/>
  <c r="E10" i="39"/>
  <c r="C10" i="19" s="1"/>
  <c r="EA9" i="39"/>
  <c r="DU9" i="39"/>
  <c r="CT9" i="39"/>
  <c r="GP9" i="39" s="1"/>
  <c r="AW9" i="39"/>
  <c r="AX9" i="39" s="1"/>
  <c r="DP9" i="39" s="1"/>
  <c r="DO9" i="39" s="1"/>
  <c r="AU9" i="39"/>
  <c r="O9" i="39"/>
  <c r="E9" i="39"/>
  <c r="C9" i="19" s="1"/>
  <c r="EA8" i="39"/>
  <c r="DU8" i="39"/>
  <c r="CT8" i="39"/>
  <c r="GP8" i="39" s="1"/>
  <c r="AW8" i="39"/>
  <c r="AX8" i="39" s="1"/>
  <c r="DP8" i="39" s="1"/>
  <c r="DO8" i="39" s="1"/>
  <c r="AU8" i="39"/>
  <c r="O8" i="39"/>
  <c r="H8" i="39"/>
  <c r="H9" i="39" s="1"/>
  <c r="H10" i="39" s="1"/>
  <c r="H11" i="39" s="1"/>
  <c r="H12" i="39" s="1"/>
  <c r="E8" i="39"/>
  <c r="C8" i="19" s="1"/>
  <c r="C8" i="39"/>
  <c r="C9" i="39" s="1"/>
  <c r="C10" i="39" s="1"/>
  <c r="C11" i="39" s="1"/>
  <c r="C12" i="39" s="1"/>
  <c r="C13" i="39" s="1"/>
  <c r="C14" i="39" s="1"/>
  <c r="C15" i="39" s="1"/>
  <c r="C16" i="39" s="1"/>
  <c r="C17" i="39" s="1"/>
  <c r="C18" i="39" s="1"/>
  <c r="A8" i="39"/>
  <c r="A9" i="39" s="1"/>
  <c r="A10" i="39" s="1"/>
  <c r="A11" i="39" s="1"/>
  <c r="A12" i="39" s="1"/>
  <c r="A13" i="39" s="1"/>
  <c r="A14" i="39" s="1"/>
  <c r="A15" i="39" s="1"/>
  <c r="A16" i="39" s="1"/>
  <c r="A17" i="39" s="1"/>
  <c r="A18" i="39" s="1"/>
  <c r="A19" i="39" s="1"/>
  <c r="A20" i="39" s="1"/>
  <c r="A21" i="39" s="1"/>
  <c r="A22" i="39" s="1"/>
  <c r="A23" i="39" s="1"/>
  <c r="A24" i="39" s="1"/>
  <c r="A25" i="39" s="1"/>
  <c r="A26" i="39" s="1"/>
  <c r="A27" i="39" s="1"/>
  <c r="A28" i="39" s="1"/>
  <c r="A29" i="39" s="1"/>
  <c r="A30" i="39" s="1"/>
  <c r="A31" i="39" s="1"/>
  <c r="A32" i="39" s="1"/>
  <c r="A33" i="39" s="1"/>
  <c r="A34" i="39" s="1"/>
  <c r="A35" i="39" s="1"/>
  <c r="A36" i="39" s="1"/>
  <c r="A37" i="39" s="1"/>
  <c r="A38" i="39" s="1"/>
  <c r="A39" i="39" s="1"/>
  <c r="A40" i="39" s="1"/>
  <c r="A41" i="39" s="1"/>
  <c r="A42" i="39" s="1"/>
  <c r="A43" i="39" s="1"/>
  <c r="A44" i="39" s="1"/>
  <c r="A45" i="39" s="1"/>
  <c r="A46" i="39" s="1"/>
  <c r="A47" i="39" s="1"/>
  <c r="A48" i="39" s="1"/>
  <c r="A49" i="39" s="1"/>
  <c r="A50" i="39" s="1"/>
  <c r="A51" i="39" s="1"/>
  <c r="A52" i="39" s="1"/>
  <c r="A53" i="39" s="1"/>
  <c r="A54" i="39" s="1"/>
  <c r="A55" i="39" s="1"/>
  <c r="A56" i="39" s="1"/>
  <c r="A57" i="39" s="1"/>
  <c r="A58" i="39" s="1"/>
  <c r="A59" i="39" s="1"/>
  <c r="A60" i="39" s="1"/>
  <c r="A61" i="39" s="1"/>
  <c r="A62" i="39" s="1"/>
  <c r="A63" i="39" s="1"/>
  <c r="A64" i="39" s="1"/>
  <c r="A65" i="39" s="1"/>
  <c r="A66" i="39" s="1"/>
  <c r="A67" i="39" s="1"/>
  <c r="A68" i="39" s="1"/>
  <c r="A69" i="39" s="1"/>
  <c r="A70" i="39" s="1"/>
  <c r="A71" i="39" s="1"/>
  <c r="A72" i="39" s="1"/>
  <c r="A73" i="39" s="1"/>
  <c r="A74" i="39" s="1"/>
  <c r="A75" i="39" s="1"/>
  <c r="A76" i="39" s="1"/>
  <c r="A77" i="39" s="1"/>
  <c r="A78" i="39" s="1"/>
  <c r="A79" i="39" s="1"/>
  <c r="A80" i="39" s="1"/>
  <c r="A81" i="39" s="1"/>
  <c r="A82" i="39" s="1"/>
  <c r="A83" i="39" s="1"/>
  <c r="A84" i="39" s="1"/>
  <c r="A85" i="39" s="1"/>
  <c r="A86" i="39" s="1"/>
  <c r="A87" i="39" s="1"/>
  <c r="A88" i="39" s="1"/>
  <c r="A89" i="39" s="1"/>
  <c r="A90" i="39" s="1"/>
  <c r="A91" i="39" s="1"/>
  <c r="A92" i="39" s="1"/>
  <c r="A93" i="39" s="1"/>
  <c r="A94" i="39" s="1"/>
  <c r="A95" i="39" s="1"/>
  <c r="A96" i="39" s="1"/>
  <c r="A97" i="39" s="1"/>
  <c r="A98" i="39" s="1"/>
  <c r="A99" i="39" s="1"/>
  <c r="A100" i="39" s="1"/>
  <c r="A101" i="39" s="1"/>
  <c r="A102" i="39" s="1"/>
  <c r="A103" i="39" s="1"/>
  <c r="A104" i="39" s="1"/>
  <c r="A105" i="39" s="1"/>
  <c r="A106" i="39" s="1"/>
  <c r="A107" i="39" s="1"/>
  <c r="A108" i="39" s="1"/>
  <c r="A109" i="39" s="1"/>
  <c r="A110" i="39" s="1"/>
  <c r="A111" i="39" s="1"/>
  <c r="A112" i="39" s="1"/>
  <c r="A113" i="39" s="1"/>
  <c r="A114" i="39" s="1"/>
  <c r="A115" i="39" s="1"/>
  <c r="A116" i="39" s="1"/>
  <c r="A117" i="39" s="1"/>
  <c r="A118" i="39" s="1"/>
  <c r="A119" i="39" s="1"/>
  <c r="A120" i="39" s="1"/>
  <c r="A121" i="39" s="1"/>
  <c r="A122" i="39" s="1"/>
  <c r="A123" i="39" s="1"/>
  <c r="A124" i="39" s="1"/>
  <c r="A125" i="39" s="1"/>
  <c r="A126" i="39" s="1"/>
  <c r="A127" i="39" s="1"/>
  <c r="A128" i="39" s="1"/>
  <c r="A129" i="39" s="1"/>
  <c r="A130" i="39" s="1"/>
  <c r="A131" i="39" s="1"/>
  <c r="A132" i="39" s="1"/>
  <c r="A133" i="39" s="1"/>
  <c r="A134" i="39" s="1"/>
  <c r="A135" i="39" s="1"/>
  <c r="A136" i="39" s="1"/>
  <c r="A137" i="39" s="1"/>
  <c r="A138" i="39" s="1"/>
  <c r="A139" i="39" s="1"/>
  <c r="A140" i="39" s="1"/>
  <c r="A141" i="39" s="1"/>
  <c r="A142" i="39" s="1"/>
  <c r="A143" i="39" s="1"/>
  <c r="A144" i="39" s="1"/>
  <c r="A145" i="39" s="1"/>
  <c r="A146" i="39" s="1"/>
  <c r="A147" i="39" s="1"/>
  <c r="A148" i="39" s="1"/>
  <c r="A149" i="39" s="1"/>
  <c r="A150" i="39" s="1"/>
  <c r="A151" i="39" s="1"/>
  <c r="A152" i="39" s="1"/>
  <c r="A153" i="39" s="1"/>
  <c r="A154" i="39" s="1"/>
  <c r="A155" i="39" s="1"/>
  <c r="A156" i="39" s="1"/>
  <c r="A157" i="39" s="1"/>
  <c r="A158" i="39" s="1"/>
  <c r="A159" i="39" s="1"/>
  <c r="A160" i="39" s="1"/>
  <c r="A161" i="39" s="1"/>
  <c r="A162" i="39" s="1"/>
  <c r="A163" i="39" s="1"/>
  <c r="A164" i="39" s="1"/>
  <c r="A165" i="39" s="1"/>
  <c r="A166" i="39" s="1"/>
  <c r="A167" i="39" s="1"/>
  <c r="A168" i="39" s="1"/>
  <c r="A169" i="39" s="1"/>
  <c r="A170" i="39" s="1"/>
  <c r="A171" i="39" s="1"/>
  <c r="A172" i="39" s="1"/>
  <c r="A173" i="39" s="1"/>
  <c r="A174" i="39" s="1"/>
  <c r="A175" i="39" s="1"/>
  <c r="A176" i="39" s="1"/>
  <c r="A177" i="39" s="1"/>
  <c r="A178" i="39" s="1"/>
  <c r="A179" i="39" s="1"/>
  <c r="A180" i="39" s="1"/>
  <c r="A181" i="39" s="1"/>
  <c r="A182" i="39" s="1"/>
  <c r="A183" i="39" s="1"/>
  <c r="A184" i="39" s="1"/>
  <c r="A185" i="39" s="1"/>
  <c r="A186" i="39" s="1"/>
  <c r="A187" i="39" s="1"/>
  <c r="A188" i="39" s="1"/>
  <c r="A189" i="39" s="1"/>
  <c r="A190" i="39" s="1"/>
  <c r="A191" i="39" s="1"/>
  <c r="A192" i="39" s="1"/>
  <c r="A193" i="39" s="1"/>
  <c r="A194" i="39" s="1"/>
  <c r="A195" i="39" s="1"/>
  <c r="A196" i="39" s="1"/>
  <c r="A197" i="39" s="1"/>
  <c r="A198" i="39" s="1"/>
  <c r="A199" i="39" s="1"/>
  <c r="A200" i="39" s="1"/>
  <c r="A201" i="39" s="1"/>
  <c r="A202" i="39" s="1"/>
  <c r="A203" i="39" s="1"/>
  <c r="A204" i="39" s="1"/>
  <c r="A205" i="39" s="1"/>
  <c r="A206" i="39" s="1"/>
  <c r="A207" i="39" s="1"/>
  <c r="A208" i="39" s="1"/>
  <c r="A209" i="39" s="1"/>
  <c r="A210" i="39" s="1"/>
  <c r="A211" i="39" s="1"/>
  <c r="A212" i="39" s="1"/>
  <c r="A213" i="39" s="1"/>
  <c r="A214" i="39" s="1"/>
  <c r="A215" i="39" s="1"/>
  <c r="A216" i="39" s="1"/>
  <c r="EA7" i="39"/>
  <c r="DU7" i="39"/>
  <c r="CT7" i="39"/>
  <c r="GP7" i="39" s="1"/>
  <c r="AW7" i="39"/>
  <c r="AX7" i="39" s="1"/>
  <c r="AU7" i="39"/>
  <c r="O7" i="39"/>
  <c r="AF7" i="39" s="1"/>
  <c r="AG7" i="39" s="1"/>
  <c r="E7" i="39"/>
  <c r="C7" i="19" s="1"/>
  <c r="AH6" i="39"/>
  <c r="AJ6" i="39" s="1"/>
  <c r="P4" i="39"/>
  <c r="P13" i="39" s="1"/>
  <c r="O1" i="39"/>
  <c r="N1" i="39" s="1"/>
  <c r="AG33" i="22"/>
  <c r="F32" i="38" s="1"/>
  <c r="AG32" i="22"/>
  <c r="F31" i="38" s="1"/>
  <c r="AG31" i="22"/>
  <c r="F30" i="38" s="1"/>
  <c r="AU10" i="22"/>
  <c r="AU11" i="22" s="1"/>
  <c r="AU12" i="22" s="1"/>
  <c r="AU13" i="22" s="1"/>
  <c r="AU14" i="22" s="1"/>
  <c r="AU15" i="22" s="1"/>
  <c r="AU16" i="22" s="1"/>
  <c r="AU17" i="22" s="1"/>
  <c r="AU18" i="22" s="1"/>
  <c r="AU19" i="22" s="1"/>
  <c r="AU20" i="22" s="1"/>
  <c r="AU21" i="22" s="1"/>
  <c r="C31" i="19" l="1"/>
  <c r="CR31" i="39"/>
  <c r="C68" i="19"/>
  <c r="CR68" i="39"/>
  <c r="C16" i="19"/>
  <c r="CR16" i="39"/>
  <c r="C82" i="19"/>
  <c r="CR82" i="39"/>
  <c r="GN82" i="39" s="1"/>
  <c r="C85" i="19"/>
  <c r="CR85" i="39"/>
  <c r="GN85" i="39" s="1"/>
  <c r="C88" i="19"/>
  <c r="CR88" i="39"/>
  <c r="GN88" i="39" s="1"/>
  <c r="C99" i="19"/>
  <c r="CR99" i="39"/>
  <c r="C102" i="19"/>
  <c r="CR102" i="39"/>
  <c r="GN102" i="39" s="1"/>
  <c r="C105" i="19"/>
  <c r="CR105" i="39"/>
  <c r="C108" i="19"/>
  <c r="CR108" i="39"/>
  <c r="C118" i="19"/>
  <c r="CR118" i="39"/>
  <c r="C122" i="19"/>
  <c r="CR122" i="39"/>
  <c r="GN122" i="39" s="1"/>
  <c r="C126" i="19"/>
  <c r="CR126" i="39"/>
  <c r="C130" i="19"/>
  <c r="CR130" i="39"/>
  <c r="C146" i="19"/>
  <c r="C150" i="19"/>
  <c r="C166" i="19"/>
  <c r="CR166" i="39"/>
  <c r="GN166" i="39" s="1"/>
  <c r="C182" i="19"/>
  <c r="GN182" i="39"/>
  <c r="C186" i="19"/>
  <c r="CR186" i="39"/>
  <c r="GN186" i="39" s="1"/>
  <c r="C14" i="19"/>
  <c r="CR14" i="39"/>
  <c r="C42" i="19"/>
  <c r="CR42" i="39"/>
  <c r="GN42" i="39" s="1"/>
  <c r="C106" i="19"/>
  <c r="CR106" i="39"/>
  <c r="C151" i="19"/>
  <c r="C163" i="19"/>
  <c r="CR163" i="39"/>
  <c r="GN163" i="39" s="1"/>
  <c r="C193" i="19"/>
  <c r="C45" i="19"/>
  <c r="CR45" i="39"/>
  <c r="GN45" i="39" s="1"/>
  <c r="C79" i="19"/>
  <c r="CR79" i="39"/>
  <c r="C65" i="19"/>
  <c r="CR65" i="39"/>
  <c r="C75" i="19"/>
  <c r="CR75" i="39"/>
  <c r="C114" i="19"/>
  <c r="CR114" i="39"/>
  <c r="GN114" i="39" s="1"/>
  <c r="C137" i="19"/>
  <c r="CR137" i="39"/>
  <c r="GN137" i="39" s="1"/>
  <c r="C19" i="19"/>
  <c r="CR19" i="39"/>
  <c r="C27" i="19"/>
  <c r="CR27" i="39"/>
  <c r="C30" i="19"/>
  <c r="CR30" i="39"/>
  <c r="GN30" i="39" s="1"/>
  <c r="C33" i="19"/>
  <c r="CR33" i="39"/>
  <c r="GN33" i="39" s="1"/>
  <c r="C36" i="19"/>
  <c r="CR36" i="39"/>
  <c r="GN36" i="39" s="1"/>
  <c r="C44" i="19"/>
  <c r="CR44" i="39"/>
  <c r="GN44" i="39" s="1"/>
  <c r="C61" i="19"/>
  <c r="CR61" i="39"/>
  <c r="GN61" i="39" s="1"/>
  <c r="C91" i="19"/>
  <c r="CR91" i="39"/>
  <c r="C113" i="19"/>
  <c r="CR113" i="39"/>
  <c r="C153" i="19"/>
  <c r="CR153" i="39"/>
  <c r="GN153" i="39" s="1"/>
  <c r="C156" i="19"/>
  <c r="CR156" i="39"/>
  <c r="GN156" i="39" s="1"/>
  <c r="C159" i="19"/>
  <c r="CR159" i="39"/>
  <c r="GN159" i="39" s="1"/>
  <c r="C162" i="19"/>
  <c r="CR162" i="39"/>
  <c r="C189" i="19"/>
  <c r="CR189" i="39"/>
  <c r="C192" i="19"/>
  <c r="CR192" i="39"/>
  <c r="GN192" i="39" s="1"/>
  <c r="C195" i="19"/>
  <c r="CR195" i="39"/>
  <c r="C198" i="19"/>
  <c r="CR198" i="39"/>
  <c r="GN198" i="39" s="1"/>
  <c r="C86" i="19"/>
  <c r="CR86" i="39"/>
  <c r="C34" i="19"/>
  <c r="CR34" i="39"/>
  <c r="GN34" i="39" s="1"/>
  <c r="C154" i="19"/>
  <c r="CR154" i="39"/>
  <c r="C183" i="19"/>
  <c r="CR183" i="39"/>
  <c r="C37" i="19"/>
  <c r="CR37" i="39"/>
  <c r="GN37" i="39" s="1"/>
  <c r="C92" i="19"/>
  <c r="CR92" i="39"/>
  <c r="GN92" i="39" s="1"/>
  <c r="C140" i="19"/>
  <c r="CR140" i="39"/>
  <c r="GN140" i="39" s="1"/>
  <c r="C170" i="19"/>
  <c r="CR170" i="39"/>
  <c r="C173" i="19"/>
  <c r="CR173" i="39"/>
  <c r="C176" i="19"/>
  <c r="CR176" i="39"/>
  <c r="GN176" i="39" s="1"/>
  <c r="C179" i="19"/>
  <c r="GN179" i="39"/>
  <c r="C23" i="19"/>
  <c r="CR23" i="39"/>
  <c r="GN23" i="39" s="1"/>
  <c r="C40" i="19"/>
  <c r="CR40" i="39"/>
  <c r="GN40" i="39" s="1"/>
  <c r="C47" i="19"/>
  <c r="CR47" i="39"/>
  <c r="GN47" i="39" s="1"/>
  <c r="C50" i="19"/>
  <c r="CR50" i="39"/>
  <c r="C53" i="19"/>
  <c r="CR53" i="39"/>
  <c r="C74" i="19"/>
  <c r="CR74" i="39"/>
  <c r="C78" i="19"/>
  <c r="CR78" i="39"/>
  <c r="GN78" i="39" s="1"/>
  <c r="C95" i="19"/>
  <c r="CR95" i="39"/>
  <c r="GN95" i="39" s="1"/>
  <c r="C133" i="19"/>
  <c r="CR133" i="39"/>
  <c r="C169" i="19"/>
  <c r="CR169" i="39"/>
  <c r="C21" i="19"/>
  <c r="CR21" i="39"/>
  <c r="GN21" i="39" s="1"/>
  <c r="C123" i="19"/>
  <c r="CR123" i="39"/>
  <c r="GN123" i="39" s="1"/>
  <c r="C57" i="19"/>
  <c r="CR57" i="39"/>
  <c r="GN57" i="39" s="1"/>
  <c r="C64" i="19"/>
  <c r="CR64" i="39"/>
  <c r="GN64" i="39" s="1"/>
  <c r="C67" i="19"/>
  <c r="CR67" i="39"/>
  <c r="GN67" i="39" s="1"/>
  <c r="C70" i="19"/>
  <c r="CR70" i="39"/>
  <c r="GN70" i="39" s="1"/>
  <c r="C98" i="19"/>
  <c r="CR98" i="39"/>
  <c r="C112" i="19"/>
  <c r="GN112" i="39"/>
  <c r="C117" i="19"/>
  <c r="CR117" i="39"/>
  <c r="GN117" i="39" s="1"/>
  <c r="C121" i="19"/>
  <c r="CR121" i="39"/>
  <c r="GN121" i="39" s="1"/>
  <c r="C125" i="19"/>
  <c r="CR125" i="39"/>
  <c r="C129" i="19"/>
  <c r="CR129" i="39"/>
  <c r="GN129" i="39" s="1"/>
  <c r="C136" i="19"/>
  <c r="CR136" i="39"/>
  <c r="GN136" i="39" s="1"/>
  <c r="C139" i="19"/>
  <c r="CR139" i="39"/>
  <c r="GN139" i="39" s="1"/>
  <c r="C142" i="19"/>
  <c r="CR142" i="39"/>
  <c r="GN142" i="39" s="1"/>
  <c r="C145" i="19"/>
  <c r="CR145" i="39"/>
  <c r="GN145" i="39" s="1"/>
  <c r="C149" i="19"/>
  <c r="C165" i="19"/>
  <c r="CR165" i="39"/>
  <c r="C172" i="19"/>
  <c r="CR172" i="39"/>
  <c r="C175" i="19"/>
  <c r="CR175" i="39"/>
  <c r="GN175" i="39" s="1"/>
  <c r="C178" i="19"/>
  <c r="CR178" i="39"/>
  <c r="GN178" i="39" s="1"/>
  <c r="C181" i="19"/>
  <c r="CR181" i="39"/>
  <c r="C185" i="19"/>
  <c r="CR185" i="39"/>
  <c r="C89" i="19"/>
  <c r="CR89" i="39"/>
  <c r="C100" i="19"/>
  <c r="CR100" i="39"/>
  <c r="GN100" i="39" s="1"/>
  <c r="C127" i="19"/>
  <c r="CR127" i="39"/>
  <c r="GN127" i="39" s="1"/>
  <c r="C96" i="19"/>
  <c r="CR96" i="39"/>
  <c r="GN96" i="39" s="1"/>
  <c r="C24" i="19"/>
  <c r="CR24" i="39"/>
  <c r="C41" i="19"/>
  <c r="CR41" i="39"/>
  <c r="GN41" i="39" s="1"/>
  <c r="C58" i="19"/>
  <c r="CR58" i="39"/>
  <c r="C134" i="19"/>
  <c r="CR134" i="39"/>
  <c r="C15" i="19"/>
  <c r="CR15" i="39"/>
  <c r="GN15" i="39" s="1"/>
  <c r="C18" i="19"/>
  <c r="GN18" i="39"/>
  <c r="C26" i="19"/>
  <c r="CR26" i="39"/>
  <c r="GN26" i="39" s="1"/>
  <c r="C43" i="19"/>
  <c r="CR43" i="39"/>
  <c r="C73" i="19"/>
  <c r="C81" i="19"/>
  <c r="CR81" i="39"/>
  <c r="C84" i="19"/>
  <c r="CR84" i="39"/>
  <c r="GN84" i="39" s="1"/>
  <c r="C87" i="19"/>
  <c r="CR87" i="39"/>
  <c r="GN87" i="39" s="1"/>
  <c r="C90" i="19"/>
  <c r="CR90" i="39"/>
  <c r="C101" i="19"/>
  <c r="CR101" i="39"/>
  <c r="C104" i="19"/>
  <c r="CR104" i="39"/>
  <c r="GN104" i="39" s="1"/>
  <c r="C107" i="19"/>
  <c r="CR107" i="39"/>
  <c r="C17" i="19"/>
  <c r="CR17" i="39"/>
  <c r="C59" i="19"/>
  <c r="CR59" i="39"/>
  <c r="GN59" i="39" s="1"/>
  <c r="C76" i="19"/>
  <c r="CR76" i="39"/>
  <c r="GN76" i="39" s="1"/>
  <c r="C93" i="19"/>
  <c r="CR93" i="39"/>
  <c r="GN93" i="39" s="1"/>
  <c r="C103" i="19"/>
  <c r="CR103" i="39"/>
  <c r="C115" i="19"/>
  <c r="CR115" i="39"/>
  <c r="C187" i="19"/>
  <c r="GN187" i="39"/>
  <c r="C109" i="19"/>
  <c r="CR109" i="39"/>
  <c r="GN109" i="39" s="1"/>
  <c r="C119" i="19"/>
  <c r="CR119" i="39"/>
  <c r="C131" i="19"/>
  <c r="C147" i="19"/>
  <c r="CR147" i="39"/>
  <c r="GN147" i="39" s="1"/>
  <c r="C48" i="19"/>
  <c r="CR48" i="39"/>
  <c r="C54" i="19"/>
  <c r="CR54" i="39"/>
  <c r="GN54" i="39" s="1"/>
  <c r="C22" i="19"/>
  <c r="CR22" i="39"/>
  <c r="GN22" i="39" s="1"/>
  <c r="C29" i="19"/>
  <c r="CR29" i="39"/>
  <c r="GN29" i="39" s="1"/>
  <c r="C32" i="19"/>
  <c r="CR32" i="39"/>
  <c r="C35" i="19"/>
  <c r="CR35" i="39"/>
  <c r="C39" i="19"/>
  <c r="CR39" i="39"/>
  <c r="GN39" i="39" s="1"/>
  <c r="C60" i="19"/>
  <c r="CR60" i="39"/>
  <c r="GN60" i="39" s="1"/>
  <c r="C77" i="19"/>
  <c r="CR77" i="39"/>
  <c r="GN77" i="39" s="1"/>
  <c r="C94" i="19"/>
  <c r="CR94" i="39"/>
  <c r="GN94" i="39" s="1"/>
  <c r="C111" i="19"/>
  <c r="CR111" i="39"/>
  <c r="GN111" i="39" s="1"/>
  <c r="C152" i="19"/>
  <c r="CR152" i="39"/>
  <c r="GN152" i="39" s="1"/>
  <c r="C155" i="19"/>
  <c r="CR155" i="39"/>
  <c r="C158" i="19"/>
  <c r="CR158" i="39"/>
  <c r="GN158" i="39" s="1"/>
  <c r="C161" i="19"/>
  <c r="GN161" i="39"/>
  <c r="C188" i="19"/>
  <c r="CR188" i="39"/>
  <c r="GN188" i="39" s="1"/>
  <c r="C191" i="19"/>
  <c r="CR191" i="39"/>
  <c r="GN191" i="39" s="1"/>
  <c r="C194" i="19"/>
  <c r="CR194" i="39"/>
  <c r="C197" i="19"/>
  <c r="CR197" i="39"/>
  <c r="C38" i="19"/>
  <c r="GN38" i="39"/>
  <c r="C83" i="19"/>
  <c r="CR83" i="39"/>
  <c r="GN83" i="39" s="1"/>
  <c r="C160" i="19"/>
  <c r="CR160" i="39"/>
  <c r="GN160" i="39" s="1"/>
  <c r="C190" i="19"/>
  <c r="C51" i="19"/>
  <c r="CR51" i="39"/>
  <c r="C13" i="19"/>
  <c r="CR13" i="39"/>
  <c r="GN13" i="39" s="1"/>
  <c r="C71" i="19"/>
  <c r="CR71" i="39"/>
  <c r="GN71" i="39" s="1"/>
  <c r="C143" i="19"/>
  <c r="CR143" i="39"/>
  <c r="GN143" i="39" s="1"/>
  <c r="C46" i="19"/>
  <c r="CR46" i="39"/>
  <c r="GN46" i="39" s="1"/>
  <c r="C49" i="19"/>
  <c r="CR49" i="39"/>
  <c r="GN49" i="39" s="1"/>
  <c r="C52" i="19"/>
  <c r="CR52" i="39"/>
  <c r="C56" i="19"/>
  <c r="CR56" i="39"/>
  <c r="GN56" i="39" s="1"/>
  <c r="C97" i="19"/>
  <c r="C116" i="19"/>
  <c r="CR116" i="39"/>
  <c r="GN116" i="39" s="1"/>
  <c r="C120" i="19"/>
  <c r="CR120" i="39"/>
  <c r="GN120" i="39" s="1"/>
  <c r="C124" i="19"/>
  <c r="CR124" i="39"/>
  <c r="C128" i="19"/>
  <c r="CR128" i="39"/>
  <c r="C132" i="19"/>
  <c r="CR132" i="39"/>
  <c r="GN132" i="39" s="1"/>
  <c r="C148" i="19"/>
  <c r="CR148" i="39"/>
  <c r="C164" i="19"/>
  <c r="CR164" i="39"/>
  <c r="GN164" i="39" s="1"/>
  <c r="C168" i="19"/>
  <c r="CR168" i="39"/>
  <c r="GN168" i="39" s="1"/>
  <c r="C184" i="19"/>
  <c r="CR184" i="39"/>
  <c r="GN184" i="39" s="1"/>
  <c r="C28" i="19"/>
  <c r="CR28" i="39"/>
  <c r="GN28" i="39" s="1"/>
  <c r="C157" i="19"/>
  <c r="CR157" i="39"/>
  <c r="C167" i="19"/>
  <c r="GN167" i="39"/>
  <c r="C196" i="19"/>
  <c r="CR196" i="39"/>
  <c r="GN196" i="39" s="1"/>
  <c r="C62" i="19"/>
  <c r="CR62" i="39"/>
  <c r="GN62" i="39" s="1"/>
  <c r="C20" i="19"/>
  <c r="CR20" i="39"/>
  <c r="GN20" i="39" s="1"/>
  <c r="C25" i="19"/>
  <c r="CR25" i="39"/>
  <c r="C55" i="19"/>
  <c r="CR55" i="39"/>
  <c r="C63" i="19"/>
  <c r="CR63" i="39"/>
  <c r="GN63" i="39" s="1"/>
  <c r="C66" i="19"/>
  <c r="CR66" i="39"/>
  <c r="GN66" i="39" s="1"/>
  <c r="C69" i="19"/>
  <c r="GN69" i="39"/>
  <c r="C72" i="19"/>
  <c r="CR72" i="39"/>
  <c r="C80" i="19"/>
  <c r="CR80" i="39"/>
  <c r="GN80" i="39" s="1"/>
  <c r="C110" i="19"/>
  <c r="CR110" i="39"/>
  <c r="C135" i="19"/>
  <c r="CR135" i="39"/>
  <c r="C138" i="19"/>
  <c r="CR138" i="39"/>
  <c r="GN138" i="39" s="1"/>
  <c r="C141" i="19"/>
  <c r="CR141" i="39"/>
  <c r="GN141" i="39" s="1"/>
  <c r="C144" i="19"/>
  <c r="CR144" i="39"/>
  <c r="GN144" i="39" s="1"/>
  <c r="C171" i="19"/>
  <c r="GN171" i="39"/>
  <c r="C174" i="19"/>
  <c r="C177" i="19"/>
  <c r="CR177" i="39"/>
  <c r="GN177" i="39" s="1"/>
  <c r="C180" i="19"/>
  <c r="CR180" i="39"/>
  <c r="GN180" i="39" s="1"/>
  <c r="GN216" i="39"/>
  <c r="GN208" i="39"/>
  <c r="GN128" i="39"/>
  <c r="GN72" i="39"/>
  <c r="GN48" i="39"/>
  <c r="GN32" i="39"/>
  <c r="GN24" i="39"/>
  <c r="GN16" i="39"/>
  <c r="GN214" i="39"/>
  <c r="GN190" i="39"/>
  <c r="GN174" i="39"/>
  <c r="GN150" i="39"/>
  <c r="GN126" i="39"/>
  <c r="GN118" i="39"/>
  <c r="GN110" i="39"/>
  <c r="GN86" i="39"/>
  <c r="GN14" i="39"/>
  <c r="GN213" i="39"/>
  <c r="GN181" i="39"/>
  <c r="GN157" i="39"/>
  <c r="GN212" i="39"/>
  <c r="GN148" i="39"/>
  <c r="GN108" i="39"/>
  <c r="GN68" i="39"/>
  <c r="GN211" i="39"/>
  <c r="GN155" i="39"/>
  <c r="GN131" i="39"/>
  <c r="GN99" i="39"/>
  <c r="GN75" i="39"/>
  <c r="GN51" i="39"/>
  <c r="GN27" i="39"/>
  <c r="GN215" i="39"/>
  <c r="GN207" i="39"/>
  <c r="GN199" i="39"/>
  <c r="GN183" i="39"/>
  <c r="GN151" i="39"/>
  <c r="GN135" i="39"/>
  <c r="GN119" i="39"/>
  <c r="GN103" i="39"/>
  <c r="GN79" i="39"/>
  <c r="GN55" i="39"/>
  <c r="GN31" i="39"/>
  <c r="GN206" i="39"/>
  <c r="GN134" i="39"/>
  <c r="GN205" i="39"/>
  <c r="GN189" i="39"/>
  <c r="GN173" i="39"/>
  <c r="GN149" i="39"/>
  <c r="GN125" i="39"/>
  <c r="GN124" i="39"/>
  <c r="GN195" i="39"/>
  <c r="GN107" i="39"/>
  <c r="GN35" i="39"/>
  <c r="GN210" i="39"/>
  <c r="GN202" i="39"/>
  <c r="GN194" i="39"/>
  <c r="GN170" i="39"/>
  <c r="GN162" i="39"/>
  <c r="GN154" i="39"/>
  <c r="GN146" i="39"/>
  <c r="GN130" i="39"/>
  <c r="GN106" i="39"/>
  <c r="GN98" i="39"/>
  <c r="GN90" i="39"/>
  <c r="GN74" i="39"/>
  <c r="GN58" i="39"/>
  <c r="GN50" i="39"/>
  <c r="GN209" i="39"/>
  <c r="GN201" i="39"/>
  <c r="GN193" i="39"/>
  <c r="GN185" i="39"/>
  <c r="GN169" i="39"/>
  <c r="GN113" i="39"/>
  <c r="GN105" i="39"/>
  <c r="GN97" i="39"/>
  <c r="GN89" i="39"/>
  <c r="GN81" i="39"/>
  <c r="GN73" i="39"/>
  <c r="GN65" i="39"/>
  <c r="GN25" i="39"/>
  <c r="GN17" i="39"/>
  <c r="GN197" i="39"/>
  <c r="GN165" i="39"/>
  <c r="GN133" i="39"/>
  <c r="GN101" i="39"/>
  <c r="GN53" i="39"/>
  <c r="GN204" i="39"/>
  <c r="GN172" i="39"/>
  <c r="GN52" i="39"/>
  <c r="GN203" i="39"/>
  <c r="GN115" i="39"/>
  <c r="GN91" i="39"/>
  <c r="GN43" i="39"/>
  <c r="GN19" i="39"/>
  <c r="AE13" i="39"/>
  <c r="AF13" i="39" s="1"/>
  <c r="B69" i="41"/>
  <c r="B70" i="41" s="1"/>
  <c r="GN7" i="39"/>
  <c r="GN10" i="39"/>
  <c r="GN11" i="39"/>
  <c r="GN8" i="39"/>
  <c r="GN200" i="39"/>
  <c r="GN12" i="39"/>
  <c r="GN9" i="39"/>
  <c r="P39" i="39"/>
  <c r="P64" i="39"/>
  <c r="P14" i="39"/>
  <c r="P52" i="39"/>
  <c r="P30" i="39"/>
  <c r="P34" i="39"/>
  <c r="P41" i="39"/>
  <c r="Z217" i="39"/>
  <c r="AD21" i="41"/>
  <c r="P13" i="19"/>
  <c r="I24" i="4"/>
  <c r="E24" i="44" s="1"/>
  <c r="E30" i="44" s="1"/>
  <c r="I22" i="4"/>
  <c r="AF8" i="39"/>
  <c r="AG8" i="39" s="1"/>
  <c r="AH8" i="39" s="1"/>
  <c r="AF9" i="39"/>
  <c r="AG9" i="39" s="1"/>
  <c r="AH9" i="39" s="1"/>
  <c r="AF10" i="39"/>
  <c r="AG10" i="39" s="1"/>
  <c r="AH10" i="39" s="1"/>
  <c r="AF11" i="39"/>
  <c r="AG11" i="39" s="1"/>
  <c r="AH11" i="39" s="1"/>
  <c r="AI11" i="39" s="1"/>
  <c r="AJ11" i="39" s="1"/>
  <c r="AF12" i="39"/>
  <c r="AG12" i="39" s="1"/>
  <c r="EJ34" i="39"/>
  <c r="AJ225" i="39"/>
  <c r="A220" i="39"/>
  <c r="DP7" i="39"/>
  <c r="DO7" i="39" s="1"/>
  <c r="O217" i="39"/>
  <c r="W217" i="39"/>
  <c r="P49" i="39"/>
  <c r="P65" i="39"/>
  <c r="Y71" i="39"/>
  <c r="Y62" i="39"/>
  <c r="Y61" i="39"/>
  <c r="Y60" i="39"/>
  <c r="Y64" i="39"/>
  <c r="Y65" i="39"/>
  <c r="Y69" i="39"/>
  <c r="Y68" i="39"/>
  <c r="Y56" i="39"/>
  <c r="Y72" i="39"/>
  <c r="Y73" i="39" s="1"/>
  <c r="Y57" i="39"/>
  <c r="Y66" i="39"/>
  <c r="Y67" i="39"/>
  <c r="Y58" i="39"/>
  <c r="Y70" i="39"/>
  <c r="Y63" i="39"/>
  <c r="P15" i="39"/>
  <c r="P27" i="39"/>
  <c r="DT217" i="39"/>
  <c r="P19" i="39"/>
  <c r="P20" i="39"/>
  <c r="P36" i="39"/>
  <c r="Y59" i="39"/>
  <c r="P214" i="39"/>
  <c r="P210" i="39"/>
  <c r="P215" i="39"/>
  <c r="P211" i="39"/>
  <c r="P207" i="39"/>
  <c r="P208" i="39"/>
  <c r="P206" i="39"/>
  <c r="P196" i="39"/>
  <c r="P216" i="39"/>
  <c r="P213" i="39"/>
  <c r="P205" i="39"/>
  <c r="P204" i="39"/>
  <c r="P209" i="39"/>
  <c r="P195" i="39"/>
  <c r="P192" i="39"/>
  <c r="P203" i="39"/>
  <c r="P198" i="39"/>
  <c r="P193" i="39"/>
  <c r="P202" i="39"/>
  <c r="P200" i="39"/>
  <c r="P197" i="39"/>
  <c r="P186" i="39"/>
  <c r="P185" i="39"/>
  <c r="P184" i="39"/>
  <c r="P183" i="39"/>
  <c r="P182" i="39"/>
  <c r="P181" i="39"/>
  <c r="P194" i="39"/>
  <c r="P188" i="39"/>
  <c r="P187" i="39"/>
  <c r="P191" i="39"/>
  <c r="P190" i="39"/>
  <c r="P189" i="39"/>
  <c r="P199" i="39"/>
  <c r="P212" i="39"/>
  <c r="P177" i="39"/>
  <c r="P178" i="39"/>
  <c r="P168" i="39"/>
  <c r="P167" i="39"/>
  <c r="P179" i="39"/>
  <c r="P201" i="39"/>
  <c r="P172" i="39"/>
  <c r="P173" i="39"/>
  <c r="P156" i="39"/>
  <c r="P180" i="39"/>
  <c r="P174" i="39"/>
  <c r="P176" i="39"/>
  <c r="P159" i="39"/>
  <c r="P160" i="39"/>
  <c r="P169" i="39"/>
  <c r="P165" i="39"/>
  <c r="P163" i="39"/>
  <c r="P164" i="39"/>
  <c r="P153" i="39"/>
  <c r="P154" i="39"/>
  <c r="P150" i="39"/>
  <c r="P149" i="39"/>
  <c r="P148" i="39"/>
  <c r="P147" i="39"/>
  <c r="P146" i="39"/>
  <c r="P145" i="39"/>
  <c r="P158" i="39"/>
  <c r="P157" i="39"/>
  <c r="P151" i="39"/>
  <c r="P166" i="39"/>
  <c r="P161" i="39"/>
  <c r="P175" i="39"/>
  <c r="P171" i="39"/>
  <c r="P170" i="39"/>
  <c r="P162" i="39"/>
  <c r="P135" i="39"/>
  <c r="P134" i="39"/>
  <c r="P133" i="39"/>
  <c r="P116" i="39"/>
  <c r="P136" i="39"/>
  <c r="P152" i="39"/>
  <c r="P137" i="39"/>
  <c r="P144" i="39"/>
  <c r="P138" i="39"/>
  <c r="P143" i="39"/>
  <c r="P139" i="39"/>
  <c r="P155" i="39"/>
  <c r="P142" i="39"/>
  <c r="P132" i="39"/>
  <c r="P131" i="39"/>
  <c r="P130" i="39"/>
  <c r="P129" i="39"/>
  <c r="P128" i="39"/>
  <c r="P127" i="39"/>
  <c r="P126" i="39"/>
  <c r="P125" i="39"/>
  <c r="P124" i="39"/>
  <c r="P123" i="39"/>
  <c r="P122" i="39"/>
  <c r="P121" i="39"/>
  <c r="P120" i="39"/>
  <c r="P119" i="39"/>
  <c r="P118" i="39"/>
  <c r="P117" i="39"/>
  <c r="P112" i="39"/>
  <c r="P106" i="39"/>
  <c r="P96" i="39"/>
  <c r="P95" i="39"/>
  <c r="P94" i="39"/>
  <c r="P93" i="39"/>
  <c r="P92" i="39"/>
  <c r="P91" i="39"/>
  <c r="P141" i="39"/>
  <c r="P111" i="39"/>
  <c r="P107" i="39"/>
  <c r="P99" i="39"/>
  <c r="P98" i="39"/>
  <c r="P97" i="39"/>
  <c r="P140" i="39"/>
  <c r="P109" i="39"/>
  <c r="P101" i="39"/>
  <c r="P102" i="39"/>
  <c r="P115" i="39"/>
  <c r="P113" i="39"/>
  <c r="P105" i="39"/>
  <c r="P89" i="39"/>
  <c r="P81" i="39"/>
  <c r="P82" i="39"/>
  <c r="P108" i="39"/>
  <c r="P103" i="39"/>
  <c r="P83" i="39"/>
  <c r="P114" i="39"/>
  <c r="P110" i="39"/>
  <c r="P84" i="39"/>
  <c r="P104" i="39"/>
  <c r="P90" i="39"/>
  <c r="P85" i="39"/>
  <c r="P70" i="39"/>
  <c r="P86" i="39"/>
  <c r="P71" i="39"/>
  <c r="P87" i="39"/>
  <c r="P100" i="39"/>
  <c r="P88" i="39"/>
  <c r="P78" i="39"/>
  <c r="P75" i="39"/>
  <c r="P68" i="39"/>
  <c r="P54" i="39"/>
  <c r="P50" i="39"/>
  <c r="P46" i="39"/>
  <c r="P80" i="39"/>
  <c r="P77" i="39"/>
  <c r="P60" i="39"/>
  <c r="P59" i="39"/>
  <c r="P58" i="39"/>
  <c r="P57" i="39"/>
  <c r="P56" i="39"/>
  <c r="P55" i="39"/>
  <c r="P51" i="39"/>
  <c r="P47" i="39"/>
  <c r="P42" i="39"/>
  <c r="P79" i="39"/>
  <c r="P63" i="39"/>
  <c r="P62" i="39"/>
  <c r="P61" i="39"/>
  <c r="P74" i="39"/>
  <c r="P21" i="39"/>
  <c r="P16" i="39"/>
  <c r="AE16" i="39" s="1"/>
  <c r="P76" i="39"/>
  <c r="P72" i="39"/>
  <c r="P67" i="39"/>
  <c r="P66" i="39"/>
  <c r="P73" i="39"/>
  <c r="P45" i="39"/>
  <c r="P37" i="39"/>
  <c r="P33" i="39"/>
  <c r="P29" i="39"/>
  <c r="P24" i="39"/>
  <c r="P40" i="39"/>
  <c r="P35" i="39"/>
  <c r="P28" i="39"/>
  <c r="P25" i="39"/>
  <c r="P22" i="39"/>
  <c r="P44" i="39"/>
  <c r="P38" i="39"/>
  <c r="P31" i="39"/>
  <c r="P26" i="39"/>
  <c r="P23" i="39"/>
  <c r="P48" i="39"/>
  <c r="P17" i="39"/>
  <c r="P18" i="39"/>
  <c r="P43" i="39"/>
  <c r="P53" i="39"/>
  <c r="P69" i="39"/>
  <c r="P32" i="39"/>
  <c r="V217" i="39"/>
  <c r="Q217" i="39"/>
  <c r="T217" i="39"/>
  <c r="AU22" i="22"/>
  <c r="AU23" i="22" s="1"/>
  <c r="AU24" i="22" s="1"/>
  <c r="AU25" i="22" s="1"/>
  <c r="AU26" i="22" s="1"/>
  <c r="AU27" i="22" s="1"/>
  <c r="AU28" i="22" s="1"/>
  <c r="AU29" i="22" s="1"/>
  <c r="AU30" i="22" s="1"/>
  <c r="AU31" i="22" s="1"/>
  <c r="AU32" i="22" s="1"/>
  <c r="AU33" i="22" s="1"/>
  <c r="AU34" i="22" s="1"/>
  <c r="AU35" i="22" s="1"/>
  <c r="AU36" i="22" s="1"/>
  <c r="AU37" i="22" s="1"/>
  <c r="AE67" i="39" l="1"/>
  <c r="AF67" i="39" s="1"/>
  <c r="AG67" i="39" s="1"/>
  <c r="AH67" i="39" s="1"/>
  <c r="AE58" i="39"/>
  <c r="AF58" i="39" s="1"/>
  <c r="AG58" i="39" s="1"/>
  <c r="AH58" i="39" s="1"/>
  <c r="AE65" i="39"/>
  <c r="AF65" i="39" s="1"/>
  <c r="AE59" i="39"/>
  <c r="AF59" i="39" s="1"/>
  <c r="AG59" i="39" s="1"/>
  <c r="AH59" i="39" s="1"/>
  <c r="AE60" i="39"/>
  <c r="AF60" i="39" s="1"/>
  <c r="AG60" i="39" s="1"/>
  <c r="AH60" i="39" s="1"/>
  <c r="AE64" i="39"/>
  <c r="AF64" i="39" s="1"/>
  <c r="AG64" i="39" s="1"/>
  <c r="AH64" i="39" s="1"/>
  <c r="AE66" i="39"/>
  <c r="AF66" i="39" s="1"/>
  <c r="AG66" i="39" s="1"/>
  <c r="AH66" i="39" s="1"/>
  <c r="AE44" i="39"/>
  <c r="AF44" i="39" s="1"/>
  <c r="AG44" i="39" s="1"/>
  <c r="AH44" i="39" s="1"/>
  <c r="AE32" i="39"/>
  <c r="AF32" i="39" s="1"/>
  <c r="AG32" i="39" s="1"/>
  <c r="AH32" i="39" s="1"/>
  <c r="AE26" i="39"/>
  <c r="AF26" i="39" s="1"/>
  <c r="AG26" i="39" s="1"/>
  <c r="AH26" i="39" s="1"/>
  <c r="AE40" i="39"/>
  <c r="AF40" i="39" s="1"/>
  <c r="AG40" i="39" s="1"/>
  <c r="AH40" i="39" s="1"/>
  <c r="AE62" i="39"/>
  <c r="AF62" i="39" s="1"/>
  <c r="AG62" i="39" s="1"/>
  <c r="AH62" i="39" s="1"/>
  <c r="AE57" i="39"/>
  <c r="AF57" i="39" s="1"/>
  <c r="AG57" i="39" s="1"/>
  <c r="AH57" i="39" s="1"/>
  <c r="AE69" i="39"/>
  <c r="AF69" i="39" s="1"/>
  <c r="AG69" i="39" s="1"/>
  <c r="AH69" i="39" s="1"/>
  <c r="AE31" i="39"/>
  <c r="AF31" i="39" s="1"/>
  <c r="AG31" i="39" s="1"/>
  <c r="AH31" i="39" s="1"/>
  <c r="AE24" i="39"/>
  <c r="AF24" i="39" s="1"/>
  <c r="AG24" i="39" s="1"/>
  <c r="AH24" i="39" s="1"/>
  <c r="AE72" i="39"/>
  <c r="AF72" i="39" s="1"/>
  <c r="AE63" i="39"/>
  <c r="AF63" i="39" s="1"/>
  <c r="AG63" i="39" s="1"/>
  <c r="AH63" i="39" s="1"/>
  <c r="AE68" i="39"/>
  <c r="AF68" i="39" s="1"/>
  <c r="AG68" i="39" s="1"/>
  <c r="AH68" i="39" s="1"/>
  <c r="AE70" i="39"/>
  <c r="AF70" i="39" s="1"/>
  <c r="AG70" i="39" s="1"/>
  <c r="AE19" i="39"/>
  <c r="AF19" i="39" s="1"/>
  <c r="AG19" i="39" s="1"/>
  <c r="AH19" i="39" s="1"/>
  <c r="AE30" i="39"/>
  <c r="AF30" i="39" s="1"/>
  <c r="AG30" i="39" s="1"/>
  <c r="AH30" i="39" s="1"/>
  <c r="AI30" i="39" s="1"/>
  <c r="AJ30" i="39" s="1"/>
  <c r="AE52" i="39"/>
  <c r="AF52" i="39" s="1"/>
  <c r="AG52" i="39" s="1"/>
  <c r="AH52" i="39" s="1"/>
  <c r="AE14" i="39"/>
  <c r="AF14" i="39" s="1"/>
  <c r="AG14" i="39" s="1"/>
  <c r="AH14" i="39" s="1"/>
  <c r="AI14" i="39" s="1"/>
  <c r="AJ14" i="39" s="1"/>
  <c r="AE53" i="39"/>
  <c r="AF53" i="39" s="1"/>
  <c r="AG53" i="39" s="1"/>
  <c r="AH53" i="39" s="1"/>
  <c r="AE33" i="39"/>
  <c r="AF33" i="39" s="1"/>
  <c r="AG33" i="39" s="1"/>
  <c r="AH33" i="39" s="1"/>
  <c r="AE37" i="39"/>
  <c r="AF37" i="39" s="1"/>
  <c r="AG37" i="39" s="1"/>
  <c r="AH37" i="39" s="1"/>
  <c r="AE47" i="39"/>
  <c r="AF47" i="39" s="1"/>
  <c r="AG47" i="39" s="1"/>
  <c r="AH47" i="39" s="1"/>
  <c r="AE15" i="39"/>
  <c r="AF15" i="39" s="1"/>
  <c r="AG15" i="39" s="1"/>
  <c r="AH15" i="39" s="1"/>
  <c r="AE45" i="39"/>
  <c r="AF45" i="39" s="1"/>
  <c r="AG45" i="39" s="1"/>
  <c r="AH45" i="39" s="1"/>
  <c r="AE21" i="39"/>
  <c r="AF21" i="39" s="1"/>
  <c r="AG21" i="39" s="1"/>
  <c r="AH21" i="39" s="1"/>
  <c r="AE51" i="39"/>
  <c r="AF51" i="39" s="1"/>
  <c r="AG51" i="39" s="1"/>
  <c r="AH51" i="39" s="1"/>
  <c r="AE39" i="39"/>
  <c r="AF39" i="39" s="1"/>
  <c r="AG39" i="39" s="1"/>
  <c r="AH39" i="39" s="1"/>
  <c r="AE38" i="39"/>
  <c r="AF38" i="39" s="1"/>
  <c r="AG38" i="39" s="1"/>
  <c r="AH38" i="39" s="1"/>
  <c r="AE48" i="39"/>
  <c r="AF48" i="39" s="1"/>
  <c r="AG48" i="39" s="1"/>
  <c r="AH48" i="39" s="1"/>
  <c r="AE43" i="39"/>
  <c r="AF43" i="39" s="1"/>
  <c r="AG43" i="39" s="1"/>
  <c r="AH43" i="39" s="1"/>
  <c r="AE42" i="39"/>
  <c r="AF42" i="39" s="1"/>
  <c r="AG42" i="39" s="1"/>
  <c r="AH42" i="39" s="1"/>
  <c r="AE27" i="39"/>
  <c r="AF27" i="39" s="1"/>
  <c r="AG27" i="39" s="1"/>
  <c r="AH27" i="39" s="1"/>
  <c r="AE18" i="39"/>
  <c r="AF18" i="39" s="1"/>
  <c r="AG18" i="39" s="1"/>
  <c r="AH18" i="39" s="1"/>
  <c r="AE25" i="39"/>
  <c r="AF25" i="39" s="1"/>
  <c r="AG25" i="39" s="1"/>
  <c r="AH25" i="39" s="1"/>
  <c r="AE73" i="39"/>
  <c r="AF73" i="39" s="1"/>
  <c r="AE55" i="39"/>
  <c r="AF55" i="39" s="1"/>
  <c r="AG55" i="39" s="1"/>
  <c r="AH55" i="39" s="1"/>
  <c r="AE23" i="39"/>
  <c r="AF23" i="39" s="1"/>
  <c r="AG23" i="39" s="1"/>
  <c r="AH23" i="39" s="1"/>
  <c r="AE35" i="39"/>
  <c r="AF35" i="39" s="1"/>
  <c r="AG35" i="39" s="1"/>
  <c r="AH35" i="39" s="1"/>
  <c r="AE61" i="39"/>
  <c r="AF61" i="39" s="1"/>
  <c r="AG61" i="39" s="1"/>
  <c r="AH61" i="39" s="1"/>
  <c r="AE56" i="39"/>
  <c r="AF56" i="39" s="1"/>
  <c r="AE50" i="39"/>
  <c r="AF50" i="39" s="1"/>
  <c r="AG50" i="39" s="1"/>
  <c r="AH50" i="39" s="1"/>
  <c r="AE71" i="39"/>
  <c r="AF71" i="39" s="1"/>
  <c r="AE36" i="39"/>
  <c r="AF36" i="39" s="1"/>
  <c r="AG36" i="39" s="1"/>
  <c r="AH36" i="39" s="1"/>
  <c r="AE41" i="39"/>
  <c r="AF41" i="39" s="1"/>
  <c r="AG41" i="39" s="1"/>
  <c r="AH41" i="39" s="1"/>
  <c r="AI41" i="39" s="1"/>
  <c r="AJ41" i="39" s="1"/>
  <c r="AE29" i="39"/>
  <c r="AF29" i="39" s="1"/>
  <c r="AG29" i="39" s="1"/>
  <c r="AH29" i="39" s="1"/>
  <c r="AE22" i="39"/>
  <c r="AF22" i="39" s="1"/>
  <c r="AG22" i="39" s="1"/>
  <c r="AH22" i="39" s="1"/>
  <c r="AE17" i="39"/>
  <c r="AF17" i="39" s="1"/>
  <c r="AG17" i="39" s="1"/>
  <c r="AH17" i="39" s="1"/>
  <c r="AE28" i="39"/>
  <c r="AF28" i="39" s="1"/>
  <c r="AG28" i="39" s="1"/>
  <c r="AH28" i="39" s="1"/>
  <c r="AE46" i="39"/>
  <c r="AF46" i="39" s="1"/>
  <c r="AG46" i="39" s="1"/>
  <c r="AH46" i="39" s="1"/>
  <c r="AE49" i="39"/>
  <c r="AF49" i="39" s="1"/>
  <c r="AG49" i="39" s="1"/>
  <c r="AH49" i="39" s="1"/>
  <c r="AE54" i="39"/>
  <c r="AF54" i="39" s="1"/>
  <c r="AG54" i="39" s="1"/>
  <c r="AH54" i="39" s="1"/>
  <c r="AE20" i="39"/>
  <c r="AF20" i="39" s="1"/>
  <c r="AG20" i="39" s="1"/>
  <c r="AH20" i="39" s="1"/>
  <c r="AE34" i="39"/>
  <c r="AF34" i="39" s="1"/>
  <c r="AG34" i="39" s="1"/>
  <c r="AH34" i="39" s="1"/>
  <c r="AI34" i="39" s="1"/>
  <c r="AJ34" i="39" s="1"/>
  <c r="B71" i="41"/>
  <c r="B72" i="41" s="1"/>
  <c r="B73" i="41" s="1"/>
  <c r="B74" i="41" s="1"/>
  <c r="B75" i="41" s="1"/>
  <c r="F25" i="5"/>
  <c r="AE21" i="41"/>
  <c r="AK11" i="39"/>
  <c r="AL11" i="39" s="1"/>
  <c r="AH12" i="39"/>
  <c r="AI12" i="39" s="1"/>
  <c r="AJ12" i="39" s="1"/>
  <c r="AI10" i="39"/>
  <c r="AJ10" i="39" s="1"/>
  <c r="P217" i="39"/>
  <c r="AI9" i="39"/>
  <c r="AJ9" i="39" s="1"/>
  <c r="Y83" i="39"/>
  <c r="Y90" i="39"/>
  <c r="Y91" i="39" s="1"/>
  <c r="AE91" i="39" s="1"/>
  <c r="Y84" i="39"/>
  <c r="AE84" i="39" s="1"/>
  <c r="Y85" i="39"/>
  <c r="AE85" i="39" s="1"/>
  <c r="Y86" i="39"/>
  <c r="AE86" i="39" s="1"/>
  <c r="Y87" i="39"/>
  <c r="AE87" i="39" s="1"/>
  <c r="Y77" i="39"/>
  <c r="AE77" i="39" s="1"/>
  <c r="Y76" i="39"/>
  <c r="Y75" i="39"/>
  <c r="Y74" i="39"/>
  <c r="AE74" i="39" s="1"/>
  <c r="Y88" i="39"/>
  <c r="Y80" i="39"/>
  <c r="Y79" i="39"/>
  <c r="AE79" i="39" s="1"/>
  <c r="Y78" i="39"/>
  <c r="AE78" i="39" s="1"/>
  <c r="Y89" i="39"/>
  <c r="AE89" i="39" s="1"/>
  <c r="Y82" i="39"/>
  <c r="Y81" i="39"/>
  <c r="AE81" i="39" s="1"/>
  <c r="AI8" i="39"/>
  <c r="AJ8" i="39" s="1"/>
  <c r="AF16" i="39"/>
  <c r="AG13" i="39"/>
  <c r="AH13" i="39" s="1"/>
  <c r="AH7" i="39"/>
  <c r="AH33" i="22"/>
  <c r="B32" i="38" s="1"/>
  <c r="AH32" i="22"/>
  <c r="B31" i="38" s="1"/>
  <c r="AH31" i="22"/>
  <c r="B30" i="38" s="1"/>
  <c r="G63" i="38"/>
  <c r="D63" i="38"/>
  <c r="B63" i="38"/>
  <c r="G61" i="38"/>
  <c r="D61" i="38"/>
  <c r="B61" i="38"/>
  <c r="M58" i="38"/>
  <c r="K58" i="38"/>
  <c r="G59" i="38"/>
  <c r="D59" i="38"/>
  <c r="B59" i="38"/>
  <c r="M57" i="38"/>
  <c r="K57" i="38"/>
  <c r="M56" i="38"/>
  <c r="K56" i="38"/>
  <c r="G57" i="38"/>
  <c r="D57" i="38"/>
  <c r="B57" i="38"/>
  <c r="M55" i="38"/>
  <c r="K55" i="38"/>
  <c r="M54" i="38"/>
  <c r="K54" i="38"/>
  <c r="G55" i="38"/>
  <c r="D55" i="38"/>
  <c r="B55" i="38"/>
  <c r="M53" i="38"/>
  <c r="K53" i="38"/>
  <c r="M52" i="38"/>
  <c r="K52" i="38"/>
  <c r="G53" i="38"/>
  <c r="D53" i="38"/>
  <c r="B53" i="38"/>
  <c r="M51" i="38"/>
  <c r="K51" i="38"/>
  <c r="M50" i="38"/>
  <c r="K50" i="38"/>
  <c r="M49" i="38"/>
  <c r="K49" i="38"/>
  <c r="M48" i="38"/>
  <c r="K48" i="38"/>
  <c r="M47" i="38"/>
  <c r="K47" i="38"/>
  <c r="M46" i="38"/>
  <c r="K46" i="38"/>
  <c r="M45" i="38"/>
  <c r="K45" i="38"/>
  <c r="M44" i="38"/>
  <c r="K44" i="38"/>
  <c r="M43" i="38"/>
  <c r="K43" i="38"/>
  <c r="D44" i="38"/>
  <c r="M42" i="38"/>
  <c r="K42" i="38"/>
  <c r="D43" i="38"/>
  <c r="M41" i="38"/>
  <c r="K41" i="38"/>
  <c r="D42" i="38"/>
  <c r="M40" i="38"/>
  <c r="K40" i="38"/>
  <c r="D41" i="38"/>
  <c r="M39" i="38"/>
  <c r="K39" i="38"/>
  <c r="M38" i="38"/>
  <c r="K38" i="38"/>
  <c r="M37" i="38"/>
  <c r="K37" i="38"/>
  <c r="M36" i="38"/>
  <c r="K36" i="38"/>
  <c r="AG23" i="38"/>
  <c r="AF22" i="38"/>
  <c r="AG22" i="38" s="1"/>
  <c r="E12" i="38"/>
  <c r="N12" i="38" s="1"/>
  <c r="N9" i="38"/>
  <c r="G7" i="38"/>
  <c r="C1" i="38"/>
  <c r="L1" i="38" s="1"/>
  <c r="B3" i="37"/>
  <c r="E12" i="37"/>
  <c r="F25" i="23" l="1"/>
  <c r="F25" i="44"/>
  <c r="N17" i="44" s="1"/>
  <c r="AF85" i="39"/>
  <c r="AG85" i="39" s="1"/>
  <c r="AH85" i="39" s="1"/>
  <c r="AF84" i="39"/>
  <c r="AG84" i="39" s="1"/>
  <c r="AH84" i="39" s="1"/>
  <c r="AE83" i="39"/>
  <c r="AF83" i="39" s="1"/>
  <c r="AG83" i="39" s="1"/>
  <c r="AH83" i="39" s="1"/>
  <c r="AF74" i="39"/>
  <c r="AG74" i="39" s="1"/>
  <c r="AH74" i="39" s="1"/>
  <c r="AF91" i="39"/>
  <c r="AG91" i="39" s="1"/>
  <c r="AH91" i="39" s="1"/>
  <c r="AE88" i="39"/>
  <c r="AF88" i="39" s="1"/>
  <c r="AG88" i="39" s="1"/>
  <c r="AH88" i="39" s="1"/>
  <c r="AF81" i="39"/>
  <c r="AG81" i="39" s="1"/>
  <c r="AH81" i="39" s="1"/>
  <c r="AE82" i="39"/>
  <c r="AF82" i="39" s="1"/>
  <c r="AG82" i="39" s="1"/>
  <c r="AH82" i="39" s="1"/>
  <c r="AF89" i="39"/>
  <c r="AG89" i="39" s="1"/>
  <c r="AH89" i="39" s="1"/>
  <c r="AF78" i="39"/>
  <c r="AG78" i="39" s="1"/>
  <c r="AH78" i="39" s="1"/>
  <c r="AF87" i="39"/>
  <c r="AG87" i="39" s="1"/>
  <c r="AH87" i="39" s="1"/>
  <c r="AE76" i="39"/>
  <c r="AF76" i="39" s="1"/>
  <c r="AG76" i="39" s="1"/>
  <c r="AH76" i="39" s="1"/>
  <c r="AE75" i="39"/>
  <c r="AF75" i="39" s="1"/>
  <c r="AG75" i="39" s="1"/>
  <c r="AH75" i="39" s="1"/>
  <c r="AF79" i="39"/>
  <c r="AG79" i="39" s="1"/>
  <c r="AH79" i="39" s="1"/>
  <c r="AF86" i="39"/>
  <c r="AG86" i="39" s="1"/>
  <c r="AH86" i="39" s="1"/>
  <c r="AE90" i="39"/>
  <c r="AF90" i="39" s="1"/>
  <c r="AG90" i="39" s="1"/>
  <c r="AH90" i="39" s="1"/>
  <c r="AE80" i="39"/>
  <c r="AF80" i="39" s="1"/>
  <c r="AG80" i="39" s="1"/>
  <c r="AH80" i="39" s="1"/>
  <c r="B76" i="41"/>
  <c r="B77" i="41" s="1"/>
  <c r="F25" i="38"/>
  <c r="AM11" i="39"/>
  <c r="AQ11" i="39" s="1"/>
  <c r="AK14" i="39"/>
  <c r="AL14" i="39" s="1"/>
  <c r="AF21" i="41"/>
  <c r="AK41" i="39"/>
  <c r="AL41" i="39" s="1"/>
  <c r="AK12" i="39"/>
  <c r="AL12" i="39" s="1"/>
  <c r="AK8" i="39"/>
  <c r="AL8" i="39" s="1"/>
  <c r="AK10" i="39"/>
  <c r="AL10" i="39" s="1"/>
  <c r="AK30" i="39"/>
  <c r="AL30" i="39" s="1"/>
  <c r="AK9" i="39"/>
  <c r="AL9" i="39" s="1"/>
  <c r="AK34" i="39"/>
  <c r="AL34" i="39" s="1"/>
  <c r="AH70" i="39"/>
  <c r="AI70" i="39" s="1"/>
  <c r="AJ70" i="39" s="1"/>
  <c r="AI15" i="39"/>
  <c r="AJ15" i="39" s="1"/>
  <c r="AI44" i="39"/>
  <c r="AJ44" i="39" s="1"/>
  <c r="AI50" i="39"/>
  <c r="AJ50" i="39" s="1"/>
  <c r="AI28" i="39"/>
  <c r="AJ28" i="39" s="1"/>
  <c r="AF77" i="39"/>
  <c r="AI18" i="39"/>
  <c r="AJ18" i="39" s="1"/>
  <c r="AI23" i="39"/>
  <c r="AJ23" i="39" s="1"/>
  <c r="AI54" i="39"/>
  <c r="AJ54" i="39" s="1"/>
  <c r="AI66" i="39"/>
  <c r="AJ66" i="39" s="1"/>
  <c r="AI25" i="39"/>
  <c r="AJ25" i="39" s="1"/>
  <c r="AI21" i="39"/>
  <c r="AJ21" i="39" s="1"/>
  <c r="AI61" i="39"/>
  <c r="AJ61" i="39" s="1"/>
  <c r="AI24" i="39"/>
  <c r="AJ24" i="39" s="1"/>
  <c r="AI58" i="39"/>
  <c r="AJ58" i="39" s="1"/>
  <c r="AI37" i="39"/>
  <c r="AJ37" i="39" s="1"/>
  <c r="AI32" i="39"/>
  <c r="AJ32" i="39" s="1"/>
  <c r="AI57" i="39"/>
  <c r="AJ57" i="39" s="1"/>
  <c r="AI26" i="39"/>
  <c r="AJ26" i="39" s="1"/>
  <c r="AI36" i="39"/>
  <c r="AJ36" i="39" s="1"/>
  <c r="AI42" i="39"/>
  <c r="AJ42" i="39" s="1"/>
  <c r="AI49" i="39"/>
  <c r="AJ49" i="39" s="1"/>
  <c r="AI52" i="39"/>
  <c r="AJ52" i="39" s="1"/>
  <c r="AI31" i="39"/>
  <c r="AJ31" i="39" s="1"/>
  <c r="AI60" i="39"/>
  <c r="AJ60" i="39" s="1"/>
  <c r="AI13" i="39"/>
  <c r="AJ13" i="39" s="1"/>
  <c r="AI47" i="39"/>
  <c r="AJ47" i="39" s="1"/>
  <c r="AI46" i="39"/>
  <c r="AJ46" i="39" s="1"/>
  <c r="AI33" i="39"/>
  <c r="AJ33" i="39" s="1"/>
  <c r="AI43" i="39"/>
  <c r="AJ43" i="39" s="1"/>
  <c r="AG72" i="39"/>
  <c r="AH72" i="39" s="1"/>
  <c r="AI45" i="39"/>
  <c r="AJ45" i="39" s="1"/>
  <c r="AI35" i="39"/>
  <c r="AJ35" i="39" s="1"/>
  <c r="AI7" i="39"/>
  <c r="AJ7" i="39" s="1"/>
  <c r="AG65" i="39"/>
  <c r="AH65" i="39" s="1"/>
  <c r="AI27" i="39"/>
  <c r="AJ27" i="39" s="1"/>
  <c r="AI40" i="39"/>
  <c r="AJ40" i="39" s="1"/>
  <c r="AI68" i="39"/>
  <c r="AJ68" i="39" s="1"/>
  <c r="AI20" i="39"/>
  <c r="AJ20" i="39" s="1"/>
  <c r="AG16" i="39"/>
  <c r="AH16" i="39" s="1"/>
  <c r="AI53" i="39"/>
  <c r="AJ53" i="39" s="1"/>
  <c r="AI48" i="39"/>
  <c r="AJ48" i="39" s="1"/>
  <c r="AI39" i="39"/>
  <c r="AJ39" i="39" s="1"/>
  <c r="AI55" i="39"/>
  <c r="AJ55" i="39" s="1"/>
  <c r="AI17" i="39"/>
  <c r="AJ17" i="39" s="1"/>
  <c r="AI51" i="39"/>
  <c r="AJ51" i="39" s="1"/>
  <c r="AI19" i="39"/>
  <c r="AJ19" i="39" s="1"/>
  <c r="AG71" i="39"/>
  <c r="AH71" i="39" s="1"/>
  <c r="Y100" i="39"/>
  <c r="Y101" i="39"/>
  <c r="Y103" i="39"/>
  <c r="Y104" i="39"/>
  <c r="Y108" i="39"/>
  <c r="AE108" i="39" s="1"/>
  <c r="Y107" i="39"/>
  <c r="Y99" i="39"/>
  <c r="Y96" i="39"/>
  <c r="Y97" i="39"/>
  <c r="Y92" i="39"/>
  <c r="Y98" i="39"/>
  <c r="Y105" i="39"/>
  <c r="Y106" i="39"/>
  <c r="Y94" i="39"/>
  <c r="Y93" i="39"/>
  <c r="Y95" i="39"/>
  <c r="Y102" i="39"/>
  <c r="AI38" i="39"/>
  <c r="AJ38" i="39" s="1"/>
  <c r="AI67" i="39"/>
  <c r="AJ67" i="39" s="1"/>
  <c r="AI59" i="39"/>
  <c r="AJ59" i="39" s="1"/>
  <c r="AG73" i="39"/>
  <c r="AH73" i="39" s="1"/>
  <c r="AI69" i="39"/>
  <c r="AJ69" i="39" s="1"/>
  <c r="AI29" i="39"/>
  <c r="AJ29" i="39" s="1"/>
  <c r="AI22" i="39"/>
  <c r="AJ22" i="39" s="1"/>
  <c r="AI63" i="39"/>
  <c r="AJ63" i="39" s="1"/>
  <c r="AG56" i="39"/>
  <c r="AH56" i="39" s="1"/>
  <c r="AI62" i="39"/>
  <c r="AJ62" i="39" s="1"/>
  <c r="AI64" i="39"/>
  <c r="AJ64" i="39" s="1"/>
  <c r="F34" i="38"/>
  <c r="W16" i="38"/>
  <c r="AG24" i="38"/>
  <c r="AG25" i="38" s="1"/>
  <c r="V17" i="38"/>
  <c r="X21" i="38" s="1"/>
  <c r="M17" i="38"/>
  <c r="G62" i="37"/>
  <c r="D62" i="37"/>
  <c r="B62" i="37"/>
  <c r="G60" i="37"/>
  <c r="D60" i="37"/>
  <c r="B60" i="37"/>
  <c r="G58" i="37"/>
  <c r="D58" i="37"/>
  <c r="B58" i="37"/>
  <c r="M58" i="37"/>
  <c r="K58" i="37"/>
  <c r="M57" i="37"/>
  <c r="K57" i="37"/>
  <c r="G56" i="37"/>
  <c r="D56" i="37"/>
  <c r="B56" i="37"/>
  <c r="M56" i="37"/>
  <c r="K56" i="37"/>
  <c r="M55" i="37"/>
  <c r="K55" i="37"/>
  <c r="G54" i="37"/>
  <c r="D54" i="37"/>
  <c r="B54" i="37"/>
  <c r="M54" i="37"/>
  <c r="K54" i="37"/>
  <c r="M53" i="37"/>
  <c r="K53" i="37"/>
  <c r="G52" i="37"/>
  <c r="D52" i="37"/>
  <c r="B52" i="37"/>
  <c r="M52" i="37"/>
  <c r="K52" i="37"/>
  <c r="M51" i="37"/>
  <c r="K51" i="37"/>
  <c r="M50" i="37"/>
  <c r="K50" i="37"/>
  <c r="M49" i="37"/>
  <c r="K49" i="37"/>
  <c r="M48" i="37"/>
  <c r="K48" i="37"/>
  <c r="M47" i="37"/>
  <c r="K47" i="37"/>
  <c r="M46" i="37"/>
  <c r="K46" i="37"/>
  <c r="M45" i="37"/>
  <c r="K45" i="37"/>
  <c r="M44" i="37"/>
  <c r="K44" i="37"/>
  <c r="D43" i="37"/>
  <c r="M43" i="37"/>
  <c r="K43" i="37"/>
  <c r="D42" i="37"/>
  <c r="M42" i="37"/>
  <c r="K42" i="37"/>
  <c r="D41" i="37"/>
  <c r="M41" i="37"/>
  <c r="K41" i="37"/>
  <c r="D40" i="37"/>
  <c r="M40" i="37"/>
  <c r="K40" i="37"/>
  <c r="M39" i="37"/>
  <c r="K39" i="37"/>
  <c r="M38" i="37"/>
  <c r="K38" i="37"/>
  <c r="M37" i="37"/>
  <c r="K37" i="37"/>
  <c r="M36" i="37"/>
  <c r="K36" i="37"/>
  <c r="W16" i="37"/>
  <c r="AG23" i="37"/>
  <c r="AF22" i="37"/>
  <c r="AG22" i="37" s="1"/>
  <c r="N12" i="37"/>
  <c r="N9" i="37"/>
  <c r="G7" i="37"/>
  <c r="C1" i="37"/>
  <c r="L1" i="37" s="1"/>
  <c r="F33" i="36"/>
  <c r="F31" i="36"/>
  <c r="F29" i="36"/>
  <c r="AG34" i="22"/>
  <c r="AE94" i="39" l="1"/>
  <c r="AF94" i="39" s="1"/>
  <c r="AG94" i="39" s="1"/>
  <c r="AH94" i="39" s="1"/>
  <c r="AE107" i="39"/>
  <c r="AF107" i="39" s="1"/>
  <c r="AG107" i="39" s="1"/>
  <c r="AH107" i="39" s="1"/>
  <c r="AE105" i="39"/>
  <c r="AF105" i="39" s="1"/>
  <c r="AG105" i="39" s="1"/>
  <c r="AH105" i="39" s="1"/>
  <c r="AE102" i="39"/>
  <c r="AF102" i="39" s="1"/>
  <c r="AG102" i="39" s="1"/>
  <c r="AH102" i="39" s="1"/>
  <c r="AE97" i="39"/>
  <c r="AF97" i="39" s="1"/>
  <c r="AG97" i="39" s="1"/>
  <c r="AH97" i="39" s="1"/>
  <c r="AE100" i="39"/>
  <c r="AF100" i="39" s="1"/>
  <c r="AG100" i="39" s="1"/>
  <c r="AH100" i="39" s="1"/>
  <c r="AE93" i="39"/>
  <c r="AF93" i="39" s="1"/>
  <c r="AG93" i="39" s="1"/>
  <c r="AH93" i="39" s="1"/>
  <c r="AE95" i="39"/>
  <c r="AF95" i="39" s="1"/>
  <c r="AG95" i="39" s="1"/>
  <c r="AH95" i="39" s="1"/>
  <c r="AE96" i="39"/>
  <c r="AF96" i="39" s="1"/>
  <c r="AG96" i="39" s="1"/>
  <c r="AH96" i="39" s="1"/>
  <c r="AE99" i="39"/>
  <c r="AF99" i="39" s="1"/>
  <c r="AG99" i="39" s="1"/>
  <c r="AH99" i="39" s="1"/>
  <c r="AE106" i="39"/>
  <c r="AF106" i="39" s="1"/>
  <c r="AG106" i="39" s="1"/>
  <c r="AH106" i="39" s="1"/>
  <c r="AE104" i="39"/>
  <c r="AF104" i="39" s="1"/>
  <c r="AG104" i="39" s="1"/>
  <c r="AH104" i="39" s="1"/>
  <c r="AE98" i="39"/>
  <c r="AF98" i="39" s="1"/>
  <c r="AG98" i="39" s="1"/>
  <c r="AH98" i="39" s="1"/>
  <c r="AE103" i="39"/>
  <c r="AF103" i="39" s="1"/>
  <c r="AG103" i="39" s="1"/>
  <c r="AH103" i="39" s="1"/>
  <c r="AE92" i="39"/>
  <c r="AF92" i="39" s="1"/>
  <c r="AG92" i="39" s="1"/>
  <c r="AH92" i="39" s="1"/>
  <c r="AE101" i="39"/>
  <c r="AF101" i="39" s="1"/>
  <c r="AG101" i="39" s="1"/>
  <c r="AH101" i="39" s="1"/>
  <c r="B78" i="41"/>
  <c r="B79" i="41" s="1"/>
  <c r="B80" i="41" s="1"/>
  <c r="AR11" i="39"/>
  <c r="AS11" i="39" s="1"/>
  <c r="AY11" i="39" s="1"/>
  <c r="AM12" i="39"/>
  <c r="AQ12" i="39" s="1"/>
  <c r="AM41" i="39"/>
  <c r="AM34" i="39"/>
  <c r="AM14" i="39"/>
  <c r="AM9" i="39"/>
  <c r="AQ9" i="39" s="1"/>
  <c r="AM30" i="39"/>
  <c r="AM10" i="39"/>
  <c r="AQ10" i="39" s="1"/>
  <c r="AM8" i="39"/>
  <c r="AQ8" i="39" s="1"/>
  <c r="AG21" i="41"/>
  <c r="AK20" i="39"/>
  <c r="AL20" i="39" s="1"/>
  <c r="AK35" i="39"/>
  <c r="AL35" i="39" s="1"/>
  <c r="AK57" i="39"/>
  <c r="AL57" i="39" s="1"/>
  <c r="AK25" i="39"/>
  <c r="AK28" i="39"/>
  <c r="AL28" i="39" s="1"/>
  <c r="AK59" i="39"/>
  <c r="AL59" i="39" s="1"/>
  <c r="AK39" i="39"/>
  <c r="AL39" i="39" s="1"/>
  <c r="AK40" i="39"/>
  <c r="AL40" i="39" s="1"/>
  <c r="AK31" i="39"/>
  <c r="AL31" i="39" s="1"/>
  <c r="AK26" i="39"/>
  <c r="AL26" i="39" s="1"/>
  <c r="AK37" i="39"/>
  <c r="AL37" i="39" s="1"/>
  <c r="AK15" i="39"/>
  <c r="AL15" i="39" s="1"/>
  <c r="AM15" i="39" s="1"/>
  <c r="AK67" i="39"/>
  <c r="AL67" i="39" s="1"/>
  <c r="AM67" i="39" s="1"/>
  <c r="AK48" i="39"/>
  <c r="AL48" i="39" s="1"/>
  <c r="AK27" i="39"/>
  <c r="AL27" i="39" s="1"/>
  <c r="AK58" i="39"/>
  <c r="AL58" i="39" s="1"/>
  <c r="AK51" i="39"/>
  <c r="AL51" i="39" s="1"/>
  <c r="AK47" i="39"/>
  <c r="AL47" i="39" s="1"/>
  <c r="AK63" i="39"/>
  <c r="AL63" i="39" s="1"/>
  <c r="AM63" i="39" s="1"/>
  <c r="AK22" i="39"/>
  <c r="AL22" i="39" s="1"/>
  <c r="AK53" i="39"/>
  <c r="AL53" i="39" s="1"/>
  <c r="AK43" i="39"/>
  <c r="AL43" i="39" s="1"/>
  <c r="AK24" i="39"/>
  <c r="AL24" i="39" s="1"/>
  <c r="AK23" i="39"/>
  <c r="AL23" i="39" s="1"/>
  <c r="AK70" i="39"/>
  <c r="AL70" i="39" s="1"/>
  <c r="AM70" i="39" s="1"/>
  <c r="AK33" i="39"/>
  <c r="AL33" i="39" s="1"/>
  <c r="AK61" i="39"/>
  <c r="AL61" i="39" s="1"/>
  <c r="AK18" i="39"/>
  <c r="AL18" i="39" s="1"/>
  <c r="AK49" i="39"/>
  <c r="AL49" i="39" s="1"/>
  <c r="AK64" i="39"/>
  <c r="AL64" i="39" s="1"/>
  <c r="AM64" i="39" s="1"/>
  <c r="AK29" i="39"/>
  <c r="AL29" i="39" s="1"/>
  <c r="AK69" i="39"/>
  <c r="AL69" i="39" s="1"/>
  <c r="AM69" i="39" s="1"/>
  <c r="AK62" i="39"/>
  <c r="AL62" i="39" s="1"/>
  <c r="AK38" i="39"/>
  <c r="AL38" i="39" s="1"/>
  <c r="AK19" i="39"/>
  <c r="AL19" i="39" s="1"/>
  <c r="AK7" i="39"/>
  <c r="AL7" i="39" s="1"/>
  <c r="AK46" i="39"/>
  <c r="AL46" i="39" s="1"/>
  <c r="AK52" i="39"/>
  <c r="AL52" i="39" s="1"/>
  <c r="AK21" i="39"/>
  <c r="AL21" i="39" s="1"/>
  <c r="AK17" i="39"/>
  <c r="AL17" i="39" s="1"/>
  <c r="AK45" i="39"/>
  <c r="AL45" i="39" s="1"/>
  <c r="AK13" i="39"/>
  <c r="AL13" i="39" s="1"/>
  <c r="AK42" i="39"/>
  <c r="AL42" i="39" s="1"/>
  <c r="AK66" i="39"/>
  <c r="AL66" i="39" s="1"/>
  <c r="AM66" i="39" s="1"/>
  <c r="AK50" i="39"/>
  <c r="AL50" i="39" s="1"/>
  <c r="AK55" i="39"/>
  <c r="AL55" i="39" s="1"/>
  <c r="AK68" i="39"/>
  <c r="AL68" i="39" s="1"/>
  <c r="AM68" i="39" s="1"/>
  <c r="AK60" i="39"/>
  <c r="AL60" i="39" s="1"/>
  <c r="AK36" i="39"/>
  <c r="AL36" i="39" s="1"/>
  <c r="AK32" i="39"/>
  <c r="AL32" i="39" s="1"/>
  <c r="AK54" i="39"/>
  <c r="AL54" i="39" s="1"/>
  <c r="AK44" i="39"/>
  <c r="AL44" i="39" s="1"/>
  <c r="AI87" i="39"/>
  <c r="AJ87" i="39" s="1"/>
  <c r="AI74" i="39"/>
  <c r="AJ74" i="39" s="1"/>
  <c r="AI82" i="39"/>
  <c r="AJ82" i="39" s="1"/>
  <c r="AI88" i="39"/>
  <c r="AJ88" i="39" s="1"/>
  <c r="AI75" i="39"/>
  <c r="AJ75" i="39" s="1"/>
  <c r="AI86" i="39"/>
  <c r="AJ86" i="39" s="1"/>
  <c r="AI76" i="39"/>
  <c r="AJ76" i="39" s="1"/>
  <c r="AI78" i="39"/>
  <c r="AJ78" i="39" s="1"/>
  <c r="AI84" i="39"/>
  <c r="AJ84" i="39" s="1"/>
  <c r="AI56" i="39"/>
  <c r="AJ56" i="39" s="1"/>
  <c r="AI85" i="39"/>
  <c r="AJ85" i="39" s="1"/>
  <c r="AI81" i="39"/>
  <c r="AJ81" i="39" s="1"/>
  <c r="AI91" i="39"/>
  <c r="AJ91" i="39" s="1"/>
  <c r="AI89" i="39"/>
  <c r="AJ89" i="39" s="1"/>
  <c r="AI90" i="39"/>
  <c r="AJ90" i="39" s="1"/>
  <c r="Y109" i="39"/>
  <c r="AE109" i="39" s="1"/>
  <c r="AF108" i="39"/>
  <c r="AI73" i="39"/>
  <c r="AJ73" i="39" s="1"/>
  <c r="AI71" i="39"/>
  <c r="AJ71" i="39" s="1"/>
  <c r="AI16" i="39"/>
  <c r="AJ16" i="39" s="1"/>
  <c r="AI72" i="39"/>
  <c r="AJ72" i="39" s="1"/>
  <c r="AI79" i="39"/>
  <c r="AJ79" i="39" s="1"/>
  <c r="AI83" i="39"/>
  <c r="AJ83" i="39" s="1"/>
  <c r="AI80" i="39"/>
  <c r="AJ80" i="39" s="1"/>
  <c r="AI65" i="39"/>
  <c r="AJ65" i="39" s="1"/>
  <c r="AG77" i="39"/>
  <c r="AH77" i="39" s="1"/>
  <c r="AG26" i="38"/>
  <c r="Z21" i="38"/>
  <c r="V18" i="38" s="1"/>
  <c r="V19" i="38" s="1"/>
  <c r="V20" i="38" s="1"/>
  <c r="V21" i="38" s="1"/>
  <c r="V22" i="38" s="1"/>
  <c r="V23" i="38" s="1"/>
  <c r="V24" i="38" s="1"/>
  <c r="V25" i="38" s="1"/>
  <c r="V26" i="38" s="1"/>
  <c r="V27" i="38" s="1"/>
  <c r="V28" i="38" s="1"/>
  <c r="V29" i="38" s="1"/>
  <c r="V30" i="38" s="1"/>
  <c r="V31" i="38" s="1"/>
  <c r="V32" i="38" s="1"/>
  <c r="V33" i="38" s="1"/>
  <c r="V34" i="38" s="1"/>
  <c r="V35" i="38" s="1"/>
  <c r="V36" i="38" s="1"/>
  <c r="V37" i="38" s="1"/>
  <c r="V38" i="38" s="1"/>
  <c r="V39" i="38" s="1"/>
  <c r="V40" i="38" s="1"/>
  <c r="V41" i="38" s="1"/>
  <c r="V42" i="38" s="1"/>
  <c r="V43" i="38" s="1"/>
  <c r="V44" i="38" s="1"/>
  <c r="V45" i="38" s="1"/>
  <c r="V46" i="38" s="1"/>
  <c r="V47" i="38" s="1"/>
  <c r="V48" i="38" s="1"/>
  <c r="V49" i="38" s="1"/>
  <c r="V50" i="38" s="1"/>
  <c r="V51" i="38" s="1"/>
  <c r="V52" i="38" s="1"/>
  <c r="V53" i="38" s="1"/>
  <c r="V54" i="38" s="1"/>
  <c r="V55" i="38" s="1"/>
  <c r="V56" i="38" s="1"/>
  <c r="V57" i="38" s="1"/>
  <c r="V58" i="38" s="1"/>
  <c r="V59" i="38" s="1"/>
  <c r="W17" i="38"/>
  <c r="Z20" i="38" s="1"/>
  <c r="M59" i="38" s="1"/>
  <c r="X20" i="38"/>
  <c r="AG24" i="37"/>
  <c r="AG26" i="37" s="1"/>
  <c r="F33" i="37"/>
  <c r="V17" i="37"/>
  <c r="W17" i="37" s="1"/>
  <c r="Z20" i="37" s="1"/>
  <c r="M17" i="37"/>
  <c r="AZ11" i="39" l="1"/>
  <c r="BB11" i="39" s="1"/>
  <c r="AG25" i="37"/>
  <c r="B81" i="41"/>
  <c r="B82" i="41" s="1"/>
  <c r="AR9" i="39"/>
  <c r="AS9" i="39" s="1"/>
  <c r="AY9" i="39" s="1"/>
  <c r="AR12" i="39"/>
  <c r="AS12" i="39" s="1"/>
  <c r="AY12" i="39" s="1"/>
  <c r="AR8" i="39"/>
  <c r="AS8" i="39" s="1"/>
  <c r="AY8" i="39" s="1"/>
  <c r="AR10" i="39"/>
  <c r="AS10" i="39" s="1"/>
  <c r="AY10" i="39" s="1"/>
  <c r="AM33" i="39"/>
  <c r="AM36" i="39"/>
  <c r="AM20" i="39"/>
  <c r="AM29" i="39"/>
  <c r="AM27" i="39"/>
  <c r="AM55" i="39"/>
  <c r="AM52" i="39"/>
  <c r="AM43" i="39"/>
  <c r="AM48" i="39"/>
  <c r="AM59" i="39"/>
  <c r="AM50" i="39"/>
  <c r="AM46" i="39"/>
  <c r="AM49" i="39"/>
  <c r="AM53" i="39"/>
  <c r="AM28" i="39"/>
  <c r="AM13" i="39"/>
  <c r="AM47" i="39"/>
  <c r="AM45" i="39"/>
  <c r="AM31" i="39"/>
  <c r="AM21" i="39"/>
  <c r="AM39" i="39"/>
  <c r="AM44" i="39"/>
  <c r="AM7" i="39"/>
  <c r="AQ7" i="39" s="1"/>
  <c r="AM18" i="39"/>
  <c r="AM22" i="39"/>
  <c r="AM32" i="39"/>
  <c r="AM26" i="39"/>
  <c r="AM62" i="39"/>
  <c r="AM24" i="39"/>
  <c r="AM54" i="39"/>
  <c r="AM42" i="39"/>
  <c r="AM19" i="39"/>
  <c r="AM61" i="39"/>
  <c r="AM37" i="39"/>
  <c r="AM57" i="39"/>
  <c r="AM38" i="39"/>
  <c r="AM35" i="39"/>
  <c r="AM51" i="39"/>
  <c r="AM60" i="39"/>
  <c r="AM17" i="39"/>
  <c r="AM23" i="39"/>
  <c r="AM58" i="39"/>
  <c r="AM40" i="39"/>
  <c r="AH21" i="41"/>
  <c r="AL25" i="39"/>
  <c r="AK71" i="39"/>
  <c r="AL71" i="39" s="1"/>
  <c r="AM71" i="39" s="1"/>
  <c r="AK65" i="39"/>
  <c r="AL65" i="39" s="1"/>
  <c r="AM65" i="39" s="1"/>
  <c r="AK79" i="39"/>
  <c r="AL79" i="39" s="1"/>
  <c r="AM79" i="39" s="1"/>
  <c r="AK75" i="39"/>
  <c r="AL75" i="39" s="1"/>
  <c r="AM75" i="39" s="1"/>
  <c r="AK82" i="39"/>
  <c r="AL82" i="39" s="1"/>
  <c r="AM82" i="39" s="1"/>
  <c r="AK73" i="39"/>
  <c r="AL73" i="39" s="1"/>
  <c r="AM73" i="39" s="1"/>
  <c r="AK84" i="39"/>
  <c r="AL84" i="39" s="1"/>
  <c r="AM84" i="39" s="1"/>
  <c r="AK83" i="39"/>
  <c r="AL83" i="39" s="1"/>
  <c r="AM83" i="39" s="1"/>
  <c r="AK76" i="39"/>
  <c r="AL76" i="39" s="1"/>
  <c r="AM76" i="39" s="1"/>
  <c r="AK80" i="39"/>
  <c r="AL80" i="39" s="1"/>
  <c r="AM80" i="39" s="1"/>
  <c r="AK72" i="39"/>
  <c r="AL72" i="39" s="1"/>
  <c r="AM72" i="39" s="1"/>
  <c r="AK91" i="39"/>
  <c r="AL91" i="39" s="1"/>
  <c r="AM91" i="39" s="1"/>
  <c r="AK85" i="39"/>
  <c r="AL85" i="39" s="1"/>
  <c r="AM85" i="39" s="1"/>
  <c r="AK74" i="39"/>
  <c r="AL74" i="39" s="1"/>
  <c r="AM74" i="39" s="1"/>
  <c r="AK16" i="39"/>
  <c r="AL16" i="39" s="1"/>
  <c r="AK86" i="39"/>
  <c r="AL86" i="39" s="1"/>
  <c r="AM86" i="39" s="1"/>
  <c r="AK88" i="39"/>
  <c r="AL88" i="39" s="1"/>
  <c r="AM88" i="39" s="1"/>
  <c r="AK89" i="39"/>
  <c r="AL89" i="39" s="1"/>
  <c r="AM89" i="39" s="1"/>
  <c r="AK78" i="39"/>
  <c r="AL78" i="39" s="1"/>
  <c r="AM78" i="39" s="1"/>
  <c r="AK87" i="39"/>
  <c r="AL87" i="39" s="1"/>
  <c r="AM87" i="39" s="1"/>
  <c r="AK90" i="39"/>
  <c r="AL90" i="39" s="1"/>
  <c r="AM90" i="39" s="1"/>
  <c r="AK81" i="39"/>
  <c r="AL81" i="39" s="1"/>
  <c r="AM81" i="39" s="1"/>
  <c r="AK56" i="39"/>
  <c r="AL56" i="39" s="1"/>
  <c r="AI77" i="39"/>
  <c r="AJ77" i="39" s="1"/>
  <c r="AI101" i="39"/>
  <c r="AJ101" i="39" s="1"/>
  <c r="AI103" i="39"/>
  <c r="AJ103" i="39" s="1"/>
  <c r="AI104" i="39"/>
  <c r="AJ104" i="39" s="1"/>
  <c r="AI92" i="39"/>
  <c r="AI98" i="39"/>
  <c r="AJ98" i="39" s="1"/>
  <c r="AI105" i="39"/>
  <c r="AJ105" i="39" s="1"/>
  <c r="AI97" i="39"/>
  <c r="AJ97" i="39" s="1"/>
  <c r="AI106" i="39"/>
  <c r="AJ106" i="39" s="1"/>
  <c r="AI94" i="39"/>
  <c r="AJ94" i="39" s="1"/>
  <c r="AI99" i="39"/>
  <c r="AJ99" i="39" s="1"/>
  <c r="AI93" i="39"/>
  <c r="AJ93" i="39" s="1"/>
  <c r="AI100" i="39"/>
  <c r="AJ100" i="39" s="1"/>
  <c r="AI107" i="39"/>
  <c r="AJ107" i="39" s="1"/>
  <c r="AG108" i="39"/>
  <c r="AH108" i="39" s="1"/>
  <c r="AI95" i="39"/>
  <c r="AJ95" i="39" s="1"/>
  <c r="AI96" i="39"/>
  <c r="AJ96" i="39" s="1"/>
  <c r="Y126" i="39"/>
  <c r="AE126" i="39" s="1"/>
  <c r="Y125" i="39"/>
  <c r="Y124" i="39"/>
  <c r="Y123" i="39"/>
  <c r="Y122" i="39"/>
  <c r="Y121" i="39"/>
  <c r="Y120" i="39"/>
  <c r="Y119" i="39"/>
  <c r="Y118" i="39"/>
  <c r="Y117" i="39"/>
  <c r="Y116" i="39"/>
  <c r="Y115" i="39"/>
  <c r="Y113" i="39"/>
  <c r="Y112" i="39"/>
  <c r="Y114" i="39"/>
  <c r="Y111" i="39"/>
  <c r="Y110" i="39"/>
  <c r="AF109" i="39"/>
  <c r="AI102" i="39"/>
  <c r="AJ102" i="39" s="1"/>
  <c r="X21" i="37"/>
  <c r="X20" i="37"/>
  <c r="Z21" i="37"/>
  <c r="V18" i="37" s="1"/>
  <c r="V19" i="37" s="1"/>
  <c r="V20" i="37" s="1"/>
  <c r="V21" i="37" s="1"/>
  <c r="V22" i="37" s="1"/>
  <c r="V23" i="37" s="1"/>
  <c r="V24" i="37" s="1"/>
  <c r="V25" i="37" s="1"/>
  <c r="V26" i="37" s="1"/>
  <c r="V27" i="37" s="1"/>
  <c r="V28" i="37" s="1"/>
  <c r="V29" i="37" s="1"/>
  <c r="V30" i="37" s="1"/>
  <c r="V31" i="37" s="1"/>
  <c r="V32" i="37" s="1"/>
  <c r="V33" i="37" s="1"/>
  <c r="V34" i="37" s="1"/>
  <c r="V35" i="37" s="1"/>
  <c r="V36" i="37" s="1"/>
  <c r="V37" i="37" s="1"/>
  <c r="V38" i="37" s="1"/>
  <c r="V39" i="37" s="1"/>
  <c r="V40" i="37" s="1"/>
  <c r="V41" i="37" s="1"/>
  <c r="V42" i="37" s="1"/>
  <c r="V43" i="37" s="1"/>
  <c r="V44" i="37" s="1"/>
  <c r="V45" i="37" s="1"/>
  <c r="V46" i="37" s="1"/>
  <c r="V47" i="37" s="1"/>
  <c r="V48" i="37" s="1"/>
  <c r="V49" i="37" s="1"/>
  <c r="V50" i="37" s="1"/>
  <c r="V51" i="37" s="1"/>
  <c r="V52" i="37" s="1"/>
  <c r="V53" i="37" s="1"/>
  <c r="V54" i="37" s="1"/>
  <c r="V55" i="37" s="1"/>
  <c r="V56" i="37" s="1"/>
  <c r="V57" i="37" s="1"/>
  <c r="V58" i="37" s="1"/>
  <c r="V59" i="37" s="1"/>
  <c r="M59" i="37"/>
  <c r="G63" i="36"/>
  <c r="D63" i="36"/>
  <c r="B63" i="36"/>
  <c r="G61" i="36"/>
  <c r="D61" i="36"/>
  <c r="B61" i="36"/>
  <c r="M58" i="36"/>
  <c r="K58" i="36"/>
  <c r="G59" i="36"/>
  <c r="D59" i="36"/>
  <c r="B59" i="36"/>
  <c r="M57" i="36"/>
  <c r="K57" i="36"/>
  <c r="M56" i="36"/>
  <c r="K56" i="36"/>
  <c r="G57" i="36"/>
  <c r="D57" i="36"/>
  <c r="B57" i="36"/>
  <c r="M55" i="36"/>
  <c r="K55" i="36"/>
  <c r="M54" i="36"/>
  <c r="K54" i="36"/>
  <c r="G55" i="36"/>
  <c r="D55" i="36"/>
  <c r="B55" i="36"/>
  <c r="M53" i="36"/>
  <c r="K53" i="36"/>
  <c r="M52" i="36"/>
  <c r="K52" i="36"/>
  <c r="G53" i="36"/>
  <c r="D53" i="36"/>
  <c r="B53" i="36"/>
  <c r="M51" i="36"/>
  <c r="K51" i="36"/>
  <c r="M50" i="36"/>
  <c r="K50" i="36"/>
  <c r="M49" i="36"/>
  <c r="K49" i="36"/>
  <c r="M48" i="36"/>
  <c r="K48" i="36"/>
  <c r="M47" i="36"/>
  <c r="K47" i="36"/>
  <c r="M46" i="36"/>
  <c r="K46" i="36"/>
  <c r="M45" i="36"/>
  <c r="K45" i="36"/>
  <c r="M44" i="36"/>
  <c r="K44" i="36"/>
  <c r="M43" i="36"/>
  <c r="K43" i="36"/>
  <c r="D44" i="36"/>
  <c r="M42" i="36"/>
  <c r="K42" i="36"/>
  <c r="D43" i="36"/>
  <c r="M41" i="36"/>
  <c r="K41" i="36"/>
  <c r="D42" i="36"/>
  <c r="M40" i="36"/>
  <c r="K40" i="36"/>
  <c r="D41" i="36"/>
  <c r="M39" i="36"/>
  <c r="K39" i="36"/>
  <c r="M38" i="36"/>
  <c r="K38" i="36"/>
  <c r="M37" i="36"/>
  <c r="K37" i="36"/>
  <c r="M36" i="36"/>
  <c r="K36" i="36"/>
  <c r="AG23" i="36"/>
  <c r="AF22" i="36"/>
  <c r="AG22" i="36" s="1"/>
  <c r="E12" i="36"/>
  <c r="N12" i="36" s="1"/>
  <c r="N9" i="36"/>
  <c r="G7" i="36"/>
  <c r="B3" i="36"/>
  <c r="C1" i="36"/>
  <c r="M17" i="36" s="1"/>
  <c r="T149" i="22"/>
  <c r="T148" i="22"/>
  <c r="T147" i="22"/>
  <c r="T146" i="22"/>
  <c r="T145" i="22"/>
  <c r="T144" i="22"/>
  <c r="T143" i="22"/>
  <c r="T142" i="22"/>
  <c r="T141" i="22"/>
  <c r="T140" i="22"/>
  <c r="T139" i="22"/>
  <c r="T138" i="22"/>
  <c r="T137" i="22"/>
  <c r="T136" i="22"/>
  <c r="T135" i="22"/>
  <c r="T134" i="22"/>
  <c r="T133" i="22"/>
  <c r="T132" i="22"/>
  <c r="T131" i="22"/>
  <c r="T130" i="22"/>
  <c r="T129" i="22"/>
  <c r="T128" i="22"/>
  <c r="T127" i="22"/>
  <c r="T126" i="22"/>
  <c r="T125" i="22"/>
  <c r="T124" i="22"/>
  <c r="T123" i="22"/>
  <c r="T122" i="22"/>
  <c r="T121" i="22"/>
  <c r="T120" i="22"/>
  <c r="T119" i="22"/>
  <c r="T118" i="22"/>
  <c r="T117" i="22"/>
  <c r="T116" i="22"/>
  <c r="T115" i="22"/>
  <c r="T114" i="22"/>
  <c r="T113" i="22"/>
  <c r="T112" i="22"/>
  <c r="T111" i="22"/>
  <c r="T110" i="22"/>
  <c r="T109" i="22"/>
  <c r="T108" i="22"/>
  <c r="T107" i="22"/>
  <c r="T106" i="22"/>
  <c r="T105" i="22"/>
  <c r="T104" i="22"/>
  <c r="T103" i="22"/>
  <c r="T102" i="22"/>
  <c r="T101" i="22"/>
  <c r="T100" i="22"/>
  <c r="T99" i="22"/>
  <c r="T98" i="22"/>
  <c r="T97" i="22"/>
  <c r="T96" i="22"/>
  <c r="T95" i="22"/>
  <c r="T94" i="22"/>
  <c r="T93" i="22"/>
  <c r="T92" i="22"/>
  <c r="T91" i="22"/>
  <c r="T90" i="22"/>
  <c r="T89" i="22"/>
  <c r="T88" i="22"/>
  <c r="T87" i="22"/>
  <c r="T86" i="22"/>
  <c r="T85" i="22"/>
  <c r="T84" i="22"/>
  <c r="T83" i="22"/>
  <c r="T82" i="22"/>
  <c r="T81" i="22"/>
  <c r="T80" i="22"/>
  <c r="T79" i="22"/>
  <c r="T78" i="22"/>
  <c r="T77" i="22"/>
  <c r="T76" i="22"/>
  <c r="T75" i="22"/>
  <c r="T74" i="22"/>
  <c r="T73" i="22"/>
  <c r="T72" i="22"/>
  <c r="T71" i="22"/>
  <c r="T70" i="22"/>
  <c r="T69" i="22"/>
  <c r="T68" i="22"/>
  <c r="T67" i="22"/>
  <c r="T66" i="22"/>
  <c r="T65" i="22"/>
  <c r="T64" i="22"/>
  <c r="T63" i="22"/>
  <c r="T62" i="22"/>
  <c r="T61" i="22"/>
  <c r="T60" i="22"/>
  <c r="T59" i="22"/>
  <c r="T58" i="22"/>
  <c r="T57" i="22"/>
  <c r="T56" i="22"/>
  <c r="T55" i="22"/>
  <c r="T54" i="22"/>
  <c r="T53" i="22"/>
  <c r="T52" i="22"/>
  <c r="T51" i="22"/>
  <c r="T50" i="22"/>
  <c r="T49" i="22"/>
  <c r="T48" i="22"/>
  <c r="T47" i="22"/>
  <c r="T46" i="22"/>
  <c r="T45" i="22"/>
  <c r="T44" i="22"/>
  <c r="T43" i="22"/>
  <c r="T42" i="22"/>
  <c r="T41" i="22"/>
  <c r="T40" i="22"/>
  <c r="T39" i="22"/>
  <c r="T38" i="22"/>
  <c r="T37" i="22"/>
  <c r="T36" i="22"/>
  <c r="T35" i="22"/>
  <c r="T34" i="22"/>
  <c r="T33" i="22"/>
  <c r="T32" i="22"/>
  <c r="T31" i="22"/>
  <c r="T30" i="22"/>
  <c r="T29" i="22"/>
  <c r="T28" i="22"/>
  <c r="T27" i="22"/>
  <c r="T26" i="22"/>
  <c r="T25" i="22"/>
  <c r="T24" i="22"/>
  <c r="T23" i="22"/>
  <c r="T22" i="22"/>
  <c r="T21" i="22"/>
  <c r="T20" i="22"/>
  <c r="T19" i="22"/>
  <c r="T18" i="22"/>
  <c r="T17" i="22"/>
  <c r="T16" i="22"/>
  <c r="T15" i="22"/>
  <c r="T14" i="22"/>
  <c r="T13" i="22"/>
  <c r="T12" i="22"/>
  <c r="T11" i="22"/>
  <c r="T10" i="22"/>
  <c r="T9" i="22"/>
  <c r="T8" i="22"/>
  <c r="T7" i="22"/>
  <c r="BD11" i="39" l="1"/>
  <c r="BF11" i="39" s="1"/>
  <c r="BH11" i="39" s="1"/>
  <c r="BJ11" i="39" s="1"/>
  <c r="BL11" i="39" s="1"/>
  <c r="BN11" i="39" s="1"/>
  <c r="BP11" i="39" s="1"/>
  <c r="BR11" i="39" s="1"/>
  <c r="BT11" i="39" s="1"/>
  <c r="BV11" i="39" s="1"/>
  <c r="BY11" i="39" s="1"/>
  <c r="AZ9" i="39"/>
  <c r="BB9" i="39" s="1"/>
  <c r="AZ10" i="39"/>
  <c r="BB10" i="39" s="1"/>
  <c r="AZ12" i="39"/>
  <c r="BB12" i="39" s="1"/>
  <c r="AZ8" i="39"/>
  <c r="BB8" i="39" s="1"/>
  <c r="AE117" i="39"/>
  <c r="AF117" i="39" s="1"/>
  <c r="AG117" i="39" s="1"/>
  <c r="AH117" i="39" s="1"/>
  <c r="AE125" i="39"/>
  <c r="AF125" i="39" s="1"/>
  <c r="AG125" i="39" s="1"/>
  <c r="AH125" i="39" s="1"/>
  <c r="AE110" i="39"/>
  <c r="AF110" i="39" s="1"/>
  <c r="AG110" i="39" s="1"/>
  <c r="AH110" i="39" s="1"/>
  <c r="AE111" i="39"/>
  <c r="AF111" i="39" s="1"/>
  <c r="AG111" i="39" s="1"/>
  <c r="AH111" i="39" s="1"/>
  <c r="AE115" i="39"/>
  <c r="AF115" i="39" s="1"/>
  <c r="AG115" i="39" s="1"/>
  <c r="AH115" i="39" s="1"/>
  <c r="AE123" i="39"/>
  <c r="AF123" i="39" s="1"/>
  <c r="AG123" i="39" s="1"/>
  <c r="AH123" i="39" s="1"/>
  <c r="AE116" i="39"/>
  <c r="AF116" i="39" s="1"/>
  <c r="AG116" i="39" s="1"/>
  <c r="AH116" i="39" s="1"/>
  <c r="AE124" i="39"/>
  <c r="AF124" i="39" s="1"/>
  <c r="AG124" i="39" s="1"/>
  <c r="AH124" i="39" s="1"/>
  <c r="AE118" i="39"/>
  <c r="AF118" i="39" s="1"/>
  <c r="AG118" i="39" s="1"/>
  <c r="AH118" i="39" s="1"/>
  <c r="AE119" i="39"/>
  <c r="AF119" i="39" s="1"/>
  <c r="AG119" i="39" s="1"/>
  <c r="AH119" i="39" s="1"/>
  <c r="AE114" i="39"/>
  <c r="AF114" i="39" s="1"/>
  <c r="AG114" i="39" s="1"/>
  <c r="AH114" i="39" s="1"/>
  <c r="AE120" i="39"/>
  <c r="AF120" i="39" s="1"/>
  <c r="AG120" i="39" s="1"/>
  <c r="AH120" i="39" s="1"/>
  <c r="AE112" i="39"/>
  <c r="AF112" i="39" s="1"/>
  <c r="AG112" i="39" s="1"/>
  <c r="AH112" i="39" s="1"/>
  <c r="AE121" i="39"/>
  <c r="AF121" i="39" s="1"/>
  <c r="AG121" i="39" s="1"/>
  <c r="AH121" i="39" s="1"/>
  <c r="AE113" i="39"/>
  <c r="AF113" i="39" s="1"/>
  <c r="AG113" i="39" s="1"/>
  <c r="AH113" i="39" s="1"/>
  <c r="AE122" i="39"/>
  <c r="AF122" i="39" s="1"/>
  <c r="AG122" i="39" s="1"/>
  <c r="AH122" i="39" s="1"/>
  <c r="B83" i="41"/>
  <c r="B84" i="41" s="1"/>
  <c r="B85" i="41" s="1"/>
  <c r="B86" i="41" s="1"/>
  <c r="B87" i="41" s="1"/>
  <c r="AR7" i="39"/>
  <c r="AS7" i="39" s="1"/>
  <c r="AY7" i="39" s="1"/>
  <c r="AM25" i="39"/>
  <c r="AM56" i="39"/>
  <c r="AM16" i="39"/>
  <c r="AI21" i="41"/>
  <c r="AK99" i="39"/>
  <c r="AL99" i="39" s="1"/>
  <c r="AM99" i="39" s="1"/>
  <c r="AK98" i="39"/>
  <c r="AL98" i="39" s="1"/>
  <c r="AM98" i="39" s="1"/>
  <c r="AK106" i="39"/>
  <c r="AL106" i="39" s="1"/>
  <c r="AM106" i="39" s="1"/>
  <c r="AK107" i="39"/>
  <c r="AL107" i="39" s="1"/>
  <c r="AM107" i="39" s="1"/>
  <c r="AK94" i="39"/>
  <c r="AL94" i="39" s="1"/>
  <c r="AM94" i="39" s="1"/>
  <c r="AK100" i="39"/>
  <c r="AL100" i="39" s="1"/>
  <c r="AM100" i="39" s="1"/>
  <c r="AK97" i="39"/>
  <c r="AL97" i="39" s="1"/>
  <c r="AM97" i="39" s="1"/>
  <c r="AK105" i="39"/>
  <c r="AL105" i="39" s="1"/>
  <c r="AM105" i="39" s="1"/>
  <c r="AK104" i="39"/>
  <c r="AL104" i="39" s="1"/>
  <c r="AM104" i="39" s="1"/>
  <c r="AK95" i="39"/>
  <c r="AL95" i="39" s="1"/>
  <c r="AM95" i="39" s="1"/>
  <c r="AK102" i="39"/>
  <c r="AL102" i="39" s="1"/>
  <c r="AM102" i="39" s="1"/>
  <c r="AK103" i="39"/>
  <c r="AL103" i="39" s="1"/>
  <c r="AM103" i="39" s="1"/>
  <c r="AK101" i="39"/>
  <c r="AL101" i="39" s="1"/>
  <c r="AM101" i="39" s="1"/>
  <c r="AK96" i="39"/>
  <c r="AL96" i="39" s="1"/>
  <c r="AM96" i="39" s="1"/>
  <c r="AK93" i="39"/>
  <c r="AL93" i="39" s="1"/>
  <c r="AM93" i="39" s="1"/>
  <c r="AK77" i="39"/>
  <c r="AL77" i="39" s="1"/>
  <c r="AM77" i="39" s="1"/>
  <c r="AI108" i="39"/>
  <c r="AJ108" i="39" s="1"/>
  <c r="AJ92" i="39"/>
  <c r="AG109" i="39"/>
  <c r="AH109" i="39" s="1"/>
  <c r="Y127" i="39"/>
  <c r="AE127" i="39" s="1"/>
  <c r="AF126" i="39"/>
  <c r="L1" i="36"/>
  <c r="W16" i="36"/>
  <c r="AG24" i="36"/>
  <c r="AG26" i="36" s="1"/>
  <c r="F35" i="36"/>
  <c r="V17" i="36"/>
  <c r="X21" i="36" s="1"/>
  <c r="AG25" i="36"/>
  <c r="M149" i="22"/>
  <c r="M148" i="22"/>
  <c r="M147" i="22"/>
  <c r="M146" i="22"/>
  <c r="M145" i="22"/>
  <c r="M144" i="22"/>
  <c r="M143" i="22"/>
  <c r="M142" i="22"/>
  <c r="M141" i="22"/>
  <c r="M140" i="22"/>
  <c r="M139" i="22"/>
  <c r="M138" i="22"/>
  <c r="M137" i="22"/>
  <c r="M136" i="22"/>
  <c r="M135" i="22"/>
  <c r="M134" i="22"/>
  <c r="M133" i="22"/>
  <c r="M132" i="22"/>
  <c r="M131" i="22"/>
  <c r="M130" i="22"/>
  <c r="M129" i="22"/>
  <c r="M128" i="22"/>
  <c r="M127" i="22"/>
  <c r="M126" i="22"/>
  <c r="M125" i="22"/>
  <c r="M124" i="22"/>
  <c r="M123" i="22"/>
  <c r="M122" i="22"/>
  <c r="M121" i="22"/>
  <c r="M120" i="22"/>
  <c r="M119" i="22"/>
  <c r="M118" i="22"/>
  <c r="M117" i="22"/>
  <c r="M116" i="22"/>
  <c r="M115" i="22"/>
  <c r="M114" i="22"/>
  <c r="M113" i="22"/>
  <c r="M112" i="22"/>
  <c r="M111" i="22"/>
  <c r="M110" i="22"/>
  <c r="M109" i="22"/>
  <c r="M108" i="22"/>
  <c r="M107" i="22"/>
  <c r="M106" i="22"/>
  <c r="M105" i="22"/>
  <c r="M104" i="22"/>
  <c r="M103" i="22"/>
  <c r="M102" i="22"/>
  <c r="M101" i="22"/>
  <c r="M100" i="22"/>
  <c r="M99" i="22"/>
  <c r="M98" i="22"/>
  <c r="M97" i="22"/>
  <c r="M96" i="22"/>
  <c r="M95" i="22"/>
  <c r="M94" i="22"/>
  <c r="M93" i="22"/>
  <c r="M92" i="22"/>
  <c r="M91" i="22"/>
  <c r="M90" i="22"/>
  <c r="M89" i="22"/>
  <c r="M88" i="22"/>
  <c r="M87" i="22"/>
  <c r="M86" i="22"/>
  <c r="M85" i="22"/>
  <c r="M84" i="22"/>
  <c r="M83" i="22"/>
  <c r="M82" i="22"/>
  <c r="M81" i="22"/>
  <c r="M80" i="22"/>
  <c r="M79" i="22"/>
  <c r="M78" i="22"/>
  <c r="M77" i="22"/>
  <c r="M76" i="22"/>
  <c r="M75" i="22"/>
  <c r="M74" i="22"/>
  <c r="M73" i="22"/>
  <c r="M72" i="22"/>
  <c r="M71" i="22"/>
  <c r="M70" i="22"/>
  <c r="M69" i="22"/>
  <c r="M68" i="22"/>
  <c r="M67" i="22"/>
  <c r="M66" i="22"/>
  <c r="M65" i="22"/>
  <c r="M64" i="22"/>
  <c r="M63" i="22"/>
  <c r="M62" i="22"/>
  <c r="M61" i="22"/>
  <c r="M60" i="22"/>
  <c r="M59" i="22"/>
  <c r="M58" i="22"/>
  <c r="M57" i="22"/>
  <c r="M56" i="22"/>
  <c r="M55" i="22"/>
  <c r="M54" i="22"/>
  <c r="M53" i="22"/>
  <c r="M52" i="22"/>
  <c r="M51" i="22"/>
  <c r="M50" i="22"/>
  <c r="M49" i="22"/>
  <c r="M48" i="22"/>
  <c r="M47" i="22"/>
  <c r="M46" i="22"/>
  <c r="M45" i="22"/>
  <c r="M44" i="22"/>
  <c r="M43" i="22"/>
  <c r="M42" i="22"/>
  <c r="M41" i="22"/>
  <c r="M40" i="22"/>
  <c r="M39" i="22"/>
  <c r="M38" i="22"/>
  <c r="M37" i="22"/>
  <c r="M36" i="22"/>
  <c r="M35" i="22"/>
  <c r="M34" i="22"/>
  <c r="M33" i="22"/>
  <c r="M32" i="22"/>
  <c r="M31" i="22"/>
  <c r="M30" i="22"/>
  <c r="M29" i="22"/>
  <c r="M28" i="22"/>
  <c r="M27" i="22"/>
  <c r="M26" i="22"/>
  <c r="M25" i="22"/>
  <c r="M24" i="22"/>
  <c r="M23" i="22"/>
  <c r="M22" i="22"/>
  <c r="M21" i="22"/>
  <c r="M20" i="22"/>
  <c r="M19" i="22"/>
  <c r="M18" i="22"/>
  <c r="M17" i="22"/>
  <c r="M16" i="22"/>
  <c r="M15" i="22"/>
  <c r="M14" i="22"/>
  <c r="M13" i="22"/>
  <c r="M12" i="22"/>
  <c r="M11" i="22"/>
  <c r="M10" i="22"/>
  <c r="M9" i="22"/>
  <c r="M8" i="22"/>
  <c r="M7" i="22"/>
  <c r="AI19" i="22"/>
  <c r="H19" i="22"/>
  <c r="CA11" i="39" l="1"/>
  <c r="CB11" i="39" s="1"/>
  <c r="CC11" i="39" s="1"/>
  <c r="CJ11" i="39" s="1"/>
  <c r="BD8" i="39"/>
  <c r="BD12" i="39"/>
  <c r="BF12" i="39" s="1"/>
  <c r="BH12" i="39" s="1"/>
  <c r="BJ12" i="39" s="1"/>
  <c r="BL12" i="39" s="1"/>
  <c r="BN12" i="39" s="1"/>
  <c r="BP12" i="39" s="1"/>
  <c r="BR12" i="39" s="1"/>
  <c r="BT12" i="39" s="1"/>
  <c r="BV12" i="39" s="1"/>
  <c r="BY12" i="39" s="1"/>
  <c r="AZ7" i="39"/>
  <c r="BD9" i="39"/>
  <c r="BF9" i="39" s="1"/>
  <c r="BH9" i="39" s="1"/>
  <c r="BJ9" i="39" s="1"/>
  <c r="BL9" i="39" s="1"/>
  <c r="BN9" i="39" s="1"/>
  <c r="BP9" i="39" s="1"/>
  <c r="BR9" i="39" s="1"/>
  <c r="BT9" i="39" s="1"/>
  <c r="BV9" i="39" s="1"/>
  <c r="BY9" i="39" s="1"/>
  <c r="BD10" i="39"/>
  <c r="BF10" i="39" s="1"/>
  <c r="BH10" i="39" s="1"/>
  <c r="BJ10" i="39" s="1"/>
  <c r="BL10" i="39" s="1"/>
  <c r="BN10" i="39" s="1"/>
  <c r="BP10" i="39" s="1"/>
  <c r="BR10" i="39" s="1"/>
  <c r="BT10" i="39" s="1"/>
  <c r="BV10" i="39" s="1"/>
  <c r="BY10" i="39" s="1"/>
  <c r="B88" i="41"/>
  <c r="B89" i="41" s="1"/>
  <c r="AJ21" i="41"/>
  <c r="AK92" i="39"/>
  <c r="AL92" i="39" s="1"/>
  <c r="AM92" i="39" s="1"/>
  <c r="AK108" i="39"/>
  <c r="AL108" i="39" s="1"/>
  <c r="AM108" i="39" s="1"/>
  <c r="AI121" i="39"/>
  <c r="AJ121" i="39" s="1"/>
  <c r="AI119" i="39"/>
  <c r="AJ119" i="39" s="1"/>
  <c r="AI112" i="39"/>
  <c r="AJ112" i="39" s="1"/>
  <c r="AI109" i="39"/>
  <c r="AJ109" i="39" s="1"/>
  <c r="AI120" i="39"/>
  <c r="AJ120" i="39" s="1"/>
  <c r="AI111" i="39"/>
  <c r="AJ111" i="39" s="1"/>
  <c r="AI115" i="39"/>
  <c r="AJ115" i="39" s="1"/>
  <c r="AI110" i="39"/>
  <c r="AJ110" i="39" s="1"/>
  <c r="AI123" i="39"/>
  <c r="AJ123" i="39" s="1"/>
  <c r="AG126" i="39"/>
  <c r="AH126" i="39" s="1"/>
  <c r="AI125" i="39"/>
  <c r="AJ125" i="39" s="1"/>
  <c r="AI124" i="39"/>
  <c r="AJ124" i="39" s="1"/>
  <c r="AI114" i="39"/>
  <c r="AJ114" i="39" s="1"/>
  <c r="Y144" i="39"/>
  <c r="AE144" i="39" s="1"/>
  <c r="Y137" i="39"/>
  <c r="Y138" i="39"/>
  <c r="Y143" i="39"/>
  <c r="Y139" i="39"/>
  <c r="Y140" i="39"/>
  <c r="Y141" i="39"/>
  <c r="Y131" i="39"/>
  <c r="Y130" i="39"/>
  <c r="Y129" i="39"/>
  <c r="Y128" i="39"/>
  <c r="Y136" i="39"/>
  <c r="Y132" i="39"/>
  <c r="Y135" i="39"/>
  <c r="Y134" i="39"/>
  <c r="Y133" i="39"/>
  <c r="Y142" i="39"/>
  <c r="AF127" i="39"/>
  <c r="AI118" i="39"/>
  <c r="AJ118" i="39" s="1"/>
  <c r="AI117" i="39"/>
  <c r="AJ117" i="39" s="1"/>
  <c r="AI116" i="39"/>
  <c r="AJ116" i="39" s="1"/>
  <c r="AI122" i="39"/>
  <c r="AJ122" i="39" s="1"/>
  <c r="AI113" i="39"/>
  <c r="AJ113" i="39" s="1"/>
  <c r="X20" i="36"/>
  <c r="W17" i="36"/>
  <c r="Z20" i="36" s="1"/>
  <c r="M59" i="36" s="1"/>
  <c r="Z21" i="36"/>
  <c r="V18" i="36" s="1"/>
  <c r="V19" i="36" s="1"/>
  <c r="V20" i="36" s="1"/>
  <c r="V21" i="36" s="1"/>
  <c r="V22" i="36" s="1"/>
  <c r="V23" i="36" s="1"/>
  <c r="V24" i="36" s="1"/>
  <c r="V25" i="36" s="1"/>
  <c r="V26" i="36" s="1"/>
  <c r="V27" i="36" s="1"/>
  <c r="V28" i="36" s="1"/>
  <c r="V29" i="36" s="1"/>
  <c r="V30" i="36" s="1"/>
  <c r="V31" i="36" s="1"/>
  <c r="V32" i="36" s="1"/>
  <c r="V33" i="36" s="1"/>
  <c r="V34" i="36" s="1"/>
  <c r="V35" i="36" s="1"/>
  <c r="V36" i="36" s="1"/>
  <c r="V37" i="36" s="1"/>
  <c r="V38" i="36" s="1"/>
  <c r="V39" i="36" s="1"/>
  <c r="V40" i="36" s="1"/>
  <c r="V41" i="36" s="1"/>
  <c r="V42" i="36" s="1"/>
  <c r="V43" i="36" s="1"/>
  <c r="V44" i="36" s="1"/>
  <c r="V45" i="36" s="1"/>
  <c r="V46" i="36" s="1"/>
  <c r="V47" i="36" s="1"/>
  <c r="V48" i="36" s="1"/>
  <c r="V49" i="36" s="1"/>
  <c r="V50" i="36" s="1"/>
  <c r="V51" i="36" s="1"/>
  <c r="V52" i="36" s="1"/>
  <c r="V53" i="36" s="1"/>
  <c r="V54" i="36" s="1"/>
  <c r="V55" i="36" s="1"/>
  <c r="V56" i="36" s="1"/>
  <c r="V57" i="36" s="1"/>
  <c r="V58" i="36" s="1"/>
  <c r="V59" i="36" s="1"/>
  <c r="AP154" i="22"/>
  <c r="CH11" i="39" l="1"/>
  <c r="CI11" i="39" s="1"/>
  <c r="CA9" i="39"/>
  <c r="CB9" i="39" s="1"/>
  <c r="CA12" i="39"/>
  <c r="CB12" i="39" s="1"/>
  <c r="CC12" i="39" s="1"/>
  <c r="CJ12" i="39" s="1"/>
  <c r="CA10" i="39"/>
  <c r="CB10" i="39" s="1"/>
  <c r="CC9" i="39"/>
  <c r="DE9" i="39" s="1"/>
  <c r="CC10" i="39"/>
  <c r="CJ10" i="39" s="1"/>
  <c r="BF8" i="39"/>
  <c r="BH8" i="39" s="1"/>
  <c r="CH12" i="39"/>
  <c r="CI12" i="39" s="1"/>
  <c r="HR11" i="39"/>
  <c r="BB7" i="39"/>
  <c r="AE139" i="39"/>
  <c r="AF139" i="39" s="1"/>
  <c r="AG139" i="39" s="1"/>
  <c r="AH139" i="39" s="1"/>
  <c r="AE129" i="39"/>
  <c r="AF129" i="39" s="1"/>
  <c r="AG129" i="39" s="1"/>
  <c r="AH129" i="39" s="1"/>
  <c r="AE142" i="39"/>
  <c r="AF142" i="39" s="1"/>
  <c r="AG142" i="39" s="1"/>
  <c r="AH142" i="39" s="1"/>
  <c r="AE130" i="39"/>
  <c r="AF130" i="39" s="1"/>
  <c r="AG130" i="39" s="1"/>
  <c r="AH130" i="39" s="1"/>
  <c r="AE133" i="39"/>
  <c r="AF133" i="39" s="1"/>
  <c r="AG133" i="39" s="1"/>
  <c r="AH133" i="39" s="1"/>
  <c r="AE135" i="39"/>
  <c r="AF135" i="39" s="1"/>
  <c r="AG135" i="39" s="1"/>
  <c r="AH135" i="39" s="1"/>
  <c r="AE132" i="39"/>
  <c r="AF132" i="39" s="1"/>
  <c r="AG132" i="39" s="1"/>
  <c r="AH132" i="39" s="1"/>
  <c r="AE136" i="39"/>
  <c r="AF136" i="39" s="1"/>
  <c r="AG136" i="39" s="1"/>
  <c r="AH136" i="39" s="1"/>
  <c r="AE143" i="39"/>
  <c r="AF143" i="39" s="1"/>
  <c r="AG143" i="39" s="1"/>
  <c r="AH143" i="39" s="1"/>
  <c r="AE131" i="39"/>
  <c r="AF131" i="39" s="1"/>
  <c r="AG131" i="39" s="1"/>
  <c r="AH131" i="39" s="1"/>
  <c r="AE141" i="39"/>
  <c r="AF141" i="39" s="1"/>
  <c r="AG141" i="39" s="1"/>
  <c r="AH141" i="39" s="1"/>
  <c r="AE128" i="39"/>
  <c r="AF128" i="39" s="1"/>
  <c r="AG128" i="39" s="1"/>
  <c r="AH128" i="39" s="1"/>
  <c r="AE138" i="39"/>
  <c r="AF138" i="39" s="1"/>
  <c r="AG138" i="39" s="1"/>
  <c r="AH138" i="39" s="1"/>
  <c r="AE134" i="39"/>
  <c r="AF134" i="39" s="1"/>
  <c r="AG134" i="39" s="1"/>
  <c r="AH134" i="39" s="1"/>
  <c r="AE140" i="39"/>
  <c r="AF140" i="39" s="1"/>
  <c r="AG140" i="39" s="1"/>
  <c r="AH140" i="39" s="1"/>
  <c r="AE137" i="39"/>
  <c r="AF137" i="39" s="1"/>
  <c r="AG137" i="39" s="1"/>
  <c r="AH137" i="39" s="1"/>
  <c r="B90" i="41"/>
  <c r="B91" i="41" s="1"/>
  <c r="B92" i="41" s="1"/>
  <c r="AK21" i="41"/>
  <c r="AK110" i="39"/>
  <c r="AL110" i="39" s="1"/>
  <c r="AM110" i="39" s="1"/>
  <c r="AK125" i="39"/>
  <c r="AL125" i="39" s="1"/>
  <c r="AM125" i="39" s="1"/>
  <c r="AK111" i="39"/>
  <c r="AL111" i="39" s="1"/>
  <c r="AM111" i="39" s="1"/>
  <c r="AK121" i="39"/>
  <c r="AL121" i="39" s="1"/>
  <c r="AM121" i="39" s="1"/>
  <c r="AK116" i="39"/>
  <c r="AL116" i="39" s="1"/>
  <c r="AM116" i="39" s="1"/>
  <c r="AK122" i="39"/>
  <c r="AL122" i="39" s="1"/>
  <c r="AM122" i="39" s="1"/>
  <c r="AK114" i="39"/>
  <c r="AL114" i="39" s="1"/>
  <c r="AM114" i="39" s="1"/>
  <c r="AK120" i="39"/>
  <c r="AL120" i="39" s="1"/>
  <c r="AM120" i="39" s="1"/>
  <c r="AK123" i="39"/>
  <c r="AL123" i="39" s="1"/>
  <c r="AM123" i="39" s="1"/>
  <c r="AK118" i="39"/>
  <c r="AL118" i="39" s="1"/>
  <c r="AM118" i="39" s="1"/>
  <c r="AK119" i="39"/>
  <c r="AL119" i="39" s="1"/>
  <c r="AM119" i="39" s="1"/>
  <c r="AK115" i="39"/>
  <c r="AL115" i="39" s="1"/>
  <c r="AM115" i="39" s="1"/>
  <c r="AK109" i="39"/>
  <c r="AL109" i="39" s="1"/>
  <c r="AM109" i="39" s="1"/>
  <c r="AK113" i="39"/>
  <c r="AL113" i="39" s="1"/>
  <c r="AM113" i="39" s="1"/>
  <c r="AK117" i="39"/>
  <c r="AL117" i="39" s="1"/>
  <c r="AM117" i="39" s="1"/>
  <c r="AK124" i="39"/>
  <c r="AL124" i="39" s="1"/>
  <c r="AM124" i="39" s="1"/>
  <c r="AK112" i="39"/>
  <c r="AL112" i="39" s="1"/>
  <c r="AM112" i="39" s="1"/>
  <c r="AI126" i="39"/>
  <c r="AJ126" i="39" s="1"/>
  <c r="AG127" i="39"/>
  <c r="AH127" i="39" s="1"/>
  <c r="Y145" i="39"/>
  <c r="AE145" i="39" s="1"/>
  <c r="AF144" i="39"/>
  <c r="AZ149" i="22"/>
  <c r="AZ148" i="22"/>
  <c r="AZ147" i="22"/>
  <c r="AZ146" i="22"/>
  <c r="AZ145" i="22"/>
  <c r="AZ144" i="22"/>
  <c r="AZ143" i="22"/>
  <c r="AZ142" i="22"/>
  <c r="AZ141" i="22"/>
  <c r="AZ140" i="22"/>
  <c r="AZ139" i="22"/>
  <c r="AZ138" i="22"/>
  <c r="AZ137" i="22"/>
  <c r="AZ136" i="22"/>
  <c r="AZ135" i="22"/>
  <c r="AZ134" i="22"/>
  <c r="AZ133" i="22"/>
  <c r="AZ132" i="22"/>
  <c r="AZ131" i="22"/>
  <c r="AZ130" i="22"/>
  <c r="AZ129" i="22"/>
  <c r="AZ128" i="22"/>
  <c r="AZ127" i="22"/>
  <c r="AZ126" i="22"/>
  <c r="AZ125" i="22"/>
  <c r="AZ124" i="22"/>
  <c r="AZ123" i="22"/>
  <c r="AZ122" i="22"/>
  <c r="AZ121" i="22"/>
  <c r="AZ120" i="22"/>
  <c r="AZ119" i="22"/>
  <c r="AZ118" i="22"/>
  <c r="AZ117" i="22"/>
  <c r="AZ116" i="22"/>
  <c r="AZ115" i="22"/>
  <c r="AZ114" i="22"/>
  <c r="AZ113" i="22"/>
  <c r="AZ112" i="22"/>
  <c r="AZ111" i="22"/>
  <c r="AZ110" i="22"/>
  <c r="AZ109" i="22"/>
  <c r="AZ108" i="22"/>
  <c r="AZ107" i="22"/>
  <c r="AZ106" i="22"/>
  <c r="AZ105" i="22"/>
  <c r="AZ104" i="22"/>
  <c r="AZ103" i="22"/>
  <c r="AZ102" i="22"/>
  <c r="AZ101" i="22"/>
  <c r="AZ100" i="22"/>
  <c r="AZ99" i="22"/>
  <c r="AZ98" i="22"/>
  <c r="AZ97" i="22"/>
  <c r="AZ96" i="22"/>
  <c r="AZ95" i="22"/>
  <c r="AZ94" i="22"/>
  <c r="AZ93" i="22"/>
  <c r="AZ92" i="22"/>
  <c r="AZ91" i="22"/>
  <c r="AZ90" i="22"/>
  <c r="AZ89" i="22"/>
  <c r="AZ88" i="22"/>
  <c r="AZ87" i="22"/>
  <c r="AZ86" i="22"/>
  <c r="AZ85" i="22"/>
  <c r="AZ84" i="22"/>
  <c r="AZ83" i="22"/>
  <c r="AZ82" i="22"/>
  <c r="AZ81" i="22"/>
  <c r="AZ80" i="22"/>
  <c r="AZ79" i="22"/>
  <c r="AZ78" i="22"/>
  <c r="AZ77" i="22"/>
  <c r="AZ76" i="22"/>
  <c r="AZ75" i="22"/>
  <c r="AZ74" i="22"/>
  <c r="AZ73" i="22"/>
  <c r="AZ72" i="22"/>
  <c r="AZ71" i="22"/>
  <c r="AZ70" i="22"/>
  <c r="AZ69" i="22"/>
  <c r="AZ68" i="22"/>
  <c r="AZ67" i="22"/>
  <c r="AZ66" i="22"/>
  <c r="AZ65" i="22"/>
  <c r="AZ64" i="22"/>
  <c r="AZ63" i="22"/>
  <c r="AZ62" i="22"/>
  <c r="AZ61" i="22"/>
  <c r="AZ60" i="22"/>
  <c r="AZ59" i="22"/>
  <c r="AZ58" i="22"/>
  <c r="AZ57" i="22"/>
  <c r="AZ56" i="22"/>
  <c r="AZ55" i="22"/>
  <c r="AZ54" i="22"/>
  <c r="AZ53" i="22"/>
  <c r="AZ52" i="22"/>
  <c r="AZ51" i="22"/>
  <c r="AZ50" i="22"/>
  <c r="AZ49" i="22"/>
  <c r="AZ48" i="22"/>
  <c r="AZ47" i="22"/>
  <c r="AZ46" i="22"/>
  <c r="AZ45" i="22"/>
  <c r="AZ44" i="22"/>
  <c r="AZ43" i="22"/>
  <c r="AZ42" i="22"/>
  <c r="AZ41" i="22"/>
  <c r="AZ40" i="22"/>
  <c r="AZ39" i="22"/>
  <c r="AZ38" i="22"/>
  <c r="AZ37" i="22"/>
  <c r="AZ36" i="22"/>
  <c r="AZ35" i="22"/>
  <c r="AZ34" i="22"/>
  <c r="AZ33" i="22"/>
  <c r="AZ32" i="22"/>
  <c r="AZ31" i="22"/>
  <c r="AZ30" i="22"/>
  <c r="AZ29" i="22"/>
  <c r="AZ28" i="22"/>
  <c r="AZ27" i="22"/>
  <c r="AZ26" i="22"/>
  <c r="AZ25" i="22"/>
  <c r="AZ24" i="22"/>
  <c r="AZ23" i="22"/>
  <c r="AZ22" i="22"/>
  <c r="AZ21" i="22"/>
  <c r="AZ20" i="22"/>
  <c r="AZ19" i="22"/>
  <c r="AZ18" i="22"/>
  <c r="AZ17" i="22"/>
  <c r="AZ16" i="22"/>
  <c r="AZ15" i="22"/>
  <c r="AZ14" i="22"/>
  <c r="AZ13" i="22"/>
  <c r="AZ12" i="22"/>
  <c r="AZ11" i="22"/>
  <c r="AZ10" i="22"/>
  <c r="AZ9" i="22"/>
  <c r="AZ8" i="22"/>
  <c r="AZ7" i="22"/>
  <c r="DE10" i="39" l="1"/>
  <c r="CH9" i="39"/>
  <c r="CI9" i="39" s="1"/>
  <c r="CJ9" i="39"/>
  <c r="BJ8" i="39"/>
  <c r="CH10" i="39"/>
  <c r="CI10" i="39" s="1"/>
  <c r="HR12" i="39"/>
  <c r="BD7" i="39"/>
  <c r="BF7" i="39" s="1"/>
  <c r="B93" i="41"/>
  <c r="B94" i="41" s="1"/>
  <c r="AL21" i="41"/>
  <c r="AK126" i="39"/>
  <c r="AL126" i="39" s="1"/>
  <c r="AM126" i="39" s="1"/>
  <c r="AI128" i="39"/>
  <c r="AJ128" i="39" s="1"/>
  <c r="AI130" i="39"/>
  <c r="AJ130" i="39" s="1"/>
  <c r="AI140" i="39"/>
  <c r="AJ140" i="39" s="1"/>
  <c r="AI142" i="39"/>
  <c r="AJ142" i="39" s="1"/>
  <c r="AI132" i="39"/>
  <c r="AJ132" i="39" s="1"/>
  <c r="AI141" i="39"/>
  <c r="AJ141" i="39" s="1"/>
  <c r="AI127" i="39"/>
  <c r="AJ127" i="39" s="1"/>
  <c r="AI138" i="39"/>
  <c r="AJ138" i="39" s="1"/>
  <c r="AI136" i="39"/>
  <c r="AJ136" i="39" s="1"/>
  <c r="AI131" i="39"/>
  <c r="AJ131" i="39" s="1"/>
  <c r="AI139" i="39"/>
  <c r="AJ139" i="39" s="1"/>
  <c r="AI143" i="39"/>
  <c r="AJ143" i="39" s="1"/>
  <c r="AI134" i="39"/>
  <c r="AJ134" i="39" s="1"/>
  <c r="AI133" i="39"/>
  <c r="AJ133" i="39" s="1"/>
  <c r="AG144" i="39"/>
  <c r="AH144" i="39" s="1"/>
  <c r="AI135" i="39"/>
  <c r="AJ135" i="39" s="1"/>
  <c r="AI137" i="39"/>
  <c r="AJ137" i="39" s="1"/>
  <c r="AI129" i="39"/>
  <c r="AJ129" i="39" s="1"/>
  <c r="Y158" i="39"/>
  <c r="Y159" i="39"/>
  <c r="Y162" i="39"/>
  <c r="AE162" i="39" s="1"/>
  <c r="Y161" i="39"/>
  <c r="Y154" i="39"/>
  <c r="Y149" i="39"/>
  <c r="Y148" i="39"/>
  <c r="Y147" i="39"/>
  <c r="Y146" i="39"/>
  <c r="Y151" i="39"/>
  <c r="Y150" i="39"/>
  <c r="Y160" i="39"/>
  <c r="Y157" i="39"/>
  <c r="Y152" i="39"/>
  <c r="Y155" i="39"/>
  <c r="Y153" i="39"/>
  <c r="Y156" i="39"/>
  <c r="AF145" i="39"/>
  <c r="H21" i="22"/>
  <c r="J21" i="22"/>
  <c r="J149" i="22"/>
  <c r="J148" i="22"/>
  <c r="J147" i="22"/>
  <c r="J146" i="22"/>
  <c r="J145" i="22"/>
  <c r="J144" i="22"/>
  <c r="J143" i="22"/>
  <c r="J142" i="22"/>
  <c r="J141" i="22"/>
  <c r="J140" i="22"/>
  <c r="J139" i="22"/>
  <c r="J138" i="22"/>
  <c r="J137" i="22"/>
  <c r="J136" i="22"/>
  <c r="J135" i="22"/>
  <c r="J134" i="22"/>
  <c r="J133" i="22"/>
  <c r="J132" i="22"/>
  <c r="J131" i="22"/>
  <c r="J130" i="22"/>
  <c r="J129" i="22"/>
  <c r="J128" i="22"/>
  <c r="J127" i="22"/>
  <c r="J126" i="22"/>
  <c r="J125" i="22"/>
  <c r="J124" i="22"/>
  <c r="J123" i="22"/>
  <c r="J122" i="22"/>
  <c r="J121" i="22"/>
  <c r="J120" i="22"/>
  <c r="J119" i="22"/>
  <c r="J118" i="22"/>
  <c r="J117" i="22"/>
  <c r="J116" i="22"/>
  <c r="J115" i="22"/>
  <c r="J114" i="22"/>
  <c r="J113" i="22"/>
  <c r="J112" i="22"/>
  <c r="J111" i="22"/>
  <c r="J110" i="22"/>
  <c r="J109" i="22"/>
  <c r="J108" i="22"/>
  <c r="J107" i="22"/>
  <c r="J106" i="22"/>
  <c r="J105" i="22"/>
  <c r="J104" i="22"/>
  <c r="J103" i="22"/>
  <c r="J102" i="22"/>
  <c r="J101" i="22"/>
  <c r="J100" i="22"/>
  <c r="J99" i="22"/>
  <c r="J98" i="22"/>
  <c r="J97" i="22"/>
  <c r="J96" i="22"/>
  <c r="J95" i="22"/>
  <c r="J94" i="22"/>
  <c r="J93" i="22"/>
  <c r="J92" i="22"/>
  <c r="J91" i="22"/>
  <c r="J90" i="22"/>
  <c r="J89" i="22"/>
  <c r="J88" i="22"/>
  <c r="J87" i="22"/>
  <c r="J86" i="22"/>
  <c r="J85" i="22"/>
  <c r="J84" i="22"/>
  <c r="J83" i="22"/>
  <c r="J82" i="22"/>
  <c r="J81" i="22"/>
  <c r="J80" i="22"/>
  <c r="J79" i="22"/>
  <c r="J78" i="22"/>
  <c r="J77" i="22"/>
  <c r="J76" i="22"/>
  <c r="J75" i="22"/>
  <c r="J74" i="22"/>
  <c r="J73" i="22"/>
  <c r="J72" i="22"/>
  <c r="J71" i="22"/>
  <c r="J70" i="22"/>
  <c r="J69" i="22"/>
  <c r="J68" i="22"/>
  <c r="J67" i="22"/>
  <c r="J66" i="22"/>
  <c r="J65" i="22"/>
  <c r="J64" i="22"/>
  <c r="J63" i="22"/>
  <c r="J62" i="22"/>
  <c r="J61" i="22"/>
  <c r="J60" i="22"/>
  <c r="J59" i="22"/>
  <c r="J58" i="22"/>
  <c r="J57" i="22"/>
  <c r="J56" i="22"/>
  <c r="J55" i="22"/>
  <c r="J54" i="22"/>
  <c r="J53" i="22"/>
  <c r="J52" i="22"/>
  <c r="J51" i="22"/>
  <c r="J50" i="22"/>
  <c r="J49" i="22"/>
  <c r="J48" i="22"/>
  <c r="J47" i="22"/>
  <c r="J46" i="22"/>
  <c r="J45" i="22"/>
  <c r="J44" i="22"/>
  <c r="J43" i="22"/>
  <c r="J42" i="22"/>
  <c r="J41" i="22"/>
  <c r="J40" i="22"/>
  <c r="J39" i="22"/>
  <c r="J38" i="22"/>
  <c r="J37" i="22"/>
  <c r="J36" i="22"/>
  <c r="J35" i="22"/>
  <c r="J34" i="22"/>
  <c r="J33" i="22"/>
  <c r="J32" i="22"/>
  <c r="J31" i="22"/>
  <c r="J30" i="22"/>
  <c r="J29" i="22"/>
  <c r="J28" i="22"/>
  <c r="J27" i="22"/>
  <c r="J26" i="22"/>
  <c r="J25" i="22"/>
  <c r="J24" i="22"/>
  <c r="J23" i="22"/>
  <c r="J22" i="22"/>
  <c r="J20" i="22"/>
  <c r="J19" i="22"/>
  <c r="J17" i="22"/>
  <c r="J16" i="22"/>
  <c r="J15" i="22"/>
  <c r="J14" i="22"/>
  <c r="J13" i="22"/>
  <c r="J12" i="22"/>
  <c r="J11" i="22"/>
  <c r="J10" i="22"/>
  <c r="J9" i="22"/>
  <c r="J8" i="22"/>
  <c r="J7" i="22"/>
  <c r="J18" i="22"/>
  <c r="HR10" i="39" l="1"/>
  <c r="HR9" i="39"/>
  <c r="BL8" i="39"/>
  <c r="BH7" i="39"/>
  <c r="BJ7" i="39" s="1"/>
  <c r="BL7" i="39" s="1"/>
  <c r="BN7" i="39" s="1"/>
  <c r="BP7" i="39" s="1"/>
  <c r="BR7" i="39" s="1"/>
  <c r="AE150" i="39"/>
  <c r="AF150" i="39" s="1"/>
  <c r="AG150" i="39" s="1"/>
  <c r="AH150" i="39" s="1"/>
  <c r="AE152" i="39"/>
  <c r="AF152" i="39" s="1"/>
  <c r="AG152" i="39" s="1"/>
  <c r="AH152" i="39" s="1"/>
  <c r="AE149" i="39"/>
  <c r="AF149" i="39" s="1"/>
  <c r="AG149" i="39" s="1"/>
  <c r="AH149" i="39" s="1"/>
  <c r="AE157" i="39"/>
  <c r="AF157" i="39" s="1"/>
  <c r="AG157" i="39" s="1"/>
  <c r="AH157" i="39" s="1"/>
  <c r="AE154" i="39"/>
  <c r="AF154" i="39" s="1"/>
  <c r="AG154" i="39" s="1"/>
  <c r="AH154" i="39" s="1"/>
  <c r="AE160" i="39"/>
  <c r="AF160" i="39" s="1"/>
  <c r="AG160" i="39" s="1"/>
  <c r="AH160" i="39" s="1"/>
  <c r="AE161" i="39"/>
  <c r="AF161" i="39" s="1"/>
  <c r="AG161" i="39" s="1"/>
  <c r="AH161" i="39" s="1"/>
  <c r="AE151" i="39"/>
  <c r="AF151" i="39" s="1"/>
  <c r="AG151" i="39" s="1"/>
  <c r="AH151" i="39" s="1"/>
  <c r="AE159" i="39"/>
  <c r="AF159" i="39" s="1"/>
  <c r="AG159" i="39" s="1"/>
  <c r="AH159" i="39" s="1"/>
  <c r="AE156" i="39"/>
  <c r="AF156" i="39" s="1"/>
  <c r="AG156" i="39" s="1"/>
  <c r="AH156" i="39" s="1"/>
  <c r="AE146" i="39"/>
  <c r="AF146" i="39" s="1"/>
  <c r="AG146" i="39" s="1"/>
  <c r="AH146" i="39" s="1"/>
  <c r="AE158" i="39"/>
  <c r="AF158" i="39" s="1"/>
  <c r="AG158" i="39" s="1"/>
  <c r="AH158" i="39" s="1"/>
  <c r="AE153" i="39"/>
  <c r="AF153" i="39" s="1"/>
  <c r="AG153" i="39" s="1"/>
  <c r="AH153" i="39" s="1"/>
  <c r="AE147" i="39"/>
  <c r="AF147" i="39" s="1"/>
  <c r="AG147" i="39" s="1"/>
  <c r="AH147" i="39" s="1"/>
  <c r="AE155" i="39"/>
  <c r="AF155" i="39" s="1"/>
  <c r="AG155" i="39" s="1"/>
  <c r="AH155" i="39" s="1"/>
  <c r="AE148" i="39"/>
  <c r="AF148" i="39" s="1"/>
  <c r="AG148" i="39" s="1"/>
  <c r="AH148" i="39" s="1"/>
  <c r="B95" i="41"/>
  <c r="B96" i="41" s="1"/>
  <c r="B97" i="41" s="1"/>
  <c r="B98" i="41" s="1"/>
  <c r="B99" i="41" s="1"/>
  <c r="AM21" i="41"/>
  <c r="AK143" i="39"/>
  <c r="AL143" i="39" s="1"/>
  <c r="AM143" i="39" s="1"/>
  <c r="AK130" i="39"/>
  <c r="AL130" i="39" s="1"/>
  <c r="AM130" i="39" s="1"/>
  <c r="AK138" i="39"/>
  <c r="AL138" i="39" s="1"/>
  <c r="AM138" i="39" s="1"/>
  <c r="AK128" i="39"/>
  <c r="AL128" i="39" s="1"/>
  <c r="AM128" i="39" s="1"/>
  <c r="AK129" i="39"/>
  <c r="AL129" i="39" s="1"/>
  <c r="AM129" i="39" s="1"/>
  <c r="AK136" i="39"/>
  <c r="AL136" i="39" s="1"/>
  <c r="AM136" i="39" s="1"/>
  <c r="AK127" i="39"/>
  <c r="AL127" i="39" s="1"/>
  <c r="AM127" i="39" s="1"/>
  <c r="AK131" i="39"/>
  <c r="AL131" i="39" s="1"/>
  <c r="AM131" i="39" s="1"/>
  <c r="AK137" i="39"/>
  <c r="AL137" i="39" s="1"/>
  <c r="AM137" i="39" s="1"/>
  <c r="AK141" i="39"/>
  <c r="AL141" i="39" s="1"/>
  <c r="AM141" i="39" s="1"/>
  <c r="AK134" i="39"/>
  <c r="AL134" i="39" s="1"/>
  <c r="AM134" i="39" s="1"/>
  <c r="AK139" i="39"/>
  <c r="AL139" i="39" s="1"/>
  <c r="AM139" i="39" s="1"/>
  <c r="AK132" i="39"/>
  <c r="AL132" i="39" s="1"/>
  <c r="AM132" i="39" s="1"/>
  <c r="AK135" i="39"/>
  <c r="AL135" i="39" s="1"/>
  <c r="AM135" i="39" s="1"/>
  <c r="AK133" i="39"/>
  <c r="AL133" i="39" s="1"/>
  <c r="AM133" i="39" s="1"/>
  <c r="AK142" i="39"/>
  <c r="AL142" i="39" s="1"/>
  <c r="AM142" i="39" s="1"/>
  <c r="AK140" i="39"/>
  <c r="AL140" i="39" s="1"/>
  <c r="AM140" i="39" s="1"/>
  <c r="AI144" i="39"/>
  <c r="AJ144" i="39" s="1"/>
  <c r="Y163" i="39"/>
  <c r="AE163" i="39" s="1"/>
  <c r="AF162" i="39"/>
  <c r="AG145" i="39"/>
  <c r="AH145" i="39" s="1"/>
  <c r="I21" i="22"/>
  <c r="L21" i="22" s="1"/>
  <c r="N21" i="22" s="1"/>
  <c r="G54" i="34"/>
  <c r="B54" i="34"/>
  <c r="Q28" i="34"/>
  <c r="L28" i="34"/>
  <c r="E12" i="34"/>
  <c r="O12" i="34" s="1"/>
  <c r="E9" i="34"/>
  <c r="O9" i="34" s="1"/>
  <c r="G7" i="34"/>
  <c r="E7" i="34"/>
  <c r="O7" i="34" s="1"/>
  <c r="E6" i="34"/>
  <c r="O6" i="34" s="1"/>
  <c r="C1" i="34"/>
  <c r="N17" i="34" s="1"/>
  <c r="BT7" i="39" l="1"/>
  <c r="BV7" i="39" s="1"/>
  <c r="BY7" i="39" s="1"/>
  <c r="BN8" i="39"/>
  <c r="BP8" i="39" s="1"/>
  <c r="BR8" i="39" s="1"/>
  <c r="BT8" i="39" s="1"/>
  <c r="BV8" i="39" s="1"/>
  <c r="BY8" i="39" s="1"/>
  <c r="B100" i="41"/>
  <c r="B101" i="41" s="1"/>
  <c r="AN21" i="41"/>
  <c r="AK144" i="39"/>
  <c r="AL144" i="39" s="1"/>
  <c r="AM144" i="39" s="1"/>
  <c r="AI154" i="39"/>
  <c r="AJ154" i="39" s="1"/>
  <c r="AI156" i="39"/>
  <c r="AJ156" i="39" s="1"/>
  <c r="AI160" i="39"/>
  <c r="AJ160" i="39" s="1"/>
  <c r="AI153" i="39"/>
  <c r="AJ153" i="39" s="1"/>
  <c r="AI161" i="39"/>
  <c r="AJ161" i="39" s="1"/>
  <c r="AI145" i="39"/>
  <c r="AJ145" i="39" s="1"/>
  <c r="AI150" i="39"/>
  <c r="AJ150" i="39" s="1"/>
  <c r="AI149" i="39"/>
  <c r="AJ149" i="39" s="1"/>
  <c r="AI146" i="39"/>
  <c r="AJ146" i="39" s="1"/>
  <c r="AG162" i="39"/>
  <c r="AH162" i="39" s="1"/>
  <c r="AI151" i="39"/>
  <c r="AJ151" i="39" s="1"/>
  <c r="Y179" i="39"/>
  <c r="Y171" i="39"/>
  <c r="Y172" i="39"/>
  <c r="Y174" i="39"/>
  <c r="Y180" i="39"/>
  <c r="AE180" i="39" s="1"/>
  <c r="Y175" i="39"/>
  <c r="Y176" i="39"/>
  <c r="Y168" i="39"/>
  <c r="Y178" i="39"/>
  <c r="Y173" i="39"/>
  <c r="Y166" i="39"/>
  <c r="Y169" i="39"/>
  <c r="Y165" i="39"/>
  <c r="Y170" i="39"/>
  <c r="Y167" i="39"/>
  <c r="Y164" i="39"/>
  <c r="Y177" i="39"/>
  <c r="AF163" i="39"/>
  <c r="AI157" i="39"/>
  <c r="AJ157" i="39" s="1"/>
  <c r="AI148" i="39"/>
  <c r="AJ148" i="39" s="1"/>
  <c r="AI147" i="39"/>
  <c r="AJ147" i="39" s="1"/>
  <c r="AI155" i="39"/>
  <c r="AJ155" i="39" s="1"/>
  <c r="AI158" i="39"/>
  <c r="AJ158" i="39" s="1"/>
  <c r="AI152" i="39"/>
  <c r="AJ152" i="39" s="1"/>
  <c r="AI159" i="39"/>
  <c r="AJ159" i="39" s="1"/>
  <c r="R21" i="22"/>
  <c r="Q21" i="22"/>
  <c r="N19" i="34"/>
  <c r="N18" i="34"/>
  <c r="M1" i="34"/>
  <c r="H7" i="22"/>
  <c r="CA7" i="39" l="1"/>
  <c r="CB7" i="39" s="1"/>
  <c r="CA8" i="39"/>
  <c r="CB8" i="39" s="1"/>
  <c r="AE171" i="39"/>
  <c r="AF171" i="39" s="1"/>
  <c r="AG171" i="39" s="1"/>
  <c r="AH171" i="39" s="1"/>
  <c r="AE177" i="39"/>
  <c r="AF177" i="39" s="1"/>
  <c r="AG177" i="39" s="1"/>
  <c r="AH177" i="39" s="1"/>
  <c r="AE170" i="39"/>
  <c r="AF170" i="39" s="1"/>
  <c r="AG170" i="39" s="1"/>
  <c r="AH170" i="39" s="1"/>
  <c r="AE165" i="39"/>
  <c r="AF165" i="39" s="1"/>
  <c r="AG165" i="39" s="1"/>
  <c r="AH165" i="39" s="1"/>
  <c r="AE174" i="39"/>
  <c r="AF174" i="39" s="1"/>
  <c r="AG174" i="39" s="1"/>
  <c r="AH174" i="39" s="1"/>
  <c r="AE178" i="39"/>
  <c r="AF178" i="39" s="1"/>
  <c r="AG178" i="39" s="1"/>
  <c r="AH178" i="39" s="1"/>
  <c r="AE179" i="39"/>
  <c r="AF179" i="39" s="1"/>
  <c r="AG179" i="39" s="1"/>
  <c r="AH179" i="39" s="1"/>
  <c r="AE164" i="39"/>
  <c r="AF164" i="39" s="1"/>
  <c r="AG164" i="39" s="1"/>
  <c r="AH164" i="39" s="1"/>
  <c r="AE168" i="39"/>
  <c r="AF168" i="39" s="1"/>
  <c r="AG168" i="39" s="1"/>
  <c r="AH168" i="39" s="1"/>
  <c r="AE172" i="39"/>
  <c r="AF172" i="39" s="1"/>
  <c r="AG172" i="39" s="1"/>
  <c r="AH172" i="39" s="1"/>
  <c r="AE167" i="39"/>
  <c r="AF167" i="39" s="1"/>
  <c r="AG167" i="39" s="1"/>
  <c r="AH167" i="39" s="1"/>
  <c r="AE176" i="39"/>
  <c r="AF176" i="39" s="1"/>
  <c r="AG176" i="39" s="1"/>
  <c r="AH176" i="39" s="1"/>
  <c r="AE169" i="39"/>
  <c r="AF169" i="39" s="1"/>
  <c r="AG169" i="39" s="1"/>
  <c r="AH169" i="39" s="1"/>
  <c r="AE166" i="39"/>
  <c r="AF166" i="39" s="1"/>
  <c r="AG166" i="39" s="1"/>
  <c r="AH166" i="39" s="1"/>
  <c r="AE173" i="39"/>
  <c r="AF173" i="39" s="1"/>
  <c r="AG173" i="39" s="1"/>
  <c r="AH173" i="39" s="1"/>
  <c r="AE175" i="39"/>
  <c r="AF175" i="39" s="1"/>
  <c r="AG175" i="39" s="1"/>
  <c r="AH175" i="39" s="1"/>
  <c r="B102" i="41"/>
  <c r="B103" i="41" s="1"/>
  <c r="B104" i="41" s="1"/>
  <c r="AO21" i="41"/>
  <c r="AK159" i="39"/>
  <c r="AL159" i="39" s="1"/>
  <c r="AM159" i="39" s="1"/>
  <c r="AK146" i="39"/>
  <c r="AL146" i="39" s="1"/>
  <c r="AM146" i="39" s="1"/>
  <c r="AK161" i="39"/>
  <c r="AL161" i="39" s="1"/>
  <c r="AM161" i="39" s="1"/>
  <c r="AK147" i="39"/>
  <c r="AL147" i="39" s="1"/>
  <c r="AM147" i="39" s="1"/>
  <c r="AK153" i="39"/>
  <c r="AL153" i="39" s="1"/>
  <c r="AM153" i="39" s="1"/>
  <c r="AK152" i="39"/>
  <c r="AL152" i="39" s="1"/>
  <c r="AM152" i="39" s="1"/>
  <c r="AK150" i="39"/>
  <c r="AL150" i="39" s="1"/>
  <c r="AM150" i="39" s="1"/>
  <c r="AK158" i="39"/>
  <c r="AL158" i="39" s="1"/>
  <c r="AM158" i="39" s="1"/>
  <c r="AK148" i="39"/>
  <c r="AL148" i="39" s="1"/>
  <c r="AM148" i="39" s="1"/>
  <c r="AK160" i="39"/>
  <c r="AL160" i="39" s="1"/>
  <c r="AM160" i="39" s="1"/>
  <c r="AK149" i="39"/>
  <c r="AL149" i="39" s="1"/>
  <c r="AM149" i="39" s="1"/>
  <c r="AK156" i="39"/>
  <c r="AL156" i="39" s="1"/>
  <c r="AM156" i="39" s="1"/>
  <c r="AK154" i="39"/>
  <c r="AL154" i="39" s="1"/>
  <c r="AM154" i="39" s="1"/>
  <c r="AK155" i="39"/>
  <c r="AL155" i="39" s="1"/>
  <c r="AM155" i="39" s="1"/>
  <c r="AK145" i="39"/>
  <c r="AL145" i="39" s="1"/>
  <c r="AM145" i="39" s="1"/>
  <c r="AK157" i="39"/>
  <c r="AL157" i="39" s="1"/>
  <c r="AM157" i="39" s="1"/>
  <c r="AK151" i="39"/>
  <c r="AL151" i="39" s="1"/>
  <c r="AM151" i="39" s="1"/>
  <c r="AI162" i="39"/>
  <c r="AJ162" i="39" s="1"/>
  <c r="Y181" i="39"/>
  <c r="AE181" i="39" s="1"/>
  <c r="AF180" i="39"/>
  <c r="AG163" i="39"/>
  <c r="AH163" i="39" s="1"/>
  <c r="S21" i="22"/>
  <c r="H28" i="22"/>
  <c r="CC7" i="39" l="1"/>
  <c r="CH7" i="39" s="1"/>
  <c r="CI7" i="39" s="1"/>
  <c r="CC8" i="39"/>
  <c r="B105" i="41"/>
  <c r="B106" i="41" s="1"/>
  <c r="AP21" i="41"/>
  <c r="AK162" i="39"/>
  <c r="AL162" i="39" s="1"/>
  <c r="AM162" i="39" s="1"/>
  <c r="AI163" i="39"/>
  <c r="AJ163" i="39" s="1"/>
  <c r="AI169" i="39"/>
  <c r="AJ169" i="39" s="1"/>
  <c r="AI177" i="39"/>
  <c r="AJ177" i="39" s="1"/>
  <c r="AI165" i="39"/>
  <c r="AJ165" i="39" s="1"/>
  <c r="AI175" i="39"/>
  <c r="AJ175" i="39" s="1"/>
  <c r="AI172" i="39"/>
  <c r="AJ172" i="39" s="1"/>
  <c r="AI168" i="39"/>
  <c r="AJ168" i="39" s="1"/>
  <c r="AI171" i="39"/>
  <c r="AJ171" i="39" s="1"/>
  <c r="AI176" i="39"/>
  <c r="AJ176" i="39" s="1"/>
  <c r="AI173" i="39"/>
  <c r="AJ173" i="39" s="1"/>
  <c r="AI178" i="39"/>
  <c r="AJ178" i="39" s="1"/>
  <c r="AI164" i="39"/>
  <c r="AJ164" i="39" s="1"/>
  <c r="AI170" i="39"/>
  <c r="AJ170" i="39" s="1"/>
  <c r="AI166" i="39"/>
  <c r="AJ166" i="39" s="1"/>
  <c r="AI167" i="39"/>
  <c r="AJ167" i="39" s="1"/>
  <c r="AI174" i="39"/>
  <c r="AJ174" i="39" s="1"/>
  <c r="AG180" i="39"/>
  <c r="AH180" i="39" s="1"/>
  <c r="AI179" i="39"/>
  <c r="AJ179" i="39" s="1"/>
  <c r="Y194" i="39"/>
  <c r="Y196" i="39"/>
  <c r="Y193" i="39"/>
  <c r="Y191" i="39"/>
  <c r="Y190" i="39"/>
  <c r="Y197" i="39"/>
  <c r="Y195" i="39"/>
  <c r="Y189" i="39"/>
  <c r="Y185" i="39"/>
  <c r="Y184" i="39"/>
  <c r="Y183" i="39"/>
  <c r="Y182" i="39"/>
  <c r="Y186" i="39"/>
  <c r="Y198" i="39"/>
  <c r="AE198" i="39" s="1"/>
  <c r="Y192" i="39"/>
  <c r="Y188" i="39"/>
  <c r="Y187" i="39"/>
  <c r="AF181" i="39"/>
  <c r="I28" i="22"/>
  <c r="L28" i="22" s="1"/>
  <c r="N28" i="22" s="1"/>
  <c r="H8" i="22"/>
  <c r="H9" i="22"/>
  <c r="H10" i="22"/>
  <c r="H11" i="22"/>
  <c r="H12" i="22"/>
  <c r="H13" i="22"/>
  <c r="H14" i="22"/>
  <c r="H15" i="22"/>
  <c r="H16" i="22"/>
  <c r="H17" i="22"/>
  <c r="H18" i="22"/>
  <c r="H20" i="22"/>
  <c r="H22" i="22"/>
  <c r="H23" i="22"/>
  <c r="H24" i="22"/>
  <c r="H25" i="22"/>
  <c r="H26" i="22"/>
  <c r="H27" i="22"/>
  <c r="H29" i="22"/>
  <c r="H30" i="22"/>
  <c r="H31" i="22"/>
  <c r="H32" i="22"/>
  <c r="H33" i="22"/>
  <c r="H34" i="22"/>
  <c r="H35" i="22"/>
  <c r="H36" i="22"/>
  <c r="H37" i="22"/>
  <c r="H38" i="22"/>
  <c r="H39" i="22"/>
  <c r="H40" i="22"/>
  <c r="H41" i="22"/>
  <c r="H42" i="22"/>
  <c r="H43" i="22"/>
  <c r="H44" i="22"/>
  <c r="H45" i="22"/>
  <c r="H46" i="22"/>
  <c r="H47" i="22"/>
  <c r="H48" i="22"/>
  <c r="H49" i="22"/>
  <c r="H50" i="22"/>
  <c r="H51" i="22"/>
  <c r="H52" i="22"/>
  <c r="H53" i="22"/>
  <c r="H54" i="22"/>
  <c r="H55" i="22"/>
  <c r="H56" i="22"/>
  <c r="H57" i="22"/>
  <c r="H58" i="22"/>
  <c r="H59" i="22"/>
  <c r="H60" i="22"/>
  <c r="H61" i="22"/>
  <c r="H62" i="22"/>
  <c r="H63" i="22"/>
  <c r="H64" i="22"/>
  <c r="H65" i="22"/>
  <c r="H66" i="22"/>
  <c r="H67" i="22"/>
  <c r="H68" i="22"/>
  <c r="H69" i="22"/>
  <c r="H70" i="22"/>
  <c r="H71" i="22"/>
  <c r="H72" i="22"/>
  <c r="H73" i="22"/>
  <c r="H74" i="22"/>
  <c r="H75" i="22"/>
  <c r="H76" i="22"/>
  <c r="H77" i="22"/>
  <c r="H78" i="22"/>
  <c r="H79" i="22"/>
  <c r="H80" i="22"/>
  <c r="H81" i="22"/>
  <c r="H82" i="22"/>
  <c r="H83" i="22"/>
  <c r="H84" i="22"/>
  <c r="H85" i="22"/>
  <c r="H86" i="22"/>
  <c r="H87" i="22"/>
  <c r="H88" i="22"/>
  <c r="H89" i="22"/>
  <c r="H90" i="22"/>
  <c r="H91" i="22"/>
  <c r="H92" i="22"/>
  <c r="H93" i="22"/>
  <c r="H94" i="22"/>
  <c r="H95" i="22"/>
  <c r="H96" i="22"/>
  <c r="H97" i="22"/>
  <c r="H98" i="22"/>
  <c r="H99" i="22"/>
  <c r="H100" i="22"/>
  <c r="H101" i="22"/>
  <c r="H102" i="22"/>
  <c r="H103" i="22"/>
  <c r="H104" i="22"/>
  <c r="H105" i="22"/>
  <c r="H106" i="22"/>
  <c r="H107" i="22"/>
  <c r="H108" i="22"/>
  <c r="H109" i="22"/>
  <c r="H110" i="22"/>
  <c r="H111" i="22"/>
  <c r="H112" i="22"/>
  <c r="H113" i="22"/>
  <c r="H114" i="22"/>
  <c r="H115" i="22"/>
  <c r="H116" i="22"/>
  <c r="H117" i="22"/>
  <c r="H118" i="22"/>
  <c r="H119" i="22"/>
  <c r="H120" i="22"/>
  <c r="H121" i="22"/>
  <c r="H122" i="22"/>
  <c r="H123" i="22"/>
  <c r="H124" i="22"/>
  <c r="H125" i="22"/>
  <c r="H126" i="22"/>
  <c r="H127" i="22"/>
  <c r="H128" i="22"/>
  <c r="H129" i="22"/>
  <c r="H130" i="22"/>
  <c r="H131" i="22"/>
  <c r="H132" i="22"/>
  <c r="H133" i="22"/>
  <c r="H134" i="22"/>
  <c r="H135" i="22"/>
  <c r="H136" i="22"/>
  <c r="H137" i="22"/>
  <c r="H138" i="22"/>
  <c r="H139" i="22"/>
  <c r="H140" i="22"/>
  <c r="H141" i="22"/>
  <c r="H142" i="22"/>
  <c r="H143" i="22"/>
  <c r="H144" i="22"/>
  <c r="H145" i="22"/>
  <c r="H146" i="22"/>
  <c r="H147" i="22"/>
  <c r="H148" i="22"/>
  <c r="H149" i="22"/>
  <c r="CJ7" i="39" l="1"/>
  <c r="CH8" i="39"/>
  <c r="CJ8" i="39"/>
  <c r="DE8" i="39"/>
  <c r="AE187" i="39"/>
  <c r="AF187" i="39" s="1"/>
  <c r="AG187" i="39" s="1"/>
  <c r="AH187" i="39" s="1"/>
  <c r="AE194" i="39"/>
  <c r="AF194" i="39" s="1"/>
  <c r="AG194" i="39" s="1"/>
  <c r="AH194" i="39" s="1"/>
  <c r="AE192" i="39"/>
  <c r="AF192" i="39" s="1"/>
  <c r="AG192" i="39" s="1"/>
  <c r="AH192" i="39" s="1"/>
  <c r="AE195" i="39"/>
  <c r="AF195" i="39" s="1"/>
  <c r="AG195" i="39" s="1"/>
  <c r="AH195" i="39" s="1"/>
  <c r="AE197" i="39"/>
  <c r="AF197" i="39" s="1"/>
  <c r="AG197" i="39" s="1"/>
  <c r="AH197" i="39" s="1"/>
  <c r="AE184" i="39"/>
  <c r="AF184" i="39" s="1"/>
  <c r="AG184" i="39" s="1"/>
  <c r="AH184" i="39" s="1"/>
  <c r="AE196" i="39"/>
  <c r="AF196" i="39" s="1"/>
  <c r="AG196" i="39" s="1"/>
  <c r="AH196" i="39" s="1"/>
  <c r="AE185" i="39"/>
  <c r="AF185" i="39" s="1"/>
  <c r="AG185" i="39" s="1"/>
  <c r="AH185" i="39" s="1"/>
  <c r="AE188" i="39"/>
  <c r="AF188" i="39" s="1"/>
  <c r="AG188" i="39" s="1"/>
  <c r="AH188" i="39" s="1"/>
  <c r="AE189" i="39"/>
  <c r="AF189" i="39" s="1"/>
  <c r="AG189" i="39" s="1"/>
  <c r="AH189" i="39" s="1"/>
  <c r="AE186" i="39"/>
  <c r="AF186" i="39" s="1"/>
  <c r="AG186" i="39" s="1"/>
  <c r="AH186" i="39" s="1"/>
  <c r="AE190" i="39"/>
  <c r="AF190" i="39" s="1"/>
  <c r="AG190" i="39" s="1"/>
  <c r="AH190" i="39" s="1"/>
  <c r="AE182" i="39"/>
  <c r="AF182" i="39" s="1"/>
  <c r="AG182" i="39" s="1"/>
  <c r="AH182" i="39" s="1"/>
  <c r="AE191" i="39"/>
  <c r="AF191" i="39" s="1"/>
  <c r="AG191" i="39" s="1"/>
  <c r="AH191" i="39" s="1"/>
  <c r="AE183" i="39"/>
  <c r="AF183" i="39" s="1"/>
  <c r="AG183" i="39" s="1"/>
  <c r="AH183" i="39" s="1"/>
  <c r="AE193" i="39"/>
  <c r="AF193" i="39" s="1"/>
  <c r="AG193" i="39" s="1"/>
  <c r="AH193" i="39" s="1"/>
  <c r="B107" i="41"/>
  <c r="B108" i="41" s="1"/>
  <c r="B109" i="41" s="1"/>
  <c r="B110" i="41" s="1"/>
  <c r="B111" i="41" s="1"/>
  <c r="AQ21" i="41"/>
  <c r="AK170" i="39"/>
  <c r="AL170" i="39" s="1"/>
  <c r="AM170" i="39" s="1"/>
  <c r="AK175" i="39"/>
  <c r="AL175" i="39" s="1"/>
  <c r="AM175" i="39" s="1"/>
  <c r="AK171" i="39"/>
  <c r="AL171" i="39" s="1"/>
  <c r="AM171" i="39" s="1"/>
  <c r="AK166" i="39"/>
  <c r="AL166" i="39" s="1"/>
  <c r="AM166" i="39" s="1"/>
  <c r="AK172" i="39"/>
  <c r="AL172" i="39" s="1"/>
  <c r="AM172" i="39" s="1"/>
  <c r="AK165" i="39"/>
  <c r="AL165" i="39" s="1"/>
  <c r="AM165" i="39" s="1"/>
  <c r="AK167" i="39"/>
  <c r="AL167" i="39" s="1"/>
  <c r="AM167" i="39" s="1"/>
  <c r="AK169" i="39"/>
  <c r="AL169" i="39" s="1"/>
  <c r="AM169" i="39" s="1"/>
  <c r="AK168" i="39"/>
  <c r="AL168" i="39" s="1"/>
  <c r="AM168" i="39" s="1"/>
  <c r="AK174" i="39"/>
  <c r="AL174" i="39" s="1"/>
  <c r="AM174" i="39" s="1"/>
  <c r="AK177" i="39"/>
  <c r="AL177" i="39" s="1"/>
  <c r="AM177" i="39" s="1"/>
  <c r="AK173" i="39"/>
  <c r="AL173" i="39" s="1"/>
  <c r="AM173" i="39" s="1"/>
  <c r="AK179" i="39"/>
  <c r="AL179" i="39" s="1"/>
  <c r="AM179" i="39" s="1"/>
  <c r="AK178" i="39"/>
  <c r="AL178" i="39" s="1"/>
  <c r="AM178" i="39" s="1"/>
  <c r="AK176" i="39"/>
  <c r="AL176" i="39" s="1"/>
  <c r="AM176" i="39" s="1"/>
  <c r="AK163" i="39"/>
  <c r="AL163" i="39" s="1"/>
  <c r="AM163" i="39" s="1"/>
  <c r="AK164" i="39"/>
  <c r="AL164" i="39" s="1"/>
  <c r="AM164" i="39" s="1"/>
  <c r="Y199" i="39"/>
  <c r="AE199" i="39" s="1"/>
  <c r="AF198" i="39"/>
  <c r="AG181" i="39"/>
  <c r="AH181" i="39" s="1"/>
  <c r="AI180" i="39"/>
  <c r="AJ180" i="39" s="1"/>
  <c r="Q28" i="22"/>
  <c r="R28" i="22"/>
  <c r="I149" i="22"/>
  <c r="L149" i="22" s="1"/>
  <c r="N149" i="22" s="1"/>
  <c r="I101" i="22"/>
  <c r="L101" i="22" s="1"/>
  <c r="N101" i="22" s="1"/>
  <c r="I12" i="22"/>
  <c r="L12" i="22" s="1"/>
  <c r="N12" i="22" s="1"/>
  <c r="I148" i="22"/>
  <c r="L148" i="22" s="1"/>
  <c r="N148" i="22" s="1"/>
  <c r="I140" i="22"/>
  <c r="L140" i="22" s="1"/>
  <c r="N140" i="22" s="1"/>
  <c r="I132" i="22"/>
  <c r="L132" i="22" s="1"/>
  <c r="N132" i="22" s="1"/>
  <c r="I124" i="22"/>
  <c r="L124" i="22" s="1"/>
  <c r="N124" i="22" s="1"/>
  <c r="I116" i="22"/>
  <c r="L116" i="22" s="1"/>
  <c r="N116" i="22" s="1"/>
  <c r="I108" i="22"/>
  <c r="L108" i="22" s="1"/>
  <c r="N108" i="22" s="1"/>
  <c r="I100" i="22"/>
  <c r="L100" i="22" s="1"/>
  <c r="N100" i="22" s="1"/>
  <c r="I92" i="22"/>
  <c r="L92" i="22" s="1"/>
  <c r="N92" i="22" s="1"/>
  <c r="I84" i="22"/>
  <c r="L84" i="22" s="1"/>
  <c r="N84" i="22" s="1"/>
  <c r="I76" i="22"/>
  <c r="L76" i="22" s="1"/>
  <c r="N76" i="22" s="1"/>
  <c r="I68" i="22"/>
  <c r="L68" i="22" s="1"/>
  <c r="N68" i="22" s="1"/>
  <c r="I60" i="22"/>
  <c r="L60" i="22" s="1"/>
  <c r="N60" i="22" s="1"/>
  <c r="I52" i="22"/>
  <c r="L52" i="22" s="1"/>
  <c r="N52" i="22" s="1"/>
  <c r="I44" i="22"/>
  <c r="L44" i="22" s="1"/>
  <c r="N44" i="22" s="1"/>
  <c r="I36" i="22"/>
  <c r="L36" i="22" s="1"/>
  <c r="N36" i="22" s="1"/>
  <c r="I27" i="22"/>
  <c r="L27" i="22" s="1"/>
  <c r="N27" i="22" s="1"/>
  <c r="I19" i="22"/>
  <c r="I11" i="22"/>
  <c r="L11" i="22" s="1"/>
  <c r="N11" i="22" s="1"/>
  <c r="I133" i="22"/>
  <c r="L133" i="22" s="1"/>
  <c r="N133" i="22" s="1"/>
  <c r="I69" i="22"/>
  <c r="L69" i="22" s="1"/>
  <c r="N69" i="22" s="1"/>
  <c r="I131" i="22"/>
  <c r="L131" i="22" s="1"/>
  <c r="N131" i="22" s="1"/>
  <c r="I83" i="22"/>
  <c r="L83" i="22" s="1"/>
  <c r="N83" i="22" s="1"/>
  <c r="I75" i="22"/>
  <c r="L75" i="22" s="1"/>
  <c r="N75" i="22" s="1"/>
  <c r="I67" i="22"/>
  <c r="L67" i="22" s="1"/>
  <c r="N67" i="22" s="1"/>
  <c r="I59" i="22"/>
  <c r="L59" i="22" s="1"/>
  <c r="N59" i="22" s="1"/>
  <c r="I51" i="22"/>
  <c r="L51" i="22" s="1"/>
  <c r="N51" i="22" s="1"/>
  <c r="I43" i="22"/>
  <c r="L43" i="22" s="1"/>
  <c r="N43" i="22" s="1"/>
  <c r="I35" i="22"/>
  <c r="L35" i="22" s="1"/>
  <c r="N35" i="22" s="1"/>
  <c r="I26" i="22"/>
  <c r="L26" i="22" s="1"/>
  <c r="N26" i="22" s="1"/>
  <c r="I18" i="22"/>
  <c r="L18" i="22" s="1"/>
  <c r="N18" i="22" s="1"/>
  <c r="I10" i="22"/>
  <c r="L10" i="22" s="1"/>
  <c r="N10" i="22" s="1"/>
  <c r="I77" i="22"/>
  <c r="L77" i="22" s="1"/>
  <c r="N77" i="22" s="1"/>
  <c r="I20" i="22"/>
  <c r="L20" i="22" s="1"/>
  <c r="N20" i="22" s="1"/>
  <c r="I123" i="22"/>
  <c r="L123" i="22" s="1"/>
  <c r="N123" i="22" s="1"/>
  <c r="I146" i="22"/>
  <c r="L146" i="22" s="1"/>
  <c r="N146" i="22" s="1"/>
  <c r="I138" i="22"/>
  <c r="L138" i="22" s="1"/>
  <c r="N138" i="22" s="1"/>
  <c r="I130" i="22"/>
  <c r="L130" i="22" s="1"/>
  <c r="N130" i="22" s="1"/>
  <c r="I122" i="22"/>
  <c r="L122" i="22" s="1"/>
  <c r="N122" i="22" s="1"/>
  <c r="I114" i="22"/>
  <c r="L114" i="22" s="1"/>
  <c r="N114" i="22" s="1"/>
  <c r="I106" i="22"/>
  <c r="L106" i="22" s="1"/>
  <c r="N106" i="22" s="1"/>
  <c r="I98" i="22"/>
  <c r="L98" i="22" s="1"/>
  <c r="N98" i="22" s="1"/>
  <c r="I90" i="22"/>
  <c r="L90" i="22" s="1"/>
  <c r="N90" i="22" s="1"/>
  <c r="I82" i="22"/>
  <c r="L82" i="22" s="1"/>
  <c r="N82" i="22" s="1"/>
  <c r="I74" i="22"/>
  <c r="L74" i="22" s="1"/>
  <c r="N74" i="22" s="1"/>
  <c r="I66" i="22"/>
  <c r="L66" i="22" s="1"/>
  <c r="N66" i="22" s="1"/>
  <c r="I58" i="22"/>
  <c r="L58" i="22" s="1"/>
  <c r="N58" i="22" s="1"/>
  <c r="I50" i="22"/>
  <c r="L50" i="22" s="1"/>
  <c r="N50" i="22" s="1"/>
  <c r="I42" i="22"/>
  <c r="L42" i="22" s="1"/>
  <c r="N42" i="22" s="1"/>
  <c r="I34" i="22"/>
  <c r="L34" i="22" s="1"/>
  <c r="N34" i="22" s="1"/>
  <c r="I25" i="22"/>
  <c r="L25" i="22" s="1"/>
  <c r="N25" i="22" s="1"/>
  <c r="I17" i="22"/>
  <c r="L17" i="22" s="1"/>
  <c r="N17" i="22" s="1"/>
  <c r="I9" i="22"/>
  <c r="L9" i="22" s="1"/>
  <c r="N9" i="22" s="1"/>
  <c r="I109" i="22"/>
  <c r="L109" i="22" s="1"/>
  <c r="N109" i="22" s="1"/>
  <c r="I37" i="22"/>
  <c r="L37" i="22" s="1"/>
  <c r="N37" i="22" s="1"/>
  <c r="I139" i="22"/>
  <c r="L139" i="22" s="1"/>
  <c r="N139" i="22" s="1"/>
  <c r="I115" i="22"/>
  <c r="L115" i="22" s="1"/>
  <c r="N115" i="22" s="1"/>
  <c r="I145" i="22"/>
  <c r="L145" i="22" s="1"/>
  <c r="N145" i="22" s="1"/>
  <c r="I137" i="22"/>
  <c r="L137" i="22" s="1"/>
  <c r="N137" i="22" s="1"/>
  <c r="I129" i="22"/>
  <c r="L129" i="22" s="1"/>
  <c r="N129" i="22" s="1"/>
  <c r="I121" i="22"/>
  <c r="L121" i="22" s="1"/>
  <c r="N121" i="22" s="1"/>
  <c r="I113" i="22"/>
  <c r="L113" i="22" s="1"/>
  <c r="N113" i="22" s="1"/>
  <c r="I105" i="22"/>
  <c r="L105" i="22" s="1"/>
  <c r="N105" i="22" s="1"/>
  <c r="I97" i="22"/>
  <c r="L97" i="22" s="1"/>
  <c r="N97" i="22" s="1"/>
  <c r="I89" i="22"/>
  <c r="L89" i="22" s="1"/>
  <c r="N89" i="22" s="1"/>
  <c r="I81" i="22"/>
  <c r="L81" i="22" s="1"/>
  <c r="N81" i="22" s="1"/>
  <c r="I73" i="22"/>
  <c r="L73" i="22" s="1"/>
  <c r="N73" i="22" s="1"/>
  <c r="I65" i="22"/>
  <c r="L65" i="22" s="1"/>
  <c r="N65" i="22" s="1"/>
  <c r="I57" i="22"/>
  <c r="L57" i="22" s="1"/>
  <c r="N57" i="22" s="1"/>
  <c r="I49" i="22"/>
  <c r="L49" i="22" s="1"/>
  <c r="N49" i="22" s="1"/>
  <c r="I41" i="22"/>
  <c r="L41" i="22" s="1"/>
  <c r="N41" i="22" s="1"/>
  <c r="I33" i="22"/>
  <c r="L33" i="22" s="1"/>
  <c r="N33" i="22" s="1"/>
  <c r="I24" i="22"/>
  <c r="L24" i="22" s="1"/>
  <c r="N24" i="22" s="1"/>
  <c r="I16" i="22"/>
  <c r="L16" i="22" s="1"/>
  <c r="N16" i="22" s="1"/>
  <c r="I8" i="22"/>
  <c r="L8" i="22" s="1"/>
  <c r="N8" i="22" s="1"/>
  <c r="I141" i="22"/>
  <c r="L141" i="22" s="1"/>
  <c r="N141" i="22" s="1"/>
  <c r="I93" i="22"/>
  <c r="L93" i="22" s="1"/>
  <c r="N93" i="22" s="1"/>
  <c r="I61" i="22"/>
  <c r="L61" i="22" s="1"/>
  <c r="N61" i="22" s="1"/>
  <c r="I45" i="22"/>
  <c r="L45" i="22" s="1"/>
  <c r="N45" i="22" s="1"/>
  <c r="I147" i="22"/>
  <c r="L147" i="22" s="1"/>
  <c r="N147" i="22" s="1"/>
  <c r="I107" i="22"/>
  <c r="L107" i="22" s="1"/>
  <c r="N107" i="22" s="1"/>
  <c r="I144" i="22"/>
  <c r="L144" i="22" s="1"/>
  <c r="N144" i="22" s="1"/>
  <c r="I136" i="22"/>
  <c r="L136" i="22" s="1"/>
  <c r="N136" i="22" s="1"/>
  <c r="I128" i="22"/>
  <c r="L128" i="22" s="1"/>
  <c r="N128" i="22" s="1"/>
  <c r="I120" i="22"/>
  <c r="L120" i="22" s="1"/>
  <c r="N120" i="22" s="1"/>
  <c r="I112" i="22"/>
  <c r="L112" i="22" s="1"/>
  <c r="N112" i="22" s="1"/>
  <c r="I104" i="22"/>
  <c r="L104" i="22" s="1"/>
  <c r="N104" i="22" s="1"/>
  <c r="I96" i="22"/>
  <c r="L96" i="22" s="1"/>
  <c r="N96" i="22" s="1"/>
  <c r="I88" i="22"/>
  <c r="L88" i="22" s="1"/>
  <c r="N88" i="22" s="1"/>
  <c r="I80" i="22"/>
  <c r="L80" i="22" s="1"/>
  <c r="N80" i="22" s="1"/>
  <c r="I72" i="22"/>
  <c r="L72" i="22" s="1"/>
  <c r="N72" i="22" s="1"/>
  <c r="I64" i="22"/>
  <c r="L64" i="22" s="1"/>
  <c r="N64" i="22" s="1"/>
  <c r="I56" i="22"/>
  <c r="L56" i="22" s="1"/>
  <c r="N56" i="22" s="1"/>
  <c r="I48" i="22"/>
  <c r="L48" i="22" s="1"/>
  <c r="N48" i="22" s="1"/>
  <c r="I40" i="22"/>
  <c r="L40" i="22" s="1"/>
  <c r="N40" i="22" s="1"/>
  <c r="I32" i="22"/>
  <c r="L32" i="22" s="1"/>
  <c r="N32" i="22" s="1"/>
  <c r="I23" i="22"/>
  <c r="L23" i="22" s="1"/>
  <c r="N23" i="22" s="1"/>
  <c r="I15" i="22"/>
  <c r="L15" i="22" s="1"/>
  <c r="N15" i="22" s="1"/>
  <c r="I125" i="22"/>
  <c r="L125" i="22" s="1"/>
  <c r="N125" i="22" s="1"/>
  <c r="I29" i="22"/>
  <c r="L29" i="22" s="1"/>
  <c r="N29" i="22" s="1"/>
  <c r="I99" i="22"/>
  <c r="L99" i="22" s="1"/>
  <c r="N99" i="22" s="1"/>
  <c r="I143" i="22"/>
  <c r="L143" i="22" s="1"/>
  <c r="N143" i="22" s="1"/>
  <c r="I135" i="22"/>
  <c r="L135" i="22" s="1"/>
  <c r="N135" i="22" s="1"/>
  <c r="I127" i="22"/>
  <c r="L127" i="22" s="1"/>
  <c r="N127" i="22" s="1"/>
  <c r="I119" i="22"/>
  <c r="L119" i="22" s="1"/>
  <c r="N119" i="22" s="1"/>
  <c r="I111" i="22"/>
  <c r="L111" i="22" s="1"/>
  <c r="N111" i="22" s="1"/>
  <c r="I103" i="22"/>
  <c r="L103" i="22" s="1"/>
  <c r="N103" i="22" s="1"/>
  <c r="I95" i="22"/>
  <c r="L95" i="22" s="1"/>
  <c r="N95" i="22" s="1"/>
  <c r="I87" i="22"/>
  <c r="L87" i="22" s="1"/>
  <c r="N87" i="22" s="1"/>
  <c r="I79" i="22"/>
  <c r="L79" i="22" s="1"/>
  <c r="N79" i="22" s="1"/>
  <c r="I71" i="22"/>
  <c r="L71" i="22" s="1"/>
  <c r="N71" i="22" s="1"/>
  <c r="I63" i="22"/>
  <c r="L63" i="22" s="1"/>
  <c r="N63" i="22" s="1"/>
  <c r="I55" i="22"/>
  <c r="L55" i="22" s="1"/>
  <c r="N55" i="22" s="1"/>
  <c r="I47" i="22"/>
  <c r="L47" i="22" s="1"/>
  <c r="N47" i="22" s="1"/>
  <c r="I39" i="22"/>
  <c r="L39" i="22" s="1"/>
  <c r="N39" i="22" s="1"/>
  <c r="I31" i="22"/>
  <c r="L31" i="22" s="1"/>
  <c r="N31" i="22" s="1"/>
  <c r="I22" i="22"/>
  <c r="L22" i="22" s="1"/>
  <c r="N22" i="22" s="1"/>
  <c r="I14" i="22"/>
  <c r="L14" i="22" s="1"/>
  <c r="N14" i="22" s="1"/>
  <c r="I7" i="22"/>
  <c r="I117" i="22"/>
  <c r="L117" i="22" s="1"/>
  <c r="N117" i="22" s="1"/>
  <c r="I85" i="22"/>
  <c r="L85" i="22" s="1"/>
  <c r="N85" i="22" s="1"/>
  <c r="I53" i="22"/>
  <c r="L53" i="22" s="1"/>
  <c r="N53" i="22" s="1"/>
  <c r="I91" i="22"/>
  <c r="L91" i="22" s="1"/>
  <c r="N91" i="22" s="1"/>
  <c r="I142" i="22"/>
  <c r="L142" i="22" s="1"/>
  <c r="N142" i="22" s="1"/>
  <c r="I134" i="22"/>
  <c r="L134" i="22" s="1"/>
  <c r="N134" i="22" s="1"/>
  <c r="I126" i="22"/>
  <c r="L126" i="22" s="1"/>
  <c r="N126" i="22" s="1"/>
  <c r="I118" i="22"/>
  <c r="L118" i="22" s="1"/>
  <c r="N118" i="22" s="1"/>
  <c r="I110" i="22"/>
  <c r="L110" i="22" s="1"/>
  <c r="N110" i="22" s="1"/>
  <c r="I102" i="22"/>
  <c r="L102" i="22" s="1"/>
  <c r="N102" i="22" s="1"/>
  <c r="I94" i="22"/>
  <c r="L94" i="22" s="1"/>
  <c r="N94" i="22" s="1"/>
  <c r="I86" i="22"/>
  <c r="L86" i="22" s="1"/>
  <c r="N86" i="22" s="1"/>
  <c r="I78" i="22"/>
  <c r="L78" i="22" s="1"/>
  <c r="I70" i="22"/>
  <c r="L70" i="22" s="1"/>
  <c r="N70" i="22" s="1"/>
  <c r="I62" i="22"/>
  <c r="L62" i="22" s="1"/>
  <c r="N62" i="22" s="1"/>
  <c r="I54" i="22"/>
  <c r="L54" i="22" s="1"/>
  <c r="N54" i="22" s="1"/>
  <c r="I46" i="22"/>
  <c r="L46" i="22" s="1"/>
  <c r="N46" i="22" s="1"/>
  <c r="I38" i="22"/>
  <c r="L38" i="22" s="1"/>
  <c r="N38" i="22" s="1"/>
  <c r="I30" i="22"/>
  <c r="L30" i="22" s="1"/>
  <c r="N30" i="22" s="1"/>
  <c r="I13" i="22"/>
  <c r="L13" i="22" s="1"/>
  <c r="N13" i="22" s="1"/>
  <c r="HR7" i="39" l="1"/>
  <c r="CI8" i="39"/>
  <c r="HR8" i="39"/>
  <c r="B112" i="41"/>
  <c r="B113" i="41" s="1"/>
  <c r="L7" i="22"/>
  <c r="N7" i="22" s="1"/>
  <c r="AR21" i="41"/>
  <c r="AK180" i="39"/>
  <c r="AL180" i="39" s="1"/>
  <c r="AM180" i="39" s="1"/>
  <c r="AI194" i="39"/>
  <c r="AJ194" i="39" s="1"/>
  <c r="AI190" i="39"/>
  <c r="AJ190" i="39" s="1"/>
  <c r="AI196" i="39"/>
  <c r="AJ196" i="39" s="1"/>
  <c r="AI195" i="39"/>
  <c r="AJ195" i="39" s="1"/>
  <c r="AI183" i="39"/>
  <c r="AJ183" i="39" s="1"/>
  <c r="AI184" i="39"/>
  <c r="AJ184" i="39" s="1"/>
  <c r="AI181" i="39"/>
  <c r="AJ181" i="39" s="1"/>
  <c r="AI182" i="39"/>
  <c r="AJ182" i="39" s="1"/>
  <c r="AI189" i="39"/>
  <c r="AJ189" i="39" s="1"/>
  <c r="AI192" i="39"/>
  <c r="AJ192" i="39" s="1"/>
  <c r="AI197" i="39"/>
  <c r="AJ197" i="39" s="1"/>
  <c r="AI188" i="39"/>
  <c r="AJ188" i="39" s="1"/>
  <c r="AI193" i="39"/>
  <c r="AJ193" i="39" s="1"/>
  <c r="AI186" i="39"/>
  <c r="AJ186" i="39" s="1"/>
  <c r="AI191" i="39"/>
  <c r="AJ191" i="39" s="1"/>
  <c r="AG198" i="39"/>
  <c r="AH198" i="39" s="1"/>
  <c r="AI185" i="39"/>
  <c r="AJ185" i="39" s="1"/>
  <c r="Y215" i="39"/>
  <c r="Y211" i="39"/>
  <c r="Y207" i="39"/>
  <c r="Y216" i="39"/>
  <c r="AE216" i="39" s="1"/>
  <c r="Y212" i="39"/>
  <c r="Y208" i="39"/>
  <c r="Y203" i="39"/>
  <c r="Y204" i="39"/>
  <c r="Y214" i="39"/>
  <c r="Y210" i="39"/>
  <c r="Y209" i="39"/>
  <c r="Y201" i="39"/>
  <c r="Y213" i="39"/>
  <c r="Y202" i="39"/>
  <c r="Y200" i="39"/>
  <c r="Y206" i="39"/>
  <c r="Y205" i="39"/>
  <c r="AF199" i="39"/>
  <c r="AI187" i="39"/>
  <c r="AJ187" i="39" s="1"/>
  <c r="L19" i="22"/>
  <c r="R19" i="22" s="1"/>
  <c r="R78" i="22"/>
  <c r="Q78" i="22"/>
  <c r="N78" i="22"/>
  <c r="S28" i="22"/>
  <c r="R7" i="22"/>
  <c r="Q22" i="22"/>
  <c r="R22" i="22"/>
  <c r="R93" i="22"/>
  <c r="Q93" i="22"/>
  <c r="Q74" i="22"/>
  <c r="R74" i="22"/>
  <c r="Q60" i="22"/>
  <c r="R60" i="22"/>
  <c r="Q128" i="22"/>
  <c r="R128" i="22"/>
  <c r="Q82" i="22"/>
  <c r="R82" i="22"/>
  <c r="Q133" i="22"/>
  <c r="R133" i="22"/>
  <c r="Q47" i="22"/>
  <c r="R47" i="22"/>
  <c r="Q87" i="22"/>
  <c r="R87" i="22"/>
  <c r="Q120" i="22"/>
  <c r="R120" i="22"/>
  <c r="Q121" i="22"/>
  <c r="R121" i="22"/>
  <c r="Q35" i="22"/>
  <c r="R35" i="22"/>
  <c r="Q31" i="22"/>
  <c r="R31" i="22"/>
  <c r="Q64" i="22"/>
  <c r="R64" i="22"/>
  <c r="Q129" i="22"/>
  <c r="R129" i="22"/>
  <c r="Q146" i="22"/>
  <c r="R146" i="22"/>
  <c r="Q68" i="22"/>
  <c r="R68" i="22"/>
  <c r="Q39" i="22"/>
  <c r="R39" i="22"/>
  <c r="Q125" i="22"/>
  <c r="R125" i="22"/>
  <c r="Q136" i="22"/>
  <c r="R136" i="22"/>
  <c r="R25" i="22"/>
  <c r="Q25" i="22"/>
  <c r="Q51" i="22"/>
  <c r="R51" i="22"/>
  <c r="Q80" i="22"/>
  <c r="R80" i="22"/>
  <c r="R81" i="22"/>
  <c r="Q81" i="22"/>
  <c r="Q38" i="22"/>
  <c r="R38" i="22"/>
  <c r="Q115" i="22"/>
  <c r="R115" i="22"/>
  <c r="Q106" i="22"/>
  <c r="R106" i="22"/>
  <c r="Q67" i="22"/>
  <c r="R67" i="22"/>
  <c r="Q92" i="22"/>
  <c r="R92" i="22"/>
  <c r="Q15" i="22"/>
  <c r="R15" i="22"/>
  <c r="Q16" i="22"/>
  <c r="R16" i="22"/>
  <c r="Q148" i="22"/>
  <c r="R148" i="22"/>
  <c r="Q102" i="22"/>
  <c r="R102" i="22"/>
  <c r="Q107" i="22"/>
  <c r="R107" i="22"/>
  <c r="Q42" i="22"/>
  <c r="R42" i="22"/>
  <c r="R77" i="22"/>
  <c r="Q77" i="22"/>
  <c r="Q27" i="22"/>
  <c r="R27" i="22"/>
  <c r="Q63" i="22"/>
  <c r="R63" i="22"/>
  <c r="Q127" i="22"/>
  <c r="R127" i="22"/>
  <c r="Q32" i="22"/>
  <c r="R32" i="22"/>
  <c r="Q96" i="22"/>
  <c r="R96" i="22"/>
  <c r="Q139" i="22"/>
  <c r="R139" i="22"/>
  <c r="Q100" i="22"/>
  <c r="R100" i="22"/>
  <c r="Q70" i="22"/>
  <c r="R70" i="22"/>
  <c r="Q99" i="22"/>
  <c r="R99" i="22"/>
  <c r="R57" i="22"/>
  <c r="Q57" i="22"/>
  <c r="Q138" i="22"/>
  <c r="R138" i="22"/>
  <c r="Q124" i="22"/>
  <c r="R124" i="22"/>
  <c r="Q95" i="22"/>
  <c r="R95" i="22"/>
  <c r="Q141" i="22"/>
  <c r="R141" i="22"/>
  <c r="R17" i="22"/>
  <c r="Q17" i="22"/>
  <c r="Q132" i="22"/>
  <c r="R132" i="22"/>
  <c r="Q103" i="22"/>
  <c r="R103" i="22"/>
  <c r="Q72" i="22"/>
  <c r="R72" i="22"/>
  <c r="Q137" i="22"/>
  <c r="R137" i="22"/>
  <c r="Q90" i="22"/>
  <c r="R90" i="22"/>
  <c r="Q123" i="22"/>
  <c r="R123" i="22"/>
  <c r="Q111" i="22"/>
  <c r="R111" i="22"/>
  <c r="Q144" i="22"/>
  <c r="R144" i="22"/>
  <c r="Q54" i="22"/>
  <c r="R54" i="22"/>
  <c r="Q118" i="22"/>
  <c r="R118" i="22"/>
  <c r="Q71" i="22"/>
  <c r="R71" i="22"/>
  <c r="Q135" i="22"/>
  <c r="R135" i="22"/>
  <c r="Q40" i="22"/>
  <c r="R40" i="22"/>
  <c r="Q104" i="22"/>
  <c r="R104" i="22"/>
  <c r="R45" i="22"/>
  <c r="Q45" i="22"/>
  <c r="R41" i="22"/>
  <c r="Q41" i="22"/>
  <c r="Q105" i="22"/>
  <c r="R105" i="22"/>
  <c r="R37" i="22"/>
  <c r="Q37" i="22"/>
  <c r="Q58" i="22"/>
  <c r="R58" i="22"/>
  <c r="Q122" i="22"/>
  <c r="R122" i="22"/>
  <c r="Q18" i="22"/>
  <c r="R18" i="22"/>
  <c r="Q83" i="22"/>
  <c r="R83" i="22"/>
  <c r="Q44" i="22"/>
  <c r="R44" i="22"/>
  <c r="Q108" i="22"/>
  <c r="R108" i="22"/>
  <c r="Q149" i="22"/>
  <c r="R149" i="22"/>
  <c r="Q134" i="22"/>
  <c r="R134" i="22"/>
  <c r="Q56" i="22"/>
  <c r="R56" i="22"/>
  <c r="R9" i="22"/>
  <c r="Q9" i="22"/>
  <c r="R69" i="22"/>
  <c r="Q69" i="22"/>
  <c r="R29" i="22"/>
  <c r="Q29" i="22"/>
  <c r="R65" i="22"/>
  <c r="Q65" i="22"/>
  <c r="Q43" i="22"/>
  <c r="R43" i="22"/>
  <c r="Q14" i="22"/>
  <c r="R14" i="22"/>
  <c r="Q79" i="22"/>
  <c r="R79" i="22"/>
  <c r="Q143" i="22"/>
  <c r="R143" i="22"/>
  <c r="Q48" i="22"/>
  <c r="R48" i="22"/>
  <c r="Q112" i="22"/>
  <c r="R112" i="22"/>
  <c r="R49" i="22"/>
  <c r="Q49" i="22"/>
  <c r="R113" i="22"/>
  <c r="Q113" i="22"/>
  <c r="Q109" i="22"/>
  <c r="R109" i="22"/>
  <c r="Q66" i="22"/>
  <c r="R66" i="22"/>
  <c r="Q130" i="22"/>
  <c r="R130" i="22"/>
  <c r="Q131" i="22"/>
  <c r="R131" i="22"/>
  <c r="Q119" i="22"/>
  <c r="R119" i="22"/>
  <c r="R13" i="22"/>
  <c r="Q13" i="22"/>
  <c r="Q142" i="22"/>
  <c r="R142" i="22"/>
  <c r="Q24" i="22"/>
  <c r="R24" i="22"/>
  <c r="R89" i="22"/>
  <c r="Q89" i="22"/>
  <c r="Q114" i="22"/>
  <c r="R114" i="22"/>
  <c r="Q140" i="22"/>
  <c r="R140" i="22"/>
  <c r="Q52" i="22"/>
  <c r="R52" i="22"/>
  <c r="Q86" i="22"/>
  <c r="R86" i="22"/>
  <c r="R33" i="22"/>
  <c r="Q33" i="22"/>
  <c r="Q12" i="22"/>
  <c r="R12" i="22"/>
  <c r="R101" i="22"/>
  <c r="Q101" i="22"/>
  <c r="Q76" i="22"/>
  <c r="R76" i="22"/>
  <c r="Q30" i="22"/>
  <c r="R30" i="22"/>
  <c r="Q94" i="22"/>
  <c r="R94" i="22"/>
  <c r="R97" i="22"/>
  <c r="Q97" i="22"/>
  <c r="Q20" i="22"/>
  <c r="R20" i="22"/>
  <c r="Q117" i="22"/>
  <c r="R117" i="22"/>
  <c r="Q126" i="22"/>
  <c r="R126" i="22"/>
  <c r="Q50" i="22"/>
  <c r="R50" i="22"/>
  <c r="Q36" i="22"/>
  <c r="R36" i="22"/>
  <c r="Q26" i="22"/>
  <c r="R26" i="22"/>
  <c r="Q91" i="22"/>
  <c r="R91" i="22"/>
  <c r="R85" i="22"/>
  <c r="Q85" i="22"/>
  <c r="Q46" i="22"/>
  <c r="R46" i="22"/>
  <c r="Q110" i="22"/>
  <c r="R110" i="22"/>
  <c r="R145" i="22"/>
  <c r="Q145" i="22"/>
  <c r="Q84" i="22"/>
  <c r="R84" i="22"/>
  <c r="Q59" i="22"/>
  <c r="R59" i="22"/>
  <c r="Q62" i="22"/>
  <c r="R62" i="22"/>
  <c r="Q55" i="22"/>
  <c r="R55" i="22"/>
  <c r="Q23" i="22"/>
  <c r="R23" i="22"/>
  <c r="Q88" i="22"/>
  <c r="R88" i="22"/>
  <c r="Q8" i="22"/>
  <c r="R8" i="22"/>
  <c r="R73" i="22"/>
  <c r="Q73" i="22"/>
  <c r="Q34" i="22"/>
  <c r="R34" i="22"/>
  <c r="Q98" i="22"/>
  <c r="R98" i="22"/>
  <c r="Q11" i="22"/>
  <c r="R11" i="22"/>
  <c r="Q116" i="22"/>
  <c r="R116" i="22"/>
  <c r="R61" i="22"/>
  <c r="Q61" i="22"/>
  <c r="Q10" i="22"/>
  <c r="R10" i="22"/>
  <c r="Q75" i="22"/>
  <c r="R75" i="22"/>
  <c r="Q147" i="22"/>
  <c r="R147" i="22"/>
  <c r="R53" i="22"/>
  <c r="Q53" i="22"/>
  <c r="G62" i="10"/>
  <c r="G60" i="10"/>
  <c r="G58" i="10"/>
  <c r="G56" i="10"/>
  <c r="G54" i="10"/>
  <c r="G52" i="10"/>
  <c r="D62" i="10"/>
  <c r="D60" i="10"/>
  <c r="D58" i="10"/>
  <c r="D56" i="10"/>
  <c r="D54" i="10"/>
  <c r="D52" i="10"/>
  <c r="B62" i="10"/>
  <c r="B60" i="10"/>
  <c r="B58" i="10"/>
  <c r="B56" i="10"/>
  <c r="B54" i="10"/>
  <c r="B52" i="10"/>
  <c r="CK7" i="39" l="1"/>
  <c r="CL7" i="39"/>
  <c r="AE214" i="39"/>
  <c r="AF214" i="39" s="1"/>
  <c r="AG214" i="39" s="1"/>
  <c r="AH214" i="39" s="1"/>
  <c r="AE206" i="39"/>
  <c r="AF206" i="39" s="1"/>
  <c r="AG206" i="39" s="1"/>
  <c r="AH206" i="39" s="1"/>
  <c r="AE204" i="39"/>
  <c r="AF204" i="39" s="1"/>
  <c r="AG204" i="39" s="1"/>
  <c r="AH204" i="39" s="1"/>
  <c r="AE200" i="39"/>
  <c r="AF200" i="39" s="1"/>
  <c r="AG200" i="39" s="1"/>
  <c r="AH200" i="39" s="1"/>
  <c r="AE203" i="39"/>
  <c r="AF203" i="39" s="1"/>
  <c r="AG203" i="39" s="1"/>
  <c r="AH203" i="39" s="1"/>
  <c r="AE201" i="39"/>
  <c r="AF201" i="39" s="1"/>
  <c r="AG201" i="39" s="1"/>
  <c r="AH201" i="39" s="1"/>
  <c r="AE209" i="39"/>
  <c r="AF209" i="39" s="1"/>
  <c r="AG209" i="39" s="1"/>
  <c r="AH209" i="39" s="1"/>
  <c r="AE207" i="39"/>
  <c r="AF207" i="39" s="1"/>
  <c r="AG207" i="39" s="1"/>
  <c r="AH207" i="39" s="1"/>
  <c r="AE210" i="39"/>
  <c r="AF210" i="39" s="1"/>
  <c r="AG210" i="39" s="1"/>
  <c r="AH210" i="39" s="1"/>
  <c r="AE211" i="39"/>
  <c r="AF211" i="39" s="1"/>
  <c r="AG211" i="39" s="1"/>
  <c r="AH211" i="39" s="1"/>
  <c r="AE205" i="39"/>
  <c r="AF205" i="39" s="1"/>
  <c r="AG205" i="39" s="1"/>
  <c r="AH205" i="39" s="1"/>
  <c r="AE215" i="39"/>
  <c r="AF215" i="39" s="1"/>
  <c r="AG215" i="39" s="1"/>
  <c r="AH215" i="39" s="1"/>
  <c r="AE202" i="39"/>
  <c r="AF202" i="39" s="1"/>
  <c r="AG202" i="39" s="1"/>
  <c r="AH202" i="39" s="1"/>
  <c r="AE208" i="39"/>
  <c r="AF208" i="39" s="1"/>
  <c r="AG208" i="39" s="1"/>
  <c r="AH208" i="39" s="1"/>
  <c r="AE213" i="39"/>
  <c r="AF213" i="39" s="1"/>
  <c r="AG213" i="39" s="1"/>
  <c r="AH213" i="39" s="1"/>
  <c r="AE212" i="39"/>
  <c r="AF212" i="39" s="1"/>
  <c r="AG212" i="39" s="1"/>
  <c r="AH212" i="39" s="1"/>
  <c r="B114" i="41"/>
  <c r="B115" i="41" s="1"/>
  <c r="B116" i="41" s="1"/>
  <c r="Q7" i="22"/>
  <c r="AS21" i="41"/>
  <c r="AK187" i="39"/>
  <c r="AL187" i="39" s="1"/>
  <c r="AM187" i="39" s="1"/>
  <c r="AK189" i="39"/>
  <c r="AL189" i="39" s="1"/>
  <c r="AM189" i="39" s="1"/>
  <c r="AK194" i="39"/>
  <c r="AL194" i="39" s="1"/>
  <c r="AM194" i="39" s="1"/>
  <c r="AK182" i="39"/>
  <c r="AL182" i="39" s="1"/>
  <c r="AM182" i="39" s="1"/>
  <c r="AK190" i="39"/>
  <c r="AL190" i="39" s="1"/>
  <c r="AM190" i="39" s="1"/>
  <c r="AK197" i="39"/>
  <c r="AL197" i="39" s="1"/>
  <c r="AM197" i="39" s="1"/>
  <c r="AK181" i="39"/>
  <c r="AL181" i="39" s="1"/>
  <c r="AM181" i="39" s="1"/>
  <c r="AK191" i="39"/>
  <c r="AL191" i="39" s="1"/>
  <c r="AM191" i="39" s="1"/>
  <c r="AK188" i="39"/>
  <c r="AL188" i="39" s="1"/>
  <c r="AM188" i="39" s="1"/>
  <c r="AK184" i="39"/>
  <c r="AL184" i="39" s="1"/>
  <c r="AM184" i="39" s="1"/>
  <c r="AK183" i="39"/>
  <c r="AL183" i="39" s="1"/>
  <c r="AM183" i="39" s="1"/>
  <c r="AK185" i="39"/>
  <c r="AL185" i="39" s="1"/>
  <c r="AM185" i="39" s="1"/>
  <c r="AK186" i="39"/>
  <c r="AL186" i="39" s="1"/>
  <c r="AM186" i="39" s="1"/>
  <c r="AK192" i="39"/>
  <c r="AL192" i="39" s="1"/>
  <c r="AM192" i="39" s="1"/>
  <c r="AK195" i="39"/>
  <c r="AL195" i="39" s="1"/>
  <c r="AM195" i="39" s="1"/>
  <c r="AK193" i="39"/>
  <c r="AL193" i="39" s="1"/>
  <c r="AM193" i="39" s="1"/>
  <c r="AK196" i="39"/>
  <c r="AL196" i="39" s="1"/>
  <c r="AM196" i="39" s="1"/>
  <c r="AI198" i="39"/>
  <c r="AJ198" i="39" s="1"/>
  <c r="Y217" i="39"/>
  <c r="AG199" i="39"/>
  <c r="AH199" i="39" s="1"/>
  <c r="S93" i="22"/>
  <c r="N19" i="22"/>
  <c r="Q19" i="22"/>
  <c r="S106" i="22"/>
  <c r="S85" i="22"/>
  <c r="S97" i="22"/>
  <c r="S113" i="22"/>
  <c r="S139" i="22"/>
  <c r="S141" i="22"/>
  <c r="S147" i="22"/>
  <c r="S91" i="22"/>
  <c r="S126" i="22"/>
  <c r="S134" i="22"/>
  <c r="S104" i="22"/>
  <c r="S118" i="22"/>
  <c r="S123" i="22"/>
  <c r="S103" i="22"/>
  <c r="S95" i="22"/>
  <c r="S99" i="22"/>
  <c r="S96" i="22"/>
  <c r="S25" i="22"/>
  <c r="S31" i="22"/>
  <c r="S78" i="22"/>
  <c r="S81" i="22"/>
  <c r="S98" i="22"/>
  <c r="S88" i="22"/>
  <c r="S86" i="22"/>
  <c r="S119" i="22"/>
  <c r="S109" i="22"/>
  <c r="S108" i="22"/>
  <c r="S135" i="22"/>
  <c r="S100" i="22"/>
  <c r="S75" i="22"/>
  <c r="S11" i="22"/>
  <c r="S8" i="22"/>
  <c r="S62" i="22"/>
  <c r="S110" i="22"/>
  <c r="S26" i="22"/>
  <c r="S117" i="22"/>
  <c r="S30" i="22"/>
  <c r="S114" i="22"/>
  <c r="S66" i="22"/>
  <c r="S112" i="22"/>
  <c r="S14" i="22"/>
  <c r="S149" i="22"/>
  <c r="S18" i="22"/>
  <c r="S105" i="22"/>
  <c r="S40" i="22"/>
  <c r="S54" i="22"/>
  <c r="S90" i="22"/>
  <c r="S132" i="22"/>
  <c r="S124" i="22"/>
  <c r="S70" i="22"/>
  <c r="S148" i="22"/>
  <c r="S32" i="22"/>
  <c r="S133" i="22"/>
  <c r="S61" i="22"/>
  <c r="S34" i="22"/>
  <c r="S23" i="22"/>
  <c r="S84" i="22"/>
  <c r="S50" i="22"/>
  <c r="S52" i="22"/>
  <c r="S131" i="22"/>
  <c r="S143" i="22"/>
  <c r="S111" i="22"/>
  <c r="S107" i="22"/>
  <c r="S73" i="22"/>
  <c r="S49" i="22"/>
  <c r="S29" i="22"/>
  <c r="S37" i="22"/>
  <c r="S101" i="22"/>
  <c r="S65" i="22"/>
  <c r="S45" i="22"/>
  <c r="S57" i="22"/>
  <c r="S80" i="22"/>
  <c r="S125" i="22"/>
  <c r="S129" i="22"/>
  <c r="S121" i="22"/>
  <c r="S74" i="22"/>
  <c r="S145" i="22"/>
  <c r="S15" i="22"/>
  <c r="S115" i="22"/>
  <c r="S51" i="22"/>
  <c r="S39" i="22"/>
  <c r="S64" i="22"/>
  <c r="S120" i="22"/>
  <c r="S82" i="22"/>
  <c r="S116" i="22"/>
  <c r="S94" i="22"/>
  <c r="S140" i="22"/>
  <c r="S142" i="22"/>
  <c r="S130" i="22"/>
  <c r="S79" i="22"/>
  <c r="S83" i="22"/>
  <c r="S27" i="22"/>
  <c r="S102" i="22"/>
  <c r="S33" i="22"/>
  <c r="S13" i="22"/>
  <c r="S69" i="22"/>
  <c r="S92" i="22"/>
  <c r="S87" i="22"/>
  <c r="S128" i="22"/>
  <c r="S89" i="22"/>
  <c r="S9" i="22"/>
  <c r="S122" i="22"/>
  <c r="S144" i="22"/>
  <c r="S137" i="22"/>
  <c r="S17" i="22"/>
  <c r="S138" i="22"/>
  <c r="S127" i="22"/>
  <c r="S67" i="22"/>
  <c r="S136" i="22"/>
  <c r="S146" i="22"/>
  <c r="S35" i="22"/>
  <c r="S47" i="22"/>
  <c r="S60" i="22"/>
  <c r="S55" i="22"/>
  <c r="S12" i="22"/>
  <c r="S77" i="22"/>
  <c r="S38" i="22"/>
  <c r="S68" i="22"/>
  <c r="S22" i="22"/>
  <c r="S10" i="22"/>
  <c r="S59" i="22"/>
  <c r="S46" i="22"/>
  <c r="S36" i="22"/>
  <c r="S20" i="22"/>
  <c r="S76" i="22"/>
  <c r="S48" i="22"/>
  <c r="S43" i="22"/>
  <c r="S41" i="22"/>
  <c r="S42" i="22"/>
  <c r="S53" i="22"/>
  <c r="S16" i="22"/>
  <c r="S24" i="22"/>
  <c r="S56" i="22"/>
  <c r="S44" i="22"/>
  <c r="S58" i="22"/>
  <c r="S71" i="22"/>
  <c r="S72" i="22"/>
  <c r="S63" i="22"/>
  <c r="S7" i="22"/>
  <c r="AP153" i="22"/>
  <c r="AP152" i="22"/>
  <c r="X7" i="22"/>
  <c r="AR7" i="22" s="1"/>
  <c r="G7" i="10"/>
  <c r="H7" i="20"/>
  <c r="G7" i="9"/>
  <c r="H8" i="8"/>
  <c r="G8" i="7"/>
  <c r="G7" i="6"/>
  <c r="G7" i="5"/>
  <c r="G7" i="24"/>
  <c r="G7" i="23"/>
  <c r="G7" i="32"/>
  <c r="CM7" i="39" l="1"/>
  <c r="B117" i="41"/>
  <c r="B118" i="41" s="1"/>
  <c r="AT21" i="41"/>
  <c r="AK198" i="39"/>
  <c r="AL198" i="39" s="1"/>
  <c r="AM198" i="39" s="1"/>
  <c r="AI207" i="39"/>
  <c r="AJ207" i="39" s="1"/>
  <c r="AI211" i="39"/>
  <c r="AJ211" i="39" s="1"/>
  <c r="AI209" i="39"/>
  <c r="AJ209" i="39" s="1"/>
  <c r="AI202" i="39"/>
  <c r="AJ202" i="39" s="1"/>
  <c r="AI212" i="39"/>
  <c r="AJ212" i="39" s="1"/>
  <c r="AI203" i="39"/>
  <c r="AJ203" i="39" s="1"/>
  <c r="AI201" i="39"/>
  <c r="AJ201" i="39" s="1"/>
  <c r="AI213" i="39"/>
  <c r="AJ213" i="39" s="1"/>
  <c r="AI206" i="39"/>
  <c r="AJ206" i="39" s="1"/>
  <c r="AI214" i="39"/>
  <c r="AJ214" i="39" s="1"/>
  <c r="AI210" i="39"/>
  <c r="AJ210" i="39" s="1"/>
  <c r="AI205" i="39"/>
  <c r="AJ205" i="39" s="1"/>
  <c r="AI200" i="39"/>
  <c r="AJ200" i="39" s="1"/>
  <c r="AI215" i="39"/>
  <c r="AJ215" i="39" s="1"/>
  <c r="AI199" i="39"/>
  <c r="AJ199" i="39" s="1"/>
  <c r="AI204" i="39"/>
  <c r="AJ204" i="39" s="1"/>
  <c r="AF216" i="39"/>
  <c r="AE217" i="39"/>
  <c r="AI208" i="39"/>
  <c r="AJ208" i="39" s="1"/>
  <c r="S19" i="22"/>
  <c r="AP155" i="22"/>
  <c r="B4" i="24"/>
  <c r="B3" i="23"/>
  <c r="CZ7" i="39" l="1"/>
  <c r="Y7" i="19" s="1"/>
  <c r="DB7" i="39"/>
  <c r="AA7" i="19" s="1"/>
  <c r="DC7" i="39"/>
  <c r="AB7" i="19" s="1"/>
  <c r="DA7" i="39"/>
  <c r="Z7" i="19" s="1"/>
  <c r="B119" i="41"/>
  <c r="B120" i="41" s="1"/>
  <c r="B121" i="41" s="1"/>
  <c r="B122" i="41" s="1"/>
  <c r="B123" i="41" s="1"/>
  <c r="AU21" i="41"/>
  <c r="AK206" i="39"/>
  <c r="AL206" i="39" s="1"/>
  <c r="AM206" i="39" s="1"/>
  <c r="AK205" i="39"/>
  <c r="AL205" i="39" s="1"/>
  <c r="AM205" i="39" s="1"/>
  <c r="AK213" i="39"/>
  <c r="AL213" i="39" s="1"/>
  <c r="AM213" i="39" s="1"/>
  <c r="AK203" i="39"/>
  <c r="AL203" i="39" s="1"/>
  <c r="AM203" i="39" s="1"/>
  <c r="AK207" i="39"/>
  <c r="AL207" i="39" s="1"/>
  <c r="AM207" i="39" s="1"/>
  <c r="AK208" i="39"/>
  <c r="AL208" i="39" s="1"/>
  <c r="AM208" i="39" s="1"/>
  <c r="AK199" i="39"/>
  <c r="AL199" i="39" s="1"/>
  <c r="AM199" i="39" s="1"/>
  <c r="AK210" i="39"/>
  <c r="AL210" i="39" s="1"/>
  <c r="AM210" i="39" s="1"/>
  <c r="AK212" i="39"/>
  <c r="AL212" i="39" s="1"/>
  <c r="AM212" i="39" s="1"/>
  <c r="AK201" i="39"/>
  <c r="AL201" i="39" s="1"/>
  <c r="AM201" i="39" s="1"/>
  <c r="AK215" i="39"/>
  <c r="AK202" i="39"/>
  <c r="AL202" i="39" s="1"/>
  <c r="AM202" i="39" s="1"/>
  <c r="AK200" i="39"/>
  <c r="AL200" i="39" s="1"/>
  <c r="AM200" i="39" s="1"/>
  <c r="AK209" i="39"/>
  <c r="AL209" i="39" s="1"/>
  <c r="AM209" i="39" s="1"/>
  <c r="AK214" i="39"/>
  <c r="AL214" i="39" s="1"/>
  <c r="AM214" i="39" s="1"/>
  <c r="AK211" i="39"/>
  <c r="AL211" i="39" s="1"/>
  <c r="AM211" i="39" s="1"/>
  <c r="AK204" i="39"/>
  <c r="AL204" i="39" s="1"/>
  <c r="AM204" i="39" s="1"/>
  <c r="AG216" i="39"/>
  <c r="AG217" i="39" s="1"/>
  <c r="AF217" i="39"/>
  <c r="AF218" i="39" s="1"/>
  <c r="B7" i="22"/>
  <c r="B124" i="41" l="1"/>
  <c r="B125" i="41" s="1"/>
  <c r="AV21" i="41"/>
  <c r="AL215" i="39"/>
  <c r="AM215" i="39" s="1"/>
  <c r="AH216" i="39"/>
  <c r="G71" i="32"/>
  <c r="D71" i="32"/>
  <c r="B71" i="32"/>
  <c r="G69" i="32"/>
  <c r="D69" i="32"/>
  <c r="B69" i="32"/>
  <c r="M58" i="32"/>
  <c r="K58" i="32"/>
  <c r="M57" i="32"/>
  <c r="K57" i="32"/>
  <c r="G67" i="32"/>
  <c r="D67" i="32"/>
  <c r="B67" i="32"/>
  <c r="M56" i="32"/>
  <c r="K56" i="32"/>
  <c r="M55" i="32"/>
  <c r="K55" i="32"/>
  <c r="G65" i="32"/>
  <c r="D65" i="32"/>
  <c r="B65" i="32"/>
  <c r="M54" i="32"/>
  <c r="K54" i="32"/>
  <c r="M53" i="32"/>
  <c r="K53" i="32"/>
  <c r="G63" i="32"/>
  <c r="D63" i="32"/>
  <c r="B63" i="32"/>
  <c r="M52" i="32"/>
  <c r="K52" i="32"/>
  <c r="M51" i="32"/>
  <c r="K51" i="32"/>
  <c r="G61" i="32"/>
  <c r="D61" i="32"/>
  <c r="B61" i="32"/>
  <c r="M50" i="32"/>
  <c r="K50" i="32"/>
  <c r="M49" i="32"/>
  <c r="K49" i="32"/>
  <c r="M48" i="32"/>
  <c r="K48" i="32"/>
  <c r="M47" i="32"/>
  <c r="K47" i="32"/>
  <c r="M46" i="32"/>
  <c r="K46" i="32"/>
  <c r="M45" i="32"/>
  <c r="K45" i="32"/>
  <c r="M44" i="32"/>
  <c r="K44" i="32"/>
  <c r="M43" i="32"/>
  <c r="K43" i="32"/>
  <c r="M42" i="32"/>
  <c r="K42" i="32"/>
  <c r="D41" i="32"/>
  <c r="M41" i="32"/>
  <c r="K41" i="32"/>
  <c r="D40" i="32"/>
  <c r="M40" i="32"/>
  <c r="K40" i="32"/>
  <c r="D39" i="32"/>
  <c r="M39" i="32"/>
  <c r="K39" i="32"/>
  <c r="M38" i="32"/>
  <c r="K38" i="32"/>
  <c r="E12" i="32"/>
  <c r="N12" i="32" s="1"/>
  <c r="N9" i="32"/>
  <c r="C1" i="32"/>
  <c r="M17" i="32" s="1"/>
  <c r="B126" i="41" l="1"/>
  <c r="B127" i="41" s="1"/>
  <c r="B128" i="41" s="1"/>
  <c r="AW21" i="41"/>
  <c r="AI216" i="39"/>
  <c r="AI217" i="39" s="1"/>
  <c r="AH217" i="39"/>
  <c r="AH218" i="39" s="1"/>
  <c r="L1" i="32"/>
  <c r="V17" i="32"/>
  <c r="D21" i="25"/>
  <c r="D23" i="25"/>
  <c r="B129" i="41" l="1"/>
  <c r="B130" i="41" s="1"/>
  <c r="AX21" i="41"/>
  <c r="AJ216" i="39"/>
  <c r="X21" i="32"/>
  <c r="X20" i="32"/>
  <c r="Z21" i="32"/>
  <c r="V18" i="32" s="1"/>
  <c r="B131" i="41" l="1"/>
  <c r="B132" i="41" s="1"/>
  <c r="B133" i="41" s="1"/>
  <c r="B134" i="41" s="1"/>
  <c r="B135" i="41" s="1"/>
  <c r="AY21" i="41"/>
  <c r="AK216" i="39"/>
  <c r="AK217" i="39" s="1"/>
  <c r="AJ217" i="39"/>
  <c r="V19" i="32"/>
  <c r="V20" i="32" s="1"/>
  <c r="V21" i="32" s="1"/>
  <c r="V22" i="32" s="1"/>
  <c r="V23" i="32" s="1"/>
  <c r="V24" i="32" s="1"/>
  <c r="V25" i="32" s="1"/>
  <c r="V26" i="32" s="1"/>
  <c r="V27" i="32" s="1"/>
  <c r="V28" i="32" s="1"/>
  <c r="V29" i="32" s="1"/>
  <c r="V30" i="32" s="1"/>
  <c r="V31" i="32" s="1"/>
  <c r="V32" i="32" s="1"/>
  <c r="V33" i="32" s="1"/>
  <c r="V34" i="32" s="1"/>
  <c r="V35" i="32" s="1"/>
  <c r="V36" i="32" s="1"/>
  <c r="V37" i="32" s="1"/>
  <c r="V38" i="32" s="1"/>
  <c r="V39" i="32" s="1"/>
  <c r="V40" i="32" s="1"/>
  <c r="V41" i="32" s="1"/>
  <c r="V42" i="32" s="1"/>
  <c r="V43" i="32" s="1"/>
  <c r="V44" i="32" s="1"/>
  <c r="V45" i="32" s="1"/>
  <c r="V46" i="32" s="1"/>
  <c r="V47" i="32" s="1"/>
  <c r="V48" i="32" s="1"/>
  <c r="V49" i="32" s="1"/>
  <c r="V50" i="32" s="1"/>
  <c r="V51" i="32" s="1"/>
  <c r="V52" i="32" s="1"/>
  <c r="V53" i="32" s="1"/>
  <c r="V54" i="32" s="1"/>
  <c r="V55" i="32" s="1"/>
  <c r="V56" i="32" s="1"/>
  <c r="V57" i="32" s="1"/>
  <c r="V58" i="32" s="1"/>
  <c r="V59" i="32" s="1"/>
  <c r="E31" i="38"/>
  <c r="E32" i="38"/>
  <c r="E30" i="38"/>
  <c r="F30" i="32"/>
  <c r="F31" i="32"/>
  <c r="F29" i="32"/>
  <c r="B30" i="32"/>
  <c r="B31" i="32"/>
  <c r="B29" i="32"/>
  <c r="B8" i="22"/>
  <c r="B9" i="22"/>
  <c r="B10" i="22"/>
  <c r="B11" i="22"/>
  <c r="B12" i="22"/>
  <c r="B13" i="22"/>
  <c r="B14" i="22"/>
  <c r="B15" i="22"/>
  <c r="B16" i="22"/>
  <c r="B17" i="22"/>
  <c r="B18" i="22"/>
  <c r="B19" i="22"/>
  <c r="B20" i="22"/>
  <c r="B21" i="22"/>
  <c r="B22" i="22"/>
  <c r="B23" i="22"/>
  <c r="B24" i="22"/>
  <c r="B25" i="22"/>
  <c r="B26" i="22"/>
  <c r="B27" i="22"/>
  <c r="B28" i="22"/>
  <c r="B29" i="22"/>
  <c r="B30" i="22"/>
  <c r="B31" i="22"/>
  <c r="B32" i="22"/>
  <c r="B33" i="22"/>
  <c r="B34" i="22"/>
  <c r="B35" i="22"/>
  <c r="B36" i="22"/>
  <c r="B37" i="22"/>
  <c r="B38" i="22"/>
  <c r="B39" i="22"/>
  <c r="B40" i="22"/>
  <c r="B41" i="22"/>
  <c r="B42" i="22"/>
  <c r="B43" i="22"/>
  <c r="B44" i="22"/>
  <c r="B45" i="22"/>
  <c r="B46" i="22"/>
  <c r="B47" i="22"/>
  <c r="B48" i="22"/>
  <c r="B49" i="22"/>
  <c r="B50" i="22"/>
  <c r="B51" i="22"/>
  <c r="B52" i="22"/>
  <c r="B53" i="22"/>
  <c r="B54" i="22"/>
  <c r="B55" i="22"/>
  <c r="B56" i="22"/>
  <c r="B57" i="22"/>
  <c r="B58" i="22"/>
  <c r="B59" i="22"/>
  <c r="B60" i="22"/>
  <c r="B61" i="22"/>
  <c r="B62" i="22"/>
  <c r="B63" i="22"/>
  <c r="B64" i="22"/>
  <c r="B65" i="22"/>
  <c r="B66" i="22"/>
  <c r="B67" i="22"/>
  <c r="B68" i="22"/>
  <c r="B69" i="22"/>
  <c r="B70" i="22"/>
  <c r="B71" i="22"/>
  <c r="B72" i="22"/>
  <c r="B73" i="22"/>
  <c r="B74" i="22"/>
  <c r="B75" i="22"/>
  <c r="B76" i="22"/>
  <c r="B77" i="22"/>
  <c r="B78" i="22"/>
  <c r="B79" i="22"/>
  <c r="B80" i="22"/>
  <c r="B81" i="22"/>
  <c r="B82" i="22"/>
  <c r="B83" i="22"/>
  <c r="B84" i="22"/>
  <c r="B85" i="22"/>
  <c r="B86" i="22"/>
  <c r="B87" i="22"/>
  <c r="B88" i="22"/>
  <c r="B89" i="22"/>
  <c r="B90" i="22"/>
  <c r="B91" i="22"/>
  <c r="B92" i="22"/>
  <c r="B93" i="22"/>
  <c r="B94" i="22"/>
  <c r="B95" i="22"/>
  <c r="B96" i="22"/>
  <c r="B97" i="22"/>
  <c r="B98" i="22"/>
  <c r="B99" i="22"/>
  <c r="B100" i="22"/>
  <c r="B101" i="22"/>
  <c r="B102" i="22"/>
  <c r="B103" i="22"/>
  <c r="B104" i="22"/>
  <c r="B105" i="22"/>
  <c r="B106" i="22"/>
  <c r="B107" i="22"/>
  <c r="B108" i="22"/>
  <c r="B109" i="22"/>
  <c r="B110" i="22"/>
  <c r="B111" i="22"/>
  <c r="B112" i="22"/>
  <c r="B113" i="22"/>
  <c r="B114" i="22"/>
  <c r="B115" i="22"/>
  <c r="B116" i="22"/>
  <c r="B117" i="22"/>
  <c r="B118" i="22"/>
  <c r="B119" i="22"/>
  <c r="B120" i="22"/>
  <c r="B121" i="22"/>
  <c r="B122" i="22"/>
  <c r="B123" i="22"/>
  <c r="B124" i="22"/>
  <c r="B125" i="22"/>
  <c r="B126" i="22"/>
  <c r="B127" i="22"/>
  <c r="B128" i="22"/>
  <c r="B129" i="22"/>
  <c r="B130" i="22"/>
  <c r="B131" i="22"/>
  <c r="B132" i="22"/>
  <c r="B133" i="22"/>
  <c r="B134" i="22"/>
  <c r="B135" i="22"/>
  <c r="B136" i="22"/>
  <c r="B137" i="22"/>
  <c r="B138" i="22"/>
  <c r="B139" i="22"/>
  <c r="B140" i="22"/>
  <c r="B141" i="22"/>
  <c r="B142" i="22"/>
  <c r="B143" i="22"/>
  <c r="B144" i="22"/>
  <c r="B145" i="22"/>
  <c r="B146" i="22"/>
  <c r="B147" i="22"/>
  <c r="B148" i="22"/>
  <c r="B149" i="22"/>
  <c r="B136" i="41" l="1"/>
  <c r="B137" i="41" s="1"/>
  <c r="AZ21" i="41"/>
  <c r="AL216" i="39"/>
  <c r="AM216" i="39" s="1"/>
  <c r="AJ218" i="39"/>
  <c r="AJ224" i="39"/>
  <c r="AJ227" i="39" s="1"/>
  <c r="E29" i="37"/>
  <c r="E29" i="36"/>
  <c r="E33" i="36"/>
  <c r="E31" i="37"/>
  <c r="E30" i="37"/>
  <c r="E31" i="36"/>
  <c r="W16" i="32"/>
  <c r="W17" i="32" s="1"/>
  <c r="Z20" i="32" s="1"/>
  <c r="M59" i="32" s="1"/>
  <c r="F32" i="32"/>
  <c r="P100" i="31"/>
  <c r="I100" i="31"/>
  <c r="A100" i="31"/>
  <c r="P99" i="31"/>
  <c r="I99" i="31"/>
  <c r="A99" i="31"/>
  <c r="P98" i="31"/>
  <c r="I98" i="31"/>
  <c r="A98" i="31"/>
  <c r="P97" i="31"/>
  <c r="I97" i="31"/>
  <c r="A97" i="31"/>
  <c r="D23" i="31"/>
  <c r="D21" i="31"/>
  <c r="E16" i="31"/>
  <c r="M12" i="31"/>
  <c r="I11" i="31"/>
  <c r="A10" i="31"/>
  <c r="H8" i="31"/>
  <c r="A118" i="31" s="1"/>
  <c r="A4" i="31"/>
  <c r="D3" i="31"/>
  <c r="H113" i="31" s="1"/>
  <c r="P100" i="30"/>
  <c r="I100" i="30"/>
  <c r="A100" i="30"/>
  <c r="P99" i="30"/>
  <c r="I99" i="30"/>
  <c r="A99" i="30"/>
  <c r="P98" i="30"/>
  <c r="I98" i="30"/>
  <c r="A98" i="30"/>
  <c r="P97" i="30"/>
  <c r="I97" i="30"/>
  <c r="A97" i="30"/>
  <c r="D23" i="30"/>
  <c r="D21" i="30"/>
  <c r="E16" i="30"/>
  <c r="M12" i="30"/>
  <c r="I11" i="30"/>
  <c r="A10" i="30"/>
  <c r="H8" i="30"/>
  <c r="A117" i="30" s="1"/>
  <c r="A4" i="30"/>
  <c r="D3" i="30"/>
  <c r="H112" i="30" s="1"/>
  <c r="P100" i="29"/>
  <c r="I100" i="29"/>
  <c r="A100" i="29"/>
  <c r="P99" i="29"/>
  <c r="I99" i="29"/>
  <c r="A99" i="29"/>
  <c r="P98" i="29"/>
  <c r="I98" i="29"/>
  <c r="A98" i="29"/>
  <c r="P97" i="29"/>
  <c r="I97" i="29"/>
  <c r="A97" i="29"/>
  <c r="D23" i="29"/>
  <c r="D21" i="29"/>
  <c r="E16" i="29"/>
  <c r="M12" i="29"/>
  <c r="I11" i="29"/>
  <c r="A10" i="29"/>
  <c r="H8" i="29"/>
  <c r="A117" i="29" s="1"/>
  <c r="A4" i="29"/>
  <c r="D3" i="29"/>
  <c r="H112" i="29" s="1"/>
  <c r="P100" i="28"/>
  <c r="I100" i="28"/>
  <c r="A100" i="28"/>
  <c r="P99" i="28"/>
  <c r="I99" i="28"/>
  <c r="A99" i="28"/>
  <c r="P98" i="28"/>
  <c r="I98" i="28"/>
  <c r="A98" i="28"/>
  <c r="P97" i="28"/>
  <c r="I97" i="28"/>
  <c r="A97" i="28"/>
  <c r="D23" i="28"/>
  <c r="D21" i="28"/>
  <c r="E16" i="28"/>
  <c r="M12" i="28"/>
  <c r="I11" i="28"/>
  <c r="A10" i="28"/>
  <c r="H8" i="28"/>
  <c r="A117" i="28" s="1"/>
  <c r="A4" i="28"/>
  <c r="D3" i="28"/>
  <c r="H112" i="28" s="1"/>
  <c r="P100" i="27"/>
  <c r="I100" i="27"/>
  <c r="A100" i="27"/>
  <c r="P99" i="27"/>
  <c r="I99" i="27"/>
  <c r="A99" i="27"/>
  <c r="P98" i="27"/>
  <c r="I98" i="27"/>
  <c r="A98" i="27"/>
  <c r="P97" i="27"/>
  <c r="I97" i="27"/>
  <c r="A97" i="27"/>
  <c r="D23" i="27"/>
  <c r="D21" i="27"/>
  <c r="E16" i="27"/>
  <c r="M12" i="27"/>
  <c r="I11" i="27"/>
  <c r="A10" i="27"/>
  <c r="H8" i="27"/>
  <c r="A117" i="27" s="1"/>
  <c r="A4" i="27"/>
  <c r="D3" i="27"/>
  <c r="H112" i="27" s="1"/>
  <c r="P100" i="26"/>
  <c r="I100" i="26"/>
  <c r="A100" i="26"/>
  <c r="P99" i="26"/>
  <c r="I99" i="26"/>
  <c r="A99" i="26"/>
  <c r="P98" i="26"/>
  <c r="I98" i="26"/>
  <c r="A98" i="26"/>
  <c r="P97" i="26"/>
  <c r="I97" i="26"/>
  <c r="A97" i="26"/>
  <c r="D23" i="26"/>
  <c r="D21" i="26"/>
  <c r="E16" i="26"/>
  <c r="M12" i="26"/>
  <c r="I11" i="26"/>
  <c r="A10" i="26"/>
  <c r="H8" i="26"/>
  <c r="A118" i="26" s="1"/>
  <c r="A4" i="26"/>
  <c r="D3" i="26"/>
  <c r="H113" i="26" s="1"/>
  <c r="P100" i="25"/>
  <c r="I100" i="25"/>
  <c r="A100" i="25"/>
  <c r="P99" i="25"/>
  <c r="I99" i="25"/>
  <c r="A99" i="25"/>
  <c r="P98" i="25"/>
  <c r="I98" i="25"/>
  <c r="A98" i="25"/>
  <c r="P97" i="25"/>
  <c r="I97" i="25"/>
  <c r="A97" i="25"/>
  <c r="E16" i="25"/>
  <c r="M12" i="25"/>
  <c r="I11" i="25"/>
  <c r="A10" i="25"/>
  <c r="H8" i="25"/>
  <c r="A117" i="25" s="1"/>
  <c r="A4" i="25"/>
  <c r="D3" i="25"/>
  <c r="H112" i="25" s="1"/>
  <c r="D21" i="13"/>
  <c r="M12" i="13"/>
  <c r="A10" i="13"/>
  <c r="H8" i="13"/>
  <c r="O70" i="24"/>
  <c r="K70" i="24"/>
  <c r="F81" i="24"/>
  <c r="B81" i="24"/>
  <c r="G69" i="24"/>
  <c r="D69" i="24"/>
  <c r="B69" i="24"/>
  <c r="G67" i="24"/>
  <c r="D67" i="24"/>
  <c r="B67" i="24"/>
  <c r="G65" i="24"/>
  <c r="D65" i="24"/>
  <c r="B65" i="24"/>
  <c r="G63" i="24"/>
  <c r="D63" i="24"/>
  <c r="B63" i="24"/>
  <c r="G61" i="24"/>
  <c r="D61" i="24"/>
  <c r="B61" i="24"/>
  <c r="G59" i="24"/>
  <c r="D59" i="24"/>
  <c r="B59" i="24"/>
  <c r="D39" i="24"/>
  <c r="D38" i="24"/>
  <c r="D37" i="24"/>
  <c r="D36" i="24"/>
  <c r="N12" i="24"/>
  <c r="E9" i="24"/>
  <c r="N9" i="24" s="1"/>
  <c r="E7" i="24"/>
  <c r="N7" i="24" s="1"/>
  <c r="E6" i="24"/>
  <c r="N6" i="24" s="1"/>
  <c r="C2" i="24"/>
  <c r="M17" i="24" s="1"/>
  <c r="W17" i="24" s="1"/>
  <c r="D1" i="24"/>
  <c r="P98" i="13"/>
  <c r="P99" i="13"/>
  <c r="P100" i="13"/>
  <c r="I98" i="13"/>
  <c r="I99" i="13"/>
  <c r="I100" i="13"/>
  <c r="P97" i="13"/>
  <c r="I97" i="13"/>
  <c r="A98" i="13"/>
  <c r="A99" i="13"/>
  <c r="A100" i="13"/>
  <c r="A97" i="13"/>
  <c r="B138" i="41" l="1"/>
  <c r="B139" i="41" s="1"/>
  <c r="B140" i="41" s="1"/>
  <c r="AM2" i="39"/>
  <c r="BA21" i="41"/>
  <c r="AL217" i="39"/>
  <c r="L2" i="24"/>
  <c r="Y20" i="24"/>
  <c r="AA20" i="24"/>
  <c r="W18" i="24" s="1"/>
  <c r="W19" i="24" s="1"/>
  <c r="W20" i="24" s="1"/>
  <c r="W21" i="24" s="1"/>
  <c r="W22" i="24" s="1"/>
  <c r="W23" i="24" s="1"/>
  <c r="W24" i="24" s="1"/>
  <c r="W25" i="24" s="1"/>
  <c r="W26" i="24" s="1"/>
  <c r="W27" i="24" s="1"/>
  <c r="W28" i="24" s="1"/>
  <c r="W29" i="24" s="1"/>
  <c r="W30" i="24" s="1"/>
  <c r="W31" i="24" s="1"/>
  <c r="W32" i="24" s="1"/>
  <c r="W33" i="24" s="1"/>
  <c r="W34" i="24" s="1"/>
  <c r="W35" i="24" s="1"/>
  <c r="W36" i="24" s="1"/>
  <c r="W37" i="24" s="1"/>
  <c r="W38" i="24" s="1"/>
  <c r="W39" i="24" s="1"/>
  <c r="W40" i="24" s="1"/>
  <c r="W41" i="24" s="1"/>
  <c r="W42" i="24" s="1"/>
  <c r="W43" i="24" s="1"/>
  <c r="W44" i="24" s="1"/>
  <c r="W45" i="24" s="1"/>
  <c r="W46" i="24" s="1"/>
  <c r="W47" i="24" s="1"/>
  <c r="W48" i="24" s="1"/>
  <c r="W49" i="24" s="1"/>
  <c r="W50" i="24" s="1"/>
  <c r="W51" i="24" s="1"/>
  <c r="W52" i="24" s="1"/>
  <c r="W53" i="24" s="1"/>
  <c r="W54" i="24" s="1"/>
  <c r="W55" i="24" s="1"/>
  <c r="W56" i="24" s="1"/>
  <c r="W57" i="24" s="1"/>
  <c r="W58" i="24" s="1"/>
  <c r="W59" i="24" s="1"/>
  <c r="W60" i="24" s="1"/>
  <c r="W61" i="24" s="1"/>
  <c r="W62" i="24" s="1"/>
  <c r="B141" i="41" l="1"/>
  <c r="B142" i="41" s="1"/>
  <c r="B143" i="41" s="1"/>
  <c r="B144" i="41" s="1"/>
  <c r="BB21" i="41"/>
  <c r="AM217" i="39"/>
  <c r="X149" i="22"/>
  <c r="AR149" i="22" s="1"/>
  <c r="X148" i="22"/>
  <c r="AR148" i="22" s="1"/>
  <c r="X147" i="22"/>
  <c r="AR147" i="22" s="1"/>
  <c r="X146" i="22"/>
  <c r="AR146" i="22" s="1"/>
  <c r="X145" i="22"/>
  <c r="AR145" i="22" s="1"/>
  <c r="X144" i="22"/>
  <c r="AR144" i="22" s="1"/>
  <c r="X143" i="22"/>
  <c r="AR143" i="22" s="1"/>
  <c r="X142" i="22"/>
  <c r="AR142" i="22" s="1"/>
  <c r="X141" i="22"/>
  <c r="AR141" i="22" s="1"/>
  <c r="X140" i="22"/>
  <c r="AR140" i="22" s="1"/>
  <c r="X139" i="22"/>
  <c r="AR139" i="22" s="1"/>
  <c r="X138" i="22"/>
  <c r="AR138" i="22" s="1"/>
  <c r="X137" i="22"/>
  <c r="AR137" i="22" s="1"/>
  <c r="X136" i="22"/>
  <c r="AR136" i="22" s="1"/>
  <c r="X135" i="22"/>
  <c r="AR135" i="22" s="1"/>
  <c r="X134" i="22"/>
  <c r="AR134" i="22" s="1"/>
  <c r="X133" i="22"/>
  <c r="AR133" i="22" s="1"/>
  <c r="X132" i="22"/>
  <c r="AR132" i="22" s="1"/>
  <c r="X131" i="22"/>
  <c r="AR131" i="22" s="1"/>
  <c r="X130" i="22"/>
  <c r="AR130" i="22" s="1"/>
  <c r="X129" i="22"/>
  <c r="AR129" i="22" s="1"/>
  <c r="X128" i="22"/>
  <c r="AR128" i="22" s="1"/>
  <c r="X127" i="22"/>
  <c r="AR127" i="22" s="1"/>
  <c r="X126" i="22"/>
  <c r="AR126" i="22" s="1"/>
  <c r="X125" i="22"/>
  <c r="AR125" i="22" s="1"/>
  <c r="X124" i="22"/>
  <c r="AR124" i="22" s="1"/>
  <c r="X123" i="22"/>
  <c r="AR123" i="22" s="1"/>
  <c r="X122" i="22"/>
  <c r="AR122" i="22" s="1"/>
  <c r="X121" i="22"/>
  <c r="AR121" i="22" s="1"/>
  <c r="X120" i="22"/>
  <c r="AR120" i="22" s="1"/>
  <c r="X119" i="22"/>
  <c r="AR119" i="22" s="1"/>
  <c r="X118" i="22"/>
  <c r="AR118" i="22" s="1"/>
  <c r="X117" i="22"/>
  <c r="AR117" i="22" s="1"/>
  <c r="X116" i="22"/>
  <c r="AR116" i="22" s="1"/>
  <c r="X115" i="22"/>
  <c r="AR115" i="22" s="1"/>
  <c r="X114" i="22"/>
  <c r="AR114" i="22" s="1"/>
  <c r="X113" i="22"/>
  <c r="AR113" i="22" s="1"/>
  <c r="X112" i="22"/>
  <c r="AR112" i="22" s="1"/>
  <c r="X111" i="22"/>
  <c r="AR111" i="22" s="1"/>
  <c r="X110" i="22"/>
  <c r="AR110" i="22" s="1"/>
  <c r="X109" i="22"/>
  <c r="AR109" i="22" s="1"/>
  <c r="X108" i="22"/>
  <c r="AR108" i="22" s="1"/>
  <c r="X107" i="22"/>
  <c r="AR107" i="22" s="1"/>
  <c r="X106" i="22"/>
  <c r="AR106" i="22" s="1"/>
  <c r="X105" i="22"/>
  <c r="AR105" i="22" s="1"/>
  <c r="X104" i="22"/>
  <c r="AR104" i="22" s="1"/>
  <c r="X103" i="22"/>
  <c r="AR103" i="22" s="1"/>
  <c r="X102" i="22"/>
  <c r="AR102" i="22" s="1"/>
  <c r="X101" i="22"/>
  <c r="AR101" i="22" s="1"/>
  <c r="X100" i="22"/>
  <c r="AR100" i="22" s="1"/>
  <c r="X99" i="22"/>
  <c r="AR99" i="22" s="1"/>
  <c r="X98" i="22"/>
  <c r="AR98" i="22" s="1"/>
  <c r="X97" i="22"/>
  <c r="AR97" i="22" s="1"/>
  <c r="X96" i="22"/>
  <c r="AR96" i="22" s="1"/>
  <c r="X95" i="22"/>
  <c r="AR95" i="22" s="1"/>
  <c r="X94" i="22"/>
  <c r="AR94" i="22" s="1"/>
  <c r="X93" i="22"/>
  <c r="AR93" i="22" s="1"/>
  <c r="X92" i="22"/>
  <c r="AR92" i="22" s="1"/>
  <c r="X91" i="22"/>
  <c r="AR91" i="22" s="1"/>
  <c r="X90" i="22"/>
  <c r="AR90" i="22" s="1"/>
  <c r="X89" i="22"/>
  <c r="AR89" i="22" s="1"/>
  <c r="X88" i="22"/>
  <c r="AR88" i="22" s="1"/>
  <c r="X87" i="22"/>
  <c r="AR87" i="22" s="1"/>
  <c r="X86" i="22"/>
  <c r="AR86" i="22" s="1"/>
  <c r="X85" i="22"/>
  <c r="AR85" i="22" s="1"/>
  <c r="X84" i="22"/>
  <c r="AR84" i="22" s="1"/>
  <c r="X83" i="22"/>
  <c r="AR83" i="22" s="1"/>
  <c r="X82" i="22"/>
  <c r="AR82" i="22" s="1"/>
  <c r="X81" i="22"/>
  <c r="AR81" i="22" s="1"/>
  <c r="X80" i="22"/>
  <c r="AR80" i="22" s="1"/>
  <c r="X79" i="22"/>
  <c r="AR79" i="22" s="1"/>
  <c r="X78" i="22"/>
  <c r="AR78" i="22" s="1"/>
  <c r="X77" i="22"/>
  <c r="AR77" i="22" s="1"/>
  <c r="X76" i="22"/>
  <c r="AR76" i="22" s="1"/>
  <c r="X75" i="22"/>
  <c r="AR75" i="22" s="1"/>
  <c r="X74" i="22"/>
  <c r="AR74" i="22" s="1"/>
  <c r="X73" i="22"/>
  <c r="AR73" i="22" s="1"/>
  <c r="X72" i="22"/>
  <c r="AR72" i="22" s="1"/>
  <c r="X71" i="22"/>
  <c r="AR71" i="22" s="1"/>
  <c r="X70" i="22"/>
  <c r="AR70" i="22" s="1"/>
  <c r="X69" i="22"/>
  <c r="AR69" i="22" s="1"/>
  <c r="X68" i="22"/>
  <c r="AR68" i="22" s="1"/>
  <c r="X67" i="22"/>
  <c r="AR67" i="22" s="1"/>
  <c r="X66" i="22"/>
  <c r="AR66" i="22" s="1"/>
  <c r="X65" i="22"/>
  <c r="AR65" i="22" s="1"/>
  <c r="X64" i="22"/>
  <c r="AR64" i="22" s="1"/>
  <c r="X63" i="22"/>
  <c r="AR63" i="22" s="1"/>
  <c r="X62" i="22"/>
  <c r="AR62" i="22" s="1"/>
  <c r="X61" i="22"/>
  <c r="AR61" i="22" s="1"/>
  <c r="X60" i="22"/>
  <c r="AR60" i="22" s="1"/>
  <c r="X59" i="22"/>
  <c r="AR59" i="22" s="1"/>
  <c r="X58" i="22"/>
  <c r="AR58" i="22" s="1"/>
  <c r="X57" i="22"/>
  <c r="AR57" i="22" s="1"/>
  <c r="X56" i="22"/>
  <c r="AR56" i="22" s="1"/>
  <c r="X55" i="22"/>
  <c r="AR55" i="22" s="1"/>
  <c r="X54" i="22"/>
  <c r="AR54" i="22" s="1"/>
  <c r="X53" i="22"/>
  <c r="AR53" i="22" s="1"/>
  <c r="X52" i="22"/>
  <c r="AR52" i="22" s="1"/>
  <c r="X51" i="22"/>
  <c r="AR51" i="22" s="1"/>
  <c r="X50" i="22"/>
  <c r="AR50" i="22" s="1"/>
  <c r="X49" i="22"/>
  <c r="AR49" i="22" s="1"/>
  <c r="X48" i="22"/>
  <c r="AR48" i="22" s="1"/>
  <c r="X47" i="22"/>
  <c r="AR47" i="22" s="1"/>
  <c r="X46" i="22"/>
  <c r="AR46" i="22" s="1"/>
  <c r="X45" i="22"/>
  <c r="AR45" i="22" s="1"/>
  <c r="X44" i="22"/>
  <c r="AR44" i="22" s="1"/>
  <c r="X43" i="22"/>
  <c r="AR43" i="22" s="1"/>
  <c r="X42" i="22"/>
  <c r="AR42" i="22" s="1"/>
  <c r="X41" i="22"/>
  <c r="AR41" i="22" s="1"/>
  <c r="X40" i="22"/>
  <c r="AR40" i="22" s="1"/>
  <c r="X39" i="22"/>
  <c r="AR39" i="22" s="1"/>
  <c r="X38" i="22"/>
  <c r="AR38" i="22" s="1"/>
  <c r="X37" i="22"/>
  <c r="AR37" i="22" s="1"/>
  <c r="X36" i="22"/>
  <c r="AR36" i="22" s="1"/>
  <c r="X35" i="22"/>
  <c r="AR35" i="22" s="1"/>
  <c r="X34" i="22"/>
  <c r="AR34" i="22" s="1"/>
  <c r="X33" i="22"/>
  <c r="AR33" i="22" s="1"/>
  <c r="X32" i="22"/>
  <c r="AR32" i="22" s="1"/>
  <c r="X31" i="22"/>
  <c r="AR31" i="22" s="1"/>
  <c r="X30" i="22"/>
  <c r="AR30" i="22" s="1"/>
  <c r="X29" i="22"/>
  <c r="AR29" i="22" s="1"/>
  <c r="X28" i="22"/>
  <c r="AR28" i="22" s="1"/>
  <c r="X27" i="22"/>
  <c r="AR27" i="22" s="1"/>
  <c r="X26" i="22"/>
  <c r="AR26" i="22" s="1"/>
  <c r="X25" i="22"/>
  <c r="AR25" i="22" s="1"/>
  <c r="X24" i="22"/>
  <c r="AR24" i="22" s="1"/>
  <c r="X23" i="22"/>
  <c r="AR23" i="22" s="1"/>
  <c r="X22" i="22"/>
  <c r="AR22" i="22" s="1"/>
  <c r="X21" i="22"/>
  <c r="AR21" i="22" s="1"/>
  <c r="X20" i="22"/>
  <c r="AR20" i="22" s="1"/>
  <c r="X19" i="22"/>
  <c r="AR19" i="22" s="1"/>
  <c r="X18" i="22"/>
  <c r="AR18" i="22" s="1"/>
  <c r="X17" i="22"/>
  <c r="AR17" i="22" s="1"/>
  <c r="X16" i="22"/>
  <c r="AR16" i="22" s="1"/>
  <c r="X15" i="22"/>
  <c r="AR15" i="22" s="1"/>
  <c r="X14" i="22"/>
  <c r="AR14" i="22" s="1"/>
  <c r="X13" i="22"/>
  <c r="AR13" i="22" s="1"/>
  <c r="X12" i="22"/>
  <c r="AR12" i="22" s="1"/>
  <c r="X11" i="22"/>
  <c r="AR11" i="22" s="1"/>
  <c r="X10" i="22"/>
  <c r="AR10" i="22" s="1"/>
  <c r="X9" i="22"/>
  <c r="AR9" i="22" s="1"/>
  <c r="X8" i="22"/>
  <c r="AR8" i="22" s="1"/>
  <c r="V149" i="22"/>
  <c r="V139" i="22"/>
  <c r="V148" i="22"/>
  <c r="V147" i="22"/>
  <c r="V146" i="22"/>
  <c r="V145" i="22"/>
  <c r="V144" i="22"/>
  <c r="V143" i="22"/>
  <c r="V142" i="22"/>
  <c r="V141" i="22"/>
  <c r="V140" i="22"/>
  <c r="V138" i="22"/>
  <c r="V137" i="22"/>
  <c r="V136" i="22"/>
  <c r="V135" i="22"/>
  <c r="V134" i="22"/>
  <c r="V133" i="22"/>
  <c r="V132" i="22"/>
  <c r="V131" i="22"/>
  <c r="V121" i="22"/>
  <c r="V130" i="22"/>
  <c r="V129" i="22"/>
  <c r="V128" i="22"/>
  <c r="V127" i="22"/>
  <c r="V126" i="22"/>
  <c r="V125" i="22"/>
  <c r="V124" i="22"/>
  <c r="V123" i="22"/>
  <c r="V122" i="22"/>
  <c r="V120" i="22"/>
  <c r="V119" i="22"/>
  <c r="V118" i="22"/>
  <c r="V117" i="22"/>
  <c r="V116" i="22"/>
  <c r="V115" i="22"/>
  <c r="V114" i="22"/>
  <c r="V113" i="22"/>
  <c r="V112" i="22"/>
  <c r="V111" i="22"/>
  <c r="V110" i="22"/>
  <c r="V109" i="22"/>
  <c r="V108" i="22"/>
  <c r="V107" i="22"/>
  <c r="V106" i="22"/>
  <c r="V105" i="22"/>
  <c r="V104" i="22"/>
  <c r="V103" i="22"/>
  <c r="V102" i="22"/>
  <c r="V101" i="22"/>
  <c r="V100" i="22"/>
  <c r="V99" i="22"/>
  <c r="V98" i="22"/>
  <c r="V97" i="22"/>
  <c r="V96" i="22"/>
  <c r="V95" i="22"/>
  <c r="V85" i="22"/>
  <c r="V94" i="22"/>
  <c r="V93" i="22"/>
  <c r="V92" i="22"/>
  <c r="V91" i="22"/>
  <c r="V90" i="22"/>
  <c r="V89" i="22"/>
  <c r="V88" i="22"/>
  <c r="V87" i="22"/>
  <c r="V86" i="22"/>
  <c r="V84" i="22"/>
  <c r="V83" i="22"/>
  <c r="V82" i="22"/>
  <c r="V81" i="22"/>
  <c r="V80" i="22"/>
  <c r="V79" i="22"/>
  <c r="V78" i="22"/>
  <c r="V77" i="22"/>
  <c r="V76" i="22"/>
  <c r="V75" i="22"/>
  <c r="V74" i="22"/>
  <c r="V73" i="22"/>
  <c r="V72" i="22"/>
  <c r="V71" i="22"/>
  <c r="V70" i="22"/>
  <c r="V69" i="22"/>
  <c r="V68" i="22"/>
  <c r="V67" i="22"/>
  <c r="V66" i="22"/>
  <c r="V65" i="22"/>
  <c r="V64" i="22"/>
  <c r="V63" i="22"/>
  <c r="V62" i="22"/>
  <c r="V61" i="22"/>
  <c r="V60" i="22"/>
  <c r="V59" i="22"/>
  <c r="V49" i="22"/>
  <c r="V58" i="22"/>
  <c r="V57" i="22"/>
  <c r="V56" i="22"/>
  <c r="V55" i="22"/>
  <c r="V54" i="22"/>
  <c r="V53" i="22"/>
  <c r="V52" i="22"/>
  <c r="V51" i="22"/>
  <c r="V50" i="22"/>
  <c r="V48" i="22"/>
  <c r="V47" i="22"/>
  <c r="V46" i="22"/>
  <c r="V45" i="22"/>
  <c r="V44" i="22"/>
  <c r="V43" i="22"/>
  <c r="V42" i="22"/>
  <c r="V41" i="22"/>
  <c r="V31" i="22"/>
  <c r="V40" i="22"/>
  <c r="V39" i="22"/>
  <c r="V38" i="22"/>
  <c r="V37" i="22"/>
  <c r="V36" i="22"/>
  <c r="V35" i="22"/>
  <c r="V34" i="22"/>
  <c r="V33" i="22"/>
  <c r="V32" i="22"/>
  <c r="V30" i="22"/>
  <c r="V29" i="22"/>
  <c r="V28" i="22"/>
  <c r="V27" i="22"/>
  <c r="V26" i="22"/>
  <c r="V25" i="22"/>
  <c r="V24" i="22"/>
  <c r="V23" i="22"/>
  <c r="V22" i="22"/>
  <c r="V21" i="22"/>
  <c r="V20" i="22"/>
  <c r="V19" i="22"/>
  <c r="V18" i="22"/>
  <c r="V17" i="22"/>
  <c r="V16" i="22"/>
  <c r="V15" i="22"/>
  <c r="V14" i="22"/>
  <c r="V12" i="22"/>
  <c r="V11" i="22"/>
  <c r="V10" i="22"/>
  <c r="V9" i="22"/>
  <c r="V8" i="22"/>
  <c r="V13" i="22"/>
  <c r="V7" i="22"/>
  <c r="BC21" i="41" l="1"/>
  <c r="U18" i="22"/>
  <c r="U7" i="22"/>
  <c r="U139" i="22"/>
  <c r="BD21" i="41" l="1"/>
  <c r="W7" i="22"/>
  <c r="Y7" i="22" l="1"/>
  <c r="AI7" i="22"/>
  <c r="BE21" i="41"/>
  <c r="A150" i="22"/>
  <c r="Z29" i="22"/>
  <c r="AA29" i="22" s="1"/>
  <c r="AJ19" i="22"/>
  <c r="AJ12" i="22"/>
  <c r="AI12" i="22"/>
  <c r="BF21" i="41" l="1"/>
  <c r="E24" i="5"/>
  <c r="AB29" i="22"/>
  <c r="AC29" i="22"/>
  <c r="AD29" i="22"/>
  <c r="Z76" i="22"/>
  <c r="AA76" i="22" s="1"/>
  <c r="Z94" i="22"/>
  <c r="AA94" i="22" s="1"/>
  <c r="Z127" i="22"/>
  <c r="AA127" i="22" s="1"/>
  <c r="Z143" i="22"/>
  <c r="AA143" i="22" s="1"/>
  <c r="U93" i="22"/>
  <c r="W93" i="22" s="1"/>
  <c r="Z93" i="22"/>
  <c r="AA93" i="22" s="1"/>
  <c r="Z111" i="22"/>
  <c r="AA111" i="22" s="1"/>
  <c r="Z126" i="22"/>
  <c r="AA126" i="22" s="1"/>
  <c r="U35" i="22"/>
  <c r="U81" i="22"/>
  <c r="Z88" i="22"/>
  <c r="AA88" i="22" s="1"/>
  <c r="U131" i="22"/>
  <c r="U138" i="22"/>
  <c r="Z18" i="22"/>
  <c r="AA18" i="22" s="1"/>
  <c r="Z71" i="22"/>
  <c r="AA71" i="22" s="1"/>
  <c r="U77" i="22"/>
  <c r="U122" i="22"/>
  <c r="Z53" i="22"/>
  <c r="AA53" i="22" s="1"/>
  <c r="U142" i="22"/>
  <c r="U61" i="22"/>
  <c r="Z37" i="22"/>
  <c r="AA37" i="22" s="1"/>
  <c r="Z55" i="22"/>
  <c r="AA55" i="22" s="1"/>
  <c r="Z59" i="22"/>
  <c r="AA59" i="22" s="1"/>
  <c r="Z63" i="22"/>
  <c r="AA63" i="22" s="1"/>
  <c r="Z73" i="22"/>
  <c r="AA73" i="22" s="1"/>
  <c r="U78" i="22"/>
  <c r="Z92" i="22"/>
  <c r="AA92" i="22" s="1"/>
  <c r="Z24" i="22"/>
  <c r="AA24" i="22" s="1"/>
  <c r="Z33" i="22"/>
  <c r="AA33" i="22" s="1"/>
  <c r="U56" i="22"/>
  <c r="Z74" i="22"/>
  <c r="AA74" i="22" s="1"/>
  <c r="U84" i="22"/>
  <c r="U97" i="22"/>
  <c r="U102" i="22"/>
  <c r="U107" i="22"/>
  <c r="U134" i="22"/>
  <c r="U83" i="22"/>
  <c r="U149" i="22"/>
  <c r="U60" i="22"/>
  <c r="U124" i="22"/>
  <c r="Z20" i="22"/>
  <c r="AA20" i="22" s="1"/>
  <c r="Z26" i="22"/>
  <c r="AA26" i="22" s="1"/>
  <c r="Z30" i="22"/>
  <c r="AA30" i="22" s="1"/>
  <c r="Z39" i="22"/>
  <c r="AA39" i="22" s="1"/>
  <c r="Z43" i="22"/>
  <c r="AA43" i="22" s="1"/>
  <c r="Z47" i="22"/>
  <c r="AA47" i="22" s="1"/>
  <c r="Z57" i="22"/>
  <c r="AA57" i="22" s="1"/>
  <c r="Z65" i="22"/>
  <c r="AA65" i="22" s="1"/>
  <c r="Z70" i="22"/>
  <c r="AA70" i="22" s="1"/>
  <c r="U103" i="22"/>
  <c r="U114" i="22"/>
  <c r="U125" i="22"/>
  <c r="U135" i="22"/>
  <c r="U146" i="22"/>
  <c r="Z13" i="22"/>
  <c r="AA13" i="22" s="1"/>
  <c r="U29" i="22"/>
  <c r="U108" i="22"/>
  <c r="U12" i="22"/>
  <c r="U16" i="22"/>
  <c r="Z58" i="22"/>
  <c r="AA58" i="22" s="1"/>
  <c r="U120" i="22"/>
  <c r="Z17" i="22"/>
  <c r="AA17" i="22" s="1"/>
  <c r="Z66" i="22"/>
  <c r="AA66" i="22" s="1"/>
  <c r="Z42" i="22"/>
  <c r="AA42" i="22" s="1"/>
  <c r="U21" i="22"/>
  <c r="Z7" i="22"/>
  <c r="Z27" i="22"/>
  <c r="AA27" i="22" s="1"/>
  <c r="Z31" i="22"/>
  <c r="AA31" i="22" s="1"/>
  <c r="Z41" i="22"/>
  <c r="AA41" i="22" s="1"/>
  <c r="Z49" i="22"/>
  <c r="AA49" i="22" s="1"/>
  <c r="Z54" i="22"/>
  <c r="AA54" i="22" s="1"/>
  <c r="U82" i="22"/>
  <c r="U116" i="22"/>
  <c r="I16" i="4"/>
  <c r="I17" i="4"/>
  <c r="U94" i="22"/>
  <c r="U126" i="22"/>
  <c r="U76" i="22"/>
  <c r="U111" i="22"/>
  <c r="U127" i="22"/>
  <c r="U143" i="22"/>
  <c r="D39" i="7"/>
  <c r="D38" i="6"/>
  <c r="D38" i="5"/>
  <c r="BG21" i="41" l="1"/>
  <c r="E8" i="5"/>
  <c r="E8" i="44" s="1"/>
  <c r="G5" i="37"/>
  <c r="E8" i="37" s="1"/>
  <c r="G5" i="38"/>
  <c r="E8" i="38" s="1"/>
  <c r="E36" i="38"/>
  <c r="E24" i="24"/>
  <c r="E25" i="10" s="1"/>
  <c r="G5" i="24"/>
  <c r="G5" i="23"/>
  <c r="D22" i="25"/>
  <c r="E24" i="36"/>
  <c r="E36" i="36" s="1"/>
  <c r="E35" i="37"/>
  <c r="AA7" i="22"/>
  <c r="AB7" i="22"/>
  <c r="E24" i="32"/>
  <c r="E33" i="32" s="1"/>
  <c r="AD7" i="22"/>
  <c r="AC7" i="22"/>
  <c r="AB17" i="22"/>
  <c r="AC17" i="22"/>
  <c r="AD17" i="22"/>
  <c r="AB49" i="22"/>
  <c r="AC49" i="22"/>
  <c r="AD49" i="22"/>
  <c r="AB92" i="22"/>
  <c r="AC92" i="22"/>
  <c r="AD92" i="22"/>
  <c r="AD111" i="22"/>
  <c r="AC111" i="22"/>
  <c r="AB111" i="22"/>
  <c r="AB41" i="22"/>
  <c r="AC41" i="22"/>
  <c r="AD41" i="22"/>
  <c r="AD71" i="22"/>
  <c r="AC71" i="22"/>
  <c r="AB71" i="22"/>
  <c r="AB54" i="22"/>
  <c r="AC54" i="22"/>
  <c r="AD54" i="22"/>
  <c r="AB57" i="22"/>
  <c r="AC57" i="22"/>
  <c r="AD57" i="22"/>
  <c r="AD55" i="22"/>
  <c r="AB55" i="22"/>
  <c r="AC55" i="22"/>
  <c r="AC94" i="22"/>
  <c r="AD94" i="22"/>
  <c r="AB94" i="22"/>
  <c r="AB13" i="22"/>
  <c r="AC13" i="22"/>
  <c r="AD13" i="22"/>
  <c r="AD47" i="22"/>
  <c r="AC47" i="22"/>
  <c r="AB47" i="22"/>
  <c r="AC26" i="22"/>
  <c r="AD26" i="22"/>
  <c r="AB26" i="22"/>
  <c r="AC88" i="22"/>
  <c r="AD88" i="22"/>
  <c r="AB88" i="22"/>
  <c r="AB93" i="22"/>
  <c r="AD93" i="22"/>
  <c r="AC93" i="22"/>
  <c r="AB76" i="22"/>
  <c r="AD76" i="22"/>
  <c r="AC76" i="22"/>
  <c r="AC42" i="22"/>
  <c r="AD42" i="22"/>
  <c r="AB42" i="22"/>
  <c r="AC66" i="22"/>
  <c r="AB66" i="22"/>
  <c r="AD66" i="22"/>
  <c r="AB43" i="22"/>
  <c r="AC43" i="22"/>
  <c r="AD43" i="22"/>
  <c r="AB73" i="22"/>
  <c r="AC73" i="22"/>
  <c r="AD73" i="22"/>
  <c r="AB53" i="22"/>
  <c r="AC53" i="22"/>
  <c r="AD53" i="22"/>
  <c r="AC18" i="22"/>
  <c r="AD18" i="22"/>
  <c r="AB18" i="22"/>
  <c r="AD31" i="22"/>
  <c r="AC31" i="22"/>
  <c r="AB31" i="22"/>
  <c r="AC58" i="22"/>
  <c r="AB58" i="22"/>
  <c r="AD58" i="22"/>
  <c r="AD39" i="22"/>
  <c r="AB39" i="22"/>
  <c r="AC39" i="22"/>
  <c r="AD20" i="22"/>
  <c r="AB20" i="22"/>
  <c r="AC20" i="22"/>
  <c r="AB33" i="22"/>
  <c r="AC33" i="22"/>
  <c r="AD33" i="22"/>
  <c r="AD143" i="22"/>
  <c r="AB143" i="22"/>
  <c r="AC143" i="22"/>
  <c r="AB27" i="22"/>
  <c r="AC27" i="22"/>
  <c r="AD27" i="22"/>
  <c r="AB70" i="22"/>
  <c r="AC70" i="22"/>
  <c r="AD70" i="22"/>
  <c r="AC74" i="22"/>
  <c r="AB74" i="22"/>
  <c r="AD74" i="22"/>
  <c r="AB37" i="22"/>
  <c r="AC37" i="22"/>
  <c r="AD37" i="22"/>
  <c r="AB59" i="22"/>
  <c r="AC59" i="22"/>
  <c r="AD59" i="22"/>
  <c r="AB30" i="22"/>
  <c r="AC30" i="22"/>
  <c r="AD30" i="22"/>
  <c r="AB65" i="22"/>
  <c r="AC65" i="22"/>
  <c r="AD65" i="22"/>
  <c r="AB24" i="22"/>
  <c r="AC24" i="22"/>
  <c r="AD24" i="22"/>
  <c r="AD63" i="22"/>
  <c r="AC63" i="22"/>
  <c r="AB63" i="22"/>
  <c r="AC126" i="22"/>
  <c r="AD126" i="22"/>
  <c r="AB126" i="22"/>
  <c r="AD127" i="22"/>
  <c r="AC127" i="22"/>
  <c r="AB127" i="22"/>
  <c r="U53" i="22"/>
  <c r="W53" i="22" s="1"/>
  <c r="U24" i="22"/>
  <c r="U26" i="22"/>
  <c r="W18" i="22"/>
  <c r="U17" i="22"/>
  <c r="U30" i="22"/>
  <c r="U66" i="22"/>
  <c r="W66" i="22" s="1"/>
  <c r="U54" i="22"/>
  <c r="W54" i="22" s="1"/>
  <c r="Z117" i="22"/>
  <c r="AA117" i="22" s="1"/>
  <c r="Z120" i="22"/>
  <c r="AA120" i="22" s="1"/>
  <c r="Z86" i="22"/>
  <c r="AA86" i="22" s="1"/>
  <c r="Z85" i="22"/>
  <c r="AA85" i="22" s="1"/>
  <c r="Z11" i="22"/>
  <c r="Z79" i="22"/>
  <c r="AA79" i="22" s="1"/>
  <c r="Z64" i="22"/>
  <c r="AA64" i="22" s="1"/>
  <c r="U38" i="22"/>
  <c r="W38" i="22" s="1"/>
  <c r="Z38" i="22"/>
  <c r="AA38" i="22" s="1"/>
  <c r="U9" i="22"/>
  <c r="Z9" i="22"/>
  <c r="AA9" i="22" s="1"/>
  <c r="Z128" i="22"/>
  <c r="AA128" i="22" s="1"/>
  <c r="Z96" i="22"/>
  <c r="AA96" i="22" s="1"/>
  <c r="Z28" i="22"/>
  <c r="AA28" i="22" s="1"/>
  <c r="Z142" i="22"/>
  <c r="AA142" i="22" s="1"/>
  <c r="Z147" i="22"/>
  <c r="AA147" i="22" s="1"/>
  <c r="Z77" i="22"/>
  <c r="AA77" i="22" s="1"/>
  <c r="U89" i="22"/>
  <c r="W89" i="22" s="1"/>
  <c r="Z89" i="22"/>
  <c r="AA89" i="22" s="1"/>
  <c r="Z106" i="22"/>
  <c r="AA106" i="22" s="1"/>
  <c r="Z69" i="22"/>
  <c r="AA69" i="22" s="1"/>
  <c r="U96" i="22"/>
  <c r="U106" i="22"/>
  <c r="W106" i="22" s="1"/>
  <c r="U86" i="22"/>
  <c r="W86" i="22" s="1"/>
  <c r="U11" i="22"/>
  <c r="Z148" i="22"/>
  <c r="AA148" i="22" s="1"/>
  <c r="Z116" i="22"/>
  <c r="AA116" i="22" s="1"/>
  <c r="Z91" i="22"/>
  <c r="AA91" i="22" s="1"/>
  <c r="Z72" i="22"/>
  <c r="AA72" i="22" s="1"/>
  <c r="Z87" i="22"/>
  <c r="AA87" i="22" s="1"/>
  <c r="Z21" i="22"/>
  <c r="AA21" i="22" s="1"/>
  <c r="Z121" i="22"/>
  <c r="AA121" i="22" s="1"/>
  <c r="Z90" i="22"/>
  <c r="AA90" i="22" s="1"/>
  <c r="Z48" i="22"/>
  <c r="AA48" i="22" s="1"/>
  <c r="Z16" i="22"/>
  <c r="AA16" i="22" s="1"/>
  <c r="Z140" i="22"/>
  <c r="AA140" i="22" s="1"/>
  <c r="Z25" i="22"/>
  <c r="AA25" i="22" s="1"/>
  <c r="Z10" i="22"/>
  <c r="AA10" i="22" s="1"/>
  <c r="Z141" i="22"/>
  <c r="AA141" i="22" s="1"/>
  <c r="Z125" i="22"/>
  <c r="Z109" i="22"/>
  <c r="AA109" i="22" s="1"/>
  <c r="Z80" i="22"/>
  <c r="AA80" i="22" s="1"/>
  <c r="Z52" i="22"/>
  <c r="AA52" i="22" s="1"/>
  <c r="Z60" i="22"/>
  <c r="Z133" i="22"/>
  <c r="AA133" i="22" s="1"/>
  <c r="Z145" i="22"/>
  <c r="AA145" i="22" s="1"/>
  <c r="Z129" i="22"/>
  <c r="AA129" i="22" s="1"/>
  <c r="Z113" i="22"/>
  <c r="AA113" i="22" s="1"/>
  <c r="Z97" i="22"/>
  <c r="AA97" i="22" s="1"/>
  <c r="U46" i="22"/>
  <c r="W46" i="22" s="1"/>
  <c r="Z46" i="22"/>
  <c r="AA46" i="22" s="1"/>
  <c r="U23" i="22"/>
  <c r="W23" i="22" s="1"/>
  <c r="Z23" i="22"/>
  <c r="AA23" i="22" s="1"/>
  <c r="Z101" i="22"/>
  <c r="AA101" i="22" s="1"/>
  <c r="Z110" i="22"/>
  <c r="AA110" i="22" s="1"/>
  <c r="Z122" i="22"/>
  <c r="AA122" i="22" s="1"/>
  <c r="U51" i="22"/>
  <c r="W51" i="22" s="1"/>
  <c r="Z51" i="22"/>
  <c r="AA51" i="22" s="1"/>
  <c r="Z99" i="22"/>
  <c r="AA99" i="22" s="1"/>
  <c r="Z35" i="22"/>
  <c r="U117" i="22"/>
  <c r="W117" i="22" s="1"/>
  <c r="U85" i="22"/>
  <c r="W85" i="22" s="1"/>
  <c r="U145" i="22"/>
  <c r="W145" i="22" s="1"/>
  <c r="U25" i="22"/>
  <c r="W25" i="22" s="1"/>
  <c r="Z136" i="22"/>
  <c r="AA136" i="22" s="1"/>
  <c r="Z104" i="22"/>
  <c r="AA104" i="22" s="1"/>
  <c r="Z135" i="22"/>
  <c r="AA135" i="22" s="1"/>
  <c r="Z119" i="22"/>
  <c r="Z103" i="22"/>
  <c r="U34" i="22"/>
  <c r="W34" i="22" s="1"/>
  <c r="Z34" i="22"/>
  <c r="AA34" i="22" s="1"/>
  <c r="U15" i="22"/>
  <c r="W15" i="22" s="1"/>
  <c r="Z15" i="22"/>
  <c r="AA15" i="22" s="1"/>
  <c r="Z124" i="22"/>
  <c r="Z139" i="22"/>
  <c r="AA139" i="22" s="1"/>
  <c r="Z123" i="22"/>
  <c r="AA123" i="22" s="1"/>
  <c r="Z107" i="22"/>
  <c r="AA107" i="22" s="1"/>
  <c r="Z84" i="22"/>
  <c r="AA84" i="22" s="1"/>
  <c r="Z56" i="22"/>
  <c r="AA56" i="22" s="1"/>
  <c r="Z144" i="22"/>
  <c r="AA144" i="22" s="1"/>
  <c r="Z112" i="22"/>
  <c r="AA112" i="22" s="1"/>
  <c r="Z68" i="22"/>
  <c r="AA68" i="22" s="1"/>
  <c r="U67" i="22"/>
  <c r="Z67" i="22"/>
  <c r="Z115" i="22"/>
  <c r="AA115" i="22" s="1"/>
  <c r="U45" i="22"/>
  <c r="Z45" i="22"/>
  <c r="AA45" i="22" s="1"/>
  <c r="Z138" i="22"/>
  <c r="AA138" i="22" s="1"/>
  <c r="U128" i="22"/>
  <c r="W128" i="22" s="1"/>
  <c r="U140" i="22"/>
  <c r="W140" i="22" s="1"/>
  <c r="U87" i="22"/>
  <c r="U68" i="22"/>
  <c r="U80" i="22"/>
  <c r="W80" i="22" s="1"/>
  <c r="U147" i="22"/>
  <c r="W147" i="22" s="1"/>
  <c r="U113" i="22"/>
  <c r="U72" i="22"/>
  <c r="U10" i="22"/>
  <c r="W10" i="22" s="1"/>
  <c r="Y10" i="22" s="1"/>
  <c r="Z8" i="22"/>
  <c r="Z132" i="22"/>
  <c r="AA132" i="22" s="1"/>
  <c r="Z100" i="22"/>
  <c r="Z82" i="22"/>
  <c r="AA82" i="22" s="1"/>
  <c r="Z36" i="22"/>
  <c r="Z22" i="22"/>
  <c r="AA22" i="22" s="1"/>
  <c r="Z137" i="22"/>
  <c r="AA137" i="22" s="1"/>
  <c r="U62" i="22"/>
  <c r="Z62" i="22"/>
  <c r="AA62" i="22" s="1"/>
  <c r="Z105" i="22"/>
  <c r="AA105" i="22" s="1"/>
  <c r="Z44" i="22"/>
  <c r="AA44" i="22" s="1"/>
  <c r="Z40" i="22"/>
  <c r="AA40" i="22" s="1"/>
  <c r="Z12" i="22"/>
  <c r="AA12" i="22" s="1"/>
  <c r="Z108" i="22"/>
  <c r="AA108" i="22" s="1"/>
  <c r="U14" i="22"/>
  <c r="W14" i="22" s="1"/>
  <c r="Z14" i="22"/>
  <c r="AA14" i="22" s="1"/>
  <c r="Z146" i="22"/>
  <c r="AA146" i="22" s="1"/>
  <c r="Z130" i="22"/>
  <c r="AA130" i="22" s="1"/>
  <c r="Z114" i="22"/>
  <c r="AA114" i="22" s="1"/>
  <c r="Z98" i="22"/>
  <c r="AA98" i="22" s="1"/>
  <c r="Z75" i="22"/>
  <c r="AA75" i="22" s="1"/>
  <c r="U69" i="22"/>
  <c r="W69" i="22" s="1"/>
  <c r="Z149" i="22"/>
  <c r="AA149" i="22" s="1"/>
  <c r="Z83" i="22"/>
  <c r="AA83" i="22" s="1"/>
  <c r="Z134" i="22"/>
  <c r="AA134" i="22" s="1"/>
  <c r="Z118" i="22"/>
  <c r="Z102" i="22"/>
  <c r="Z78" i="22"/>
  <c r="AA78" i="22" s="1"/>
  <c r="U50" i="22"/>
  <c r="W50" i="22" s="1"/>
  <c r="Z50" i="22"/>
  <c r="AA50" i="22" s="1"/>
  <c r="Z19" i="22"/>
  <c r="AA19" i="22" s="1"/>
  <c r="Z32" i="22"/>
  <c r="Z61" i="22"/>
  <c r="Z95" i="22"/>
  <c r="AA95" i="22" s="1"/>
  <c r="Z131" i="22"/>
  <c r="Z81" i="22"/>
  <c r="AA81" i="22" s="1"/>
  <c r="D22" i="31"/>
  <c r="D22" i="29"/>
  <c r="D22" i="27"/>
  <c r="D22" i="30"/>
  <c r="D22" i="28"/>
  <c r="D22" i="26"/>
  <c r="D22" i="13"/>
  <c r="U98" i="22"/>
  <c r="U79" i="22"/>
  <c r="W139" i="22"/>
  <c r="U99" i="22"/>
  <c r="W99" i="22" s="1"/>
  <c r="U32" i="22"/>
  <c r="U71" i="22"/>
  <c r="W71" i="22" s="1"/>
  <c r="U112" i="22"/>
  <c r="W112" i="22" s="1"/>
  <c r="U119" i="22"/>
  <c r="W119" i="22" s="1"/>
  <c r="U95" i="22"/>
  <c r="W95" i="22" s="1"/>
  <c r="U90" i="22"/>
  <c r="W90" i="22" s="1"/>
  <c r="U52" i="22"/>
  <c r="W52" i="22" s="1"/>
  <c r="U118" i="22"/>
  <c r="W118" i="22" s="1"/>
  <c r="U44" i="22"/>
  <c r="W44" i="22" s="1"/>
  <c r="U121" i="22"/>
  <c r="W121" i="22" s="1"/>
  <c r="U22" i="22"/>
  <c r="W22" i="22" s="1"/>
  <c r="U88" i="22"/>
  <c r="U130" i="22"/>
  <c r="W130" i="22" s="1"/>
  <c r="U19" i="22"/>
  <c r="U136" i="22"/>
  <c r="W136" i="22" s="1"/>
  <c r="U104" i="22"/>
  <c r="W104" i="22" s="1"/>
  <c r="U137" i="22"/>
  <c r="W137" i="22" s="1"/>
  <c r="U110" i="22"/>
  <c r="W110" i="22" s="1"/>
  <c r="U36" i="22"/>
  <c r="U101" i="22"/>
  <c r="W101" i="22" s="1"/>
  <c r="U132" i="22"/>
  <c r="U100" i="22"/>
  <c r="W100" i="22" s="1"/>
  <c r="U48" i="22"/>
  <c r="U115" i="22"/>
  <c r="W115" i="22" s="1"/>
  <c r="U64" i="22"/>
  <c r="W64" i="22" s="1"/>
  <c r="U8" i="22"/>
  <c r="U75" i="22"/>
  <c r="W149" i="22"/>
  <c r="W138" i="22"/>
  <c r="W84" i="22"/>
  <c r="W131" i="22"/>
  <c r="W135" i="22"/>
  <c r="W103" i="22"/>
  <c r="W81" i="22"/>
  <c r="W77" i="22"/>
  <c r="W146" i="22"/>
  <c r="W125" i="22"/>
  <c r="W114" i="22"/>
  <c r="W78" i="22"/>
  <c r="W56" i="22"/>
  <c r="W83" i="22"/>
  <c r="W94" i="22"/>
  <c r="W127" i="22"/>
  <c r="W108" i="22"/>
  <c r="W97" i="22"/>
  <c r="W60" i="22"/>
  <c r="U41" i="22"/>
  <c r="U39" i="22"/>
  <c r="U20" i="22"/>
  <c r="U92" i="22"/>
  <c r="U59" i="22"/>
  <c r="W12" i="22"/>
  <c r="U55" i="22"/>
  <c r="W35" i="22"/>
  <c r="W61" i="22"/>
  <c r="U65" i="22"/>
  <c r="U31" i="22"/>
  <c r="U57" i="22"/>
  <c r="U27" i="22"/>
  <c r="U42" i="22"/>
  <c r="U58" i="22"/>
  <c r="U33" i="22"/>
  <c r="U73" i="22"/>
  <c r="W120" i="22"/>
  <c r="U133" i="22"/>
  <c r="W122" i="22"/>
  <c r="U123" i="22"/>
  <c r="W134" i="22"/>
  <c r="U13" i="22"/>
  <c r="U74" i="22"/>
  <c r="U148" i="22"/>
  <c r="W116" i="22"/>
  <c r="U105" i="22"/>
  <c r="U70" i="22"/>
  <c r="W29" i="22"/>
  <c r="U47" i="22"/>
  <c r="U37" i="22"/>
  <c r="W143" i="22"/>
  <c r="W111" i="22"/>
  <c r="W124" i="22"/>
  <c r="W142" i="22"/>
  <c r="W126" i="22"/>
  <c r="W107" i="22"/>
  <c r="W82" i="22"/>
  <c r="U144" i="22"/>
  <c r="U91" i="22"/>
  <c r="U141" i="22"/>
  <c r="U109" i="22"/>
  <c r="W76" i="22"/>
  <c r="U40" i="22"/>
  <c r="U28" i="22"/>
  <c r="U129" i="22"/>
  <c r="W102" i="22"/>
  <c r="W16" i="22"/>
  <c r="W21" i="22"/>
  <c r="U49" i="22"/>
  <c r="U43" i="22"/>
  <c r="U63" i="22"/>
  <c r="Y93" i="22"/>
  <c r="P42" i="4"/>
  <c r="T42" i="4"/>
  <c r="N8" i="44" l="1"/>
  <c r="BH21" i="41"/>
  <c r="F16" i="38"/>
  <c r="E8" i="24"/>
  <c r="E11" i="24" s="1"/>
  <c r="N11" i="24" s="1"/>
  <c r="E8" i="23"/>
  <c r="T40" i="27"/>
  <c r="O40" i="27" s="1"/>
  <c r="F16" i="37"/>
  <c r="E11" i="5"/>
  <c r="E13" i="5"/>
  <c r="E8" i="36"/>
  <c r="N8" i="36" s="1"/>
  <c r="N8" i="5"/>
  <c r="E8" i="34"/>
  <c r="O8" i="34" s="1"/>
  <c r="E10" i="5"/>
  <c r="E8" i="32"/>
  <c r="N8" i="32" s="1"/>
  <c r="N8" i="38"/>
  <c r="N8" i="37"/>
  <c r="T40" i="28"/>
  <c r="O40" i="28" s="1"/>
  <c r="T40" i="25"/>
  <c r="O40" i="25" s="1"/>
  <c r="T40" i="30"/>
  <c r="O40" i="30" s="1"/>
  <c r="T40" i="26"/>
  <c r="O40" i="26" s="1"/>
  <c r="T40" i="13"/>
  <c r="O40" i="13" s="1"/>
  <c r="T40" i="31"/>
  <c r="O40" i="31" s="1"/>
  <c r="F25" i="24"/>
  <c r="N17" i="24" s="1"/>
  <c r="T40" i="29"/>
  <c r="O40" i="29" s="1"/>
  <c r="AA103" i="22"/>
  <c r="AA125" i="22"/>
  <c r="AA102" i="22"/>
  <c r="AA11" i="22"/>
  <c r="AA36" i="22"/>
  <c r="AA131" i="22"/>
  <c r="AA118" i="22"/>
  <c r="AA35" i="22"/>
  <c r="AA60" i="22"/>
  <c r="AA100" i="22"/>
  <c r="AA119" i="22"/>
  <c r="AA61" i="22"/>
  <c r="AA124" i="22"/>
  <c r="AA32" i="22"/>
  <c r="AA67" i="22"/>
  <c r="AB8" i="22"/>
  <c r="AA8" i="22"/>
  <c r="W9" i="22"/>
  <c r="Y9" i="22" s="1"/>
  <c r="W24" i="22"/>
  <c r="Y24" i="22" s="1"/>
  <c r="W26" i="22"/>
  <c r="Y26" i="22" s="1"/>
  <c r="W72" i="22"/>
  <c r="Y72" i="22" s="1"/>
  <c r="W30" i="22"/>
  <c r="W62" i="22"/>
  <c r="W68" i="22"/>
  <c r="Y68" i="22" s="1"/>
  <c r="W113" i="22"/>
  <c r="W87" i="22"/>
  <c r="AC98" i="22"/>
  <c r="AB98" i="22"/>
  <c r="AD98" i="22"/>
  <c r="AB14" i="22"/>
  <c r="AC14" i="22"/>
  <c r="AD14" i="22"/>
  <c r="AB44" i="22"/>
  <c r="AC44" i="22"/>
  <c r="AD44" i="22"/>
  <c r="AB22" i="22"/>
  <c r="AC22" i="22"/>
  <c r="AD22" i="22"/>
  <c r="AD132" i="22"/>
  <c r="AB132" i="22"/>
  <c r="AC132" i="22"/>
  <c r="AC122" i="22"/>
  <c r="AB122" i="22"/>
  <c r="AD122" i="22"/>
  <c r="AB46" i="22"/>
  <c r="AC46" i="22"/>
  <c r="AD46" i="22"/>
  <c r="AB145" i="22"/>
  <c r="AC145" i="22"/>
  <c r="AD145" i="22"/>
  <c r="AC80" i="22"/>
  <c r="AD80" i="22"/>
  <c r="AB80" i="22"/>
  <c r="AC10" i="22"/>
  <c r="AD10" i="22"/>
  <c r="AB10" i="22"/>
  <c r="AB48" i="22"/>
  <c r="AC48" i="22"/>
  <c r="AD48" i="22"/>
  <c r="AD87" i="22"/>
  <c r="AC87" i="22"/>
  <c r="AB87" i="22"/>
  <c r="AD116" i="22"/>
  <c r="AB116" i="22"/>
  <c r="AC116" i="22"/>
  <c r="AB69" i="22"/>
  <c r="AD69" i="22"/>
  <c r="AC69" i="22"/>
  <c r="AB147" i="22"/>
  <c r="AD147" i="22"/>
  <c r="AC147" i="22"/>
  <c r="AC128" i="22"/>
  <c r="AB128" i="22"/>
  <c r="AD128" i="22"/>
  <c r="AD79" i="22"/>
  <c r="AB79" i="22"/>
  <c r="AC79" i="22"/>
  <c r="AC120" i="22"/>
  <c r="AB120" i="22"/>
  <c r="AD120" i="22"/>
  <c r="AD15" i="22"/>
  <c r="AB15" i="22"/>
  <c r="AC15" i="22"/>
  <c r="AB61" i="22"/>
  <c r="AD61" i="22"/>
  <c r="AC61" i="22"/>
  <c r="AB78" i="22"/>
  <c r="AC78" i="22"/>
  <c r="AD78" i="22"/>
  <c r="AB83" i="22"/>
  <c r="AC83" i="22"/>
  <c r="AD83" i="22"/>
  <c r="AB115" i="22"/>
  <c r="AD115" i="22"/>
  <c r="AC115" i="22"/>
  <c r="AC144" i="22"/>
  <c r="AD144" i="22"/>
  <c r="AB144" i="22"/>
  <c r="AB123" i="22"/>
  <c r="AD123" i="22"/>
  <c r="AC123" i="22"/>
  <c r="AC34" i="22"/>
  <c r="AD34" i="22"/>
  <c r="AB34" i="22"/>
  <c r="AC104" i="22"/>
  <c r="AB104" i="22"/>
  <c r="AD104" i="22"/>
  <c r="AD135" i="22"/>
  <c r="AB135" i="22"/>
  <c r="AC135" i="22"/>
  <c r="AC114" i="22"/>
  <c r="AB114" i="22"/>
  <c r="AD114" i="22"/>
  <c r="AB108" i="22"/>
  <c r="AC108" i="22"/>
  <c r="AD108" i="22"/>
  <c r="AB105" i="22"/>
  <c r="AC105" i="22"/>
  <c r="AD105" i="22"/>
  <c r="AB36" i="22"/>
  <c r="AD36" i="22"/>
  <c r="AC36" i="22"/>
  <c r="AC8" i="22"/>
  <c r="AD8" i="22"/>
  <c r="AB35" i="22"/>
  <c r="AC35" i="22"/>
  <c r="AD35" i="22"/>
  <c r="AC110" i="22"/>
  <c r="AD110" i="22"/>
  <c r="AB110" i="22"/>
  <c r="AB97" i="22"/>
  <c r="AC97" i="22"/>
  <c r="AD97" i="22"/>
  <c r="AB133" i="22"/>
  <c r="AD133" i="22"/>
  <c r="AC133" i="22"/>
  <c r="AB109" i="22"/>
  <c r="AD109" i="22"/>
  <c r="AC109" i="22"/>
  <c r="AB25" i="22"/>
  <c r="AC25" i="22"/>
  <c r="AD25" i="22"/>
  <c r="AC90" i="22"/>
  <c r="AB90" i="22"/>
  <c r="AD90" i="22"/>
  <c r="AB148" i="22"/>
  <c r="AC148" i="22"/>
  <c r="AD148" i="22"/>
  <c r="AC106" i="22"/>
  <c r="AB106" i="22"/>
  <c r="AD106" i="22"/>
  <c r="AC142" i="22"/>
  <c r="AD142" i="22"/>
  <c r="AB142" i="22"/>
  <c r="AB9" i="22"/>
  <c r="AC9" i="22"/>
  <c r="AD9" i="22"/>
  <c r="AB11" i="22"/>
  <c r="AC11" i="22"/>
  <c r="AD11" i="22"/>
  <c r="AB117" i="22"/>
  <c r="AD117" i="22"/>
  <c r="AC117" i="22"/>
  <c r="AC50" i="22"/>
  <c r="AD50" i="22"/>
  <c r="AB50" i="22"/>
  <c r="W17" i="22"/>
  <c r="Y17" i="22" s="1"/>
  <c r="W96" i="22"/>
  <c r="Y96" i="22" s="1"/>
  <c r="AB81" i="22"/>
  <c r="AC81" i="22"/>
  <c r="AD81" i="22"/>
  <c r="AB32" i="22"/>
  <c r="AC32" i="22"/>
  <c r="AD32" i="22"/>
  <c r="AC102" i="22"/>
  <c r="AD102" i="22"/>
  <c r="AB102" i="22"/>
  <c r="AB149" i="22"/>
  <c r="AD149" i="22"/>
  <c r="AC149" i="22"/>
  <c r="AB67" i="22"/>
  <c r="AC67" i="22"/>
  <c r="AD67" i="22"/>
  <c r="AC56" i="22"/>
  <c r="AD56" i="22"/>
  <c r="AB56" i="22"/>
  <c r="AB139" i="22"/>
  <c r="AD139" i="22"/>
  <c r="AC139" i="22"/>
  <c r="AD103" i="22"/>
  <c r="AC103" i="22"/>
  <c r="AB103" i="22"/>
  <c r="AC136" i="22"/>
  <c r="AD136" i="22"/>
  <c r="AB136" i="22"/>
  <c r="AC134" i="22"/>
  <c r="AD134" i="22"/>
  <c r="AB134" i="22"/>
  <c r="AB45" i="22"/>
  <c r="AC45" i="22"/>
  <c r="AD45" i="22"/>
  <c r="AC130" i="22"/>
  <c r="AB130" i="22"/>
  <c r="AD130" i="22"/>
  <c r="AB12" i="22"/>
  <c r="AD12" i="22"/>
  <c r="AC12" i="22"/>
  <c r="AB62" i="22"/>
  <c r="AC62" i="22"/>
  <c r="AD62" i="22"/>
  <c r="AC82" i="22"/>
  <c r="AB82" i="22"/>
  <c r="AD82" i="22"/>
  <c r="AB99" i="22"/>
  <c r="AD99" i="22"/>
  <c r="AC99" i="22"/>
  <c r="AB101" i="22"/>
  <c r="AD101" i="22"/>
  <c r="AC101" i="22"/>
  <c r="AB113" i="22"/>
  <c r="AC113" i="22"/>
  <c r="AD113" i="22"/>
  <c r="AB60" i="22"/>
  <c r="AC60" i="22"/>
  <c r="AD60" i="22"/>
  <c r="AB125" i="22"/>
  <c r="AD125" i="22"/>
  <c r="AC125" i="22"/>
  <c r="AD140" i="22"/>
  <c r="AB140" i="22"/>
  <c r="AC140" i="22"/>
  <c r="AB121" i="22"/>
  <c r="AC121" i="22"/>
  <c r="AD121" i="22"/>
  <c r="AC72" i="22"/>
  <c r="AD72" i="22"/>
  <c r="AB72" i="22"/>
  <c r="AB89" i="22"/>
  <c r="AC89" i="22"/>
  <c r="AD89" i="22"/>
  <c r="AB28" i="22"/>
  <c r="AC28" i="22"/>
  <c r="AD28" i="22"/>
  <c r="AB38" i="22"/>
  <c r="AC38" i="22"/>
  <c r="AD38" i="22"/>
  <c r="AB85" i="22"/>
  <c r="AD85" i="22"/>
  <c r="AC85" i="22"/>
  <c r="AD95" i="22"/>
  <c r="AC95" i="22"/>
  <c r="AB95" i="22"/>
  <c r="AC112" i="22"/>
  <c r="AD112" i="22"/>
  <c r="AB112" i="22"/>
  <c r="AB131" i="22"/>
  <c r="AD131" i="22"/>
  <c r="AC131" i="22"/>
  <c r="AB19" i="22"/>
  <c r="AC19" i="22"/>
  <c r="AD19" i="22"/>
  <c r="AC118" i="22"/>
  <c r="AD118" i="22"/>
  <c r="AB118" i="22"/>
  <c r="AC138" i="22"/>
  <c r="AB138" i="22"/>
  <c r="AD138" i="22"/>
  <c r="AB68" i="22"/>
  <c r="AC68" i="22"/>
  <c r="AD68" i="22"/>
  <c r="AB84" i="22"/>
  <c r="AC84" i="22"/>
  <c r="AD84" i="22"/>
  <c r="AD124" i="22"/>
  <c r="AB124" i="22"/>
  <c r="AC124" i="22"/>
  <c r="AD119" i="22"/>
  <c r="AB119" i="22"/>
  <c r="AC119" i="22"/>
  <c r="AB107" i="22"/>
  <c r="AD107" i="22"/>
  <c r="AC107" i="22"/>
  <c r="AB75" i="22"/>
  <c r="AC75" i="22"/>
  <c r="AD75" i="22"/>
  <c r="AC146" i="22"/>
  <c r="AB146" i="22"/>
  <c r="AD146" i="22"/>
  <c r="AB40" i="22"/>
  <c r="AC40" i="22"/>
  <c r="AD40" i="22"/>
  <c r="AB137" i="22"/>
  <c r="AC137" i="22"/>
  <c r="AD137" i="22"/>
  <c r="AB100" i="22"/>
  <c r="AC100" i="22"/>
  <c r="AD100" i="22"/>
  <c r="AB51" i="22"/>
  <c r="AC51" i="22"/>
  <c r="AD51" i="22"/>
  <c r="AD23" i="22"/>
  <c r="AB23" i="22"/>
  <c r="AC23" i="22"/>
  <c r="AB129" i="22"/>
  <c r="AC129" i="22"/>
  <c r="AD129" i="22"/>
  <c r="AB52" i="22"/>
  <c r="AD52" i="22"/>
  <c r="AC52" i="22"/>
  <c r="AB141" i="22"/>
  <c r="AD141" i="22"/>
  <c r="AC141" i="22"/>
  <c r="AB16" i="22"/>
  <c r="AC16" i="22"/>
  <c r="AD16" i="22"/>
  <c r="AB21" i="22"/>
  <c r="AC21" i="22"/>
  <c r="AD21" i="22"/>
  <c r="AB91" i="22"/>
  <c r="AD91" i="22"/>
  <c r="AC91" i="22"/>
  <c r="AB77" i="22"/>
  <c r="AD77" i="22"/>
  <c r="AC77" i="22"/>
  <c r="AC96" i="22"/>
  <c r="AB96" i="22"/>
  <c r="AD96" i="22"/>
  <c r="AC64" i="22"/>
  <c r="AD64" i="22"/>
  <c r="AB64" i="22"/>
  <c r="AB86" i="22"/>
  <c r="AC86" i="22"/>
  <c r="AD86" i="22"/>
  <c r="W88" i="22"/>
  <c r="Y88" i="22" s="1"/>
  <c r="W67" i="22"/>
  <c r="Y67" i="22" s="1"/>
  <c r="W75" i="22"/>
  <c r="Y75" i="22" s="1"/>
  <c r="W79" i="22"/>
  <c r="Y79" i="22" s="1"/>
  <c r="W45" i="22"/>
  <c r="Y45" i="22" s="1"/>
  <c r="W19" i="22"/>
  <c r="Y19" i="22" s="1"/>
  <c r="W11" i="22"/>
  <c r="Y11" i="22" s="1"/>
  <c r="W48" i="22"/>
  <c r="Y48" i="22" s="1"/>
  <c r="W36" i="22"/>
  <c r="Y36" i="22" s="1"/>
  <c r="W132" i="22"/>
  <c r="E31" i="24"/>
  <c r="W98" i="22"/>
  <c r="Y98" i="22" s="1"/>
  <c r="W32" i="22"/>
  <c r="Y32" i="22" s="1"/>
  <c r="W8" i="22"/>
  <c r="Y8" i="22" s="1"/>
  <c r="W70" i="22"/>
  <c r="Y84" i="22"/>
  <c r="Y21" i="22"/>
  <c r="Y71" i="22"/>
  <c r="Y22" i="22"/>
  <c r="Y102" i="22"/>
  <c r="Y143" i="22"/>
  <c r="Y53" i="22"/>
  <c r="Y101" i="22"/>
  <c r="Y61" i="22"/>
  <c r="W55" i="22"/>
  <c r="W92" i="22"/>
  <c r="Y108" i="22"/>
  <c r="W129" i="22"/>
  <c r="W31" i="22"/>
  <c r="Y44" i="22"/>
  <c r="Y149" i="22"/>
  <c r="Y130" i="22"/>
  <c r="Y18" i="22"/>
  <c r="Y115" i="22"/>
  <c r="Y140" i="22"/>
  <c r="W43" i="22"/>
  <c r="W141" i="22"/>
  <c r="Y38" i="22"/>
  <c r="Y124" i="22"/>
  <c r="Y111" i="22"/>
  <c r="Y119" i="22"/>
  <c r="W13" i="22"/>
  <c r="Y14" i="22"/>
  <c r="Y51" i="22"/>
  <c r="W42" i="22"/>
  <c r="Y69" i="22"/>
  <c r="W20" i="22"/>
  <c r="Y60" i="22"/>
  <c r="Y118" i="22"/>
  <c r="Y94" i="22"/>
  <c r="Y83" i="22"/>
  <c r="Y125" i="22"/>
  <c r="Y128" i="22"/>
  <c r="Y80" i="22"/>
  <c r="Y117" i="22"/>
  <c r="Y104" i="22"/>
  <c r="Y97" i="22"/>
  <c r="Y114" i="22"/>
  <c r="W28" i="22"/>
  <c r="Y46" i="22"/>
  <c r="Y120" i="22"/>
  <c r="W65" i="22"/>
  <c r="Y35" i="22"/>
  <c r="Y12" i="22"/>
  <c r="Y16" i="22"/>
  <c r="Y76" i="22"/>
  <c r="W91" i="22"/>
  <c r="W47" i="22"/>
  <c r="Y85" i="22"/>
  <c r="Y116" i="22"/>
  <c r="Y134" i="22"/>
  <c r="Y122" i="22"/>
  <c r="W73" i="22"/>
  <c r="W58" i="22"/>
  <c r="Y106" i="22"/>
  <c r="Y127" i="22"/>
  <c r="W40" i="22"/>
  <c r="Y82" i="22"/>
  <c r="Y126" i="22"/>
  <c r="W105" i="22"/>
  <c r="W148" i="22"/>
  <c r="W123" i="22"/>
  <c r="W133" i="22"/>
  <c r="W57" i="22"/>
  <c r="W41" i="22"/>
  <c r="Y34" i="22"/>
  <c r="Y137" i="22"/>
  <c r="Y110" i="22"/>
  <c r="Y56" i="22"/>
  <c r="Y81" i="22"/>
  <c r="Y135" i="22"/>
  <c r="Y121" i="22"/>
  <c r="Y86" i="22"/>
  <c r="Y136" i="22"/>
  <c r="Y90" i="22"/>
  <c r="Y147" i="22"/>
  <c r="W49" i="22"/>
  <c r="Y64" i="22"/>
  <c r="W109" i="22"/>
  <c r="Y112" i="22"/>
  <c r="W37" i="22"/>
  <c r="Y29" i="22"/>
  <c r="Y52" i="22"/>
  <c r="W74" i="22"/>
  <c r="W59" i="22"/>
  <c r="Y95" i="22"/>
  <c r="W63" i="22"/>
  <c r="W144" i="22"/>
  <c r="Y107" i="22"/>
  <c r="Y50" i="22"/>
  <c r="Y142" i="22"/>
  <c r="Y139" i="22"/>
  <c r="W33" i="22"/>
  <c r="W27" i="22"/>
  <c r="Y89" i="22"/>
  <c r="W39" i="22"/>
  <c r="Y99" i="22"/>
  <c r="Y66" i="22"/>
  <c r="Y15" i="22"/>
  <c r="Y25" i="22"/>
  <c r="Y145" i="22"/>
  <c r="Y78" i="22"/>
  <c r="Y146" i="22"/>
  <c r="Y77" i="22"/>
  <c r="Y100" i="22"/>
  <c r="Y103" i="22"/>
  <c r="Y54" i="22"/>
  <c r="Y131" i="22"/>
  <c r="Y138" i="22"/>
  <c r="Y23" i="22"/>
  <c r="C1" i="23"/>
  <c r="E13" i="38" l="1"/>
  <c r="N13" i="38" s="1"/>
  <c r="E13" i="44"/>
  <c r="N13" i="44" s="1"/>
  <c r="E11" i="38"/>
  <c r="N11" i="38" s="1"/>
  <c r="E11" i="44"/>
  <c r="N11" i="44" s="1"/>
  <c r="E46" i="5"/>
  <c r="E10" i="44"/>
  <c r="E10" i="38"/>
  <c r="N10" i="38" s="1"/>
  <c r="BI21" i="41"/>
  <c r="E13" i="24"/>
  <c r="N13" i="24" s="1"/>
  <c r="E10" i="24"/>
  <c r="F16" i="23"/>
  <c r="F16" i="24"/>
  <c r="E11" i="32"/>
  <c r="N11" i="32" s="1"/>
  <c r="E10" i="32"/>
  <c r="E11" i="34"/>
  <c r="O11" i="34" s="1"/>
  <c r="K13" i="31"/>
  <c r="D25" i="31" s="1"/>
  <c r="K13" i="25"/>
  <c r="D25" i="25" s="1"/>
  <c r="K13" i="26"/>
  <c r="D25" i="26" s="1"/>
  <c r="K13" i="28"/>
  <c r="D25" i="28" s="1"/>
  <c r="K13" i="27"/>
  <c r="D25" i="27" s="1"/>
  <c r="K13" i="29"/>
  <c r="D25" i="29" s="1"/>
  <c r="E10" i="34"/>
  <c r="O10" i="34" s="1"/>
  <c r="E11" i="37"/>
  <c r="N11" i="37" s="1"/>
  <c r="K13" i="30"/>
  <c r="D25" i="30" s="1"/>
  <c r="E11" i="36"/>
  <c r="N11" i="36" s="1"/>
  <c r="N8" i="24"/>
  <c r="D24" i="25"/>
  <c r="D24" i="31"/>
  <c r="D24" i="26"/>
  <c r="D24" i="27"/>
  <c r="D24" i="28"/>
  <c r="E13" i="32"/>
  <c r="N13" i="32" s="1"/>
  <c r="E13" i="36"/>
  <c r="N13" i="36" s="1"/>
  <c r="D24" i="29"/>
  <c r="D24" i="30"/>
  <c r="E10" i="37"/>
  <c r="N10" i="37" s="1"/>
  <c r="E10" i="36"/>
  <c r="N10" i="36" s="1"/>
  <c r="F17" i="10"/>
  <c r="F18" i="8"/>
  <c r="F16" i="32"/>
  <c r="E13" i="34"/>
  <c r="O13" i="34" s="1"/>
  <c r="E13" i="37"/>
  <c r="N13" i="37" s="1"/>
  <c r="F18" i="7"/>
  <c r="F17" i="6"/>
  <c r="F17" i="34"/>
  <c r="F16" i="36"/>
  <c r="F17" i="9"/>
  <c r="F16" i="20"/>
  <c r="Y62" i="22"/>
  <c r="Y30" i="22"/>
  <c r="Y87" i="22"/>
  <c r="Y113" i="22"/>
  <c r="Y132" i="22"/>
  <c r="AK11" i="22"/>
  <c r="AL11" i="22" s="1"/>
  <c r="AK9" i="22"/>
  <c r="AL9" i="22" s="1"/>
  <c r="AK10" i="22"/>
  <c r="AL10" i="22" s="1"/>
  <c r="Y74" i="22"/>
  <c r="Y148" i="22"/>
  <c r="Y13" i="22"/>
  <c r="Y92" i="22"/>
  <c r="Y43" i="22"/>
  <c r="Y109" i="22"/>
  <c r="Y49" i="22"/>
  <c r="Y57" i="22"/>
  <c r="Y123" i="22"/>
  <c r="Y105" i="22"/>
  <c r="Y40" i="22"/>
  <c r="Y58" i="22"/>
  <c r="Y47" i="22"/>
  <c r="Y42" i="22"/>
  <c r="AI14" i="22"/>
  <c r="Y31" i="22"/>
  <c r="Y144" i="22"/>
  <c r="Y133" i="22"/>
  <c r="Y27" i="22"/>
  <c r="Y59" i="22"/>
  <c r="Y63" i="22"/>
  <c r="Y41" i="22"/>
  <c r="Y73" i="22"/>
  <c r="Y91" i="22"/>
  <c r="Y28" i="22"/>
  <c r="Y20" i="22"/>
  <c r="Y129" i="22"/>
  <c r="Y65" i="22"/>
  <c r="Y37" i="22"/>
  <c r="Y39" i="22"/>
  <c r="Y33" i="22"/>
  <c r="Y141" i="22"/>
  <c r="Y55" i="22"/>
  <c r="Y70" i="22"/>
  <c r="G75" i="23"/>
  <c r="G71" i="23"/>
  <c r="G73" i="23"/>
  <c r="G69" i="23"/>
  <c r="G67" i="23"/>
  <c r="G65" i="23"/>
  <c r="D75" i="23"/>
  <c r="D73" i="23"/>
  <c r="D71" i="23"/>
  <c r="D69" i="23"/>
  <c r="D67" i="23"/>
  <c r="D65" i="23"/>
  <c r="B75" i="23"/>
  <c r="B71" i="23"/>
  <c r="B73" i="23"/>
  <c r="B69" i="23"/>
  <c r="B67" i="23"/>
  <c r="B65" i="23"/>
  <c r="E31" i="23"/>
  <c r="E32" i="23"/>
  <c r="E30" i="23"/>
  <c r="E46" i="44" l="1"/>
  <c r="N10" i="44"/>
  <c r="N10" i="32"/>
  <c r="E49" i="32"/>
  <c r="N10" i="24"/>
  <c r="E47" i="24"/>
  <c r="BJ21" i="41"/>
  <c r="AK12" i="22"/>
  <c r="Y19" i="24"/>
  <c r="AK18" i="22"/>
  <c r="AL18" i="22" s="1"/>
  <c r="AK16" i="22"/>
  <c r="AK17" i="22"/>
  <c r="AL17" i="22" s="1"/>
  <c r="M57" i="23"/>
  <c r="K57" i="23"/>
  <c r="M56" i="23"/>
  <c r="K56" i="23"/>
  <c r="M55" i="23"/>
  <c r="K55" i="23"/>
  <c r="M54" i="23"/>
  <c r="K54" i="23"/>
  <c r="M53" i="23"/>
  <c r="K53" i="23"/>
  <c r="D42" i="23"/>
  <c r="D41" i="23"/>
  <c r="D40" i="23"/>
  <c r="D39" i="23"/>
  <c r="N9" i="23"/>
  <c r="M17" i="23"/>
  <c r="BK21" i="41" l="1"/>
  <c r="AL16" i="22"/>
  <c r="AK19" i="22"/>
  <c r="L1" i="23"/>
  <c r="F33" i="23"/>
  <c r="W16" i="23"/>
  <c r="V17" i="23"/>
  <c r="BL21" i="41" l="1"/>
  <c r="X21" i="23"/>
  <c r="Z21" i="23"/>
  <c r="W17" i="23"/>
  <c r="Z20" i="23" s="1"/>
  <c r="BM21" i="41" l="1"/>
  <c r="V18" i="23"/>
  <c r="V19" i="23" s="1"/>
  <c r="V20" i="23" s="1"/>
  <c r="V21" i="23" s="1"/>
  <c r="V22" i="23" s="1"/>
  <c r="V23" i="23" s="1"/>
  <c r="V24" i="23" s="1"/>
  <c r="V25" i="23" s="1"/>
  <c r="V26" i="23" s="1"/>
  <c r="V27" i="23" s="1"/>
  <c r="V28" i="23" s="1"/>
  <c r="V29" i="23" s="1"/>
  <c r="V30" i="23" s="1"/>
  <c r="V31" i="23" s="1"/>
  <c r="V32" i="23" s="1"/>
  <c r="V33" i="23" s="1"/>
  <c r="V34" i="23" s="1"/>
  <c r="V35" i="23" s="1"/>
  <c r="V36" i="23" s="1"/>
  <c r="V37" i="23" s="1"/>
  <c r="V38" i="23" s="1"/>
  <c r="V39" i="23" s="1"/>
  <c r="V40" i="23" s="1"/>
  <c r="V41" i="23" s="1"/>
  <c r="V42" i="23" s="1"/>
  <c r="V43" i="23" s="1"/>
  <c r="V44" i="23" s="1"/>
  <c r="V45" i="23" s="1"/>
  <c r="V46" i="23" s="1"/>
  <c r="V47" i="23" s="1"/>
  <c r="V48" i="23" s="1"/>
  <c r="V49" i="23" s="1"/>
  <c r="V50" i="23" s="1"/>
  <c r="V51" i="23" s="1"/>
  <c r="V52" i="23" s="1"/>
  <c r="V53" i="23" s="1"/>
  <c r="V54" i="23" s="1"/>
  <c r="V55" i="23" s="1"/>
  <c r="V56" i="23" s="1"/>
  <c r="V57" i="23" s="1"/>
  <c r="V58" i="23" s="1"/>
  <c r="V59" i="23" s="1"/>
  <c r="X20" i="23"/>
  <c r="M59" i="23" s="1"/>
  <c r="M58" i="23" s="1"/>
  <c r="BN21" i="41" l="1"/>
  <c r="BO21" i="41" l="1"/>
  <c r="I28" i="26"/>
  <c r="G69" i="5"/>
  <c r="BP21" i="41" l="1"/>
  <c r="I28" i="25"/>
  <c r="E35" i="10"/>
  <c r="BQ21" i="41" l="1"/>
  <c r="I28" i="30"/>
  <c r="G67" i="5"/>
  <c r="G65" i="5"/>
  <c r="G63" i="5"/>
  <c r="D69" i="5"/>
  <c r="D68" i="6" s="1"/>
  <c r="D69" i="7" s="1"/>
  <c r="D45" i="8" s="1"/>
  <c r="D44" i="34" s="1"/>
  <c r="D67" i="5"/>
  <c r="D66" i="6" s="1"/>
  <c r="D67" i="7" s="1"/>
  <c r="D43" i="8" s="1"/>
  <c r="D42" i="34" s="1"/>
  <c r="D65" i="5"/>
  <c r="D64" i="6" s="1"/>
  <c r="D65" i="7" s="1"/>
  <c r="D41" i="8" s="1"/>
  <c r="D40" i="34" s="1"/>
  <c r="D63" i="5"/>
  <c r="D62" i="6" s="1"/>
  <c r="D63" i="7" s="1"/>
  <c r="D39" i="8" s="1"/>
  <c r="D38" i="34" s="1"/>
  <c r="G61" i="5"/>
  <c r="D61" i="5"/>
  <c r="D60" i="6" s="1"/>
  <c r="D61" i="7" s="1"/>
  <c r="D37" i="8" s="1"/>
  <c r="D36" i="34" s="1"/>
  <c r="B69" i="5"/>
  <c r="B68" i="6" s="1"/>
  <c r="B69" i="7" s="1"/>
  <c r="B45" i="8" s="1"/>
  <c r="B67" i="5"/>
  <c r="B66" i="6" s="1"/>
  <c r="B67" i="7" s="1"/>
  <c r="B43" i="8" s="1"/>
  <c r="B65" i="5"/>
  <c r="B64" i="6" s="1"/>
  <c r="B65" i="7" s="1"/>
  <c r="B41" i="8" s="1"/>
  <c r="B63" i="5"/>
  <c r="B62" i="6" s="1"/>
  <c r="B63" i="7" s="1"/>
  <c r="B39" i="8" s="1"/>
  <c r="B61" i="5"/>
  <c r="B60" i="6" s="1"/>
  <c r="B61" i="7" s="1"/>
  <c r="B37" i="8" s="1"/>
  <c r="G59" i="5"/>
  <c r="D59" i="5"/>
  <c r="D58" i="6" s="1"/>
  <c r="D59" i="7" s="1"/>
  <c r="D35" i="8" s="1"/>
  <c r="D34" i="34" s="1"/>
  <c r="B59" i="5"/>
  <c r="B58" i="6" s="1"/>
  <c r="B59" i="7" s="1"/>
  <c r="B35" i="8" s="1"/>
  <c r="BR21" i="41" l="1"/>
  <c r="B38" i="9"/>
  <c r="B39" i="20" s="1"/>
  <c r="B38" i="34"/>
  <c r="B36" i="9"/>
  <c r="B37" i="20" s="1"/>
  <c r="B36" i="34"/>
  <c r="B40" i="9"/>
  <c r="B41" i="20" s="1"/>
  <c r="B40" i="34"/>
  <c r="B42" i="9"/>
  <c r="B43" i="20" s="1"/>
  <c r="B42" i="34"/>
  <c r="B44" i="9"/>
  <c r="B45" i="20" s="1"/>
  <c r="B44" i="34"/>
  <c r="B34" i="9"/>
  <c r="B35" i="20" s="1"/>
  <c r="B34" i="34"/>
  <c r="D44" i="9"/>
  <c r="D45" i="20" s="1"/>
  <c r="D38" i="9"/>
  <c r="D39" i="20" s="1"/>
  <c r="D40" i="9"/>
  <c r="D41" i="20" s="1"/>
  <c r="D34" i="9"/>
  <c r="D35" i="20" s="1"/>
  <c r="D36" i="9"/>
  <c r="D37" i="20" s="1"/>
  <c r="D42" i="9"/>
  <c r="D43" i="20" s="1"/>
  <c r="G58" i="6"/>
  <c r="G62" i="6"/>
  <c r="G64" i="6"/>
  <c r="G66" i="6"/>
  <c r="G60" i="6"/>
  <c r="G68" i="6"/>
  <c r="D3" i="13"/>
  <c r="H112" i="13" s="1"/>
  <c r="BS21" i="41" l="1"/>
  <c r="G65" i="7"/>
  <c r="H41" i="8" s="1"/>
  <c r="G69" i="7"/>
  <c r="H45" i="8" s="1"/>
  <c r="G63" i="7"/>
  <c r="H39" i="8" s="1"/>
  <c r="G67" i="7"/>
  <c r="H43" i="8" s="1"/>
  <c r="G61" i="7"/>
  <c r="H37" i="8" s="1"/>
  <c r="G59" i="7"/>
  <c r="H35" i="8" s="1"/>
  <c r="G34" i="34" s="1"/>
  <c r="BT21" i="41" l="1"/>
  <c r="G42" i="9"/>
  <c r="H43" i="20" s="1"/>
  <c r="G42" i="34"/>
  <c r="G38" i="9"/>
  <c r="H39" i="20" s="1"/>
  <c r="G38" i="34"/>
  <c r="G36" i="9"/>
  <c r="H37" i="20" s="1"/>
  <c r="G36" i="34"/>
  <c r="G44" i="9"/>
  <c r="H45" i="20" s="1"/>
  <c r="G44" i="34"/>
  <c r="G40" i="9"/>
  <c r="H41" i="20" s="1"/>
  <c r="G40" i="34"/>
  <c r="G34" i="9"/>
  <c r="H35" i="20" s="1"/>
  <c r="B69" i="10"/>
  <c r="F69" i="10"/>
  <c r="G60" i="20"/>
  <c r="B60" i="20"/>
  <c r="G54" i="9"/>
  <c r="B54" i="9"/>
  <c r="G65" i="8"/>
  <c r="B65" i="8"/>
  <c r="F78" i="6"/>
  <c r="B78" i="6"/>
  <c r="F81" i="5"/>
  <c r="B81" i="5"/>
  <c r="B70" i="38" l="1"/>
  <c r="K66" i="38" s="1"/>
  <c r="B69" i="37"/>
  <c r="K66" i="37" s="1"/>
  <c r="B70" i="36"/>
  <c r="K66" i="36" s="1"/>
  <c r="F70" i="38"/>
  <c r="P66" i="38" s="1"/>
  <c r="F69" i="37"/>
  <c r="P66" i="37" s="1"/>
  <c r="F70" i="36"/>
  <c r="P66" i="36" s="1"/>
  <c r="B82" i="23"/>
  <c r="K66" i="23" s="1"/>
  <c r="B78" i="32"/>
  <c r="K66" i="32" s="1"/>
  <c r="F82" i="23"/>
  <c r="P66" i="23" s="1"/>
  <c r="F78" i="32"/>
  <c r="P66" i="32" s="1"/>
  <c r="F77" i="7"/>
  <c r="B77" i="7"/>
  <c r="A117" i="13" l="1"/>
  <c r="D23" i="13"/>
  <c r="E16" i="13"/>
  <c r="I11" i="13"/>
  <c r="A4" i="13"/>
  <c r="E20" i="6" l="1"/>
  <c r="E19" i="20"/>
  <c r="P60" i="20"/>
  <c r="K60" i="20"/>
  <c r="F25" i="20"/>
  <c r="N17" i="20" s="1"/>
  <c r="E9" i="20"/>
  <c r="N9" i="20" s="1"/>
  <c r="E7" i="20"/>
  <c r="N7" i="20" s="1"/>
  <c r="E6" i="20"/>
  <c r="N6" i="20" s="1"/>
  <c r="C1" i="20"/>
  <c r="M17" i="20" s="1"/>
  <c r="V15" i="20" s="1"/>
  <c r="X19" i="20" l="1"/>
  <c r="Z19" i="20"/>
  <c r="L1" i="20"/>
  <c r="V19" i="20" l="1"/>
  <c r="V20" i="20" s="1"/>
  <c r="V21" i="20" s="1"/>
  <c r="V22" i="20" s="1"/>
  <c r="V23" i="20" s="1"/>
  <c r="V24" i="20" s="1"/>
  <c r="V25" i="20" s="1"/>
  <c r="V26" i="20" s="1"/>
  <c r="V27" i="20" s="1"/>
  <c r="V28" i="20" s="1"/>
  <c r="V29" i="20" s="1"/>
  <c r="V30" i="20" s="1"/>
  <c r="V31" i="20" s="1"/>
  <c r="V32" i="20" s="1"/>
  <c r="V33" i="20" s="1"/>
  <c r="V34" i="20" s="1"/>
  <c r="V35" i="20" s="1"/>
  <c r="V36" i="20" s="1"/>
  <c r="V37" i="20" s="1"/>
  <c r="V38" i="20" s="1"/>
  <c r="V39" i="20" s="1"/>
  <c r="V40" i="20" s="1"/>
  <c r="V41" i="20" s="1"/>
  <c r="V42" i="20" s="1"/>
  <c r="V43" i="20" s="1"/>
  <c r="V44" i="20" s="1"/>
  <c r="V45" i="20" s="1"/>
  <c r="V46" i="20" s="1"/>
  <c r="V47" i="20" s="1"/>
  <c r="V48" i="20" s="1"/>
  <c r="V49" i="20" s="1"/>
  <c r="V50" i="20" s="1"/>
  <c r="V51" i="20" s="1"/>
  <c r="V52" i="20" s="1"/>
  <c r="V53" i="20" s="1"/>
  <c r="V54" i="20" s="1"/>
  <c r="V55" i="20" s="1"/>
  <c r="V56" i="20" s="1"/>
  <c r="V57" i="20" s="1"/>
  <c r="V58" i="20" s="1"/>
  <c r="V59" i="20" s="1"/>
  <c r="V60" i="20" s="1"/>
  <c r="V61" i="20" s="1"/>
  <c r="V62" i="20" s="1"/>
  <c r="V63" i="20" s="1"/>
  <c r="V64" i="20" s="1"/>
  <c r="E9" i="10"/>
  <c r="P18" i="7"/>
  <c r="M17" i="6"/>
  <c r="E9" i="9" l="1"/>
  <c r="E10" i="8"/>
  <c r="E10" i="7"/>
  <c r="E9" i="6"/>
  <c r="N17" i="38" l="1"/>
  <c r="F25" i="36"/>
  <c r="N17" i="36" s="1"/>
  <c r="F25" i="37"/>
  <c r="F26" i="34"/>
  <c r="O17" i="34" s="1"/>
  <c r="F26" i="10"/>
  <c r="F25" i="32"/>
  <c r="F26" i="9"/>
  <c r="O17" i="9" s="1"/>
  <c r="N17" i="23"/>
  <c r="Q28" i="9"/>
  <c r="L28" i="9"/>
  <c r="N17" i="37" l="1"/>
  <c r="N17" i="32"/>
  <c r="N9" i="10"/>
  <c r="X9" i="10" s="1"/>
  <c r="M35" i="38" l="1"/>
  <c r="E9" i="5"/>
  <c r="E9" i="44" s="1"/>
  <c r="N9" i="44" s="1"/>
  <c r="E9" i="38" l="1"/>
  <c r="E9" i="37"/>
  <c r="E9" i="36"/>
  <c r="M35" i="37"/>
  <c r="E9" i="23"/>
  <c r="E9" i="32"/>
  <c r="E24" i="23"/>
  <c r="C2" i="7"/>
  <c r="E34" i="23" l="1"/>
  <c r="N8" i="23"/>
  <c r="D39" i="4"/>
  <c r="E12" i="23"/>
  <c r="N12" i="23" s="1"/>
  <c r="E11" i="23"/>
  <c r="N11" i="23" s="1"/>
  <c r="E10" i="23"/>
  <c r="E13" i="23"/>
  <c r="N13" i="23" s="1"/>
  <c r="E9" i="8"/>
  <c r="E8" i="6"/>
  <c r="E8" i="20"/>
  <c r="N8" i="20" s="1"/>
  <c r="E9" i="7"/>
  <c r="E8" i="10"/>
  <c r="E8" i="9"/>
  <c r="E7" i="5"/>
  <c r="N10" i="23" l="1"/>
  <c r="E50" i="23"/>
  <c r="E7" i="32"/>
  <c r="N7" i="32" s="1"/>
  <c r="E7" i="38"/>
  <c r="N7" i="38" s="1"/>
  <c r="E7" i="37"/>
  <c r="N7" i="37" s="1"/>
  <c r="E7" i="36"/>
  <c r="N7" i="36" s="1"/>
  <c r="E7" i="23"/>
  <c r="N7" i="23" s="1"/>
  <c r="E7" i="9"/>
  <c r="E6" i="9"/>
  <c r="D1" i="5" l="1"/>
  <c r="R28" i="7"/>
  <c r="M28" i="7"/>
  <c r="C1" i="10"/>
  <c r="L1" i="10" s="1"/>
  <c r="U1" i="10" s="1"/>
  <c r="P64" i="10"/>
  <c r="K64" i="10"/>
  <c r="C2" i="8"/>
  <c r="C1" i="9"/>
  <c r="N17" i="9" s="1"/>
  <c r="N18" i="9" s="1"/>
  <c r="Q28" i="8"/>
  <c r="L28" i="8"/>
  <c r="E8" i="8"/>
  <c r="E7" i="8"/>
  <c r="E8" i="7"/>
  <c r="E7" i="7"/>
  <c r="O28" i="6"/>
  <c r="J28" i="6"/>
  <c r="K10" i="19" l="1"/>
  <c r="AC10" i="19" s="1"/>
  <c r="K8" i="19"/>
  <c r="AC8" i="19" s="1"/>
  <c r="K9" i="19"/>
  <c r="AC9" i="19" s="1"/>
  <c r="K11" i="19"/>
  <c r="AC11" i="19" s="1"/>
  <c r="K12" i="19"/>
  <c r="AC12" i="19" s="1"/>
  <c r="E11" i="20"/>
  <c r="N11" i="20" s="1"/>
  <c r="E12" i="20"/>
  <c r="N12" i="20" s="1"/>
  <c r="N17" i="10"/>
  <c r="M17" i="10"/>
  <c r="C2" i="5"/>
  <c r="M17" i="5" s="1"/>
  <c r="C2" i="6"/>
  <c r="L17" i="6" s="1"/>
  <c r="E7" i="6"/>
  <c r="E6" i="6"/>
  <c r="E6" i="5"/>
  <c r="E6" i="37" s="1"/>
  <c r="O70" i="5"/>
  <c r="K70" i="5"/>
  <c r="CK11" i="39" l="1"/>
  <c r="DW11" i="39"/>
  <c r="CL11" i="39"/>
  <c r="H11" i="19"/>
  <c r="CK9" i="39"/>
  <c r="DW9" i="39"/>
  <c r="CL9" i="39"/>
  <c r="H9" i="19"/>
  <c r="CL10" i="39"/>
  <c r="CK10" i="39"/>
  <c r="DW10" i="39"/>
  <c r="H10" i="19"/>
  <c r="CK8" i="39"/>
  <c r="CL8" i="39"/>
  <c r="H8" i="19"/>
  <c r="DW8" i="39"/>
  <c r="CK12" i="39"/>
  <c r="CL12" i="39"/>
  <c r="DW12" i="39"/>
  <c r="H12" i="19"/>
  <c r="E6" i="38"/>
  <c r="N6" i="38" s="1"/>
  <c r="N6" i="37"/>
  <c r="E6" i="36"/>
  <c r="N6" i="36" s="1"/>
  <c r="E6" i="23"/>
  <c r="N6" i="23" s="1"/>
  <c r="E6" i="32"/>
  <c r="N6" i="32" s="1"/>
  <c r="L18" i="6"/>
  <c r="E26" i="7"/>
  <c r="E25" i="6"/>
  <c r="E30" i="5"/>
  <c r="E10" i="10"/>
  <c r="E10" i="9"/>
  <c r="E11" i="7"/>
  <c r="E47" i="7" s="1"/>
  <c r="K13" i="13"/>
  <c r="D25" i="13" s="1"/>
  <c r="E10" i="20"/>
  <c r="N10" i="20" s="1"/>
  <c r="E11" i="8"/>
  <c r="E10" i="6"/>
  <c r="E46" i="6" s="1"/>
  <c r="D24" i="13"/>
  <c r="E13" i="20"/>
  <c r="N13" i="20" s="1"/>
  <c r="F26" i="6"/>
  <c r="F27" i="8"/>
  <c r="F27" i="7"/>
  <c r="E14" i="8"/>
  <c r="E13" i="6"/>
  <c r="E13" i="10"/>
  <c r="E13" i="9"/>
  <c r="E14" i="7"/>
  <c r="E11" i="10"/>
  <c r="E11" i="9"/>
  <c r="E12" i="7"/>
  <c r="E11" i="6"/>
  <c r="E12" i="8"/>
  <c r="O12" i="8" s="1"/>
  <c r="E13" i="8"/>
  <c r="E12" i="6"/>
  <c r="E12" i="10"/>
  <c r="E12" i="9"/>
  <c r="E13" i="7"/>
  <c r="E7" i="10"/>
  <c r="E6" i="10"/>
  <c r="J9" i="19" l="1"/>
  <c r="AE9" i="19"/>
  <c r="AG9" i="19" s="1"/>
  <c r="AH9" i="19" s="1"/>
  <c r="J8" i="19"/>
  <c r="AE8" i="19"/>
  <c r="AG8" i="19" s="1"/>
  <c r="AH8" i="19" s="1"/>
  <c r="J12" i="19"/>
  <c r="AE12" i="19"/>
  <c r="AG12" i="19" s="1"/>
  <c r="AH12" i="19" s="1"/>
  <c r="J10" i="19"/>
  <c r="AE10" i="19"/>
  <c r="AG10" i="19" s="1"/>
  <c r="AH10" i="19" s="1"/>
  <c r="J11" i="19"/>
  <c r="AE11" i="19"/>
  <c r="AG11" i="19" s="1"/>
  <c r="AH11" i="19" s="1"/>
  <c r="L9" i="19"/>
  <c r="AD9" i="19" s="1"/>
  <c r="CM8" i="39"/>
  <c r="L10" i="19"/>
  <c r="CM11" i="39"/>
  <c r="L12" i="19"/>
  <c r="AD12" i="19" s="1"/>
  <c r="CM9" i="39"/>
  <c r="CM12" i="39"/>
  <c r="L8" i="19"/>
  <c r="AD8" i="19" s="1"/>
  <c r="K7" i="19"/>
  <c r="AC7" i="19" s="1"/>
  <c r="H7" i="19"/>
  <c r="DW7" i="39"/>
  <c r="CM10" i="39"/>
  <c r="L11" i="19"/>
  <c r="E30" i="7"/>
  <c r="W17" i="5"/>
  <c r="D43" i="10"/>
  <c r="D42" i="10"/>
  <c r="D41" i="10"/>
  <c r="D40" i="10"/>
  <c r="N8" i="10"/>
  <c r="X8" i="10" s="1"/>
  <c r="N7" i="10"/>
  <c r="X7" i="10" s="1"/>
  <c r="N6" i="10"/>
  <c r="X6" i="10" s="1"/>
  <c r="O13" i="9"/>
  <c r="O12" i="9"/>
  <c r="O11" i="9"/>
  <c r="O10" i="9"/>
  <c r="O9" i="9"/>
  <c r="O8" i="9"/>
  <c r="O7" i="9"/>
  <c r="O6" i="9"/>
  <c r="M1" i="9"/>
  <c r="O18" i="8"/>
  <c r="O14" i="8"/>
  <c r="O13" i="8"/>
  <c r="O10" i="8"/>
  <c r="O9" i="8"/>
  <c r="O8" i="8"/>
  <c r="O7" i="8"/>
  <c r="Q2" i="8"/>
  <c r="M2" i="8"/>
  <c r="D38" i="7"/>
  <c r="D37" i="7"/>
  <c r="D36" i="7"/>
  <c r="P14" i="7"/>
  <c r="P13" i="7"/>
  <c r="P12" i="7"/>
  <c r="P10" i="7"/>
  <c r="P9" i="7"/>
  <c r="P8" i="7"/>
  <c r="P7" i="7"/>
  <c r="Q2" i="7"/>
  <c r="K2" i="6"/>
  <c r="M6" i="6"/>
  <c r="M7" i="6"/>
  <c r="M8" i="6"/>
  <c r="M9" i="6"/>
  <c r="M11" i="6"/>
  <c r="M12" i="6"/>
  <c r="M13" i="6"/>
  <c r="E29" i="6"/>
  <c r="D35" i="6"/>
  <c r="D36" i="6"/>
  <c r="D37" i="6"/>
  <c r="D37" i="5"/>
  <c r="N13" i="5"/>
  <c r="N12" i="5"/>
  <c r="N11" i="5"/>
  <c r="N9" i="5"/>
  <c r="N7" i="5"/>
  <c r="N6" i="5"/>
  <c r="L2" i="5"/>
  <c r="N17" i="5"/>
  <c r="M10" i="19" l="1"/>
  <c r="J7" i="19"/>
  <c r="AE7" i="19"/>
  <c r="AG7" i="19" s="1"/>
  <c r="AH7" i="19" s="1"/>
  <c r="F19" i="5" s="1"/>
  <c r="F19" i="44" s="1"/>
  <c r="DB12" i="39"/>
  <c r="AA12" i="19" s="1"/>
  <c r="DC12" i="39"/>
  <c r="AB12" i="19" s="1"/>
  <c r="CZ12" i="39"/>
  <c r="Y12" i="19" s="1"/>
  <c r="DA12" i="39"/>
  <c r="Z12" i="19" s="1"/>
  <c r="CZ9" i="39"/>
  <c r="Y9" i="19" s="1"/>
  <c r="DA9" i="39"/>
  <c r="Z9" i="19" s="1"/>
  <c r="DB9" i="39"/>
  <c r="AA9" i="19" s="1"/>
  <c r="DC9" i="39"/>
  <c r="AB9" i="19" s="1"/>
  <c r="DA10" i="39"/>
  <c r="Z10" i="19" s="1"/>
  <c r="DB10" i="39"/>
  <c r="AA10" i="19" s="1"/>
  <c r="DC10" i="39"/>
  <c r="AB10" i="19" s="1"/>
  <c r="CZ10" i="39"/>
  <c r="Y10" i="19" s="1"/>
  <c r="DB11" i="39"/>
  <c r="AA11" i="19" s="1"/>
  <c r="DC11" i="39"/>
  <c r="AB11" i="19" s="1"/>
  <c r="CZ11" i="39"/>
  <c r="Y11" i="19" s="1"/>
  <c r="DA11" i="39"/>
  <c r="Z11" i="19" s="1"/>
  <c r="CZ8" i="39"/>
  <c r="Y8" i="19" s="1"/>
  <c r="DA8" i="39"/>
  <c r="Z8" i="19" s="1"/>
  <c r="DB8" i="39"/>
  <c r="AA8" i="19" s="1"/>
  <c r="DC8" i="39"/>
  <c r="AB8" i="19" s="1"/>
  <c r="GI12" i="39"/>
  <c r="GW12" i="39" s="1"/>
  <c r="HE12" i="39" s="1"/>
  <c r="HI12" i="39" s="1"/>
  <c r="GI9" i="39"/>
  <c r="GW9" i="39" s="1"/>
  <c r="HE9" i="39" s="1"/>
  <c r="HI9" i="39" s="1"/>
  <c r="GI10" i="39"/>
  <c r="GW10" i="39" s="1"/>
  <c r="HE10" i="39" s="1"/>
  <c r="HG10" i="39" s="1"/>
  <c r="GI11" i="39"/>
  <c r="GW11" i="39" s="1"/>
  <c r="HE11" i="39" s="1"/>
  <c r="HI11" i="39" s="1"/>
  <c r="CO8" i="39"/>
  <c r="GK8" i="39" s="1"/>
  <c r="GY8" i="39" s="1"/>
  <c r="GI8" i="39"/>
  <c r="GW8" i="39" s="1"/>
  <c r="HE8" i="39" s="1"/>
  <c r="M9" i="19"/>
  <c r="AD10" i="19"/>
  <c r="FB108" i="39"/>
  <c r="FA108" i="39"/>
  <c r="EZ108" i="39"/>
  <c r="FF108" i="39" s="1"/>
  <c r="FG108" i="39" s="1"/>
  <c r="FH108" i="39" s="1"/>
  <c r="EY108" i="39"/>
  <c r="EZ93" i="39"/>
  <c r="FF93" i="39" s="1"/>
  <c r="FG93" i="39" s="1"/>
  <c r="FH93" i="39" s="1"/>
  <c r="EY93" i="39"/>
  <c r="FB93" i="39"/>
  <c r="FA93" i="39"/>
  <c r="FA32" i="39"/>
  <c r="EZ32" i="39"/>
  <c r="FF32" i="39" s="1"/>
  <c r="FG32" i="39" s="1"/>
  <c r="FH32" i="39" s="1"/>
  <c r="EY32" i="39"/>
  <c r="FB32" i="39"/>
  <c r="FB172" i="39"/>
  <c r="FA172" i="39"/>
  <c r="EZ172" i="39"/>
  <c r="FF172" i="39" s="1"/>
  <c r="FG172" i="39" s="1"/>
  <c r="FH172" i="39" s="1"/>
  <c r="EY172" i="39"/>
  <c r="EZ36" i="39"/>
  <c r="FF36" i="39" s="1"/>
  <c r="FG36" i="39" s="1"/>
  <c r="FH36" i="39" s="1"/>
  <c r="EY115" i="39"/>
  <c r="EZ37" i="39"/>
  <c r="FF37" i="39" s="1"/>
  <c r="FG37" i="39" s="1"/>
  <c r="FH37" i="39" s="1"/>
  <c r="EY37" i="39"/>
  <c r="FB37" i="39"/>
  <c r="FA37" i="39"/>
  <c r="CU8" i="39"/>
  <c r="M12" i="19"/>
  <c r="CO11" i="39"/>
  <c r="CU11" i="39"/>
  <c r="GQ11" i="39" s="1"/>
  <c r="L7" i="19"/>
  <c r="AD7" i="19" s="1"/>
  <c r="M11" i="19"/>
  <c r="AD11" i="19"/>
  <c r="CU10" i="39"/>
  <c r="GQ10" i="39" s="1"/>
  <c r="CO10" i="39"/>
  <c r="GK10" i="39" s="1"/>
  <c r="GY10" i="39" s="1"/>
  <c r="M8" i="19"/>
  <c r="CU12" i="39"/>
  <c r="GQ12" i="39" s="1"/>
  <c r="CO12" i="39"/>
  <c r="GK12" i="39" s="1"/>
  <c r="GY12" i="39" s="1"/>
  <c r="CO9" i="39"/>
  <c r="GK9" i="39" s="1"/>
  <c r="GY9" i="39" s="1"/>
  <c r="CU9" i="39"/>
  <c r="GQ9" i="39" s="1"/>
  <c r="AA20" i="5"/>
  <c r="W18" i="5" s="1"/>
  <c r="Y20" i="5"/>
  <c r="N2" i="7"/>
  <c r="O18" i="7"/>
  <c r="N18" i="8"/>
  <c r="N19" i="8" s="1"/>
  <c r="HG12" i="39" l="1"/>
  <c r="GQ8" i="39"/>
  <c r="CV8" i="39"/>
  <c r="HH12" i="39"/>
  <c r="HF12" i="39"/>
  <c r="HG9" i="39"/>
  <c r="HH10" i="39"/>
  <c r="HI10" i="39"/>
  <c r="HF10" i="39"/>
  <c r="HH9" i="39"/>
  <c r="HF9" i="39"/>
  <c r="HH11" i="39"/>
  <c r="HF11" i="39"/>
  <c r="HG11" i="39"/>
  <c r="O8" i="19"/>
  <c r="CQ8" i="39"/>
  <c r="GM8" i="39" s="1"/>
  <c r="HA8" i="39" s="1"/>
  <c r="HC8" i="39" s="1"/>
  <c r="CQ11" i="39"/>
  <c r="GM11" i="39" s="1"/>
  <c r="HA11" i="39" s="1"/>
  <c r="HC11" i="39" s="1"/>
  <c r="GK11" i="39"/>
  <c r="GY11" i="39" s="1"/>
  <c r="CO7" i="39"/>
  <c r="GK7" i="39" s="1"/>
  <c r="GY7" i="39" s="1"/>
  <c r="GI7" i="39"/>
  <c r="GW7" i="39" s="1"/>
  <c r="HE7" i="39" s="1"/>
  <c r="HG8" i="39"/>
  <c r="HF8" i="39"/>
  <c r="HI8" i="39"/>
  <c r="HH8" i="39"/>
  <c r="CY11" i="39"/>
  <c r="CX11" i="39"/>
  <c r="CW11" i="39"/>
  <c r="CV11" i="39"/>
  <c r="CV12" i="39"/>
  <c r="GR12" i="39" s="1"/>
  <c r="CY12" i="39"/>
  <c r="CX12" i="39"/>
  <c r="CW12" i="39"/>
  <c r="CX9" i="39"/>
  <c r="CW9" i="39"/>
  <c r="CV9" i="39"/>
  <c r="CY9" i="39"/>
  <c r="CW10" i="39"/>
  <c r="CV10" i="39"/>
  <c r="CY10" i="39"/>
  <c r="CX10" i="39"/>
  <c r="CY8" i="39"/>
  <c r="CX8" i="39"/>
  <c r="CW8" i="39"/>
  <c r="O11" i="19"/>
  <c r="T11" i="19"/>
  <c r="CU7" i="39"/>
  <c r="FA17" i="39"/>
  <c r="FB17" i="39"/>
  <c r="FI17" i="39" s="1"/>
  <c r="FJ17" i="39" s="1"/>
  <c r="FK17" i="39" s="1"/>
  <c r="AP17" i="39" s="1"/>
  <c r="AQ17" i="39" s="1"/>
  <c r="EY17" i="39"/>
  <c r="FB64" i="39"/>
  <c r="FI64" i="39" s="1"/>
  <c r="FJ64" i="39" s="1"/>
  <c r="EY64" i="39"/>
  <c r="T8" i="19"/>
  <c r="FA64" i="39"/>
  <c r="FA36" i="39"/>
  <c r="EZ115" i="39"/>
  <c r="FF115" i="39" s="1"/>
  <c r="FG115" i="39" s="1"/>
  <c r="FH115" i="39" s="1"/>
  <c r="FB115" i="39"/>
  <c r="FI115" i="39" s="1"/>
  <c r="FJ115" i="39" s="1"/>
  <c r="FB36" i="39"/>
  <c r="FI36" i="39" s="1"/>
  <c r="FJ36" i="39" s="1"/>
  <c r="EZ86" i="39"/>
  <c r="FF86" i="39" s="1"/>
  <c r="FG86" i="39" s="1"/>
  <c r="FH86" i="39" s="1"/>
  <c r="EY86" i="39"/>
  <c r="FB86" i="39"/>
  <c r="FA86" i="39"/>
  <c r="FA183" i="39"/>
  <c r="FB183" i="39"/>
  <c r="FT183" i="39" s="1"/>
  <c r="EY183" i="39"/>
  <c r="EZ183" i="39"/>
  <c r="FF183" i="39" s="1"/>
  <c r="FG183" i="39" s="1"/>
  <c r="FH183" i="39" s="1"/>
  <c r="FB181" i="39"/>
  <c r="FA181" i="39"/>
  <c r="EZ181" i="39"/>
  <c r="FF181" i="39" s="1"/>
  <c r="FG181" i="39" s="1"/>
  <c r="FH181" i="39" s="1"/>
  <c r="EY181" i="39"/>
  <c r="FB141" i="39"/>
  <c r="FA141" i="39"/>
  <c r="EZ141" i="39"/>
  <c r="FF141" i="39" s="1"/>
  <c r="FG141" i="39" s="1"/>
  <c r="FH141" i="39" s="1"/>
  <c r="EY141" i="39"/>
  <c r="FB161" i="39"/>
  <c r="FA161" i="39"/>
  <c r="EZ161" i="39"/>
  <c r="FF161" i="39" s="1"/>
  <c r="FG161" i="39" s="1"/>
  <c r="FH161" i="39" s="1"/>
  <c r="EY161" i="39"/>
  <c r="FB39" i="39"/>
  <c r="FA39" i="39"/>
  <c r="EZ39" i="39"/>
  <c r="FF39" i="39" s="1"/>
  <c r="FG39" i="39" s="1"/>
  <c r="FH39" i="39" s="1"/>
  <c r="EY39" i="39"/>
  <c r="EZ18" i="39"/>
  <c r="FF18" i="39" s="1"/>
  <c r="FG18" i="39" s="1"/>
  <c r="FH18" i="39" s="1"/>
  <c r="EY18" i="39"/>
  <c r="FB18" i="39"/>
  <c r="FT18" i="39" s="1"/>
  <c r="FA18" i="39"/>
  <c r="FB114" i="39"/>
  <c r="FA114" i="39"/>
  <c r="EZ114" i="39"/>
  <c r="FF114" i="39" s="1"/>
  <c r="FG114" i="39" s="1"/>
  <c r="FH114" i="39" s="1"/>
  <c r="EY114" i="39"/>
  <c r="FI37" i="39"/>
  <c r="FJ37" i="39" s="1"/>
  <c r="FC37" i="39"/>
  <c r="FA215" i="39"/>
  <c r="EY215" i="39"/>
  <c r="FB215" i="39"/>
  <c r="FT215" i="39" s="1"/>
  <c r="EZ215" i="39"/>
  <c r="FF215" i="39" s="1"/>
  <c r="FG215" i="39" s="1"/>
  <c r="FH215" i="39" s="1"/>
  <c r="EZ76" i="39"/>
  <c r="FF76" i="39" s="1"/>
  <c r="FG76" i="39" s="1"/>
  <c r="FH76" i="39" s="1"/>
  <c r="EY76" i="39"/>
  <c r="FA76" i="39"/>
  <c r="FB76" i="39"/>
  <c r="FT76" i="39" s="1"/>
  <c r="FA199" i="39"/>
  <c r="EY199" i="39"/>
  <c r="FB199" i="39"/>
  <c r="EZ199" i="39"/>
  <c r="FF199" i="39" s="1"/>
  <c r="FG199" i="39" s="1"/>
  <c r="FH199" i="39" s="1"/>
  <c r="FB193" i="39"/>
  <c r="FT193" i="39" s="1"/>
  <c r="FA193" i="39"/>
  <c r="EZ193" i="39"/>
  <c r="FF193" i="39" s="1"/>
  <c r="FG193" i="39" s="1"/>
  <c r="FH193" i="39" s="1"/>
  <c r="EY193" i="39"/>
  <c r="FB156" i="39"/>
  <c r="FA156" i="39"/>
  <c r="EZ156" i="39"/>
  <c r="FF156" i="39" s="1"/>
  <c r="FG156" i="39" s="1"/>
  <c r="FH156" i="39" s="1"/>
  <c r="EY156" i="39"/>
  <c r="EZ16" i="39"/>
  <c r="FF16" i="39" s="1"/>
  <c r="FG16" i="39" s="1"/>
  <c r="FH16" i="39" s="1"/>
  <c r="EY16" i="39"/>
  <c r="FA16" i="39"/>
  <c r="FB16" i="39"/>
  <c r="FT16" i="39" s="1"/>
  <c r="FB169" i="39"/>
  <c r="FT169" i="39" s="1"/>
  <c r="FA169" i="39"/>
  <c r="EZ169" i="39"/>
  <c r="FF169" i="39" s="1"/>
  <c r="FG169" i="39" s="1"/>
  <c r="FH169" i="39" s="1"/>
  <c r="EY169" i="39"/>
  <c r="FB182" i="39"/>
  <c r="FT182" i="39" s="1"/>
  <c r="FA182" i="39"/>
  <c r="EZ182" i="39"/>
  <c r="FF182" i="39" s="1"/>
  <c r="FG182" i="39" s="1"/>
  <c r="FH182" i="39" s="1"/>
  <c r="EY182" i="39"/>
  <c r="FB197" i="39"/>
  <c r="FT197" i="39" s="1"/>
  <c r="FA197" i="39"/>
  <c r="EZ197" i="39"/>
  <c r="FF197" i="39" s="1"/>
  <c r="FG197" i="39" s="1"/>
  <c r="FH197" i="39" s="1"/>
  <c r="EY197" i="39"/>
  <c r="EZ65" i="39"/>
  <c r="FF65" i="39" s="1"/>
  <c r="FG65" i="39" s="1"/>
  <c r="FH65" i="39" s="1"/>
  <c r="EY65" i="39"/>
  <c r="FB65" i="39"/>
  <c r="FA65" i="39"/>
  <c r="FB201" i="39"/>
  <c r="FT201" i="39" s="1"/>
  <c r="FA201" i="39"/>
  <c r="EZ201" i="39"/>
  <c r="FF201" i="39" s="1"/>
  <c r="FG201" i="39" s="1"/>
  <c r="FH201" i="39" s="1"/>
  <c r="EY201" i="39"/>
  <c r="FB109" i="39"/>
  <c r="FT109" i="39" s="1"/>
  <c r="FA109" i="39"/>
  <c r="EZ109" i="39"/>
  <c r="FF109" i="39" s="1"/>
  <c r="FG109" i="39" s="1"/>
  <c r="FH109" i="39" s="1"/>
  <c r="EY109" i="39"/>
  <c r="EZ46" i="39"/>
  <c r="FF46" i="39" s="1"/>
  <c r="FG46" i="39" s="1"/>
  <c r="FH46" i="39" s="1"/>
  <c r="EY46" i="39"/>
  <c r="FB46" i="39"/>
  <c r="FA46" i="39"/>
  <c r="FA135" i="39"/>
  <c r="FB135" i="39"/>
  <c r="EZ135" i="39"/>
  <c r="FF135" i="39" s="1"/>
  <c r="FG135" i="39" s="1"/>
  <c r="FH135" i="39" s="1"/>
  <c r="EY135" i="39"/>
  <c r="FA44" i="39"/>
  <c r="EZ44" i="39"/>
  <c r="FF44" i="39" s="1"/>
  <c r="FG44" i="39" s="1"/>
  <c r="FH44" i="39" s="1"/>
  <c r="EY44" i="39"/>
  <c r="FB44" i="39"/>
  <c r="EZ69" i="39"/>
  <c r="FF69" i="39" s="1"/>
  <c r="FG69" i="39" s="1"/>
  <c r="FH69" i="39" s="1"/>
  <c r="EY69" i="39"/>
  <c r="FB69" i="39"/>
  <c r="FA69" i="39"/>
  <c r="FB180" i="39"/>
  <c r="FT180" i="39" s="1"/>
  <c r="FA180" i="39"/>
  <c r="EZ180" i="39"/>
  <c r="FF180" i="39" s="1"/>
  <c r="FG180" i="39" s="1"/>
  <c r="FH180" i="39" s="1"/>
  <c r="EY180" i="39"/>
  <c r="FB173" i="39"/>
  <c r="FT173" i="39" s="1"/>
  <c r="FA173" i="39"/>
  <c r="EZ173" i="39"/>
  <c r="FF173" i="39" s="1"/>
  <c r="FG173" i="39" s="1"/>
  <c r="FH173" i="39" s="1"/>
  <c r="EY173" i="39"/>
  <c r="EZ78" i="39"/>
  <c r="FF78" i="39" s="1"/>
  <c r="FG78" i="39" s="1"/>
  <c r="FH78" i="39" s="1"/>
  <c r="EY78" i="39"/>
  <c r="FB78" i="39"/>
  <c r="FA78" i="39"/>
  <c r="EZ22" i="39"/>
  <c r="FF22" i="39" s="1"/>
  <c r="FG22" i="39" s="1"/>
  <c r="FH22" i="39" s="1"/>
  <c r="EY22" i="39"/>
  <c r="FB22" i="39"/>
  <c r="FA22" i="39"/>
  <c r="FA171" i="39"/>
  <c r="FB171" i="39"/>
  <c r="EZ171" i="39"/>
  <c r="FF171" i="39" s="1"/>
  <c r="FG171" i="39" s="1"/>
  <c r="FH171" i="39" s="1"/>
  <c r="EY171" i="39"/>
  <c r="FI108" i="39"/>
  <c r="FJ108" i="39" s="1"/>
  <c r="FC108" i="39"/>
  <c r="FB146" i="39"/>
  <c r="FA146" i="39"/>
  <c r="EZ146" i="39"/>
  <c r="FF146" i="39" s="1"/>
  <c r="FG146" i="39" s="1"/>
  <c r="FH146" i="39" s="1"/>
  <c r="EY146" i="39"/>
  <c r="FB149" i="39"/>
  <c r="FT149" i="39" s="1"/>
  <c r="FA149" i="39"/>
  <c r="EZ149" i="39"/>
  <c r="FF149" i="39" s="1"/>
  <c r="FG149" i="39" s="1"/>
  <c r="FH149" i="39" s="1"/>
  <c r="EY149" i="39"/>
  <c r="FA139" i="39"/>
  <c r="FB139" i="39"/>
  <c r="EZ139" i="39"/>
  <c r="FF139" i="39" s="1"/>
  <c r="FG139" i="39" s="1"/>
  <c r="FH139" i="39" s="1"/>
  <c r="EY139" i="39"/>
  <c r="EZ89" i="39"/>
  <c r="FF89" i="39" s="1"/>
  <c r="FG89" i="39" s="1"/>
  <c r="FH89" i="39" s="1"/>
  <c r="EY89" i="39"/>
  <c r="FB89" i="39"/>
  <c r="FA89" i="39"/>
  <c r="FB148" i="39"/>
  <c r="FT148" i="39" s="1"/>
  <c r="FA148" i="39"/>
  <c r="EZ148" i="39"/>
  <c r="FF148" i="39" s="1"/>
  <c r="FG148" i="39" s="1"/>
  <c r="FH148" i="39" s="1"/>
  <c r="EY148" i="39"/>
  <c r="FB185" i="39"/>
  <c r="FT185" i="39" s="1"/>
  <c r="FA185" i="39"/>
  <c r="EZ185" i="39"/>
  <c r="FF185" i="39" s="1"/>
  <c r="FG185" i="39" s="1"/>
  <c r="FH185" i="39" s="1"/>
  <c r="EY185" i="39"/>
  <c r="FB142" i="39"/>
  <c r="FA142" i="39"/>
  <c r="EZ142" i="39"/>
  <c r="FF142" i="39" s="1"/>
  <c r="FG142" i="39" s="1"/>
  <c r="FH142" i="39" s="1"/>
  <c r="EY142" i="39"/>
  <c r="FB130" i="39"/>
  <c r="FT130" i="39" s="1"/>
  <c r="FA130" i="39"/>
  <c r="EZ130" i="39"/>
  <c r="FF130" i="39" s="1"/>
  <c r="FG130" i="39" s="1"/>
  <c r="FH130" i="39" s="1"/>
  <c r="EY130" i="39"/>
  <c r="FB100" i="39"/>
  <c r="FA100" i="39"/>
  <c r="EZ100" i="39"/>
  <c r="FF100" i="39" s="1"/>
  <c r="FG100" i="39" s="1"/>
  <c r="FH100" i="39" s="1"/>
  <c r="EY100" i="39"/>
  <c r="FB63" i="39"/>
  <c r="FA63" i="39"/>
  <c r="EZ63" i="39"/>
  <c r="FF63" i="39" s="1"/>
  <c r="FG63" i="39" s="1"/>
  <c r="FH63" i="39" s="1"/>
  <c r="EY63" i="39"/>
  <c r="FB106" i="39"/>
  <c r="FA106" i="39"/>
  <c r="EZ106" i="39"/>
  <c r="FF106" i="39" s="1"/>
  <c r="FG106" i="39" s="1"/>
  <c r="FH106" i="39" s="1"/>
  <c r="EY106" i="39"/>
  <c r="FA159" i="39"/>
  <c r="FB159" i="39"/>
  <c r="EZ159" i="39"/>
  <c r="FF159" i="39" s="1"/>
  <c r="FG159" i="39" s="1"/>
  <c r="FH159" i="39" s="1"/>
  <c r="EY159" i="39"/>
  <c r="FA175" i="39"/>
  <c r="EY175" i="39"/>
  <c r="FB175" i="39"/>
  <c r="FT175" i="39" s="1"/>
  <c r="EZ175" i="39"/>
  <c r="FF175" i="39" s="1"/>
  <c r="FG175" i="39" s="1"/>
  <c r="FH175" i="39" s="1"/>
  <c r="FB43" i="39"/>
  <c r="FA43" i="39"/>
  <c r="EZ43" i="39"/>
  <c r="FF43" i="39" s="1"/>
  <c r="FG43" i="39" s="1"/>
  <c r="FH43" i="39" s="1"/>
  <c r="EY43" i="39"/>
  <c r="FB212" i="39"/>
  <c r="FT212" i="39" s="1"/>
  <c r="FA212" i="39"/>
  <c r="EZ212" i="39"/>
  <c r="FF212" i="39" s="1"/>
  <c r="FG212" i="39" s="1"/>
  <c r="FH212" i="39" s="1"/>
  <c r="EY212" i="39"/>
  <c r="FB140" i="39"/>
  <c r="FA140" i="39"/>
  <c r="EZ140" i="39"/>
  <c r="FF140" i="39" s="1"/>
  <c r="FG140" i="39" s="1"/>
  <c r="FH140" i="39" s="1"/>
  <c r="EY140" i="39"/>
  <c r="FB190" i="39"/>
  <c r="FT190" i="39" s="1"/>
  <c r="FA190" i="39"/>
  <c r="EZ190" i="39"/>
  <c r="FF190" i="39" s="1"/>
  <c r="FG190" i="39" s="1"/>
  <c r="FH190" i="39" s="1"/>
  <c r="EY190" i="39"/>
  <c r="FB209" i="39"/>
  <c r="FT209" i="39" s="1"/>
  <c r="FA209" i="39"/>
  <c r="EZ209" i="39"/>
  <c r="FF209" i="39" s="1"/>
  <c r="FG209" i="39" s="1"/>
  <c r="FH209" i="39" s="1"/>
  <c r="EY209" i="39"/>
  <c r="FB97" i="39"/>
  <c r="FA97" i="39"/>
  <c r="EZ97" i="39"/>
  <c r="FF97" i="39" s="1"/>
  <c r="FG97" i="39" s="1"/>
  <c r="FH97" i="39" s="1"/>
  <c r="EY97" i="39"/>
  <c r="FA52" i="39"/>
  <c r="EZ52" i="39"/>
  <c r="FF52" i="39" s="1"/>
  <c r="FG52" i="39" s="1"/>
  <c r="FH52" i="39" s="1"/>
  <c r="EY52" i="39"/>
  <c r="FB52" i="39"/>
  <c r="FB153" i="39"/>
  <c r="FA153" i="39"/>
  <c r="EZ153" i="39"/>
  <c r="FF153" i="39" s="1"/>
  <c r="FG153" i="39" s="1"/>
  <c r="FH153" i="39" s="1"/>
  <c r="EY153" i="39"/>
  <c r="EZ45" i="39"/>
  <c r="FF45" i="39" s="1"/>
  <c r="FG45" i="39" s="1"/>
  <c r="FH45" i="39" s="1"/>
  <c r="EY45" i="39"/>
  <c r="FB45" i="39"/>
  <c r="FA45" i="39"/>
  <c r="FB196" i="39"/>
  <c r="FT196" i="39" s="1"/>
  <c r="FA196" i="39"/>
  <c r="EZ196" i="39"/>
  <c r="FF196" i="39" s="1"/>
  <c r="FG196" i="39" s="1"/>
  <c r="FH196" i="39" s="1"/>
  <c r="EY196" i="39"/>
  <c r="FA203" i="39"/>
  <c r="EY203" i="39"/>
  <c r="FB203" i="39"/>
  <c r="EZ203" i="39"/>
  <c r="FF203" i="39" s="1"/>
  <c r="FG203" i="39" s="1"/>
  <c r="FH203" i="39" s="1"/>
  <c r="FB35" i="39"/>
  <c r="FA35" i="39"/>
  <c r="EZ35" i="39"/>
  <c r="FF35" i="39" s="1"/>
  <c r="FG35" i="39" s="1"/>
  <c r="FH35" i="39" s="1"/>
  <c r="EY35" i="39"/>
  <c r="FA107" i="39"/>
  <c r="FB107" i="39"/>
  <c r="EZ107" i="39"/>
  <c r="FF107" i="39" s="1"/>
  <c r="FG107" i="39" s="1"/>
  <c r="FH107" i="39" s="1"/>
  <c r="EY107" i="39"/>
  <c r="EZ62" i="39"/>
  <c r="FF62" i="39" s="1"/>
  <c r="FG62" i="39" s="1"/>
  <c r="FH62" i="39" s="1"/>
  <c r="EY62" i="39"/>
  <c r="FB62" i="39"/>
  <c r="FA62" i="39"/>
  <c r="FB55" i="39"/>
  <c r="FA55" i="39"/>
  <c r="EZ55" i="39"/>
  <c r="FF55" i="39" s="1"/>
  <c r="FG55" i="39" s="1"/>
  <c r="FH55" i="39" s="1"/>
  <c r="EY55" i="39"/>
  <c r="FB87" i="39"/>
  <c r="FA87" i="39"/>
  <c r="EZ87" i="39"/>
  <c r="FF87" i="39" s="1"/>
  <c r="FG87" i="39" s="1"/>
  <c r="FH87" i="39" s="1"/>
  <c r="EY87" i="39"/>
  <c r="EZ73" i="39"/>
  <c r="FF73" i="39" s="1"/>
  <c r="FG73" i="39" s="1"/>
  <c r="FH73" i="39" s="1"/>
  <c r="EY73" i="39"/>
  <c r="FB73" i="39"/>
  <c r="FA73" i="39"/>
  <c r="FB152" i="39"/>
  <c r="FT152" i="39" s="1"/>
  <c r="FA152" i="39"/>
  <c r="EZ152" i="39"/>
  <c r="FF152" i="39" s="1"/>
  <c r="FG152" i="39" s="1"/>
  <c r="FH152" i="39" s="1"/>
  <c r="EY152" i="39"/>
  <c r="FB164" i="39"/>
  <c r="FT164" i="39" s="1"/>
  <c r="FA164" i="39"/>
  <c r="EZ164" i="39"/>
  <c r="FF164" i="39" s="1"/>
  <c r="FG164" i="39" s="1"/>
  <c r="FH164" i="39" s="1"/>
  <c r="EY164" i="39"/>
  <c r="FB51" i="39"/>
  <c r="FA51" i="39"/>
  <c r="EZ51" i="39"/>
  <c r="FF51" i="39" s="1"/>
  <c r="FG51" i="39" s="1"/>
  <c r="FH51" i="39" s="1"/>
  <c r="EY51" i="39"/>
  <c r="EZ48" i="39"/>
  <c r="FF48" i="39" s="1"/>
  <c r="FG48" i="39" s="1"/>
  <c r="FH48" i="39" s="1"/>
  <c r="EY48" i="39"/>
  <c r="FA48" i="39"/>
  <c r="FB48" i="39"/>
  <c r="FA80" i="39"/>
  <c r="EZ80" i="39"/>
  <c r="FF80" i="39" s="1"/>
  <c r="FG80" i="39" s="1"/>
  <c r="FH80" i="39" s="1"/>
  <c r="EY80" i="39"/>
  <c r="FB80" i="39"/>
  <c r="FB15" i="39"/>
  <c r="FA15" i="39"/>
  <c r="EZ15" i="39"/>
  <c r="FF15" i="39" s="1"/>
  <c r="FG15" i="39" s="1"/>
  <c r="FH15" i="39" s="1"/>
  <c r="EY15" i="39"/>
  <c r="EZ34" i="39"/>
  <c r="FF34" i="39" s="1"/>
  <c r="FG34" i="39" s="1"/>
  <c r="FH34" i="39" s="1"/>
  <c r="EY34" i="39"/>
  <c r="FB34" i="39"/>
  <c r="FA34" i="39"/>
  <c r="FB150" i="39"/>
  <c r="FT150" i="39" s="1"/>
  <c r="FA150" i="39"/>
  <c r="EZ150" i="39"/>
  <c r="FF150" i="39" s="1"/>
  <c r="FG150" i="39" s="1"/>
  <c r="FH150" i="39" s="1"/>
  <c r="EY150" i="39"/>
  <c r="FB200" i="39"/>
  <c r="FT200" i="39" s="1"/>
  <c r="FA200" i="39"/>
  <c r="EZ200" i="39"/>
  <c r="FF200" i="39" s="1"/>
  <c r="FG200" i="39" s="1"/>
  <c r="FH200" i="39" s="1"/>
  <c r="EY200" i="39"/>
  <c r="FB27" i="39"/>
  <c r="FA27" i="39"/>
  <c r="EZ27" i="39"/>
  <c r="FF27" i="39" s="1"/>
  <c r="FG27" i="39" s="1"/>
  <c r="FH27" i="39" s="1"/>
  <c r="EY27" i="39"/>
  <c r="FB23" i="39"/>
  <c r="FA23" i="39"/>
  <c r="EZ23" i="39"/>
  <c r="FF23" i="39" s="1"/>
  <c r="FG23" i="39" s="1"/>
  <c r="FH23" i="39" s="1"/>
  <c r="EY23" i="39"/>
  <c r="FB110" i="39"/>
  <c r="FA110" i="39"/>
  <c r="EZ110" i="39"/>
  <c r="FF110" i="39" s="1"/>
  <c r="FG110" i="39" s="1"/>
  <c r="FH110" i="39" s="1"/>
  <c r="EY110" i="39"/>
  <c r="FB145" i="39"/>
  <c r="FT145" i="39" s="1"/>
  <c r="FA145" i="39"/>
  <c r="EZ145" i="39"/>
  <c r="FF145" i="39" s="1"/>
  <c r="FG145" i="39" s="1"/>
  <c r="FH145" i="39" s="1"/>
  <c r="EY145" i="39"/>
  <c r="FA111" i="39"/>
  <c r="FB111" i="39"/>
  <c r="FT111" i="39" s="1"/>
  <c r="EZ111" i="39"/>
  <c r="FF111" i="39" s="1"/>
  <c r="FG111" i="39" s="1"/>
  <c r="FH111" i="39" s="1"/>
  <c r="EY111" i="39"/>
  <c r="EZ50" i="39"/>
  <c r="FF50" i="39" s="1"/>
  <c r="FG50" i="39" s="1"/>
  <c r="FH50" i="39" s="1"/>
  <c r="EY50" i="39"/>
  <c r="FB50" i="39"/>
  <c r="FA50" i="39"/>
  <c r="FB204" i="39"/>
  <c r="FT204" i="39" s="1"/>
  <c r="FA204" i="39"/>
  <c r="EZ204" i="39"/>
  <c r="FF204" i="39" s="1"/>
  <c r="FG204" i="39" s="1"/>
  <c r="FH204" i="39" s="1"/>
  <c r="EY204" i="39"/>
  <c r="FI32" i="39"/>
  <c r="FJ32" i="39" s="1"/>
  <c r="FC32" i="39"/>
  <c r="FI93" i="39"/>
  <c r="FJ93" i="39" s="1"/>
  <c r="FC93" i="39"/>
  <c r="FB132" i="39"/>
  <c r="FA132" i="39"/>
  <c r="EZ132" i="39"/>
  <c r="FF132" i="39" s="1"/>
  <c r="FG132" i="39" s="1"/>
  <c r="FH132" i="39" s="1"/>
  <c r="EY132" i="39"/>
  <c r="FA72" i="39"/>
  <c r="EZ72" i="39"/>
  <c r="FF72" i="39" s="1"/>
  <c r="FG72" i="39" s="1"/>
  <c r="FH72" i="39" s="1"/>
  <c r="EY72" i="39"/>
  <c r="FB72" i="39"/>
  <c r="FA99" i="39"/>
  <c r="FB99" i="39"/>
  <c r="EZ99" i="39"/>
  <c r="FF99" i="39" s="1"/>
  <c r="FG99" i="39" s="1"/>
  <c r="FH99" i="39" s="1"/>
  <c r="EY99" i="39"/>
  <c r="EZ29" i="39"/>
  <c r="FF29" i="39" s="1"/>
  <c r="FG29" i="39" s="1"/>
  <c r="FH29" i="39" s="1"/>
  <c r="EY29" i="39"/>
  <c r="FB29" i="39"/>
  <c r="FA29" i="39"/>
  <c r="EZ66" i="39"/>
  <c r="FF66" i="39" s="1"/>
  <c r="FG66" i="39" s="1"/>
  <c r="FH66" i="39" s="1"/>
  <c r="EY66" i="39"/>
  <c r="FB66" i="39"/>
  <c r="FA66" i="39"/>
  <c r="EZ92" i="39"/>
  <c r="FF92" i="39" s="1"/>
  <c r="FG92" i="39" s="1"/>
  <c r="FH92" i="39" s="1"/>
  <c r="FA92" i="39"/>
  <c r="EY92" i="39"/>
  <c r="FB92" i="39"/>
  <c r="FA28" i="39"/>
  <c r="EZ28" i="39"/>
  <c r="FF28" i="39" s="1"/>
  <c r="FG28" i="39" s="1"/>
  <c r="FH28" i="39" s="1"/>
  <c r="EY28" i="39"/>
  <c r="FB28" i="39"/>
  <c r="FB116" i="39"/>
  <c r="FA116" i="39"/>
  <c r="EZ116" i="39"/>
  <c r="FF116" i="39" s="1"/>
  <c r="FG116" i="39" s="1"/>
  <c r="FH116" i="39" s="1"/>
  <c r="EY116" i="39"/>
  <c r="FB121" i="39"/>
  <c r="FA121" i="39"/>
  <c r="EZ121" i="39"/>
  <c r="FF121" i="39" s="1"/>
  <c r="FG121" i="39" s="1"/>
  <c r="FH121" i="39" s="1"/>
  <c r="EY121" i="39"/>
  <c r="EZ25" i="39"/>
  <c r="FF25" i="39" s="1"/>
  <c r="FG25" i="39" s="1"/>
  <c r="FH25" i="39" s="1"/>
  <c r="EY25" i="39"/>
  <c r="FB25" i="39"/>
  <c r="FA25" i="39"/>
  <c r="FA60" i="39"/>
  <c r="EZ60" i="39"/>
  <c r="FF60" i="39" s="1"/>
  <c r="FG60" i="39" s="1"/>
  <c r="FH60" i="39" s="1"/>
  <c r="EY60" i="39"/>
  <c r="FB60" i="39"/>
  <c r="EZ21" i="39"/>
  <c r="FF21" i="39" s="1"/>
  <c r="FG21" i="39" s="1"/>
  <c r="FH21" i="39" s="1"/>
  <c r="EY21" i="39"/>
  <c r="FB21" i="39"/>
  <c r="FA21" i="39"/>
  <c r="FB206" i="39"/>
  <c r="FT206" i="39" s="1"/>
  <c r="FA206" i="39"/>
  <c r="EZ206" i="39"/>
  <c r="FF206" i="39" s="1"/>
  <c r="FG206" i="39" s="1"/>
  <c r="FH206" i="39" s="1"/>
  <c r="EY206" i="39"/>
  <c r="EZ38" i="39"/>
  <c r="FF38" i="39" s="1"/>
  <c r="FG38" i="39" s="1"/>
  <c r="FH38" i="39" s="1"/>
  <c r="EY38" i="39"/>
  <c r="FB38" i="39"/>
  <c r="FA38" i="39"/>
  <c r="FB129" i="39"/>
  <c r="FA129" i="39"/>
  <c r="EZ129" i="39"/>
  <c r="FF129" i="39" s="1"/>
  <c r="FG129" i="39" s="1"/>
  <c r="FH129" i="39" s="1"/>
  <c r="EY129" i="39"/>
  <c r="EZ40" i="39"/>
  <c r="FF40" i="39" s="1"/>
  <c r="FG40" i="39" s="1"/>
  <c r="FH40" i="39" s="1"/>
  <c r="FA40" i="39"/>
  <c r="EY40" i="39"/>
  <c r="FB40" i="39"/>
  <c r="FB71" i="39"/>
  <c r="FA71" i="39"/>
  <c r="EZ71" i="39"/>
  <c r="FF71" i="39" s="1"/>
  <c r="FG71" i="39" s="1"/>
  <c r="FH71" i="39" s="1"/>
  <c r="EY71" i="39"/>
  <c r="FB75" i="39"/>
  <c r="FA75" i="39"/>
  <c r="EZ75" i="39"/>
  <c r="FF75" i="39" s="1"/>
  <c r="FG75" i="39" s="1"/>
  <c r="FH75" i="39" s="1"/>
  <c r="EY75" i="39"/>
  <c r="FB216" i="39"/>
  <c r="FT216" i="39" s="1"/>
  <c r="FA216" i="39"/>
  <c r="EZ216" i="39"/>
  <c r="FF216" i="39" s="1"/>
  <c r="FG216" i="39" s="1"/>
  <c r="FH216" i="39" s="1"/>
  <c r="EY216" i="39"/>
  <c r="FB91" i="39"/>
  <c r="FA91" i="39"/>
  <c r="EZ91" i="39"/>
  <c r="FF91" i="39" s="1"/>
  <c r="FG91" i="39" s="1"/>
  <c r="FH91" i="39" s="1"/>
  <c r="EY91" i="39"/>
  <c r="FA151" i="39"/>
  <c r="FB151" i="39"/>
  <c r="FT151" i="39" s="1"/>
  <c r="EZ151" i="39"/>
  <c r="FF151" i="39" s="1"/>
  <c r="FG151" i="39" s="1"/>
  <c r="FH151" i="39" s="1"/>
  <c r="EY151" i="39"/>
  <c r="FB47" i="39"/>
  <c r="FA47" i="39"/>
  <c r="EZ47" i="39"/>
  <c r="FF47" i="39" s="1"/>
  <c r="FG47" i="39" s="1"/>
  <c r="FH47" i="39" s="1"/>
  <c r="EY47" i="39"/>
  <c r="FA20" i="39"/>
  <c r="EZ20" i="39"/>
  <c r="FF20" i="39" s="1"/>
  <c r="FG20" i="39" s="1"/>
  <c r="FH20" i="39" s="1"/>
  <c r="EY20" i="39"/>
  <c r="FB20" i="39"/>
  <c r="FB134" i="39"/>
  <c r="FA134" i="39"/>
  <c r="EZ134" i="39"/>
  <c r="FF134" i="39" s="1"/>
  <c r="FG134" i="39" s="1"/>
  <c r="FH134" i="39" s="1"/>
  <c r="EY134" i="39"/>
  <c r="EZ70" i="39"/>
  <c r="FF70" i="39" s="1"/>
  <c r="FG70" i="39" s="1"/>
  <c r="FH70" i="39" s="1"/>
  <c r="EY70" i="39"/>
  <c r="FB70" i="39"/>
  <c r="FA70" i="39"/>
  <c r="EZ57" i="39"/>
  <c r="FF57" i="39" s="1"/>
  <c r="FG57" i="39" s="1"/>
  <c r="FH57" i="39" s="1"/>
  <c r="EY57" i="39"/>
  <c r="FB57" i="39"/>
  <c r="FA57" i="39"/>
  <c r="FB124" i="39"/>
  <c r="FA124" i="39"/>
  <c r="EZ124" i="39"/>
  <c r="FF124" i="39" s="1"/>
  <c r="FG124" i="39" s="1"/>
  <c r="FH124" i="39" s="1"/>
  <c r="EY124" i="39"/>
  <c r="FA167" i="39"/>
  <c r="FB167" i="39"/>
  <c r="FT167" i="39" s="1"/>
  <c r="EZ167" i="39"/>
  <c r="FF167" i="39" s="1"/>
  <c r="FG167" i="39" s="1"/>
  <c r="FH167" i="39" s="1"/>
  <c r="EY167" i="39"/>
  <c r="FA123" i="39"/>
  <c r="FB123" i="39"/>
  <c r="EZ123" i="39"/>
  <c r="FF123" i="39" s="1"/>
  <c r="FG123" i="39" s="1"/>
  <c r="FH123" i="39" s="1"/>
  <c r="EY123" i="39"/>
  <c r="FB194" i="39"/>
  <c r="FT194" i="39" s="1"/>
  <c r="FA194" i="39"/>
  <c r="EZ194" i="39"/>
  <c r="FF194" i="39" s="1"/>
  <c r="FG194" i="39" s="1"/>
  <c r="FH194" i="39" s="1"/>
  <c r="EY194" i="39"/>
  <c r="FB122" i="39"/>
  <c r="FA122" i="39"/>
  <c r="EZ122" i="39"/>
  <c r="FF122" i="39" s="1"/>
  <c r="FG122" i="39" s="1"/>
  <c r="FH122" i="39" s="1"/>
  <c r="EY122" i="39"/>
  <c r="FB177" i="39"/>
  <c r="FT177" i="39" s="1"/>
  <c r="FA177" i="39"/>
  <c r="EZ177" i="39"/>
  <c r="FF177" i="39" s="1"/>
  <c r="FG177" i="39" s="1"/>
  <c r="FH177" i="39" s="1"/>
  <c r="EY177" i="39"/>
  <c r="FA179" i="39"/>
  <c r="EY179" i="39"/>
  <c r="FB179" i="39"/>
  <c r="FT179" i="39" s="1"/>
  <c r="EZ179" i="39"/>
  <c r="FF179" i="39" s="1"/>
  <c r="FG179" i="39" s="1"/>
  <c r="FH179" i="39" s="1"/>
  <c r="FB105" i="39"/>
  <c r="FA105" i="39"/>
  <c r="EZ105" i="39"/>
  <c r="FF105" i="39" s="1"/>
  <c r="FG105" i="39" s="1"/>
  <c r="FH105" i="39" s="1"/>
  <c r="EY105" i="39"/>
  <c r="FB98" i="39"/>
  <c r="FA98" i="39"/>
  <c r="EZ98" i="39"/>
  <c r="FF98" i="39" s="1"/>
  <c r="FG98" i="39" s="1"/>
  <c r="FH98" i="39" s="1"/>
  <c r="EY98" i="39"/>
  <c r="FA119" i="39"/>
  <c r="FB119" i="39"/>
  <c r="EZ119" i="39"/>
  <c r="FF119" i="39" s="1"/>
  <c r="FG119" i="39" s="1"/>
  <c r="FH119" i="39" s="1"/>
  <c r="EY119" i="39"/>
  <c r="FB67" i="39"/>
  <c r="FT67" i="39" s="1"/>
  <c r="FA67" i="39"/>
  <c r="EZ67" i="39"/>
  <c r="FF67" i="39" s="1"/>
  <c r="FG67" i="39" s="1"/>
  <c r="FH67" i="39" s="1"/>
  <c r="EY67" i="39"/>
  <c r="FB126" i="39"/>
  <c r="FA126" i="39"/>
  <c r="EZ126" i="39"/>
  <c r="FF126" i="39" s="1"/>
  <c r="FG126" i="39" s="1"/>
  <c r="FH126" i="39" s="1"/>
  <c r="EY126" i="39"/>
  <c r="FA88" i="39"/>
  <c r="EZ88" i="39"/>
  <c r="FF88" i="39" s="1"/>
  <c r="FG88" i="39" s="1"/>
  <c r="FH88" i="39" s="1"/>
  <c r="EY88" i="39"/>
  <c r="FB88" i="39"/>
  <c r="FB205" i="39"/>
  <c r="FT205" i="39" s="1"/>
  <c r="FA205" i="39"/>
  <c r="EZ205" i="39"/>
  <c r="FF205" i="39" s="1"/>
  <c r="FG205" i="39" s="1"/>
  <c r="FH205" i="39" s="1"/>
  <c r="EY205" i="39"/>
  <c r="FA207" i="39"/>
  <c r="EY207" i="39"/>
  <c r="FB207" i="39"/>
  <c r="FT207" i="39" s="1"/>
  <c r="EZ207" i="39"/>
  <c r="FF207" i="39" s="1"/>
  <c r="FG207" i="39" s="1"/>
  <c r="FH207" i="39" s="1"/>
  <c r="EZ81" i="39"/>
  <c r="FF81" i="39" s="1"/>
  <c r="FG81" i="39" s="1"/>
  <c r="FH81" i="39" s="1"/>
  <c r="EY81" i="39"/>
  <c r="FB81" i="39"/>
  <c r="FA81" i="39"/>
  <c r="FB112" i="39"/>
  <c r="FA112" i="39"/>
  <c r="EZ112" i="39"/>
  <c r="FF112" i="39" s="1"/>
  <c r="FG112" i="39" s="1"/>
  <c r="FH112" i="39" s="1"/>
  <c r="EY112" i="39"/>
  <c r="FB133" i="39"/>
  <c r="FA133" i="39"/>
  <c r="EZ133" i="39"/>
  <c r="FF133" i="39" s="1"/>
  <c r="FG133" i="39" s="1"/>
  <c r="FH133" i="39" s="1"/>
  <c r="EY133" i="39"/>
  <c r="FB120" i="39"/>
  <c r="FT120" i="39" s="1"/>
  <c r="FA120" i="39"/>
  <c r="EZ120" i="39"/>
  <c r="FF120" i="39" s="1"/>
  <c r="FG120" i="39" s="1"/>
  <c r="FH120" i="39" s="1"/>
  <c r="EY120" i="39"/>
  <c r="EZ33" i="39"/>
  <c r="FF33" i="39" s="1"/>
  <c r="FG33" i="39" s="1"/>
  <c r="FH33" i="39" s="1"/>
  <c r="EY33" i="39"/>
  <c r="FB33" i="39"/>
  <c r="FA33" i="39"/>
  <c r="EZ85" i="39"/>
  <c r="FF85" i="39" s="1"/>
  <c r="FG85" i="39" s="1"/>
  <c r="FH85" i="39" s="1"/>
  <c r="EY85" i="39"/>
  <c r="FB85" i="39"/>
  <c r="FA85" i="39"/>
  <c r="FB165" i="39"/>
  <c r="FT165" i="39" s="1"/>
  <c r="FA165" i="39"/>
  <c r="EZ165" i="39"/>
  <c r="FF165" i="39" s="1"/>
  <c r="FG165" i="39" s="1"/>
  <c r="FH165" i="39" s="1"/>
  <c r="EY165" i="39"/>
  <c r="FB198" i="39"/>
  <c r="FT198" i="39" s="1"/>
  <c r="FA198" i="39"/>
  <c r="EZ198" i="39"/>
  <c r="FF198" i="39" s="1"/>
  <c r="FG198" i="39" s="1"/>
  <c r="FH198" i="39" s="1"/>
  <c r="EY198" i="39"/>
  <c r="FB178" i="39"/>
  <c r="FT178" i="39" s="1"/>
  <c r="FA178" i="39"/>
  <c r="EZ178" i="39"/>
  <c r="FF178" i="39" s="1"/>
  <c r="FG178" i="39" s="1"/>
  <c r="FH178" i="39" s="1"/>
  <c r="EY178" i="39"/>
  <c r="EZ53" i="39"/>
  <c r="FF53" i="39" s="1"/>
  <c r="FG53" i="39" s="1"/>
  <c r="FH53" i="39" s="1"/>
  <c r="EY53" i="39"/>
  <c r="FB53" i="39"/>
  <c r="FA53" i="39"/>
  <c r="FA147" i="39"/>
  <c r="FB147" i="39"/>
  <c r="EZ147" i="39"/>
  <c r="FF147" i="39" s="1"/>
  <c r="FG147" i="39" s="1"/>
  <c r="FH147" i="39" s="1"/>
  <c r="EY147" i="39"/>
  <c r="FB94" i="39"/>
  <c r="FA94" i="39"/>
  <c r="EZ94" i="39"/>
  <c r="FF94" i="39" s="1"/>
  <c r="FG94" i="39" s="1"/>
  <c r="FH94" i="39" s="1"/>
  <c r="EY94" i="39"/>
  <c r="EZ41" i="39"/>
  <c r="FF41" i="39" s="1"/>
  <c r="FG41" i="39" s="1"/>
  <c r="FH41" i="39" s="1"/>
  <c r="EY41" i="39"/>
  <c r="FB41" i="39"/>
  <c r="FA41" i="39"/>
  <c r="FB95" i="39"/>
  <c r="FT95" i="39" s="1"/>
  <c r="FA95" i="39"/>
  <c r="EZ95" i="39"/>
  <c r="FF95" i="39" s="1"/>
  <c r="FG95" i="39" s="1"/>
  <c r="FH95" i="39" s="1"/>
  <c r="EY95" i="39"/>
  <c r="FB157" i="39"/>
  <c r="FA157" i="39"/>
  <c r="EZ157" i="39"/>
  <c r="FF157" i="39" s="1"/>
  <c r="FG157" i="39" s="1"/>
  <c r="FH157" i="39" s="1"/>
  <c r="EY157" i="39"/>
  <c r="FA163" i="39"/>
  <c r="FB163" i="39"/>
  <c r="FT163" i="39" s="1"/>
  <c r="EZ163" i="39"/>
  <c r="FF163" i="39" s="1"/>
  <c r="FG163" i="39" s="1"/>
  <c r="FH163" i="39" s="1"/>
  <c r="EY163" i="39"/>
  <c r="FA187" i="39"/>
  <c r="FB187" i="39"/>
  <c r="FT187" i="39" s="1"/>
  <c r="EZ187" i="39"/>
  <c r="FF187" i="39" s="1"/>
  <c r="FG187" i="39" s="1"/>
  <c r="FH187" i="39" s="1"/>
  <c r="EY187" i="39"/>
  <c r="FB184" i="39"/>
  <c r="FT184" i="39" s="1"/>
  <c r="FA184" i="39"/>
  <c r="EZ184" i="39"/>
  <c r="FF184" i="39" s="1"/>
  <c r="FG184" i="39" s="1"/>
  <c r="FH184" i="39" s="1"/>
  <c r="EY184" i="39"/>
  <c r="FB136" i="39"/>
  <c r="FA136" i="39"/>
  <c r="EZ136" i="39"/>
  <c r="FF136" i="39" s="1"/>
  <c r="FG136" i="39" s="1"/>
  <c r="FH136" i="39" s="1"/>
  <c r="EY136" i="39"/>
  <c r="FA143" i="39"/>
  <c r="FB143" i="39"/>
  <c r="EZ143" i="39"/>
  <c r="FF143" i="39" s="1"/>
  <c r="FG143" i="39" s="1"/>
  <c r="FH143" i="39" s="1"/>
  <c r="EY143" i="39"/>
  <c r="FI172" i="39"/>
  <c r="FJ172" i="39" s="1"/>
  <c r="FC172" i="39"/>
  <c r="FB117" i="39"/>
  <c r="FA117" i="39"/>
  <c r="EZ117" i="39"/>
  <c r="FF117" i="39" s="1"/>
  <c r="FG117" i="39" s="1"/>
  <c r="FH117" i="39" s="1"/>
  <c r="EY117" i="39"/>
  <c r="FB210" i="39"/>
  <c r="FA210" i="39"/>
  <c r="EZ210" i="39"/>
  <c r="FF210" i="39" s="1"/>
  <c r="FG210" i="39" s="1"/>
  <c r="FH210" i="39" s="1"/>
  <c r="EY210" i="39"/>
  <c r="FB168" i="39"/>
  <c r="FT168" i="39" s="1"/>
  <c r="FA168" i="39"/>
  <c r="EZ168" i="39"/>
  <c r="FF168" i="39" s="1"/>
  <c r="FG168" i="39" s="1"/>
  <c r="FH168" i="39" s="1"/>
  <c r="EY168" i="39"/>
  <c r="EZ58" i="39"/>
  <c r="FF58" i="39" s="1"/>
  <c r="FG58" i="39" s="1"/>
  <c r="FH58" i="39" s="1"/>
  <c r="EY58" i="39"/>
  <c r="FB58" i="39"/>
  <c r="FA58" i="39"/>
  <c r="FA68" i="39"/>
  <c r="EZ68" i="39"/>
  <c r="FF68" i="39" s="1"/>
  <c r="FG68" i="39" s="1"/>
  <c r="FH68" i="39" s="1"/>
  <c r="EY68" i="39"/>
  <c r="FB68" i="39"/>
  <c r="FB102" i="39"/>
  <c r="FA102" i="39"/>
  <c r="EZ102" i="39"/>
  <c r="FF102" i="39" s="1"/>
  <c r="FG102" i="39" s="1"/>
  <c r="FH102" i="39" s="1"/>
  <c r="EY102" i="39"/>
  <c r="FB154" i="39"/>
  <c r="FA154" i="39"/>
  <c r="EZ154" i="39"/>
  <c r="FF154" i="39" s="1"/>
  <c r="FG154" i="39" s="1"/>
  <c r="FH154" i="39" s="1"/>
  <c r="EY154" i="39"/>
  <c r="EZ42" i="39"/>
  <c r="FF42" i="39" s="1"/>
  <c r="FG42" i="39" s="1"/>
  <c r="FH42" i="39" s="1"/>
  <c r="EY42" i="39"/>
  <c r="FB42" i="39"/>
  <c r="FA42" i="39"/>
  <c r="FA24" i="39"/>
  <c r="EZ24" i="39"/>
  <c r="FF24" i="39" s="1"/>
  <c r="FG24" i="39" s="1"/>
  <c r="FH24" i="39" s="1"/>
  <c r="EY24" i="39"/>
  <c r="FB24" i="39"/>
  <c r="FB125" i="39"/>
  <c r="FA125" i="39"/>
  <c r="EZ125" i="39"/>
  <c r="FF125" i="39" s="1"/>
  <c r="FG125" i="39" s="1"/>
  <c r="FH125" i="39" s="1"/>
  <c r="EY125" i="39"/>
  <c r="EZ61" i="39"/>
  <c r="FF61" i="39" s="1"/>
  <c r="FG61" i="39" s="1"/>
  <c r="FH61" i="39" s="1"/>
  <c r="EY61" i="39"/>
  <c r="FB61" i="39"/>
  <c r="FA61" i="39"/>
  <c r="FA191" i="39"/>
  <c r="FB191" i="39"/>
  <c r="FT191" i="39" s="1"/>
  <c r="EZ191" i="39"/>
  <c r="FF191" i="39" s="1"/>
  <c r="FG191" i="39" s="1"/>
  <c r="FH191" i="39" s="1"/>
  <c r="EY191" i="39"/>
  <c r="FA131" i="39"/>
  <c r="FB131" i="39"/>
  <c r="FT131" i="39" s="1"/>
  <c r="EZ131" i="39"/>
  <c r="FF131" i="39" s="1"/>
  <c r="FG131" i="39" s="1"/>
  <c r="FH131" i="39" s="1"/>
  <c r="EY131" i="39"/>
  <c r="M7" i="19"/>
  <c r="T9" i="19"/>
  <c r="CQ12" i="39"/>
  <c r="GM12" i="39" s="1"/>
  <c r="HA12" i="39" s="1"/>
  <c r="HC12" i="39" s="1"/>
  <c r="O12" i="19"/>
  <c r="O10" i="19"/>
  <c r="CQ10" i="39"/>
  <c r="GM10" i="39" s="1"/>
  <c r="HA10" i="39" s="1"/>
  <c r="HC10" i="39" s="1"/>
  <c r="CQ9" i="39"/>
  <c r="GM9" i="39" s="1"/>
  <c r="HA9" i="39" s="1"/>
  <c r="HC9" i="39" s="1"/>
  <c r="O9" i="19"/>
  <c r="T12" i="19"/>
  <c r="T10" i="19"/>
  <c r="K30" i="23"/>
  <c r="W19" i="5"/>
  <c r="M42" i="23"/>
  <c r="K42" i="23"/>
  <c r="M50" i="23"/>
  <c r="K50" i="23"/>
  <c r="M31" i="23"/>
  <c r="K31" i="23"/>
  <c r="M36" i="23"/>
  <c r="M43" i="23"/>
  <c r="K43" i="23"/>
  <c r="M46" i="23"/>
  <c r="K46" i="23"/>
  <c r="M39" i="23"/>
  <c r="K39" i="23"/>
  <c r="M37" i="23"/>
  <c r="K37" i="23"/>
  <c r="M40" i="23"/>
  <c r="K40" i="23"/>
  <c r="M49" i="23"/>
  <c r="K49" i="23"/>
  <c r="M44" i="23"/>
  <c r="K44" i="23"/>
  <c r="M52" i="23"/>
  <c r="K52" i="23"/>
  <c r="K33" i="23"/>
  <c r="M33" i="23"/>
  <c r="M34" i="23"/>
  <c r="K34" i="23"/>
  <c r="M48" i="23"/>
  <c r="K48" i="23"/>
  <c r="M45" i="23"/>
  <c r="K45" i="23"/>
  <c r="M35" i="23"/>
  <c r="M32" i="23"/>
  <c r="K32" i="23"/>
  <c r="M38" i="23"/>
  <c r="K38" i="23"/>
  <c r="M41" i="23"/>
  <c r="K41" i="23"/>
  <c r="K51" i="23"/>
  <c r="M51" i="23"/>
  <c r="M47" i="23"/>
  <c r="K47" i="23"/>
  <c r="O19" i="7"/>
  <c r="N10" i="10"/>
  <c r="X10" i="10" s="1"/>
  <c r="N10" i="5"/>
  <c r="N11" i="10"/>
  <c r="X11" i="10" s="1"/>
  <c r="CW7" i="39" l="1"/>
  <c r="CV7" i="39"/>
  <c r="CY7" i="39"/>
  <c r="CX7" i="39"/>
  <c r="Q8" i="19"/>
  <c r="GQ7" i="39"/>
  <c r="CQ7" i="39"/>
  <c r="GM7" i="39" s="1"/>
  <c r="HA7" i="39" s="1"/>
  <c r="HC7" i="39" s="1"/>
  <c r="O7" i="19"/>
  <c r="AR17" i="39"/>
  <c r="AS17" i="39" s="1"/>
  <c r="U12" i="19"/>
  <c r="Q11" i="19"/>
  <c r="X10" i="19"/>
  <c r="GU10" i="39"/>
  <c r="V10" i="19"/>
  <c r="GS10" i="39"/>
  <c r="U8" i="19"/>
  <c r="GR8" i="39"/>
  <c r="X9" i="19"/>
  <c r="GU9" i="39"/>
  <c r="U11" i="19"/>
  <c r="GR11" i="39"/>
  <c r="HI7" i="39"/>
  <c r="HG7" i="39"/>
  <c r="HF7" i="39"/>
  <c r="HH7" i="39"/>
  <c r="V8" i="19"/>
  <c r="GS8" i="39"/>
  <c r="U9" i="19"/>
  <c r="GR9" i="39"/>
  <c r="V11" i="19"/>
  <c r="GS11" i="39"/>
  <c r="X12" i="19"/>
  <c r="GU12" i="39"/>
  <c r="W8" i="19"/>
  <c r="GT8" i="39"/>
  <c r="V9" i="19"/>
  <c r="GS9" i="39"/>
  <c r="W11" i="19"/>
  <c r="GT11" i="39"/>
  <c r="W12" i="19"/>
  <c r="GT12" i="39"/>
  <c r="X8" i="19"/>
  <c r="GU8" i="39"/>
  <c r="W9" i="19"/>
  <c r="GT9" i="39"/>
  <c r="X11" i="19"/>
  <c r="GU11" i="39"/>
  <c r="U10" i="19"/>
  <c r="GR10" i="39"/>
  <c r="W10" i="19"/>
  <c r="GT10" i="39"/>
  <c r="V12" i="19"/>
  <c r="GS12" i="39"/>
  <c r="FT15" i="39"/>
  <c r="FC15" i="39"/>
  <c r="T7" i="19"/>
  <c r="FC115" i="39"/>
  <c r="FC36" i="39"/>
  <c r="FA195" i="39"/>
  <c r="FB195" i="39"/>
  <c r="FT195" i="39" s="1"/>
  <c r="EY195" i="39"/>
  <c r="EZ195" i="39"/>
  <c r="FF195" i="39" s="1"/>
  <c r="FG195" i="39" s="1"/>
  <c r="FH195" i="39" s="1"/>
  <c r="FB83" i="39"/>
  <c r="FA83" i="39"/>
  <c r="EZ83" i="39"/>
  <c r="FF83" i="39" s="1"/>
  <c r="FG83" i="39" s="1"/>
  <c r="FH83" i="39" s="1"/>
  <c r="EY83" i="39"/>
  <c r="FI154" i="39"/>
  <c r="FJ154" i="39" s="1"/>
  <c r="FC154" i="39"/>
  <c r="FI122" i="39"/>
  <c r="FJ122" i="39" s="1"/>
  <c r="FC122" i="39"/>
  <c r="FI124" i="39"/>
  <c r="FJ124" i="39" s="1"/>
  <c r="FC124" i="39"/>
  <c r="FI66" i="39"/>
  <c r="FJ66" i="39" s="1"/>
  <c r="FC66" i="39"/>
  <c r="FI73" i="39"/>
  <c r="FJ73" i="39" s="1"/>
  <c r="FC73" i="39"/>
  <c r="FI203" i="39"/>
  <c r="FJ203" i="39" s="1"/>
  <c r="FC203" i="39"/>
  <c r="FK64" i="39"/>
  <c r="FI153" i="39"/>
  <c r="FJ153" i="39" s="1"/>
  <c r="FC153" i="39"/>
  <c r="FI97" i="39"/>
  <c r="FJ97" i="39" s="1"/>
  <c r="FC97" i="39"/>
  <c r="FI190" i="39"/>
  <c r="FJ190" i="39" s="1"/>
  <c r="FC190" i="39"/>
  <c r="FI212" i="39"/>
  <c r="FJ212" i="39" s="1"/>
  <c r="FC212" i="39"/>
  <c r="FI106" i="39"/>
  <c r="FJ106" i="39" s="1"/>
  <c r="FC106" i="39"/>
  <c r="FI100" i="39"/>
  <c r="FJ100" i="39" s="1"/>
  <c r="FC100" i="39"/>
  <c r="FI142" i="39"/>
  <c r="FJ142" i="39" s="1"/>
  <c r="FC142" i="39"/>
  <c r="FI148" i="39"/>
  <c r="FJ148" i="39" s="1"/>
  <c r="FC148" i="39"/>
  <c r="FI146" i="39"/>
  <c r="FJ146" i="39" s="1"/>
  <c r="FC146" i="39"/>
  <c r="FI22" i="39"/>
  <c r="FJ22" i="39" s="1"/>
  <c r="FC22" i="39"/>
  <c r="FI69" i="39"/>
  <c r="FJ69" i="39" s="1"/>
  <c r="FC69" i="39"/>
  <c r="FI201" i="39"/>
  <c r="FJ201" i="39" s="1"/>
  <c r="FC201" i="39"/>
  <c r="FI199" i="39"/>
  <c r="FJ199" i="39" s="1"/>
  <c r="FC199" i="39"/>
  <c r="FI215" i="39"/>
  <c r="FJ215" i="39" s="1"/>
  <c r="FC215" i="39"/>
  <c r="FI114" i="39"/>
  <c r="FJ114" i="39" s="1"/>
  <c r="FC114" i="39"/>
  <c r="EZ30" i="39"/>
  <c r="FF30" i="39" s="1"/>
  <c r="FG30" i="39" s="1"/>
  <c r="FH30" i="39" s="1"/>
  <c r="EY30" i="39"/>
  <c r="FB30" i="39"/>
  <c r="FA30" i="39"/>
  <c r="FB189" i="39"/>
  <c r="FT189" i="39" s="1"/>
  <c r="FA189" i="39"/>
  <c r="EZ189" i="39"/>
  <c r="FF189" i="39" s="1"/>
  <c r="FG189" i="39" s="1"/>
  <c r="FH189" i="39" s="1"/>
  <c r="EY189" i="39"/>
  <c r="FB202" i="39"/>
  <c r="FT202" i="39" s="1"/>
  <c r="FA202" i="39"/>
  <c r="EZ202" i="39"/>
  <c r="FF202" i="39" s="1"/>
  <c r="FG202" i="39" s="1"/>
  <c r="FH202" i="39" s="1"/>
  <c r="EY202" i="39"/>
  <c r="FB128" i="39"/>
  <c r="FA128" i="39"/>
  <c r="EZ128" i="39"/>
  <c r="FF128" i="39" s="1"/>
  <c r="FG128" i="39" s="1"/>
  <c r="FH128" i="39" s="1"/>
  <c r="EY128" i="39"/>
  <c r="EZ49" i="39"/>
  <c r="FF49" i="39" s="1"/>
  <c r="FG49" i="39" s="1"/>
  <c r="FH49" i="39" s="1"/>
  <c r="EY49" i="39"/>
  <c r="FB49" i="39"/>
  <c r="FA49" i="39"/>
  <c r="EZ90" i="39"/>
  <c r="FF90" i="39" s="1"/>
  <c r="FG90" i="39" s="1"/>
  <c r="FH90" i="39" s="1"/>
  <c r="EY90" i="39"/>
  <c r="FB90" i="39"/>
  <c r="FA90" i="39"/>
  <c r="FB118" i="39"/>
  <c r="FT118" i="39" s="1"/>
  <c r="FA118" i="39"/>
  <c r="EZ118" i="39"/>
  <c r="FF118" i="39" s="1"/>
  <c r="FG118" i="39" s="1"/>
  <c r="FH118" i="39" s="1"/>
  <c r="EY118" i="39"/>
  <c r="EZ77" i="39"/>
  <c r="FF77" i="39" s="1"/>
  <c r="FG77" i="39" s="1"/>
  <c r="FH77" i="39" s="1"/>
  <c r="EY77" i="39"/>
  <c r="FB77" i="39"/>
  <c r="FA77" i="39"/>
  <c r="FB137" i="39"/>
  <c r="FA137" i="39"/>
  <c r="EZ137" i="39"/>
  <c r="FF137" i="39" s="1"/>
  <c r="FG137" i="39" s="1"/>
  <c r="FH137" i="39" s="1"/>
  <c r="EY137" i="39"/>
  <c r="FB144" i="39"/>
  <c r="FA144" i="39"/>
  <c r="EZ144" i="39"/>
  <c r="FF144" i="39" s="1"/>
  <c r="FG144" i="39" s="1"/>
  <c r="FH144" i="39" s="1"/>
  <c r="EY144" i="39"/>
  <c r="FI191" i="39"/>
  <c r="FJ191" i="39" s="1"/>
  <c r="FC191" i="39"/>
  <c r="FI168" i="39"/>
  <c r="FJ168" i="39" s="1"/>
  <c r="FC168" i="39"/>
  <c r="FI117" i="39"/>
  <c r="FJ117" i="39" s="1"/>
  <c r="FC117" i="39"/>
  <c r="FI41" i="39"/>
  <c r="FJ41" i="39" s="1"/>
  <c r="FC41" i="39"/>
  <c r="FI33" i="39"/>
  <c r="FJ33" i="39" s="1"/>
  <c r="FC33" i="39"/>
  <c r="FI81" i="39"/>
  <c r="FJ81" i="39" s="1"/>
  <c r="FC81" i="39"/>
  <c r="FI99" i="39"/>
  <c r="FJ99" i="39" s="1"/>
  <c r="FC99" i="39"/>
  <c r="FI111" i="39"/>
  <c r="FJ111" i="39" s="1"/>
  <c r="FC111" i="39"/>
  <c r="FI107" i="39"/>
  <c r="FJ107" i="39" s="1"/>
  <c r="FC107" i="39"/>
  <c r="FI52" i="39"/>
  <c r="FJ52" i="39" s="1"/>
  <c r="FC52" i="39"/>
  <c r="FI135" i="39"/>
  <c r="FJ135" i="39" s="1"/>
  <c r="FC135" i="39"/>
  <c r="FB162" i="39"/>
  <c r="FA162" i="39"/>
  <c r="EZ162" i="39"/>
  <c r="FF162" i="39" s="1"/>
  <c r="FG162" i="39" s="1"/>
  <c r="FH162" i="39" s="1"/>
  <c r="EY162" i="39"/>
  <c r="FI42" i="39"/>
  <c r="FJ42" i="39" s="1"/>
  <c r="FC42" i="39"/>
  <c r="FI58" i="39"/>
  <c r="FJ58" i="39" s="1"/>
  <c r="FC58" i="39"/>
  <c r="FI187" i="39"/>
  <c r="FJ187" i="39" s="1"/>
  <c r="FC187" i="39"/>
  <c r="FI147" i="39"/>
  <c r="FJ147" i="39" s="1"/>
  <c r="FC147" i="39"/>
  <c r="FI119" i="39"/>
  <c r="FJ119" i="39" s="1"/>
  <c r="FC119" i="39"/>
  <c r="FI57" i="39"/>
  <c r="FJ57" i="39" s="1"/>
  <c r="FC57" i="39"/>
  <c r="FI216" i="39"/>
  <c r="FJ216" i="39" s="1"/>
  <c r="FL216" i="39" s="1"/>
  <c r="FC216" i="39"/>
  <c r="FI71" i="39"/>
  <c r="FJ71" i="39" s="1"/>
  <c r="FC71" i="39"/>
  <c r="FI129" i="39"/>
  <c r="FJ129" i="39" s="1"/>
  <c r="FC129" i="39"/>
  <c r="FI206" i="39"/>
  <c r="FJ206" i="39" s="1"/>
  <c r="FC206" i="39"/>
  <c r="FI121" i="39"/>
  <c r="FJ121" i="39" s="1"/>
  <c r="FC121" i="39"/>
  <c r="FI132" i="39"/>
  <c r="FJ132" i="39" s="1"/>
  <c r="FC132" i="39"/>
  <c r="FI204" i="39"/>
  <c r="FJ204" i="39" s="1"/>
  <c r="FC204" i="39"/>
  <c r="FI110" i="39"/>
  <c r="FJ110" i="39" s="1"/>
  <c r="FC110" i="39"/>
  <c r="FI27" i="39"/>
  <c r="FJ27" i="39" s="1"/>
  <c r="FC27" i="39"/>
  <c r="FI150" i="39"/>
  <c r="FJ150" i="39" s="1"/>
  <c r="FC150" i="39"/>
  <c r="FI15" i="39"/>
  <c r="FJ15" i="39" s="1"/>
  <c r="FK15" i="39" s="1"/>
  <c r="FI164" i="39"/>
  <c r="FJ164" i="39" s="1"/>
  <c r="FC164" i="39"/>
  <c r="FI55" i="39"/>
  <c r="FJ55" i="39" s="1"/>
  <c r="FC55" i="39"/>
  <c r="FI45" i="39"/>
  <c r="FJ45" i="39" s="1"/>
  <c r="FC45" i="39"/>
  <c r="FI89" i="39"/>
  <c r="FJ89" i="39" s="1"/>
  <c r="FC89" i="39"/>
  <c r="FL108" i="39"/>
  <c r="FK108" i="39"/>
  <c r="FI173" i="39"/>
  <c r="FJ173" i="39" s="1"/>
  <c r="FC173" i="39"/>
  <c r="FI197" i="39"/>
  <c r="FJ197" i="39" s="1"/>
  <c r="FC197" i="39"/>
  <c r="FI169" i="39"/>
  <c r="FJ169" i="39" s="1"/>
  <c r="FC169" i="39"/>
  <c r="FI156" i="39"/>
  <c r="FJ156" i="39" s="1"/>
  <c r="FC156" i="39"/>
  <c r="FI183" i="39"/>
  <c r="FJ183" i="39" s="1"/>
  <c r="FC183" i="39"/>
  <c r="EZ14" i="39"/>
  <c r="EY14" i="39"/>
  <c r="FB14" i="39"/>
  <c r="FT14" i="39" s="1"/>
  <c r="FA14" i="39"/>
  <c r="FA127" i="39"/>
  <c r="FB127" i="39"/>
  <c r="EZ127" i="39"/>
  <c r="FF127" i="39" s="1"/>
  <c r="FG127" i="39" s="1"/>
  <c r="FH127" i="39" s="1"/>
  <c r="EY127" i="39"/>
  <c r="EZ26" i="39"/>
  <c r="FF26" i="39" s="1"/>
  <c r="FG26" i="39" s="1"/>
  <c r="FH26" i="39" s="1"/>
  <c r="EY26" i="39"/>
  <c r="FB26" i="39"/>
  <c r="FA26" i="39"/>
  <c r="EZ54" i="39"/>
  <c r="FF54" i="39" s="1"/>
  <c r="FG54" i="39" s="1"/>
  <c r="FH54" i="39" s="1"/>
  <c r="EY54" i="39"/>
  <c r="FB54" i="39"/>
  <c r="FA54" i="39"/>
  <c r="FB213" i="39"/>
  <c r="FT213" i="39" s="1"/>
  <c r="FA213" i="39"/>
  <c r="EZ213" i="39"/>
  <c r="FF213" i="39" s="1"/>
  <c r="FG213" i="39" s="1"/>
  <c r="FH213" i="39" s="1"/>
  <c r="EY213" i="39"/>
  <c r="EZ74" i="39"/>
  <c r="FF74" i="39" s="1"/>
  <c r="FG74" i="39" s="1"/>
  <c r="FH74" i="39" s="1"/>
  <c r="EY74" i="39"/>
  <c r="FB74" i="39"/>
  <c r="FA74" i="39"/>
  <c r="FB31" i="39"/>
  <c r="FA31" i="39"/>
  <c r="EZ31" i="39"/>
  <c r="FF31" i="39" s="1"/>
  <c r="FG31" i="39" s="1"/>
  <c r="FH31" i="39" s="1"/>
  <c r="EY31" i="39"/>
  <c r="FB186" i="39"/>
  <c r="FT186" i="39" s="1"/>
  <c r="FA186" i="39"/>
  <c r="EZ186" i="39"/>
  <c r="FF186" i="39" s="1"/>
  <c r="FG186" i="39" s="1"/>
  <c r="FH186" i="39" s="1"/>
  <c r="EY186" i="39"/>
  <c r="FB174" i="39"/>
  <c r="FT174" i="39" s="1"/>
  <c r="FA174" i="39"/>
  <c r="EZ174" i="39"/>
  <c r="FF174" i="39" s="1"/>
  <c r="FG174" i="39" s="1"/>
  <c r="FH174" i="39" s="1"/>
  <c r="EY174" i="39"/>
  <c r="FB113" i="39"/>
  <c r="FT113" i="39" s="1"/>
  <c r="FA113" i="39"/>
  <c r="EZ113" i="39"/>
  <c r="FF113" i="39" s="1"/>
  <c r="FG113" i="39" s="1"/>
  <c r="FH113" i="39" s="1"/>
  <c r="EY113" i="39"/>
  <c r="FB104" i="39"/>
  <c r="FA104" i="39"/>
  <c r="EZ104" i="39"/>
  <c r="FF104" i="39" s="1"/>
  <c r="FG104" i="39" s="1"/>
  <c r="FH104" i="39" s="1"/>
  <c r="EY104" i="39"/>
  <c r="FL172" i="39"/>
  <c r="FK172" i="39"/>
  <c r="FI136" i="39"/>
  <c r="FJ136" i="39" s="1"/>
  <c r="FC136" i="39"/>
  <c r="FI157" i="39"/>
  <c r="FJ157" i="39" s="1"/>
  <c r="FC157" i="39"/>
  <c r="FI178" i="39"/>
  <c r="FJ178" i="39" s="1"/>
  <c r="FC178" i="39"/>
  <c r="FI165" i="39"/>
  <c r="FJ165" i="39" s="1"/>
  <c r="FC165" i="39"/>
  <c r="FI133" i="39"/>
  <c r="FJ133" i="39" s="1"/>
  <c r="FC133" i="39"/>
  <c r="FI205" i="39"/>
  <c r="FJ205" i="39" s="1"/>
  <c r="FC205" i="39"/>
  <c r="FI126" i="39"/>
  <c r="FJ126" i="39" s="1"/>
  <c r="FC126" i="39"/>
  <c r="FC167" i="39"/>
  <c r="FI167" i="39"/>
  <c r="FJ167" i="39" s="1"/>
  <c r="FI40" i="39"/>
  <c r="FJ40" i="39" s="1"/>
  <c r="FC40" i="39"/>
  <c r="FI92" i="39"/>
  <c r="FJ92" i="39" s="1"/>
  <c r="FC92" i="39"/>
  <c r="FI72" i="39"/>
  <c r="FJ72" i="39" s="1"/>
  <c r="FC72" i="39"/>
  <c r="FI80" i="39"/>
  <c r="FJ80" i="39" s="1"/>
  <c r="FC80" i="39"/>
  <c r="FI159" i="39"/>
  <c r="FJ159" i="39" s="1"/>
  <c r="FC159" i="39"/>
  <c r="FI44" i="39"/>
  <c r="FJ44" i="39" s="1"/>
  <c r="FC44" i="39"/>
  <c r="FI16" i="39"/>
  <c r="FJ16" i="39" s="1"/>
  <c r="FC16" i="39"/>
  <c r="FI76" i="39"/>
  <c r="FJ76" i="39" s="1"/>
  <c r="FC76" i="39"/>
  <c r="FI39" i="39"/>
  <c r="FJ39" i="39" s="1"/>
  <c r="FC39" i="39"/>
  <c r="FI141" i="39"/>
  <c r="FJ141" i="39" s="1"/>
  <c r="FC141" i="39"/>
  <c r="FB160" i="39"/>
  <c r="FA160" i="39"/>
  <c r="EZ160" i="39"/>
  <c r="FF160" i="39" s="1"/>
  <c r="FG160" i="39" s="1"/>
  <c r="FH160" i="39" s="1"/>
  <c r="EY160" i="39"/>
  <c r="FB138" i="39"/>
  <c r="FA138" i="39"/>
  <c r="EZ138" i="39"/>
  <c r="FF138" i="39" s="1"/>
  <c r="FG138" i="39" s="1"/>
  <c r="FH138" i="39" s="1"/>
  <c r="EY138" i="39"/>
  <c r="FL36" i="39"/>
  <c r="FK36" i="39"/>
  <c r="FI125" i="39"/>
  <c r="FJ125" i="39" s="1"/>
  <c r="FC125" i="39"/>
  <c r="FI102" i="39"/>
  <c r="FJ102" i="39" s="1"/>
  <c r="FC102" i="39"/>
  <c r="FI88" i="39"/>
  <c r="FJ88" i="39" s="1"/>
  <c r="FC88" i="39"/>
  <c r="FI105" i="39"/>
  <c r="FJ105" i="39" s="1"/>
  <c r="FC105" i="39"/>
  <c r="FI177" i="39"/>
  <c r="FJ177" i="39" s="1"/>
  <c r="FC177" i="39"/>
  <c r="FI194" i="39"/>
  <c r="FJ194" i="39" s="1"/>
  <c r="FC194" i="39"/>
  <c r="FI134" i="39"/>
  <c r="FJ134" i="39" s="1"/>
  <c r="FC134" i="39"/>
  <c r="FI47" i="39"/>
  <c r="FJ47" i="39" s="1"/>
  <c r="FC47" i="39"/>
  <c r="FI91" i="39"/>
  <c r="FJ91" i="39" s="1"/>
  <c r="FC91" i="39"/>
  <c r="FI38" i="39"/>
  <c r="FJ38" i="39" s="1"/>
  <c r="FC38" i="39"/>
  <c r="FC21" i="39"/>
  <c r="FI21" i="39"/>
  <c r="FJ21" i="39" s="1"/>
  <c r="FI25" i="39"/>
  <c r="FJ25" i="39" s="1"/>
  <c r="FC25" i="39"/>
  <c r="FI29" i="39"/>
  <c r="FJ29" i="39" s="1"/>
  <c r="FC29" i="39"/>
  <c r="FK93" i="39"/>
  <c r="FL93" i="39"/>
  <c r="FI50" i="39"/>
  <c r="FJ50" i="39" s="1"/>
  <c r="FC50" i="39"/>
  <c r="FI34" i="39"/>
  <c r="FJ34" i="39" s="1"/>
  <c r="FC34" i="39"/>
  <c r="FI62" i="39"/>
  <c r="FJ62" i="39" s="1"/>
  <c r="FC62" i="39"/>
  <c r="FI209" i="39"/>
  <c r="FJ209" i="39" s="1"/>
  <c r="FC209" i="39"/>
  <c r="FI140" i="39"/>
  <c r="FJ140" i="39" s="1"/>
  <c r="FC140" i="39"/>
  <c r="FI43" i="39"/>
  <c r="FJ43" i="39" s="1"/>
  <c r="FC43" i="39"/>
  <c r="FI63" i="39"/>
  <c r="FJ63" i="39" s="1"/>
  <c r="FC63" i="39"/>
  <c r="FI130" i="39"/>
  <c r="FJ130" i="39" s="1"/>
  <c r="FC130" i="39"/>
  <c r="FI185" i="39"/>
  <c r="FJ185" i="39" s="1"/>
  <c r="FC185" i="39"/>
  <c r="FI149" i="39"/>
  <c r="FJ149" i="39" s="1"/>
  <c r="FC149" i="39"/>
  <c r="FI78" i="39"/>
  <c r="FJ78" i="39" s="1"/>
  <c r="FC78" i="39"/>
  <c r="FI109" i="39"/>
  <c r="FJ109" i="39" s="1"/>
  <c r="FC109" i="39"/>
  <c r="FI65" i="39"/>
  <c r="FJ65" i="39" s="1"/>
  <c r="FC65" i="39"/>
  <c r="FK37" i="39"/>
  <c r="FL37" i="39"/>
  <c r="FB166" i="39"/>
  <c r="FT166" i="39" s="1"/>
  <c r="FA166" i="39"/>
  <c r="EZ166" i="39"/>
  <c r="FF166" i="39" s="1"/>
  <c r="FG166" i="39" s="1"/>
  <c r="FH166" i="39" s="1"/>
  <c r="EY166" i="39"/>
  <c r="FB19" i="39"/>
  <c r="FA19" i="39"/>
  <c r="EZ19" i="39"/>
  <c r="FF19" i="39" s="1"/>
  <c r="FG19" i="39" s="1"/>
  <c r="FH19" i="39" s="1"/>
  <c r="EY19" i="39"/>
  <c r="FA84" i="39"/>
  <c r="EZ84" i="39"/>
  <c r="FF84" i="39" s="1"/>
  <c r="FG84" i="39" s="1"/>
  <c r="FH84" i="39" s="1"/>
  <c r="EY84" i="39"/>
  <c r="FB84" i="39"/>
  <c r="FA103" i="39"/>
  <c r="FB103" i="39"/>
  <c r="EZ103" i="39"/>
  <c r="FF103" i="39" s="1"/>
  <c r="FG103" i="39" s="1"/>
  <c r="FH103" i="39" s="1"/>
  <c r="EY103" i="39"/>
  <c r="FA211" i="39"/>
  <c r="FB211" i="39"/>
  <c r="FT211" i="39" s="1"/>
  <c r="EZ211" i="39"/>
  <c r="FF211" i="39" s="1"/>
  <c r="FG211" i="39" s="1"/>
  <c r="FH211" i="39" s="1"/>
  <c r="FB208" i="39"/>
  <c r="FT208" i="39" s="1"/>
  <c r="FA208" i="39"/>
  <c r="EZ208" i="39"/>
  <c r="FF208" i="39" s="1"/>
  <c r="FG208" i="39" s="1"/>
  <c r="FH208" i="39" s="1"/>
  <c r="EY208" i="39"/>
  <c r="FB176" i="39"/>
  <c r="FT176" i="39" s="1"/>
  <c r="FA176" i="39"/>
  <c r="EZ176" i="39"/>
  <c r="FF176" i="39" s="1"/>
  <c r="FG176" i="39" s="1"/>
  <c r="FH176" i="39" s="1"/>
  <c r="EY176" i="39"/>
  <c r="EZ82" i="39"/>
  <c r="FF82" i="39" s="1"/>
  <c r="FG82" i="39" s="1"/>
  <c r="FH82" i="39" s="1"/>
  <c r="EY82" i="39"/>
  <c r="FB82" i="39"/>
  <c r="FA82" i="39"/>
  <c r="FI131" i="39"/>
  <c r="FJ131" i="39" s="1"/>
  <c r="FC131" i="39"/>
  <c r="FI24" i="39"/>
  <c r="FJ24" i="39" s="1"/>
  <c r="FC24" i="39"/>
  <c r="FI68" i="39"/>
  <c r="FJ68" i="39" s="1"/>
  <c r="FC68" i="39"/>
  <c r="FI210" i="39"/>
  <c r="FJ210" i="39" s="1"/>
  <c r="FC210" i="39"/>
  <c r="FC53" i="39"/>
  <c r="FI53" i="39"/>
  <c r="FJ53" i="39" s="1"/>
  <c r="FI85" i="39"/>
  <c r="FJ85" i="39" s="1"/>
  <c r="FC85" i="39"/>
  <c r="FI207" i="39"/>
  <c r="FJ207" i="39" s="1"/>
  <c r="FC207" i="39"/>
  <c r="FI20" i="39"/>
  <c r="FJ20" i="39" s="1"/>
  <c r="FC20" i="39"/>
  <c r="FI171" i="39"/>
  <c r="FJ171" i="39" s="1"/>
  <c r="FC171" i="39"/>
  <c r="FI18" i="39"/>
  <c r="FJ18" i="39" s="1"/>
  <c r="FC18" i="39"/>
  <c r="FI86" i="39"/>
  <c r="FJ86" i="39" s="1"/>
  <c r="FC86" i="39"/>
  <c r="FB101" i="39"/>
  <c r="FA101" i="39"/>
  <c r="EZ101" i="39"/>
  <c r="FF101" i="39" s="1"/>
  <c r="FG101" i="39" s="1"/>
  <c r="FH101" i="39" s="1"/>
  <c r="EY101" i="39"/>
  <c r="FB188" i="39"/>
  <c r="FA188" i="39"/>
  <c r="EZ188" i="39"/>
  <c r="FF188" i="39" s="1"/>
  <c r="FG188" i="39" s="1"/>
  <c r="FH188" i="39" s="1"/>
  <c r="EY188" i="39"/>
  <c r="FI61" i="39"/>
  <c r="FJ61" i="39" s="1"/>
  <c r="FC61" i="39"/>
  <c r="FI143" i="39"/>
  <c r="FJ143" i="39" s="1"/>
  <c r="FC143" i="39"/>
  <c r="FI163" i="39"/>
  <c r="FJ163" i="39" s="1"/>
  <c r="FC163" i="39"/>
  <c r="FI179" i="39"/>
  <c r="FJ179" i="39" s="1"/>
  <c r="FC179" i="39"/>
  <c r="FI70" i="39"/>
  <c r="FJ70" i="39" s="1"/>
  <c r="FC70" i="39"/>
  <c r="FK115" i="39"/>
  <c r="FL115" i="39"/>
  <c r="FI75" i="39"/>
  <c r="FJ75" i="39" s="1"/>
  <c r="FC75" i="39"/>
  <c r="FI116" i="39"/>
  <c r="FJ116" i="39" s="1"/>
  <c r="FC116" i="39"/>
  <c r="FK32" i="39"/>
  <c r="FL32" i="39"/>
  <c r="FI145" i="39"/>
  <c r="FJ145" i="39" s="1"/>
  <c r="FC145" i="39"/>
  <c r="FI23" i="39"/>
  <c r="FJ23" i="39" s="1"/>
  <c r="FC23" i="39"/>
  <c r="FI200" i="39"/>
  <c r="FJ200" i="39" s="1"/>
  <c r="FC200" i="39"/>
  <c r="FI51" i="39"/>
  <c r="FJ51" i="39" s="1"/>
  <c r="FC51" i="39"/>
  <c r="FI152" i="39"/>
  <c r="FJ152" i="39" s="1"/>
  <c r="FC152" i="39"/>
  <c r="FI87" i="39"/>
  <c r="FJ87" i="39" s="1"/>
  <c r="FC87" i="39"/>
  <c r="FI35" i="39"/>
  <c r="FJ35" i="39" s="1"/>
  <c r="FC35" i="39"/>
  <c r="FI196" i="39"/>
  <c r="FJ196" i="39" s="1"/>
  <c r="FC196" i="39"/>
  <c r="FI175" i="39"/>
  <c r="FJ175" i="39" s="1"/>
  <c r="FC175" i="39"/>
  <c r="FI180" i="39"/>
  <c r="FJ180" i="39" s="1"/>
  <c r="FC180" i="39"/>
  <c r="FI46" i="39"/>
  <c r="FJ46" i="39" s="1"/>
  <c r="FC46" i="39"/>
  <c r="FI182" i="39"/>
  <c r="FJ182" i="39" s="1"/>
  <c r="FC182" i="39"/>
  <c r="FI193" i="39"/>
  <c r="FJ193" i="39" s="1"/>
  <c r="FC193" i="39"/>
  <c r="FB158" i="39"/>
  <c r="FA158" i="39"/>
  <c r="EZ158" i="39"/>
  <c r="FF158" i="39" s="1"/>
  <c r="FG158" i="39" s="1"/>
  <c r="FH158" i="39" s="1"/>
  <c r="EY158" i="39"/>
  <c r="FA56" i="39"/>
  <c r="EZ56" i="39"/>
  <c r="FF56" i="39" s="1"/>
  <c r="FG56" i="39" s="1"/>
  <c r="FH56" i="39" s="1"/>
  <c r="EY56" i="39"/>
  <c r="FB56" i="39"/>
  <c r="FB96" i="39"/>
  <c r="FA96" i="39"/>
  <c r="EZ96" i="39"/>
  <c r="FF96" i="39" s="1"/>
  <c r="FG96" i="39" s="1"/>
  <c r="FH96" i="39" s="1"/>
  <c r="EY96" i="39"/>
  <c r="FB59" i="39"/>
  <c r="FA59" i="39"/>
  <c r="EZ59" i="39"/>
  <c r="FF59" i="39" s="1"/>
  <c r="FG59" i="39" s="1"/>
  <c r="FH59" i="39" s="1"/>
  <c r="EY59" i="39"/>
  <c r="FB79" i="39"/>
  <c r="FA79" i="39"/>
  <c r="EZ79" i="39"/>
  <c r="FF79" i="39" s="1"/>
  <c r="FG79" i="39" s="1"/>
  <c r="FH79" i="39" s="1"/>
  <c r="EY79" i="39"/>
  <c r="FB214" i="39"/>
  <c r="FT214" i="39" s="1"/>
  <c r="FA214" i="39"/>
  <c r="EZ214" i="39"/>
  <c r="FF214" i="39" s="1"/>
  <c r="FG214" i="39" s="1"/>
  <c r="FH214" i="39" s="1"/>
  <c r="EY214" i="39"/>
  <c r="FB170" i="39"/>
  <c r="FT170" i="39" s="1"/>
  <c r="FA170" i="39"/>
  <c r="EZ170" i="39"/>
  <c r="FF170" i="39" s="1"/>
  <c r="FG170" i="39" s="1"/>
  <c r="FH170" i="39" s="1"/>
  <c r="EY170" i="39"/>
  <c r="FA155" i="39"/>
  <c r="FB155" i="39"/>
  <c r="EZ155" i="39"/>
  <c r="FF155" i="39" s="1"/>
  <c r="FG155" i="39" s="1"/>
  <c r="FH155" i="39" s="1"/>
  <c r="EY155" i="39"/>
  <c r="FB192" i="39"/>
  <c r="FA192" i="39"/>
  <c r="EZ192" i="39"/>
  <c r="FF192" i="39" s="1"/>
  <c r="FG192" i="39" s="1"/>
  <c r="FH192" i="39" s="1"/>
  <c r="EY192" i="39"/>
  <c r="FI184" i="39"/>
  <c r="FJ184" i="39" s="1"/>
  <c r="FC184" i="39"/>
  <c r="FI95" i="39"/>
  <c r="FJ95" i="39" s="1"/>
  <c r="FC95" i="39"/>
  <c r="FI94" i="39"/>
  <c r="FJ94" i="39" s="1"/>
  <c r="FC94" i="39"/>
  <c r="FC198" i="39"/>
  <c r="FI198" i="39"/>
  <c r="FJ198" i="39" s="1"/>
  <c r="FI120" i="39"/>
  <c r="FJ120" i="39" s="1"/>
  <c r="FC120" i="39"/>
  <c r="FI112" i="39"/>
  <c r="FJ112" i="39" s="1"/>
  <c r="FC112" i="39"/>
  <c r="FI67" i="39"/>
  <c r="FC67" i="39"/>
  <c r="FI98" i="39"/>
  <c r="FJ98" i="39" s="1"/>
  <c r="FC98" i="39"/>
  <c r="FI123" i="39"/>
  <c r="FJ123" i="39" s="1"/>
  <c r="FC123" i="39"/>
  <c r="FI151" i="39"/>
  <c r="FJ151" i="39" s="1"/>
  <c r="FC151" i="39"/>
  <c r="FI60" i="39"/>
  <c r="FJ60" i="39" s="1"/>
  <c r="FC60" i="39"/>
  <c r="FI28" i="39"/>
  <c r="FJ28" i="39" s="1"/>
  <c r="FC28" i="39"/>
  <c r="FI48" i="39"/>
  <c r="FJ48" i="39" s="1"/>
  <c r="FC48" i="39"/>
  <c r="FI139" i="39"/>
  <c r="FJ139" i="39" s="1"/>
  <c r="FC139" i="39"/>
  <c r="FI161" i="39"/>
  <c r="FJ161" i="39" s="1"/>
  <c r="FC161" i="39"/>
  <c r="FI181" i="39"/>
  <c r="FJ181" i="39" s="1"/>
  <c r="FC181" i="39"/>
  <c r="Q12" i="19"/>
  <c r="Q9" i="19"/>
  <c r="Q10" i="19"/>
  <c r="M26" i="23"/>
  <c r="K26" i="23"/>
  <c r="K25" i="23"/>
  <c r="M25" i="23"/>
  <c r="K28" i="23"/>
  <c r="M29" i="23"/>
  <c r="M28" i="23"/>
  <c r="K29" i="23"/>
  <c r="K18" i="23"/>
  <c r="K27" i="23"/>
  <c r="M24" i="23"/>
  <c r="M30" i="23"/>
  <c r="M27" i="23"/>
  <c r="K24" i="23"/>
  <c r="M18" i="23"/>
  <c r="W20" i="5"/>
  <c r="O11" i="8"/>
  <c r="M10" i="6"/>
  <c r="P11" i="7"/>
  <c r="N13" i="10"/>
  <c r="X13" i="10" s="1"/>
  <c r="N12" i="10"/>
  <c r="X12" i="10" s="1"/>
  <c r="Q7" i="19" l="1"/>
  <c r="AV17" i="39"/>
  <c r="AU17" i="39" s="1"/>
  <c r="X7" i="19"/>
  <c r="GU7" i="39"/>
  <c r="W7" i="19"/>
  <c r="GT7" i="39"/>
  <c r="U7" i="19"/>
  <c r="GR7" i="39"/>
  <c r="V7" i="19"/>
  <c r="GS7" i="39"/>
  <c r="FM32" i="39"/>
  <c r="FP32" i="39" s="1"/>
  <c r="AP32" i="39"/>
  <c r="AQ32" i="39" s="1"/>
  <c r="AP64" i="39"/>
  <c r="AQ64" i="39" s="1"/>
  <c r="FM93" i="39"/>
  <c r="FP93" i="39" s="1"/>
  <c r="AP93" i="39"/>
  <c r="AQ93" i="39" s="1"/>
  <c r="FM115" i="39"/>
  <c r="FP115" i="39" s="1"/>
  <c r="AP115" i="39"/>
  <c r="AQ115" i="39" s="1"/>
  <c r="FM36" i="39"/>
  <c r="FP36" i="39" s="1"/>
  <c r="AP36" i="39"/>
  <c r="AQ36" i="39" s="1"/>
  <c r="FM172" i="39"/>
  <c r="FP172" i="39" s="1"/>
  <c r="AP172" i="39"/>
  <c r="AQ172" i="39" s="1"/>
  <c r="FM108" i="39"/>
  <c r="FP108" i="39" s="1"/>
  <c r="AP108" i="39"/>
  <c r="AQ108" i="39" s="1"/>
  <c r="FM37" i="39"/>
  <c r="FP37" i="39" s="1"/>
  <c r="AP37" i="39"/>
  <c r="AQ37" i="39" s="1"/>
  <c r="DD17" i="39"/>
  <c r="FL15" i="39"/>
  <c r="FT221" i="39"/>
  <c r="FT217" i="39"/>
  <c r="FF14" i="39"/>
  <c r="FK198" i="39"/>
  <c r="FL198" i="39"/>
  <c r="FI103" i="39"/>
  <c r="FJ103" i="39" s="1"/>
  <c r="FC103" i="39"/>
  <c r="FK21" i="39"/>
  <c r="FL21" i="39"/>
  <c r="FK181" i="39"/>
  <c r="FL181" i="39"/>
  <c r="FL28" i="39"/>
  <c r="FK28" i="39"/>
  <c r="FK98" i="39"/>
  <c r="FL98" i="39"/>
  <c r="FK46" i="39"/>
  <c r="FL46" i="39"/>
  <c r="FL35" i="39"/>
  <c r="FK35" i="39"/>
  <c r="FK200" i="39"/>
  <c r="FL200" i="39"/>
  <c r="FL116" i="39"/>
  <c r="FK116" i="39"/>
  <c r="FK179" i="39"/>
  <c r="FL179" i="39"/>
  <c r="FK86" i="39"/>
  <c r="FL86" i="39"/>
  <c r="FK207" i="39"/>
  <c r="AP207" i="39" s="1"/>
  <c r="FL207" i="39"/>
  <c r="FL68" i="39"/>
  <c r="FK68" i="39"/>
  <c r="FI208" i="39"/>
  <c r="FJ208" i="39" s="1"/>
  <c r="FC208" i="39"/>
  <c r="FI19" i="39"/>
  <c r="FJ19" i="39" s="1"/>
  <c r="FC19" i="39"/>
  <c r="FK65" i="39"/>
  <c r="FL65" i="39"/>
  <c r="FK185" i="39"/>
  <c r="FL185" i="39"/>
  <c r="FL140" i="39"/>
  <c r="FK140" i="39"/>
  <c r="FK50" i="39"/>
  <c r="FL50" i="39"/>
  <c r="FK134" i="39"/>
  <c r="FL134" i="39"/>
  <c r="FL88" i="39"/>
  <c r="FK88" i="39"/>
  <c r="FK141" i="39"/>
  <c r="FL141" i="39"/>
  <c r="FL72" i="39"/>
  <c r="FK72" i="39"/>
  <c r="FK126" i="39"/>
  <c r="FL126" i="39"/>
  <c r="FK178" i="39"/>
  <c r="FL178" i="39"/>
  <c r="FI26" i="39"/>
  <c r="FJ26" i="39" s="1"/>
  <c r="FC26" i="39"/>
  <c r="FI14" i="39"/>
  <c r="FC14" i="39"/>
  <c r="FK169" i="39"/>
  <c r="FL169" i="39"/>
  <c r="FK89" i="39"/>
  <c r="FL89" i="39"/>
  <c r="FL204" i="39"/>
  <c r="FK204" i="39"/>
  <c r="FK129" i="39"/>
  <c r="FL129" i="39"/>
  <c r="FK119" i="39"/>
  <c r="FL119" i="39"/>
  <c r="FK42" i="39"/>
  <c r="FL42" i="39"/>
  <c r="FL52" i="39"/>
  <c r="FK52" i="39"/>
  <c r="FK81" i="39"/>
  <c r="FL81" i="39"/>
  <c r="FK168" i="39"/>
  <c r="FL168" i="39"/>
  <c r="FI49" i="39"/>
  <c r="FJ49" i="39" s="1"/>
  <c r="FC49" i="39"/>
  <c r="FI30" i="39"/>
  <c r="FJ30" i="39" s="1"/>
  <c r="FC30" i="39"/>
  <c r="FK199" i="39"/>
  <c r="FL199" i="39"/>
  <c r="FK146" i="39"/>
  <c r="FL146" i="39"/>
  <c r="FK106" i="39"/>
  <c r="FL106" i="39"/>
  <c r="FK153" i="39"/>
  <c r="FL153" i="39"/>
  <c r="FK66" i="39"/>
  <c r="FL66" i="39"/>
  <c r="FI84" i="39"/>
  <c r="FJ84" i="39" s="1"/>
  <c r="FC84" i="39"/>
  <c r="FK161" i="39"/>
  <c r="FL161" i="39"/>
  <c r="FL60" i="39"/>
  <c r="FK60" i="39"/>
  <c r="FJ67" i="39"/>
  <c r="FK94" i="39"/>
  <c r="FL94" i="39"/>
  <c r="FI192" i="39"/>
  <c r="FJ192" i="39" s="1"/>
  <c r="FC192" i="39"/>
  <c r="FI170" i="39"/>
  <c r="FJ170" i="39" s="1"/>
  <c r="FC170" i="39"/>
  <c r="FI79" i="39"/>
  <c r="FJ79" i="39" s="1"/>
  <c r="FC79" i="39"/>
  <c r="FI96" i="39"/>
  <c r="FJ96" i="39" s="1"/>
  <c r="FC96" i="39"/>
  <c r="FI158" i="39"/>
  <c r="FJ158" i="39" s="1"/>
  <c r="FC158" i="39"/>
  <c r="FL180" i="39"/>
  <c r="FK180" i="39"/>
  <c r="FK87" i="39"/>
  <c r="FL87" i="39"/>
  <c r="FK23" i="39"/>
  <c r="FL23" i="39"/>
  <c r="FL75" i="39"/>
  <c r="FK75" i="39"/>
  <c r="FL163" i="39"/>
  <c r="FK163" i="39"/>
  <c r="FI188" i="39"/>
  <c r="FJ188" i="39" s="1"/>
  <c r="FC188" i="39"/>
  <c r="FK18" i="39"/>
  <c r="FL18" i="39"/>
  <c r="FK85" i="39"/>
  <c r="FL85" i="39"/>
  <c r="FK24" i="39"/>
  <c r="FL24" i="39"/>
  <c r="FK109" i="39"/>
  <c r="FL109" i="39"/>
  <c r="FK130" i="39"/>
  <c r="FL130" i="39"/>
  <c r="FK209" i="39"/>
  <c r="FL209" i="39"/>
  <c r="FK38" i="39"/>
  <c r="FL38" i="39"/>
  <c r="FK194" i="39"/>
  <c r="FL194" i="39"/>
  <c r="FK102" i="39"/>
  <c r="FL102" i="39"/>
  <c r="FI138" i="39"/>
  <c r="FJ138" i="39" s="1"/>
  <c r="FC138" i="39"/>
  <c r="FK39" i="39"/>
  <c r="FL39" i="39"/>
  <c r="FL44" i="39"/>
  <c r="FK44" i="39"/>
  <c r="FL92" i="39"/>
  <c r="FK92" i="39"/>
  <c r="FK205" i="39"/>
  <c r="FL205" i="39"/>
  <c r="FK157" i="39"/>
  <c r="FL157" i="39"/>
  <c r="FI104" i="39"/>
  <c r="FJ104" i="39" s="1"/>
  <c r="FC104" i="39"/>
  <c r="FI174" i="39"/>
  <c r="FJ174" i="39" s="1"/>
  <c r="FC174" i="39"/>
  <c r="FI31" i="39"/>
  <c r="FJ31" i="39" s="1"/>
  <c r="FC31" i="39"/>
  <c r="FI213" i="39"/>
  <c r="FJ213" i="39" s="1"/>
  <c r="FC213" i="39"/>
  <c r="FK197" i="39"/>
  <c r="FL197" i="39"/>
  <c r="FK45" i="39"/>
  <c r="FL45" i="39"/>
  <c r="FK150" i="39"/>
  <c r="FL150" i="39"/>
  <c r="FL132" i="39"/>
  <c r="FK132" i="39"/>
  <c r="FK71" i="39"/>
  <c r="FL71" i="39"/>
  <c r="FK147" i="39"/>
  <c r="FL147" i="39"/>
  <c r="FL107" i="39"/>
  <c r="FK107" i="39"/>
  <c r="FK33" i="39"/>
  <c r="FL33" i="39"/>
  <c r="FK191" i="39"/>
  <c r="FL191" i="39"/>
  <c r="FI137" i="39"/>
  <c r="FJ137" i="39" s="1"/>
  <c r="FC137" i="39"/>
  <c r="FI118" i="39"/>
  <c r="FJ118" i="39" s="1"/>
  <c r="FC118" i="39"/>
  <c r="FI202" i="39"/>
  <c r="FJ202" i="39" s="1"/>
  <c r="FC202" i="39"/>
  <c r="FK201" i="39"/>
  <c r="FL201" i="39"/>
  <c r="FL148" i="39"/>
  <c r="FK148" i="39"/>
  <c r="FL212" i="39"/>
  <c r="FK212" i="39"/>
  <c r="FL124" i="39"/>
  <c r="FK124" i="39"/>
  <c r="FI83" i="39"/>
  <c r="FJ83" i="39" s="1"/>
  <c r="FC83" i="39"/>
  <c r="FI56" i="39"/>
  <c r="FJ56" i="39" s="1"/>
  <c r="FC56" i="39"/>
  <c r="FK53" i="39"/>
  <c r="FL53" i="39"/>
  <c r="FI211" i="39"/>
  <c r="FJ211" i="39" s="1"/>
  <c r="FC211" i="39"/>
  <c r="FK139" i="39"/>
  <c r="FL139" i="39"/>
  <c r="FK151" i="39"/>
  <c r="FL151" i="39"/>
  <c r="FK112" i="39"/>
  <c r="FL112" i="39"/>
  <c r="FK95" i="39"/>
  <c r="FL95" i="39"/>
  <c r="FK193" i="39"/>
  <c r="FL193" i="39"/>
  <c r="FK175" i="39"/>
  <c r="FL175" i="39"/>
  <c r="FK152" i="39"/>
  <c r="FL152" i="39"/>
  <c r="FK145" i="39"/>
  <c r="FL145" i="39"/>
  <c r="FK143" i="39"/>
  <c r="FL143" i="39"/>
  <c r="FL171" i="39"/>
  <c r="FK171" i="39"/>
  <c r="FL131" i="39"/>
  <c r="FK131" i="39"/>
  <c r="FC176" i="39"/>
  <c r="FI176" i="39"/>
  <c r="FJ176" i="39" s="1"/>
  <c r="FI166" i="39"/>
  <c r="FJ166" i="39" s="1"/>
  <c r="FC166" i="39"/>
  <c r="FK78" i="39"/>
  <c r="FL78" i="39"/>
  <c r="FK63" i="39"/>
  <c r="FL63" i="39"/>
  <c r="FK62" i="39"/>
  <c r="FL62" i="39"/>
  <c r="FK29" i="39"/>
  <c r="FL29" i="39"/>
  <c r="FL91" i="39"/>
  <c r="FK91" i="39"/>
  <c r="FK177" i="39"/>
  <c r="FL177" i="39"/>
  <c r="FK125" i="39"/>
  <c r="FL125" i="39"/>
  <c r="FL76" i="39"/>
  <c r="FK76" i="39"/>
  <c r="FK159" i="39"/>
  <c r="FL159" i="39"/>
  <c r="FK40" i="39"/>
  <c r="FL40" i="39"/>
  <c r="FK133" i="39"/>
  <c r="FL133" i="39"/>
  <c r="FK136" i="39"/>
  <c r="FL136" i="39"/>
  <c r="FI74" i="39"/>
  <c r="FJ74" i="39" s="1"/>
  <c r="FC74" i="39"/>
  <c r="FI54" i="39"/>
  <c r="FJ54" i="39" s="1"/>
  <c r="FC54" i="39"/>
  <c r="FK183" i="39"/>
  <c r="FL183" i="39"/>
  <c r="FK173" i="39"/>
  <c r="FL173" i="39"/>
  <c r="FK55" i="39"/>
  <c r="FL55" i="39"/>
  <c r="FL27" i="39"/>
  <c r="FK27" i="39"/>
  <c r="FK121" i="39"/>
  <c r="FL121" i="39"/>
  <c r="FK216" i="39"/>
  <c r="FK187" i="39"/>
  <c r="FL187" i="39"/>
  <c r="FI162" i="39"/>
  <c r="FJ162" i="39" s="1"/>
  <c r="FC162" i="39"/>
  <c r="FK111" i="39"/>
  <c r="FL111" i="39"/>
  <c r="FK41" i="39"/>
  <c r="FL41" i="39"/>
  <c r="FI77" i="39"/>
  <c r="FJ77" i="39" s="1"/>
  <c r="FC77" i="39"/>
  <c r="FI90" i="39"/>
  <c r="FJ90" i="39" s="1"/>
  <c r="FC90" i="39"/>
  <c r="FK114" i="39"/>
  <c r="FL114" i="39"/>
  <c r="FK69" i="39"/>
  <c r="FL69" i="39"/>
  <c r="FK142" i="39"/>
  <c r="FL142" i="39"/>
  <c r="FK190" i="39"/>
  <c r="FL190" i="39"/>
  <c r="FK203" i="39"/>
  <c r="FL203" i="39"/>
  <c r="FK122" i="39"/>
  <c r="FL122" i="39"/>
  <c r="FI155" i="39"/>
  <c r="FJ155" i="39" s="1"/>
  <c r="FC155" i="39"/>
  <c r="FK167" i="39"/>
  <c r="FL167" i="39"/>
  <c r="FI127" i="39"/>
  <c r="FJ127" i="39" s="1"/>
  <c r="FC127" i="39"/>
  <c r="FI195" i="39"/>
  <c r="FJ195" i="39" s="1"/>
  <c r="FC195" i="39"/>
  <c r="FK48" i="39"/>
  <c r="FL48" i="39"/>
  <c r="FL123" i="39"/>
  <c r="FK123" i="39"/>
  <c r="FK120" i="39"/>
  <c r="FL120" i="39"/>
  <c r="FK184" i="39"/>
  <c r="FL184" i="39"/>
  <c r="FI214" i="39"/>
  <c r="FJ214" i="39" s="1"/>
  <c r="FC214" i="39"/>
  <c r="FI59" i="39"/>
  <c r="FJ59" i="39" s="1"/>
  <c r="FC59" i="39"/>
  <c r="FK182" i="39"/>
  <c r="FL182" i="39"/>
  <c r="FL196" i="39"/>
  <c r="FK196" i="39"/>
  <c r="FL51" i="39"/>
  <c r="FK51" i="39"/>
  <c r="FK70" i="39"/>
  <c r="FL70" i="39"/>
  <c r="FK61" i="39"/>
  <c r="FL61" i="39"/>
  <c r="FI101" i="39"/>
  <c r="FJ101" i="39" s="1"/>
  <c r="FC101" i="39"/>
  <c r="FL20" i="39"/>
  <c r="FK20" i="39"/>
  <c r="FK210" i="39"/>
  <c r="FL210" i="39"/>
  <c r="FI82" i="39"/>
  <c r="FJ82" i="39" s="1"/>
  <c r="FC82" i="39"/>
  <c r="FK149" i="39"/>
  <c r="FL149" i="39"/>
  <c r="FL43" i="39"/>
  <c r="FK43" i="39"/>
  <c r="FK34" i="39"/>
  <c r="FL34" i="39"/>
  <c r="FK25" i="39"/>
  <c r="FL25" i="39"/>
  <c r="FK47" i="39"/>
  <c r="FL47" i="39"/>
  <c r="FK105" i="39"/>
  <c r="FL105" i="39"/>
  <c r="FI160" i="39"/>
  <c r="FJ160" i="39" s="1"/>
  <c r="FC160" i="39"/>
  <c r="FK16" i="39"/>
  <c r="FL16" i="39"/>
  <c r="FL80" i="39"/>
  <c r="FK80" i="39"/>
  <c r="FK165" i="39"/>
  <c r="FL165" i="39"/>
  <c r="FI113" i="39"/>
  <c r="FJ113" i="39" s="1"/>
  <c r="FC113" i="39"/>
  <c r="FI186" i="39"/>
  <c r="FJ186" i="39" s="1"/>
  <c r="FC186" i="39"/>
  <c r="FL156" i="39"/>
  <c r="FK156" i="39"/>
  <c r="FL164" i="39"/>
  <c r="FK164" i="39"/>
  <c r="FK110" i="39"/>
  <c r="FL110" i="39"/>
  <c r="FK206" i="39"/>
  <c r="FL206" i="39"/>
  <c r="FK57" i="39"/>
  <c r="FL57" i="39"/>
  <c r="FK58" i="39"/>
  <c r="FL58" i="39"/>
  <c r="FK135" i="39"/>
  <c r="FL135" i="39"/>
  <c r="FL99" i="39"/>
  <c r="FK99" i="39"/>
  <c r="FK117" i="39"/>
  <c r="FL117" i="39"/>
  <c r="FI144" i="39"/>
  <c r="FJ144" i="39" s="1"/>
  <c r="FC144" i="39"/>
  <c r="FI128" i="39"/>
  <c r="FJ128" i="39" s="1"/>
  <c r="FC128" i="39"/>
  <c r="FI189" i="39"/>
  <c r="FJ189" i="39" s="1"/>
  <c r="FC189" i="39"/>
  <c r="FK215" i="39"/>
  <c r="FL215" i="39"/>
  <c r="FK22" i="39"/>
  <c r="FL22" i="39"/>
  <c r="FL100" i="39"/>
  <c r="FK100" i="39"/>
  <c r="FK97" i="39"/>
  <c r="FL97" i="39"/>
  <c r="FK73" i="39"/>
  <c r="FL73" i="39"/>
  <c r="FK154" i="39"/>
  <c r="FL154" i="39"/>
  <c r="FA13" i="39"/>
  <c r="FB13" i="39"/>
  <c r="FI13" i="39" s="1"/>
  <c r="FJ13" i="39" s="1"/>
  <c r="FK13" i="39" s="1"/>
  <c r="AP13" i="39" s="1"/>
  <c r="AQ13" i="39" s="1"/>
  <c r="EY13" i="39"/>
  <c r="EZ13" i="39"/>
  <c r="M19" i="23"/>
  <c r="K19" i="23"/>
  <c r="M35" i="32"/>
  <c r="K35" i="32"/>
  <c r="W21" i="5"/>
  <c r="A50" i="7"/>
  <c r="AW17" i="39" l="1"/>
  <c r="AR37" i="39"/>
  <c r="AS37" i="39" s="1"/>
  <c r="AR115" i="39"/>
  <c r="AS115" i="39" s="1"/>
  <c r="AR108" i="39"/>
  <c r="AS108" i="39" s="1"/>
  <c r="AR93" i="39"/>
  <c r="AS93" i="39" s="1"/>
  <c r="AR172" i="39"/>
  <c r="AS172" i="39" s="1"/>
  <c r="AR64" i="39"/>
  <c r="AS64" i="39" s="1"/>
  <c r="AR13" i="39"/>
  <c r="AS13" i="39" s="1"/>
  <c r="AR32" i="39"/>
  <c r="AS32" i="39" s="1"/>
  <c r="AR36" i="39"/>
  <c r="AS36" i="39" s="1"/>
  <c r="FM47" i="39"/>
  <c r="FP47" i="39" s="1"/>
  <c r="AP47" i="39"/>
  <c r="AQ47" i="39" s="1"/>
  <c r="FM99" i="39"/>
  <c r="FP99" i="39" s="1"/>
  <c r="AP99" i="39"/>
  <c r="AQ99" i="39" s="1"/>
  <c r="FM121" i="39"/>
  <c r="FP121" i="39" s="1"/>
  <c r="AP121" i="39"/>
  <c r="AQ121" i="39" s="1"/>
  <c r="FM183" i="39"/>
  <c r="FP183" i="39" s="1"/>
  <c r="AP183" i="39"/>
  <c r="FM133" i="39"/>
  <c r="FP133" i="39" s="1"/>
  <c r="AP133" i="39"/>
  <c r="AQ133" i="39" s="1"/>
  <c r="FM125" i="39"/>
  <c r="FP125" i="39" s="1"/>
  <c r="AP125" i="39"/>
  <c r="AQ125" i="39" s="1"/>
  <c r="FM62" i="39"/>
  <c r="FP62" i="39" s="1"/>
  <c r="AP62" i="39"/>
  <c r="AQ62" i="39" s="1"/>
  <c r="FM145" i="39"/>
  <c r="FP145" i="39" s="1"/>
  <c r="AP145" i="39"/>
  <c r="FM95" i="39"/>
  <c r="FP95" i="39" s="1"/>
  <c r="AP95" i="39"/>
  <c r="FM33" i="39"/>
  <c r="FP33" i="39" s="1"/>
  <c r="AP33" i="39"/>
  <c r="AQ33" i="39" s="1"/>
  <c r="FM157" i="39"/>
  <c r="FP157" i="39" s="1"/>
  <c r="AP157" i="39"/>
  <c r="AQ157" i="39" s="1"/>
  <c r="FM39" i="39"/>
  <c r="FP39" i="39" s="1"/>
  <c r="AP39" i="39"/>
  <c r="AQ39" i="39" s="1"/>
  <c r="FM38" i="39"/>
  <c r="FP38" i="39" s="1"/>
  <c r="AP38" i="39"/>
  <c r="AQ38" i="39" s="1"/>
  <c r="FM24" i="39"/>
  <c r="FP24" i="39" s="1"/>
  <c r="AP24" i="39"/>
  <c r="AQ24" i="39" s="1"/>
  <c r="FM153" i="39"/>
  <c r="FP153" i="39" s="1"/>
  <c r="AP153" i="39"/>
  <c r="AQ153" i="39" s="1"/>
  <c r="FM141" i="39"/>
  <c r="FP141" i="39" s="1"/>
  <c r="AP141" i="39"/>
  <c r="AQ141" i="39" s="1"/>
  <c r="FM179" i="39"/>
  <c r="FP179" i="39" s="1"/>
  <c r="AP179" i="39"/>
  <c r="FM46" i="39"/>
  <c r="FP46" i="39" s="1"/>
  <c r="AP46" i="39"/>
  <c r="AQ46" i="39" s="1"/>
  <c r="FM21" i="39"/>
  <c r="FP21" i="39" s="1"/>
  <c r="AP21" i="39"/>
  <c r="AQ21" i="39" s="1"/>
  <c r="FM15" i="39"/>
  <c r="FP15" i="39" s="1"/>
  <c r="AP15" i="39"/>
  <c r="FM184" i="39"/>
  <c r="FP184" i="39" s="1"/>
  <c r="AP184" i="39"/>
  <c r="FM204" i="39"/>
  <c r="FP204" i="39" s="1"/>
  <c r="AP204" i="39"/>
  <c r="FM97" i="39"/>
  <c r="FP97" i="39" s="1"/>
  <c r="AP97" i="39"/>
  <c r="AQ97" i="39" s="1"/>
  <c r="FM206" i="39"/>
  <c r="FP206" i="39" s="1"/>
  <c r="AP206" i="39"/>
  <c r="FM16" i="39"/>
  <c r="FP16" i="39" s="1"/>
  <c r="AP16" i="39"/>
  <c r="FM25" i="39"/>
  <c r="FP25" i="39" s="1"/>
  <c r="AP25" i="39"/>
  <c r="AQ25" i="39" s="1"/>
  <c r="FM61" i="39"/>
  <c r="FP61" i="39" s="1"/>
  <c r="AP61" i="39"/>
  <c r="AQ61" i="39" s="1"/>
  <c r="FM182" i="39"/>
  <c r="FP182" i="39" s="1"/>
  <c r="AP182" i="39"/>
  <c r="FM120" i="39"/>
  <c r="FP120" i="39" s="1"/>
  <c r="AP120" i="39"/>
  <c r="FM203" i="39"/>
  <c r="FP203" i="39" s="1"/>
  <c r="AP203" i="39"/>
  <c r="AQ203" i="39" s="1"/>
  <c r="FM114" i="39"/>
  <c r="FP114" i="39" s="1"/>
  <c r="AP114" i="39"/>
  <c r="AQ114" i="39" s="1"/>
  <c r="FM111" i="39"/>
  <c r="FP111" i="39" s="1"/>
  <c r="AP111" i="39"/>
  <c r="FM27" i="39"/>
  <c r="FP27" i="39" s="1"/>
  <c r="AP27" i="39"/>
  <c r="AQ27" i="39" s="1"/>
  <c r="FM131" i="39"/>
  <c r="FP131" i="39" s="1"/>
  <c r="AP131" i="39"/>
  <c r="FM212" i="39"/>
  <c r="FP212" i="39" s="1"/>
  <c r="AP212" i="39"/>
  <c r="FM107" i="39"/>
  <c r="FP107" i="39" s="1"/>
  <c r="AP107" i="39"/>
  <c r="AQ107" i="39" s="1"/>
  <c r="FM75" i="39"/>
  <c r="FP75" i="39" s="1"/>
  <c r="AP75" i="39"/>
  <c r="AQ75" i="39" s="1"/>
  <c r="FM161" i="39"/>
  <c r="FP161" i="39" s="1"/>
  <c r="AP161" i="39"/>
  <c r="AQ161" i="39" s="1"/>
  <c r="FM88" i="39"/>
  <c r="FP88" i="39" s="1"/>
  <c r="AP88" i="39"/>
  <c r="AQ88" i="39" s="1"/>
  <c r="FM68" i="39"/>
  <c r="FP68" i="39" s="1"/>
  <c r="AP68" i="39"/>
  <c r="AQ68" i="39" s="1"/>
  <c r="FM116" i="39"/>
  <c r="FP116" i="39" s="1"/>
  <c r="AP116" i="39"/>
  <c r="AQ116" i="39" s="1"/>
  <c r="FM73" i="39"/>
  <c r="FP73" i="39" s="1"/>
  <c r="AP73" i="39"/>
  <c r="AQ73" i="39" s="1"/>
  <c r="FM122" i="39"/>
  <c r="FP122" i="39" s="1"/>
  <c r="AP122" i="39"/>
  <c r="AQ122" i="39" s="1"/>
  <c r="FM124" i="39"/>
  <c r="FP124" i="39" s="1"/>
  <c r="AP124" i="39"/>
  <c r="AQ124" i="39" s="1"/>
  <c r="FM180" i="39"/>
  <c r="FP180" i="39" s="1"/>
  <c r="AP180" i="39"/>
  <c r="FM40" i="39"/>
  <c r="FP40" i="39" s="1"/>
  <c r="AP40" i="39"/>
  <c r="AQ40" i="39" s="1"/>
  <c r="FM177" i="39"/>
  <c r="FP177" i="39" s="1"/>
  <c r="AP177" i="39"/>
  <c r="FM63" i="39"/>
  <c r="FP63" i="39" s="1"/>
  <c r="AP63" i="39"/>
  <c r="AQ63" i="39" s="1"/>
  <c r="FM152" i="39"/>
  <c r="FP152" i="39" s="1"/>
  <c r="AP152" i="39"/>
  <c r="FM112" i="39"/>
  <c r="FP112" i="39" s="1"/>
  <c r="AP112" i="39"/>
  <c r="AQ112" i="39" s="1"/>
  <c r="FM53" i="39"/>
  <c r="FP53" i="39" s="1"/>
  <c r="AP53" i="39"/>
  <c r="AQ53" i="39" s="1"/>
  <c r="FM150" i="39"/>
  <c r="FP150" i="39" s="1"/>
  <c r="AP150" i="39"/>
  <c r="FM205" i="39"/>
  <c r="FP205" i="39" s="1"/>
  <c r="AP205" i="39"/>
  <c r="FM209" i="39"/>
  <c r="FP209" i="39" s="1"/>
  <c r="AP209" i="39"/>
  <c r="FM85" i="39"/>
  <c r="FP85" i="39" s="1"/>
  <c r="AP85" i="39"/>
  <c r="AQ85" i="39" s="1"/>
  <c r="FM106" i="39"/>
  <c r="FP106" i="39" s="1"/>
  <c r="AP106" i="39"/>
  <c r="AQ106" i="39" s="1"/>
  <c r="FM42" i="39"/>
  <c r="FP42" i="39" s="1"/>
  <c r="AP42" i="39"/>
  <c r="AQ42" i="39" s="1"/>
  <c r="FM89" i="39"/>
  <c r="FP89" i="39" s="1"/>
  <c r="AP89" i="39"/>
  <c r="AQ89" i="39" s="1"/>
  <c r="FM178" i="39"/>
  <c r="FP178" i="39" s="1"/>
  <c r="AP178" i="39"/>
  <c r="FM185" i="39"/>
  <c r="FP185" i="39" s="1"/>
  <c r="AP185" i="39"/>
  <c r="FM98" i="39"/>
  <c r="FP98" i="39" s="1"/>
  <c r="AP98" i="39"/>
  <c r="AQ98" i="39" s="1"/>
  <c r="FM41" i="39"/>
  <c r="FP41" i="39" s="1"/>
  <c r="AP41" i="39"/>
  <c r="AQ41" i="39" s="1"/>
  <c r="FM123" i="39"/>
  <c r="FP123" i="39" s="1"/>
  <c r="AP123" i="39"/>
  <c r="AQ123" i="39" s="1"/>
  <c r="FM135" i="39"/>
  <c r="FP135" i="39" s="1"/>
  <c r="AP135" i="39"/>
  <c r="AQ135" i="39" s="1"/>
  <c r="FM110" i="39"/>
  <c r="FP110" i="39" s="1"/>
  <c r="AP110" i="39"/>
  <c r="AQ110" i="39" s="1"/>
  <c r="FM34" i="39"/>
  <c r="FP34" i="39" s="1"/>
  <c r="AP34" i="39"/>
  <c r="AQ34" i="39" s="1"/>
  <c r="FM210" i="39"/>
  <c r="FP210" i="39" s="1"/>
  <c r="AP210" i="39"/>
  <c r="AQ210" i="39" s="1"/>
  <c r="FM70" i="39"/>
  <c r="FP70" i="39" s="1"/>
  <c r="AP70" i="39"/>
  <c r="AQ70" i="39" s="1"/>
  <c r="FM167" i="39"/>
  <c r="FP167" i="39" s="1"/>
  <c r="AP167" i="39"/>
  <c r="FM190" i="39"/>
  <c r="FP190" i="39" s="1"/>
  <c r="AP190" i="39"/>
  <c r="FM91" i="39"/>
  <c r="FP91" i="39" s="1"/>
  <c r="AP91" i="39"/>
  <c r="AQ91" i="39" s="1"/>
  <c r="FM171" i="39"/>
  <c r="FP171" i="39" s="1"/>
  <c r="AP171" i="39"/>
  <c r="AQ171" i="39" s="1"/>
  <c r="FM148" i="39"/>
  <c r="FP148" i="39" s="1"/>
  <c r="AP148" i="39"/>
  <c r="FM92" i="39"/>
  <c r="FP92" i="39" s="1"/>
  <c r="AP92" i="39"/>
  <c r="AQ92" i="39" s="1"/>
  <c r="FM28" i="39"/>
  <c r="FP28" i="39" s="1"/>
  <c r="AP28" i="39"/>
  <c r="AQ28" i="39" s="1"/>
  <c r="FM117" i="39"/>
  <c r="FP117" i="39" s="1"/>
  <c r="AP117" i="39"/>
  <c r="AQ117" i="39" s="1"/>
  <c r="FM164" i="39"/>
  <c r="FP164" i="39" s="1"/>
  <c r="AP164" i="39"/>
  <c r="FM43" i="39"/>
  <c r="FP43" i="39" s="1"/>
  <c r="AP43" i="39"/>
  <c r="AQ43" i="39" s="1"/>
  <c r="FM20" i="39"/>
  <c r="FP20" i="39" s="1"/>
  <c r="AP20" i="39"/>
  <c r="AQ20" i="39" s="1"/>
  <c r="FM51" i="39"/>
  <c r="FP51" i="39" s="1"/>
  <c r="AP51" i="39"/>
  <c r="AQ51" i="39" s="1"/>
  <c r="FM55" i="39"/>
  <c r="FP55" i="39" s="1"/>
  <c r="AP55" i="39"/>
  <c r="AQ55" i="39" s="1"/>
  <c r="FM159" i="39"/>
  <c r="FP159" i="39" s="1"/>
  <c r="AP159" i="39"/>
  <c r="AQ159" i="39" s="1"/>
  <c r="FM78" i="39"/>
  <c r="FP78" i="39" s="1"/>
  <c r="AP78" i="39"/>
  <c r="AQ78" i="39" s="1"/>
  <c r="FM175" i="39"/>
  <c r="FP175" i="39" s="1"/>
  <c r="AP175" i="39"/>
  <c r="FM151" i="39"/>
  <c r="FP151" i="39" s="1"/>
  <c r="AP151" i="39"/>
  <c r="FM147" i="39"/>
  <c r="FP147" i="39" s="1"/>
  <c r="AP147" i="39"/>
  <c r="AQ147" i="39" s="1"/>
  <c r="FM45" i="39"/>
  <c r="FP45" i="39" s="1"/>
  <c r="AP45" i="39"/>
  <c r="AQ45" i="39" s="1"/>
  <c r="FM102" i="39"/>
  <c r="FP102" i="39" s="1"/>
  <c r="AP102" i="39"/>
  <c r="AQ102" i="39" s="1"/>
  <c r="FM130" i="39"/>
  <c r="FP130" i="39" s="1"/>
  <c r="AP130" i="39"/>
  <c r="FM18" i="39"/>
  <c r="FP18" i="39" s="1"/>
  <c r="AP18" i="39"/>
  <c r="FM23" i="39"/>
  <c r="FP23" i="39" s="1"/>
  <c r="AP23" i="39"/>
  <c r="AQ23" i="39" s="1"/>
  <c r="FM94" i="39"/>
  <c r="FP94" i="39" s="1"/>
  <c r="AP94" i="39"/>
  <c r="AQ94" i="39" s="1"/>
  <c r="FM146" i="39"/>
  <c r="FP146" i="39" s="1"/>
  <c r="AP146" i="39"/>
  <c r="AQ146" i="39" s="1"/>
  <c r="FM168" i="39"/>
  <c r="FP168" i="39" s="1"/>
  <c r="AP168" i="39"/>
  <c r="FM119" i="39"/>
  <c r="FP119" i="39" s="1"/>
  <c r="AP119" i="39"/>
  <c r="AQ119" i="39" s="1"/>
  <c r="FM169" i="39"/>
  <c r="FP169" i="39" s="1"/>
  <c r="AP169" i="39"/>
  <c r="FM126" i="39"/>
  <c r="FP126" i="39" s="1"/>
  <c r="AP126" i="39"/>
  <c r="AQ126" i="39" s="1"/>
  <c r="FM134" i="39"/>
  <c r="FP134" i="39" s="1"/>
  <c r="AP134" i="39"/>
  <c r="AQ134" i="39" s="1"/>
  <c r="FM65" i="39"/>
  <c r="FP65" i="39" s="1"/>
  <c r="AP65" i="39"/>
  <c r="AQ65" i="39" s="1"/>
  <c r="FM200" i="39"/>
  <c r="FP200" i="39" s="1"/>
  <c r="AP200" i="39"/>
  <c r="FM198" i="39"/>
  <c r="FP198" i="39" s="1"/>
  <c r="AP198" i="39"/>
  <c r="FM154" i="39"/>
  <c r="FP154" i="39" s="1"/>
  <c r="AP154" i="39"/>
  <c r="AQ154" i="39" s="1"/>
  <c r="FM22" i="39"/>
  <c r="FP22" i="39" s="1"/>
  <c r="AP22" i="39"/>
  <c r="AQ22" i="39" s="1"/>
  <c r="FM58" i="39"/>
  <c r="FP58" i="39" s="1"/>
  <c r="AP58" i="39"/>
  <c r="AQ58" i="39" s="1"/>
  <c r="FM165" i="39"/>
  <c r="FP165" i="39" s="1"/>
  <c r="AP165" i="39"/>
  <c r="FM105" i="39"/>
  <c r="FP105" i="39" s="1"/>
  <c r="AP105" i="39"/>
  <c r="AQ105" i="39" s="1"/>
  <c r="FM48" i="39"/>
  <c r="FP48" i="39" s="1"/>
  <c r="AP48" i="39"/>
  <c r="AQ48" i="39" s="1"/>
  <c r="FM142" i="39"/>
  <c r="FP142" i="39" s="1"/>
  <c r="AP142" i="39"/>
  <c r="AQ142" i="39" s="1"/>
  <c r="FM187" i="39"/>
  <c r="FP187" i="39" s="1"/>
  <c r="AP187" i="39"/>
  <c r="FM76" i="39"/>
  <c r="FP76" i="39" s="1"/>
  <c r="AP76" i="39"/>
  <c r="FM44" i="39"/>
  <c r="FP44" i="39" s="1"/>
  <c r="AP44" i="39"/>
  <c r="AQ44" i="39" s="1"/>
  <c r="FM72" i="39"/>
  <c r="FP72" i="39" s="1"/>
  <c r="AP72" i="39"/>
  <c r="AQ72" i="39" s="1"/>
  <c r="FM35" i="39"/>
  <c r="FP35" i="39" s="1"/>
  <c r="AP35" i="39"/>
  <c r="AQ35" i="39" s="1"/>
  <c r="FM215" i="39"/>
  <c r="FP215" i="39" s="1"/>
  <c r="AP215" i="39"/>
  <c r="FM57" i="39"/>
  <c r="FP57" i="39" s="1"/>
  <c r="AP57" i="39"/>
  <c r="AQ57" i="39" s="1"/>
  <c r="FM149" i="39"/>
  <c r="FP149" i="39" s="1"/>
  <c r="AP149" i="39"/>
  <c r="FM69" i="39"/>
  <c r="FP69" i="39" s="1"/>
  <c r="AP69" i="39"/>
  <c r="AQ69" i="39" s="1"/>
  <c r="FM132" i="39"/>
  <c r="FP132" i="39" s="1"/>
  <c r="AP132" i="39"/>
  <c r="AQ132" i="39" s="1"/>
  <c r="FM163" i="39"/>
  <c r="FP163" i="39" s="1"/>
  <c r="AP163" i="39"/>
  <c r="FM52" i="39"/>
  <c r="FP52" i="39" s="1"/>
  <c r="AP52" i="39"/>
  <c r="AQ52" i="39" s="1"/>
  <c r="FM140" i="39"/>
  <c r="FP140" i="39" s="1"/>
  <c r="AP140" i="39"/>
  <c r="AQ140" i="39" s="1"/>
  <c r="FM100" i="39"/>
  <c r="FP100" i="39" s="1"/>
  <c r="AP100" i="39"/>
  <c r="AQ100" i="39" s="1"/>
  <c r="FM156" i="39"/>
  <c r="FP156" i="39" s="1"/>
  <c r="AP156" i="39"/>
  <c r="AQ156" i="39" s="1"/>
  <c r="FM80" i="39"/>
  <c r="FP80" i="39" s="1"/>
  <c r="AP80" i="39"/>
  <c r="AQ80" i="39" s="1"/>
  <c r="FM196" i="39"/>
  <c r="FP196" i="39" s="1"/>
  <c r="AP196" i="39"/>
  <c r="FM216" i="39"/>
  <c r="FP216" i="39" s="1"/>
  <c r="AP216" i="39"/>
  <c r="FM173" i="39"/>
  <c r="FP173" i="39" s="1"/>
  <c r="AP173" i="39"/>
  <c r="FM136" i="39"/>
  <c r="FP136" i="39" s="1"/>
  <c r="AP136" i="39"/>
  <c r="AQ136" i="39" s="1"/>
  <c r="FM29" i="39"/>
  <c r="FP29" i="39" s="1"/>
  <c r="AP29" i="39"/>
  <c r="AQ29" i="39" s="1"/>
  <c r="FM143" i="39"/>
  <c r="FP143" i="39" s="1"/>
  <c r="AP143" i="39"/>
  <c r="AQ143" i="39" s="1"/>
  <c r="FM193" i="39"/>
  <c r="FP193" i="39" s="1"/>
  <c r="AP193" i="39"/>
  <c r="FM139" i="39"/>
  <c r="FP139" i="39" s="1"/>
  <c r="AP139" i="39"/>
  <c r="AQ139" i="39" s="1"/>
  <c r="FM201" i="39"/>
  <c r="FP201" i="39" s="1"/>
  <c r="AP201" i="39"/>
  <c r="FM191" i="39"/>
  <c r="FP191" i="39" s="1"/>
  <c r="AP191" i="39"/>
  <c r="FM71" i="39"/>
  <c r="FP71" i="39" s="1"/>
  <c r="AP71" i="39"/>
  <c r="AQ71" i="39" s="1"/>
  <c r="FM197" i="39"/>
  <c r="FP197" i="39" s="1"/>
  <c r="AP197" i="39"/>
  <c r="FM194" i="39"/>
  <c r="FP194" i="39" s="1"/>
  <c r="AP194" i="39"/>
  <c r="FM109" i="39"/>
  <c r="FP109" i="39" s="1"/>
  <c r="AP109" i="39"/>
  <c r="FM87" i="39"/>
  <c r="FP87" i="39" s="1"/>
  <c r="AP87" i="39"/>
  <c r="AQ87" i="39" s="1"/>
  <c r="FM60" i="39"/>
  <c r="FP60" i="39" s="1"/>
  <c r="AP60" i="39"/>
  <c r="AQ60" i="39" s="1"/>
  <c r="FM66" i="39"/>
  <c r="FP66" i="39" s="1"/>
  <c r="AP66" i="39"/>
  <c r="AQ66" i="39" s="1"/>
  <c r="FM199" i="39"/>
  <c r="FP199" i="39" s="1"/>
  <c r="AP199" i="39"/>
  <c r="AQ199" i="39" s="1"/>
  <c r="FM81" i="39"/>
  <c r="FP81" i="39" s="1"/>
  <c r="AP81" i="39"/>
  <c r="AQ81" i="39" s="1"/>
  <c r="FM129" i="39"/>
  <c r="FP129" i="39" s="1"/>
  <c r="AP129" i="39"/>
  <c r="AQ129" i="39" s="1"/>
  <c r="FM50" i="39"/>
  <c r="FP50" i="39" s="1"/>
  <c r="AP50" i="39"/>
  <c r="AQ50" i="39" s="1"/>
  <c r="FM86" i="39"/>
  <c r="FP86" i="39" s="1"/>
  <c r="AP86" i="39"/>
  <c r="AQ86" i="39" s="1"/>
  <c r="FM181" i="39"/>
  <c r="FP181" i="39" s="1"/>
  <c r="AP181" i="39"/>
  <c r="AQ181" i="39" s="1"/>
  <c r="FM207" i="39"/>
  <c r="FP207" i="39" s="1"/>
  <c r="FT223" i="39"/>
  <c r="FB222" i="39"/>
  <c r="FG14" i="39"/>
  <c r="FH14" i="39" s="1"/>
  <c r="FJ14" i="39"/>
  <c r="FJ217" i="39" s="1"/>
  <c r="FI222" i="39"/>
  <c r="FI217" i="39"/>
  <c r="FK189" i="39"/>
  <c r="FL189" i="39"/>
  <c r="FK186" i="39"/>
  <c r="FL186" i="39"/>
  <c r="FK82" i="39"/>
  <c r="FL82" i="39"/>
  <c r="FK127" i="39"/>
  <c r="FL127" i="39"/>
  <c r="FL211" i="39"/>
  <c r="FK211" i="39"/>
  <c r="FK202" i="39"/>
  <c r="FL202" i="39"/>
  <c r="FK213" i="39"/>
  <c r="FL213" i="39"/>
  <c r="FK170" i="39"/>
  <c r="FL170" i="39"/>
  <c r="FK30" i="39"/>
  <c r="FL30" i="39"/>
  <c r="FK19" i="39"/>
  <c r="FL19" i="39"/>
  <c r="FK128" i="39"/>
  <c r="FL128" i="39"/>
  <c r="FK113" i="39"/>
  <c r="FL113" i="39"/>
  <c r="FK160" i="39"/>
  <c r="FL160" i="39"/>
  <c r="FL59" i="39"/>
  <c r="FK59" i="39"/>
  <c r="FK90" i="39"/>
  <c r="FL90" i="39"/>
  <c r="FK162" i="39"/>
  <c r="FL162" i="39"/>
  <c r="FK54" i="39"/>
  <c r="FL54" i="39"/>
  <c r="FK118" i="39"/>
  <c r="FL118" i="39"/>
  <c r="FK31" i="39"/>
  <c r="FL31" i="39"/>
  <c r="FK138" i="39"/>
  <c r="FL138" i="39"/>
  <c r="FK158" i="39"/>
  <c r="FL158" i="39"/>
  <c r="FK192" i="39"/>
  <c r="FL192" i="39"/>
  <c r="FK49" i="39"/>
  <c r="FL49" i="39"/>
  <c r="FK26" i="39"/>
  <c r="FL26" i="39"/>
  <c r="FK208" i="39"/>
  <c r="AP208" i="39" s="1"/>
  <c r="FL208" i="39"/>
  <c r="FK144" i="39"/>
  <c r="FL144" i="39"/>
  <c r="FK214" i="39"/>
  <c r="FL214" i="39"/>
  <c r="FL155" i="39"/>
  <c r="FK155" i="39"/>
  <c r="FK77" i="39"/>
  <c r="FL77" i="39"/>
  <c r="FK74" i="39"/>
  <c r="FL74" i="39"/>
  <c r="FK56" i="39"/>
  <c r="FL56" i="39"/>
  <c r="FK137" i="39"/>
  <c r="FL137" i="39"/>
  <c r="FK174" i="39"/>
  <c r="FL174" i="39"/>
  <c r="FL96" i="39"/>
  <c r="FK96" i="39"/>
  <c r="FL67" i="39"/>
  <c r="FK67" i="39"/>
  <c r="AP67" i="39" s="1"/>
  <c r="FL84" i="39"/>
  <c r="FK84" i="39"/>
  <c r="FK103" i="39"/>
  <c r="FL103" i="39"/>
  <c r="FK101" i="39"/>
  <c r="FL101" i="39"/>
  <c r="FL195" i="39"/>
  <c r="FK195" i="39"/>
  <c r="FK166" i="39"/>
  <c r="FL166" i="39"/>
  <c r="FL83" i="39"/>
  <c r="FK83" i="39"/>
  <c r="FK104" i="39"/>
  <c r="FL104" i="39"/>
  <c r="FL188" i="39"/>
  <c r="FK188" i="39"/>
  <c r="FK79" i="39"/>
  <c r="FL79" i="39"/>
  <c r="FK176" i="39"/>
  <c r="FL176" i="39"/>
  <c r="FF13" i="39"/>
  <c r="FG13" i="39" s="1"/>
  <c r="FH13" i="39" s="1"/>
  <c r="FC13" i="39"/>
  <c r="FB217" i="39"/>
  <c r="M36" i="32"/>
  <c r="K36" i="32"/>
  <c r="M20" i="23"/>
  <c r="K20" i="23"/>
  <c r="W22" i="5"/>
  <c r="AY17" i="39" l="1"/>
  <c r="AX17" i="39"/>
  <c r="DP17" i="39" s="1"/>
  <c r="DO17" i="39" s="1"/>
  <c r="AV13" i="39"/>
  <c r="DD13" i="39" s="1"/>
  <c r="AV64" i="39"/>
  <c r="AW64" i="39" s="1"/>
  <c r="AY64" i="39" s="1"/>
  <c r="AV172" i="39"/>
  <c r="DD172" i="39" s="1"/>
  <c r="AV93" i="39"/>
  <c r="DD93" i="39" s="1"/>
  <c r="AV108" i="39"/>
  <c r="AU108" i="39" s="1"/>
  <c r="AV115" i="39"/>
  <c r="DD115" i="39" s="1"/>
  <c r="AV36" i="39"/>
  <c r="AW36" i="39" s="1"/>
  <c r="AY36" i="39" s="1"/>
  <c r="AV37" i="39"/>
  <c r="DD37" i="39" s="1"/>
  <c r="AV32" i="39"/>
  <c r="AU32" i="39" s="1"/>
  <c r="AR129" i="39"/>
  <c r="AS129" i="39" s="1"/>
  <c r="AR60" i="39"/>
  <c r="AS60" i="39" s="1"/>
  <c r="AR139" i="39"/>
  <c r="AS139" i="39" s="1"/>
  <c r="AR136" i="39"/>
  <c r="AS136" i="39" s="1"/>
  <c r="AR80" i="39"/>
  <c r="AS80" i="39" s="1"/>
  <c r="AR52" i="39"/>
  <c r="AS52" i="39" s="1"/>
  <c r="AR35" i="39"/>
  <c r="AS35" i="39" s="1"/>
  <c r="AR65" i="39"/>
  <c r="AS65" i="39" s="1"/>
  <c r="AR119" i="39"/>
  <c r="AS119" i="39" s="1"/>
  <c r="AR23" i="39"/>
  <c r="AS23" i="39" s="1"/>
  <c r="AR45" i="39"/>
  <c r="AS45" i="39" s="1"/>
  <c r="AR78" i="39"/>
  <c r="AS78" i="39" s="1"/>
  <c r="AR20" i="39"/>
  <c r="AS20" i="39" s="1"/>
  <c r="AR171" i="39"/>
  <c r="AS171" i="39" s="1"/>
  <c r="AR70" i="39"/>
  <c r="AS70" i="39" s="1"/>
  <c r="AR135" i="39"/>
  <c r="AS135" i="39" s="1"/>
  <c r="AR98" i="39"/>
  <c r="AS98" i="39" s="1"/>
  <c r="AR42" i="39"/>
  <c r="AS42" i="39" s="1"/>
  <c r="AR161" i="39"/>
  <c r="AS161" i="39" s="1"/>
  <c r="AR203" i="39"/>
  <c r="AS203" i="39" s="1"/>
  <c r="AY203" i="39" s="1"/>
  <c r="AR25" i="39"/>
  <c r="AS25" i="39" s="1"/>
  <c r="AR46" i="39"/>
  <c r="AS46" i="39" s="1"/>
  <c r="AR24" i="39"/>
  <c r="AS24" i="39" s="1"/>
  <c r="AR33" i="39"/>
  <c r="AS33" i="39" s="1"/>
  <c r="AR125" i="39"/>
  <c r="AS125" i="39" s="1"/>
  <c r="AR99" i="39"/>
  <c r="AS99" i="39" s="1"/>
  <c r="AR181" i="39"/>
  <c r="AS181" i="39" s="1"/>
  <c r="AY181" i="39" s="1"/>
  <c r="AR81" i="39"/>
  <c r="AS81" i="39" s="1"/>
  <c r="AR87" i="39"/>
  <c r="AS87" i="39" s="1"/>
  <c r="AR71" i="39"/>
  <c r="AS71" i="39" s="1"/>
  <c r="AR156" i="39"/>
  <c r="AS156" i="39" s="1"/>
  <c r="AR57" i="39"/>
  <c r="AS57" i="39" s="1"/>
  <c r="AR72" i="39"/>
  <c r="AS72" i="39" s="1"/>
  <c r="AR142" i="39"/>
  <c r="AS142" i="39" s="1"/>
  <c r="AR58" i="39"/>
  <c r="AS58" i="39" s="1"/>
  <c r="AR134" i="39"/>
  <c r="AS134" i="39" s="1"/>
  <c r="AR147" i="39"/>
  <c r="AS147" i="39" s="1"/>
  <c r="AR159" i="39"/>
  <c r="AS159" i="39" s="1"/>
  <c r="AR43" i="39"/>
  <c r="AS43" i="39" s="1"/>
  <c r="AR28" i="39"/>
  <c r="AS28" i="39" s="1"/>
  <c r="AR91" i="39"/>
  <c r="AS91" i="39" s="1"/>
  <c r="AR210" i="39"/>
  <c r="AS210" i="39" s="1"/>
  <c r="AR123" i="39"/>
  <c r="AS123" i="39" s="1"/>
  <c r="AR106" i="39"/>
  <c r="AS106" i="39" s="1"/>
  <c r="AR63" i="39"/>
  <c r="AS63" i="39" s="1"/>
  <c r="AR124" i="39"/>
  <c r="AS124" i="39" s="1"/>
  <c r="AR116" i="39"/>
  <c r="AS116" i="39" s="1"/>
  <c r="AY116" i="39" s="1"/>
  <c r="AR75" i="39"/>
  <c r="AS75" i="39" s="1"/>
  <c r="AR27" i="39"/>
  <c r="AS27" i="39" s="1"/>
  <c r="AR38" i="39"/>
  <c r="AS38" i="39" s="1"/>
  <c r="AR133" i="39"/>
  <c r="AS133" i="39" s="1"/>
  <c r="AR47" i="39"/>
  <c r="AS47" i="39" s="1"/>
  <c r="AR86" i="39"/>
  <c r="AS86" i="39" s="1"/>
  <c r="AR199" i="39"/>
  <c r="AS199" i="39" s="1"/>
  <c r="AY199" i="39" s="1"/>
  <c r="AR143" i="39"/>
  <c r="AS143" i="39" s="1"/>
  <c r="AR100" i="39"/>
  <c r="AS100" i="39" s="1"/>
  <c r="AR132" i="39"/>
  <c r="AS132" i="39" s="1"/>
  <c r="AR44" i="39"/>
  <c r="AS44" i="39" s="1"/>
  <c r="AR48" i="39"/>
  <c r="AS48" i="39" s="1"/>
  <c r="AR22" i="39"/>
  <c r="AS22" i="39" s="1"/>
  <c r="AR126" i="39"/>
  <c r="AS126" i="39" s="1"/>
  <c r="AY126" i="39" s="1"/>
  <c r="AR146" i="39"/>
  <c r="AS146" i="39" s="1"/>
  <c r="AR55" i="39"/>
  <c r="AS55" i="39" s="1"/>
  <c r="AR92" i="39"/>
  <c r="AS92" i="39" s="1"/>
  <c r="AR34" i="39"/>
  <c r="AS34" i="39" s="1"/>
  <c r="AR85" i="39"/>
  <c r="AS85" i="39" s="1"/>
  <c r="AR53" i="39"/>
  <c r="AS53" i="39" s="1"/>
  <c r="AR122" i="39"/>
  <c r="AS122" i="39" s="1"/>
  <c r="AR68" i="39"/>
  <c r="AS68" i="39" s="1"/>
  <c r="AR107" i="39"/>
  <c r="AS107" i="39" s="1"/>
  <c r="AR141" i="39"/>
  <c r="AS141" i="39" s="1"/>
  <c r="AR39" i="39"/>
  <c r="AS39" i="39" s="1"/>
  <c r="AR50" i="39"/>
  <c r="AS50" i="39" s="1"/>
  <c r="AR66" i="39"/>
  <c r="AS66" i="39" s="1"/>
  <c r="AR29" i="39"/>
  <c r="AS29" i="39" s="1"/>
  <c r="AR140" i="39"/>
  <c r="AS140" i="39" s="1"/>
  <c r="AR69" i="39"/>
  <c r="AS69" i="39" s="1"/>
  <c r="AR105" i="39"/>
  <c r="AS105" i="39" s="1"/>
  <c r="AR154" i="39"/>
  <c r="AS154" i="39" s="1"/>
  <c r="AR94" i="39"/>
  <c r="AS94" i="39" s="1"/>
  <c r="AR102" i="39"/>
  <c r="AS102" i="39" s="1"/>
  <c r="AR51" i="39"/>
  <c r="AS51" i="39" s="1"/>
  <c r="AR117" i="39"/>
  <c r="AS117" i="39" s="1"/>
  <c r="AR110" i="39"/>
  <c r="AS110" i="39" s="1"/>
  <c r="AR41" i="39"/>
  <c r="AS41" i="39" s="1"/>
  <c r="AR89" i="39"/>
  <c r="AS89" i="39" s="1"/>
  <c r="AR112" i="39"/>
  <c r="AS112" i="39" s="1"/>
  <c r="AR40" i="39"/>
  <c r="AS40" i="39" s="1"/>
  <c r="AR73" i="39"/>
  <c r="AS73" i="39" s="1"/>
  <c r="AR88" i="39"/>
  <c r="AS88" i="39" s="1"/>
  <c r="AR114" i="39"/>
  <c r="AS114" i="39" s="1"/>
  <c r="AR61" i="39"/>
  <c r="AS61" i="39" s="1"/>
  <c r="AR97" i="39"/>
  <c r="AS97" i="39" s="1"/>
  <c r="AR21" i="39"/>
  <c r="AS21" i="39" s="1"/>
  <c r="AR153" i="39"/>
  <c r="AS153" i="39" s="1"/>
  <c r="AR157" i="39"/>
  <c r="AS157" i="39" s="1"/>
  <c r="AR62" i="39"/>
  <c r="AS62" i="39" s="1"/>
  <c r="AR121" i="39"/>
  <c r="AS121" i="39" s="1"/>
  <c r="FM188" i="39"/>
  <c r="FP188" i="39" s="1"/>
  <c r="AP188" i="39"/>
  <c r="AQ188" i="39" s="1"/>
  <c r="FM195" i="39"/>
  <c r="FP195" i="39" s="1"/>
  <c r="AP195" i="39"/>
  <c r="FM137" i="39"/>
  <c r="FP137" i="39" s="1"/>
  <c r="AP137" i="39"/>
  <c r="AQ137" i="39" s="1"/>
  <c r="FM26" i="39"/>
  <c r="FP26" i="39" s="1"/>
  <c r="AP26" i="39"/>
  <c r="AQ26" i="39" s="1"/>
  <c r="FM138" i="39"/>
  <c r="FP138" i="39" s="1"/>
  <c r="AP138" i="39"/>
  <c r="AQ138" i="39" s="1"/>
  <c r="FM162" i="39"/>
  <c r="FP162" i="39" s="1"/>
  <c r="AP162" i="39"/>
  <c r="AQ162" i="39" s="1"/>
  <c r="FM113" i="39"/>
  <c r="FP113" i="39" s="1"/>
  <c r="AP113" i="39"/>
  <c r="FM170" i="39"/>
  <c r="FP170" i="39" s="1"/>
  <c r="AP170" i="39"/>
  <c r="FM127" i="39"/>
  <c r="FP127" i="39" s="1"/>
  <c r="AP127" i="39"/>
  <c r="AQ127" i="39" s="1"/>
  <c r="EZ17" i="39"/>
  <c r="FM56" i="39"/>
  <c r="FP56" i="39" s="1"/>
  <c r="AP56" i="39"/>
  <c r="AQ56" i="39" s="1"/>
  <c r="FM214" i="39"/>
  <c r="FP214" i="39" s="1"/>
  <c r="AP214" i="39"/>
  <c r="FM49" i="39"/>
  <c r="FP49" i="39" s="1"/>
  <c r="AP49" i="39"/>
  <c r="AQ49" i="39" s="1"/>
  <c r="FM31" i="39"/>
  <c r="FP31" i="39" s="1"/>
  <c r="AP31" i="39"/>
  <c r="AQ31" i="39" s="1"/>
  <c r="FM90" i="39"/>
  <c r="FP90" i="39" s="1"/>
  <c r="AP90" i="39"/>
  <c r="AQ90" i="39" s="1"/>
  <c r="FM128" i="39"/>
  <c r="FP128" i="39" s="1"/>
  <c r="AP128" i="39"/>
  <c r="AQ128" i="39" s="1"/>
  <c r="FM213" i="39"/>
  <c r="FP213" i="39" s="1"/>
  <c r="AP213" i="39"/>
  <c r="FM82" i="39"/>
  <c r="FP82" i="39" s="1"/>
  <c r="AP82" i="39"/>
  <c r="AQ82" i="39" s="1"/>
  <c r="FM104" i="39"/>
  <c r="FP104" i="39" s="1"/>
  <c r="AP104" i="39"/>
  <c r="AQ104" i="39" s="1"/>
  <c r="FM101" i="39"/>
  <c r="FP101" i="39" s="1"/>
  <c r="AP101" i="39"/>
  <c r="AQ101" i="39" s="1"/>
  <c r="FM96" i="39"/>
  <c r="FP96" i="39" s="1"/>
  <c r="AP96" i="39"/>
  <c r="AQ96" i="39" s="1"/>
  <c r="FM59" i="39"/>
  <c r="FP59" i="39" s="1"/>
  <c r="AP59" i="39"/>
  <c r="AQ59" i="39" s="1"/>
  <c r="FO226" i="39"/>
  <c r="FO227" i="39" s="1"/>
  <c r="FM74" i="39"/>
  <c r="FP74" i="39" s="1"/>
  <c r="AP74" i="39"/>
  <c r="AQ74" i="39" s="1"/>
  <c r="FM83" i="39"/>
  <c r="FP83" i="39" s="1"/>
  <c r="AP83" i="39"/>
  <c r="AQ83" i="39" s="1"/>
  <c r="FM19" i="39"/>
  <c r="FP19" i="39" s="1"/>
  <c r="AP19" i="39"/>
  <c r="AQ19" i="39" s="1"/>
  <c r="FM176" i="39"/>
  <c r="FP176" i="39" s="1"/>
  <c r="AP176" i="39"/>
  <c r="FM144" i="39"/>
  <c r="FP144" i="39" s="1"/>
  <c r="AP144" i="39"/>
  <c r="AQ144" i="39" s="1"/>
  <c r="FM118" i="39"/>
  <c r="FP118" i="39" s="1"/>
  <c r="AP118" i="39"/>
  <c r="FM202" i="39"/>
  <c r="FP202" i="39" s="1"/>
  <c r="AP202" i="39"/>
  <c r="FM211" i="39"/>
  <c r="FP211" i="39" s="1"/>
  <c r="AP211" i="39"/>
  <c r="FM84" i="39"/>
  <c r="FP84" i="39" s="1"/>
  <c r="AP84" i="39"/>
  <c r="AQ84" i="39" s="1"/>
  <c r="FM174" i="39"/>
  <c r="FP174" i="39" s="1"/>
  <c r="AP174" i="39"/>
  <c r="FM77" i="39"/>
  <c r="FP77" i="39" s="1"/>
  <c r="AP77" i="39"/>
  <c r="AQ77" i="39" s="1"/>
  <c r="FM158" i="39"/>
  <c r="FP158" i="39" s="1"/>
  <c r="AP158" i="39"/>
  <c r="AQ158" i="39" s="1"/>
  <c r="FM54" i="39"/>
  <c r="FP54" i="39" s="1"/>
  <c r="AP54" i="39"/>
  <c r="AQ54" i="39" s="1"/>
  <c r="FM160" i="39"/>
  <c r="FP160" i="39" s="1"/>
  <c r="AP160" i="39"/>
  <c r="AQ160" i="39" s="1"/>
  <c r="FM30" i="39"/>
  <c r="FP30" i="39" s="1"/>
  <c r="AP30" i="39"/>
  <c r="AQ30" i="39" s="1"/>
  <c r="FM189" i="39"/>
  <c r="FP189" i="39" s="1"/>
  <c r="AP189" i="39"/>
  <c r="FM192" i="39"/>
  <c r="FP192" i="39" s="1"/>
  <c r="AP192" i="39"/>
  <c r="AQ192" i="39" s="1"/>
  <c r="FM186" i="39"/>
  <c r="FP186" i="39" s="1"/>
  <c r="AP186" i="39"/>
  <c r="FM103" i="39"/>
  <c r="FP103" i="39" s="1"/>
  <c r="AP103" i="39"/>
  <c r="AQ103" i="39" s="1"/>
  <c r="FM79" i="39"/>
  <c r="FP79" i="39" s="1"/>
  <c r="AP79" i="39"/>
  <c r="AQ79" i="39" s="1"/>
  <c r="FM166" i="39"/>
  <c r="FP166" i="39" s="1"/>
  <c r="AP166" i="39"/>
  <c r="FM155" i="39"/>
  <c r="FP155" i="39" s="1"/>
  <c r="AP155" i="39"/>
  <c r="AQ155" i="39" s="1"/>
  <c r="FM208" i="39"/>
  <c r="FP208" i="39" s="1"/>
  <c r="FL14" i="39"/>
  <c r="C25" i="41"/>
  <c r="H14" i="41"/>
  <c r="BZ23" i="41"/>
  <c r="A25" i="41"/>
  <c r="A26" i="41" s="1"/>
  <c r="FW2" i="39"/>
  <c r="FJ222" i="39"/>
  <c r="FK14" i="39"/>
  <c r="FM67" i="39"/>
  <c r="FM13" i="39"/>
  <c r="FP13" i="39" s="1"/>
  <c r="FL13" i="39"/>
  <c r="K21" i="23"/>
  <c r="M21" i="23"/>
  <c r="M37" i="32"/>
  <c r="K37" i="32"/>
  <c r="W23" i="5"/>
  <c r="AZ64" i="39" l="1"/>
  <c r="BB64" i="39" s="1"/>
  <c r="AZ203" i="39"/>
  <c r="BB203" i="39" s="1"/>
  <c r="AZ116" i="39"/>
  <c r="BB116" i="39" s="1"/>
  <c r="AZ199" i="39"/>
  <c r="BB199" i="39" s="1"/>
  <c r="AZ36" i="39"/>
  <c r="BB36" i="39" s="1"/>
  <c r="AZ181" i="39"/>
  <c r="BB181" i="39" s="1"/>
  <c r="AZ126" i="39"/>
  <c r="BB126" i="39" s="1"/>
  <c r="AZ17" i="39"/>
  <c r="BB17" i="39" s="1"/>
  <c r="DQ17" i="39"/>
  <c r="AU36" i="39"/>
  <c r="AU93" i="39"/>
  <c r="AW115" i="39"/>
  <c r="AU115" i="39"/>
  <c r="AW93" i="39"/>
  <c r="AW172" i="39"/>
  <c r="AU37" i="39"/>
  <c r="AW32" i="39"/>
  <c r="AW37" i="39"/>
  <c r="AV112" i="39"/>
  <c r="AW112" i="39" s="1"/>
  <c r="AY112" i="39" s="1"/>
  <c r="AV141" i="39"/>
  <c r="DD141" i="39" s="1"/>
  <c r="AT116" i="39"/>
  <c r="DD116" i="39" s="1"/>
  <c r="AV28" i="39"/>
  <c r="DD28" i="39" s="1"/>
  <c r="AV33" i="39"/>
  <c r="AU33" i="39" s="1"/>
  <c r="AV135" i="39"/>
  <c r="AW135" i="39" s="1"/>
  <c r="AY135" i="39" s="1"/>
  <c r="AV65" i="39"/>
  <c r="AU65" i="39" s="1"/>
  <c r="AV89" i="39"/>
  <c r="AU89" i="39" s="1"/>
  <c r="AV107" i="39"/>
  <c r="AU107" i="39" s="1"/>
  <c r="AV146" i="39"/>
  <c r="DD146" i="39" s="1"/>
  <c r="AV124" i="39"/>
  <c r="AW124" i="39" s="1"/>
  <c r="AY124" i="39" s="1"/>
  <c r="AV43" i="39"/>
  <c r="DD43" i="39" s="1"/>
  <c r="AV24" i="39"/>
  <c r="AU24" i="39" s="1"/>
  <c r="AV70" i="39"/>
  <c r="AU70" i="39" s="1"/>
  <c r="AV35" i="39"/>
  <c r="DD35" i="39" s="1"/>
  <c r="DD32" i="39"/>
  <c r="DD108" i="39"/>
  <c r="AV97" i="39"/>
  <c r="AU97" i="39" s="1"/>
  <c r="AV41" i="39"/>
  <c r="DD41" i="39" s="1"/>
  <c r="AV69" i="39"/>
  <c r="AW69" i="39" s="1"/>
  <c r="AY69" i="39" s="1"/>
  <c r="AV68" i="39"/>
  <c r="AU68" i="39" s="1"/>
  <c r="AT126" i="39"/>
  <c r="DD126" i="39" s="1"/>
  <c r="AV86" i="39"/>
  <c r="DD86" i="39" s="1"/>
  <c r="AV159" i="39"/>
  <c r="AU159" i="39" s="1"/>
  <c r="AV71" i="39"/>
  <c r="DD71" i="39" s="1"/>
  <c r="AV46" i="39"/>
  <c r="DD46" i="39" s="1"/>
  <c r="AV171" i="39"/>
  <c r="AU171" i="39" s="1"/>
  <c r="AV52" i="39"/>
  <c r="DD52" i="39" s="1"/>
  <c r="AV153" i="39"/>
  <c r="DD153" i="39" s="1"/>
  <c r="AV55" i="39"/>
  <c r="DD55" i="39" s="1"/>
  <c r="AV57" i="39"/>
  <c r="AV156" i="39"/>
  <c r="DD156" i="39" s="1"/>
  <c r="AW108" i="39"/>
  <c r="AU172" i="39"/>
  <c r="AU64" i="39"/>
  <c r="AV61" i="39"/>
  <c r="AU61" i="39" s="1"/>
  <c r="AV110" i="39"/>
  <c r="DD110" i="39" s="1"/>
  <c r="AV140" i="39"/>
  <c r="DD140" i="39" s="1"/>
  <c r="AV122" i="39"/>
  <c r="AW122" i="39" s="1"/>
  <c r="AY122" i="39" s="1"/>
  <c r="AV22" i="39"/>
  <c r="AU22" i="39" s="1"/>
  <c r="AV47" i="39"/>
  <c r="DD47" i="39" s="1"/>
  <c r="AV63" i="39"/>
  <c r="AU63" i="39" s="1"/>
  <c r="AV147" i="39"/>
  <c r="DD147" i="39" s="1"/>
  <c r="AV87" i="39"/>
  <c r="DD87" i="39" s="1"/>
  <c r="AV25" i="39"/>
  <c r="DD25" i="39" s="1"/>
  <c r="AV20" i="39"/>
  <c r="AW20" i="39" s="1"/>
  <c r="AY20" i="39" s="1"/>
  <c r="AV80" i="39"/>
  <c r="DD80" i="39" s="1"/>
  <c r="AV154" i="39"/>
  <c r="AW154" i="39" s="1"/>
  <c r="AY154" i="39" s="1"/>
  <c r="AV143" i="39"/>
  <c r="DD143" i="39" s="1"/>
  <c r="AV21" i="39"/>
  <c r="DD21" i="39" s="1"/>
  <c r="AV105" i="39"/>
  <c r="AU105" i="39" s="1"/>
  <c r="AT199" i="39"/>
  <c r="DD199" i="39" s="1"/>
  <c r="DD64" i="39"/>
  <c r="AV114" i="39"/>
  <c r="DD114" i="39" s="1"/>
  <c r="AV117" i="39"/>
  <c r="AW117" i="39" s="1"/>
  <c r="AY117" i="39" s="1"/>
  <c r="AV29" i="39"/>
  <c r="AU29" i="39" s="1"/>
  <c r="AV53" i="39"/>
  <c r="AW53" i="39" s="1"/>
  <c r="AY53" i="39" s="1"/>
  <c r="AV48" i="39"/>
  <c r="AU48" i="39" s="1"/>
  <c r="AV133" i="39"/>
  <c r="DD133" i="39" s="1"/>
  <c r="AV106" i="39"/>
  <c r="DD106" i="39" s="1"/>
  <c r="AV81" i="39"/>
  <c r="DD81" i="39" s="1"/>
  <c r="AT203" i="39"/>
  <c r="DD203" i="39" s="1"/>
  <c r="AV78" i="39"/>
  <c r="AW78" i="39" s="1"/>
  <c r="AY78" i="39" s="1"/>
  <c r="AV136" i="39"/>
  <c r="AW136" i="39" s="1"/>
  <c r="AY136" i="39" s="1"/>
  <c r="AV121" i="39"/>
  <c r="DD121" i="39" s="1"/>
  <c r="AV88" i="39"/>
  <c r="AW88" i="39" s="1"/>
  <c r="AY88" i="39" s="1"/>
  <c r="AV51" i="39"/>
  <c r="AW51" i="39" s="1"/>
  <c r="AV66" i="39"/>
  <c r="DD66" i="39" s="1"/>
  <c r="AV44" i="39"/>
  <c r="DD44" i="39" s="1"/>
  <c r="AV38" i="39"/>
  <c r="AW38" i="39" s="1"/>
  <c r="AY38" i="39" s="1"/>
  <c r="AV123" i="39"/>
  <c r="AU123" i="39" s="1"/>
  <c r="AV58" i="39"/>
  <c r="DD58" i="39" s="1"/>
  <c r="AT181" i="39"/>
  <c r="DD181" i="39" s="1"/>
  <c r="AV161" i="39"/>
  <c r="DD161" i="39" s="1"/>
  <c r="AV45" i="39"/>
  <c r="DD45" i="39" s="1"/>
  <c r="AV139" i="39"/>
  <c r="AU139" i="39" s="1"/>
  <c r="DD36" i="39"/>
  <c r="AV62" i="39"/>
  <c r="DD62" i="39" s="1"/>
  <c r="AV73" i="39"/>
  <c r="AU73" i="39" s="1"/>
  <c r="AV102" i="39"/>
  <c r="AU102" i="39" s="1"/>
  <c r="AV50" i="39"/>
  <c r="DD50" i="39" s="1"/>
  <c r="AV34" i="39"/>
  <c r="AW34" i="39" s="1"/>
  <c r="AY34" i="39" s="1"/>
  <c r="AV132" i="39"/>
  <c r="AW132" i="39" s="1"/>
  <c r="AY132" i="39" s="1"/>
  <c r="AV27" i="39"/>
  <c r="AU27" i="39" s="1"/>
  <c r="AV210" i="39"/>
  <c r="AW210" i="39" s="1"/>
  <c r="AY210" i="39" s="1"/>
  <c r="AV142" i="39"/>
  <c r="AW142" i="39" s="1"/>
  <c r="AY142" i="39" s="1"/>
  <c r="AV99" i="39"/>
  <c r="AW99" i="39" s="1"/>
  <c r="AY99" i="39" s="1"/>
  <c r="AV42" i="39"/>
  <c r="AU42" i="39" s="1"/>
  <c r="AV23" i="39"/>
  <c r="AW23" i="39" s="1"/>
  <c r="AY23" i="39" s="1"/>
  <c r="AV60" i="39"/>
  <c r="AU60" i="39" s="1"/>
  <c r="AV85" i="39"/>
  <c r="DD85" i="39" s="1"/>
  <c r="AV157" i="39"/>
  <c r="DD157" i="39" s="1"/>
  <c r="AV40" i="39"/>
  <c r="DD40" i="39" s="1"/>
  <c r="AV94" i="39"/>
  <c r="AU94" i="39" s="1"/>
  <c r="AV39" i="39"/>
  <c r="AU39" i="39" s="1"/>
  <c r="AV92" i="39"/>
  <c r="AW92" i="39" s="1"/>
  <c r="AY92" i="39" s="1"/>
  <c r="AV100" i="39"/>
  <c r="AW100" i="39" s="1"/>
  <c r="AY100" i="39" s="1"/>
  <c r="AV75" i="39"/>
  <c r="AW75" i="39" s="1"/>
  <c r="AY75" i="39" s="1"/>
  <c r="AV91" i="39"/>
  <c r="DD91" i="39" s="1"/>
  <c r="AV72" i="39"/>
  <c r="DD72" i="39" s="1"/>
  <c r="AV125" i="39"/>
  <c r="AW125" i="39" s="1"/>
  <c r="AY125" i="39" s="1"/>
  <c r="AV98" i="39"/>
  <c r="DD98" i="39" s="1"/>
  <c r="AV119" i="39"/>
  <c r="AU119" i="39" s="1"/>
  <c r="AV129" i="39"/>
  <c r="AW129" i="39" s="1"/>
  <c r="AY129" i="39" s="1"/>
  <c r="AV134" i="39"/>
  <c r="DD134" i="39" s="1"/>
  <c r="AW13" i="39"/>
  <c r="AU13" i="39"/>
  <c r="AR54" i="39"/>
  <c r="AS54" i="39" s="1"/>
  <c r="AR84" i="39"/>
  <c r="AS84" i="39" s="1"/>
  <c r="AR144" i="39"/>
  <c r="AS144" i="39" s="1"/>
  <c r="AR19" i="39"/>
  <c r="AS19" i="39" s="1"/>
  <c r="AR90" i="39"/>
  <c r="AS90" i="39" s="1"/>
  <c r="AR56" i="39"/>
  <c r="AS56" i="39" s="1"/>
  <c r="AR137" i="39"/>
  <c r="AS137" i="39" s="1"/>
  <c r="AR59" i="39"/>
  <c r="AS59" i="39" s="1"/>
  <c r="AR96" i="39"/>
  <c r="AS96" i="39" s="1"/>
  <c r="AR158" i="39"/>
  <c r="AS158" i="39" s="1"/>
  <c r="AR83" i="39"/>
  <c r="AS83" i="39" s="1"/>
  <c r="AR74" i="39"/>
  <c r="AS74" i="39" s="1"/>
  <c r="AR82" i="39"/>
  <c r="AS82" i="39" s="1"/>
  <c r="AR31" i="39"/>
  <c r="AS31" i="39" s="1"/>
  <c r="AR162" i="39"/>
  <c r="AS162" i="39" s="1"/>
  <c r="AR155" i="39"/>
  <c r="AS155" i="39" s="1"/>
  <c r="AR101" i="39"/>
  <c r="AS101" i="39" s="1"/>
  <c r="AR30" i="39"/>
  <c r="AS30" i="39" s="1"/>
  <c r="AR77" i="39"/>
  <c r="AS77" i="39" s="1"/>
  <c r="AR49" i="39"/>
  <c r="AS49" i="39" s="1"/>
  <c r="AR127" i="39"/>
  <c r="AS127" i="39" s="1"/>
  <c r="AR138" i="39"/>
  <c r="AS138" i="39" s="1"/>
  <c r="AR188" i="39"/>
  <c r="AS188" i="39" s="1"/>
  <c r="AY188" i="39" s="1"/>
  <c r="AR79" i="39"/>
  <c r="AS79" i="39" s="1"/>
  <c r="AR192" i="39"/>
  <c r="AS192" i="39" s="1"/>
  <c r="AR104" i="39"/>
  <c r="AS104" i="39" s="1"/>
  <c r="AR103" i="39"/>
  <c r="AS103" i="39" s="1"/>
  <c r="AR160" i="39"/>
  <c r="AS160" i="39" s="1"/>
  <c r="AR128" i="39"/>
  <c r="AS128" i="39" s="1"/>
  <c r="AR26" i="39"/>
  <c r="AS26" i="39" s="1"/>
  <c r="AX36" i="39"/>
  <c r="FM14" i="39"/>
  <c r="FP14" i="39" s="1"/>
  <c r="AP14" i="39"/>
  <c r="AX64" i="39"/>
  <c r="FF17" i="39"/>
  <c r="FC17" i="39"/>
  <c r="FK217" i="39"/>
  <c r="D26" i="41"/>
  <c r="A27" i="41"/>
  <c r="D25" i="41"/>
  <c r="F25" i="41" s="1"/>
  <c r="H25" i="41"/>
  <c r="BY25" i="41"/>
  <c r="BX25" i="41" s="1"/>
  <c r="BZ25" i="41" s="1"/>
  <c r="BY26" i="41" s="1"/>
  <c r="BX26" i="41" s="1"/>
  <c r="BZ26" i="41" s="1"/>
  <c r="BY27" i="41" s="1"/>
  <c r="BX27" i="41" s="1"/>
  <c r="BZ27" i="41" s="1"/>
  <c r="BY28" i="41" s="1"/>
  <c r="BX28" i="41" s="1"/>
  <c r="BZ28" i="41" s="1"/>
  <c r="BY29" i="41" s="1"/>
  <c r="BX29" i="41" s="1"/>
  <c r="BZ29" i="41" s="1"/>
  <c r="BY30" i="41" s="1"/>
  <c r="BX30" i="41" s="1"/>
  <c r="BZ30" i="41" s="1"/>
  <c r="BY31" i="41" s="1"/>
  <c r="BX31" i="41" s="1"/>
  <c r="BZ31" i="41" s="1"/>
  <c r="BY32" i="41" s="1"/>
  <c r="BX32" i="41" s="1"/>
  <c r="BZ32" i="41" s="1"/>
  <c r="BY33" i="41" s="1"/>
  <c r="BX33" i="41" s="1"/>
  <c r="BZ33" i="41" s="1"/>
  <c r="BY34" i="41" s="1"/>
  <c r="BX34" i="41" s="1"/>
  <c r="BZ34" i="41" s="1"/>
  <c r="BY35" i="41" s="1"/>
  <c r="BX35" i="41" s="1"/>
  <c r="BZ35" i="41" s="1"/>
  <c r="BY36" i="41" s="1"/>
  <c r="BX36" i="41" s="1"/>
  <c r="BZ36" i="41" s="1"/>
  <c r="BY37" i="41" s="1"/>
  <c r="BX37" i="41" s="1"/>
  <c r="BZ37" i="41" s="1"/>
  <c r="BY38" i="41" s="1"/>
  <c r="BX38" i="41" s="1"/>
  <c r="BZ38" i="41" s="1"/>
  <c r="BY39" i="41" s="1"/>
  <c r="BX39" i="41" s="1"/>
  <c r="BZ39" i="41" s="1"/>
  <c r="BY40" i="41" s="1"/>
  <c r="BX40" i="41" s="1"/>
  <c r="BZ40" i="41" s="1"/>
  <c r="BY41" i="41" s="1"/>
  <c r="BX41" i="41" s="1"/>
  <c r="BZ41" i="41" s="1"/>
  <c r="BY42" i="41" s="1"/>
  <c r="BX42" i="41" s="1"/>
  <c r="BZ42" i="41" s="1"/>
  <c r="BY43" i="41" s="1"/>
  <c r="BX43" i="41" s="1"/>
  <c r="BZ43" i="41" s="1"/>
  <c r="BY44" i="41" s="1"/>
  <c r="BX44" i="41" s="1"/>
  <c r="BZ44" i="41" s="1"/>
  <c r="BY45" i="41" s="1"/>
  <c r="BX45" i="41" s="1"/>
  <c r="BZ45" i="41" s="1"/>
  <c r="BY46" i="41" s="1"/>
  <c r="BX46" i="41" s="1"/>
  <c r="BZ46" i="41" s="1"/>
  <c r="BY47" i="41" s="1"/>
  <c r="BX47" i="41" s="1"/>
  <c r="BZ47" i="41" s="1"/>
  <c r="BY48" i="41" s="1"/>
  <c r="BX48" i="41" s="1"/>
  <c r="BZ48" i="41" s="1"/>
  <c r="BY49" i="41" s="1"/>
  <c r="BX49" i="41" s="1"/>
  <c r="BZ49" i="41" s="1"/>
  <c r="BY50" i="41" s="1"/>
  <c r="BX50" i="41" s="1"/>
  <c r="BZ50" i="41" s="1"/>
  <c r="BY51" i="41" s="1"/>
  <c r="BX51" i="41" s="1"/>
  <c r="BZ51" i="41" s="1"/>
  <c r="BY52" i="41" s="1"/>
  <c r="BX52" i="41" s="1"/>
  <c r="BZ52" i="41" s="1"/>
  <c r="BY53" i="41" s="1"/>
  <c r="BX53" i="41" s="1"/>
  <c r="BZ53" i="41" s="1"/>
  <c r="BY54" i="41" s="1"/>
  <c r="BX54" i="41" s="1"/>
  <c r="BZ54" i="41" s="1"/>
  <c r="BY55" i="41" s="1"/>
  <c r="BX55" i="41" s="1"/>
  <c r="BZ55" i="41" s="1"/>
  <c r="BY56" i="41" s="1"/>
  <c r="BX56" i="41" s="1"/>
  <c r="BZ56" i="41" s="1"/>
  <c r="BY57" i="41" s="1"/>
  <c r="BX57" i="41" s="1"/>
  <c r="BZ57" i="41" s="1"/>
  <c r="BY58" i="41" s="1"/>
  <c r="BX58" i="41" s="1"/>
  <c r="BZ58" i="41" s="1"/>
  <c r="BY59" i="41" s="1"/>
  <c r="BX59" i="41" s="1"/>
  <c r="BZ59" i="41" s="1"/>
  <c r="BY60" i="41" s="1"/>
  <c r="BX60" i="41" s="1"/>
  <c r="BZ60" i="41" s="1"/>
  <c r="BY61" i="41" s="1"/>
  <c r="BX61" i="41" s="1"/>
  <c r="BZ61" i="41" s="1"/>
  <c r="BY62" i="41" s="1"/>
  <c r="BX62" i="41" s="1"/>
  <c r="BZ62" i="41" s="1"/>
  <c r="BY63" i="41" s="1"/>
  <c r="BX63" i="41" s="1"/>
  <c r="BZ63" i="41" s="1"/>
  <c r="BY64" i="41" s="1"/>
  <c r="BX64" i="41" s="1"/>
  <c r="BZ64" i="41" s="1"/>
  <c r="BY65" i="41" s="1"/>
  <c r="BX65" i="41" s="1"/>
  <c r="BZ65" i="41" s="1"/>
  <c r="BY66" i="41" s="1"/>
  <c r="BX66" i="41" s="1"/>
  <c r="BZ66" i="41" s="1"/>
  <c r="BY67" i="41" s="1"/>
  <c r="BX67" i="41" s="1"/>
  <c r="BZ67" i="41" s="1"/>
  <c r="BY68" i="41" s="1"/>
  <c r="BX68" i="41" s="1"/>
  <c r="BZ68" i="41" s="1"/>
  <c r="BY69" i="41" s="1"/>
  <c r="BX69" i="41" s="1"/>
  <c r="BZ69" i="41" s="1"/>
  <c r="BY70" i="41" s="1"/>
  <c r="BX70" i="41" s="1"/>
  <c r="BZ70" i="41" s="1"/>
  <c r="BY71" i="41" s="1"/>
  <c r="BX71" i="41" s="1"/>
  <c r="BZ71" i="41" s="1"/>
  <c r="BY72" i="41" s="1"/>
  <c r="BX72" i="41" s="1"/>
  <c r="BZ72" i="41" s="1"/>
  <c r="BY73" i="41" s="1"/>
  <c r="BX73" i="41" s="1"/>
  <c r="BZ73" i="41" s="1"/>
  <c r="BY74" i="41" s="1"/>
  <c r="BX74" i="41" s="1"/>
  <c r="BZ74" i="41" s="1"/>
  <c r="BY75" i="41" s="1"/>
  <c r="BX75" i="41" s="1"/>
  <c r="BZ75" i="41" s="1"/>
  <c r="BY76" i="41" s="1"/>
  <c r="BX76" i="41" s="1"/>
  <c r="BZ76" i="41" s="1"/>
  <c r="BY77" i="41" s="1"/>
  <c r="BX77" i="41" s="1"/>
  <c r="BZ77" i="41" s="1"/>
  <c r="BY78" i="41" s="1"/>
  <c r="BX78" i="41" s="1"/>
  <c r="BZ78" i="41" s="1"/>
  <c r="BY79" i="41" s="1"/>
  <c r="BX79" i="41" s="1"/>
  <c r="BZ79" i="41" s="1"/>
  <c r="BY80" i="41" s="1"/>
  <c r="BX80" i="41" s="1"/>
  <c r="BZ80" i="41" s="1"/>
  <c r="BY81" i="41" s="1"/>
  <c r="BX81" i="41" s="1"/>
  <c r="BZ81" i="41" s="1"/>
  <c r="BY82" i="41" s="1"/>
  <c r="BX82" i="41" s="1"/>
  <c r="BZ82" i="41" s="1"/>
  <c r="BY83" i="41" s="1"/>
  <c r="BX83" i="41" s="1"/>
  <c r="BZ83" i="41" s="1"/>
  <c r="BY84" i="41" s="1"/>
  <c r="BX84" i="41" s="1"/>
  <c r="BZ84" i="41" s="1"/>
  <c r="CA23" i="41"/>
  <c r="FK222" i="39"/>
  <c r="AP5" i="39" s="1"/>
  <c r="FP67" i="39"/>
  <c r="K22" i="23"/>
  <c r="M22" i="23"/>
  <c r="W24" i="5"/>
  <c r="BD203" i="39" l="1"/>
  <c r="BF203" i="39" s="1"/>
  <c r="BH203" i="39" s="1"/>
  <c r="BJ203" i="39" s="1"/>
  <c r="BL203" i="39" s="1"/>
  <c r="BN203" i="39" s="1"/>
  <c r="BP203" i="39" s="1"/>
  <c r="BR203" i="39" s="1"/>
  <c r="BT203" i="39" s="1"/>
  <c r="BV203" i="39" s="1"/>
  <c r="BY203" i="39" s="1"/>
  <c r="BD17" i="39"/>
  <c r="BF17" i="39" s="1"/>
  <c r="BH17" i="39" s="1"/>
  <c r="BD126" i="39"/>
  <c r="BF126" i="39" s="1"/>
  <c r="BH126" i="39" s="1"/>
  <c r="BJ126" i="39" s="1"/>
  <c r="BL126" i="39" s="1"/>
  <c r="BN126" i="39" s="1"/>
  <c r="BP126" i="39" s="1"/>
  <c r="BR126" i="39" s="1"/>
  <c r="BT126" i="39" s="1"/>
  <c r="BV126" i="39" s="1"/>
  <c r="BY126" i="39" s="1"/>
  <c r="BD181" i="39"/>
  <c r="BD36" i="39"/>
  <c r="BF36" i="39" s="1"/>
  <c r="BH36" i="39" s="1"/>
  <c r="BD199" i="39"/>
  <c r="BD116" i="39"/>
  <c r="BF116" i="39" s="1"/>
  <c r="BH116" i="39" s="1"/>
  <c r="BD64" i="39"/>
  <c r="AZ129" i="39"/>
  <c r="BB129" i="39" s="1"/>
  <c r="AZ92" i="39"/>
  <c r="BB92" i="39" s="1"/>
  <c r="AZ23" i="39"/>
  <c r="BB23" i="39" s="1"/>
  <c r="AZ136" i="39"/>
  <c r="BB136" i="39" s="1"/>
  <c r="AZ53" i="39"/>
  <c r="BB53" i="39" s="1"/>
  <c r="AZ112" i="39"/>
  <c r="BB112" i="39" s="1"/>
  <c r="AZ188" i="39"/>
  <c r="BB188" i="39" s="1"/>
  <c r="AZ69" i="39"/>
  <c r="BB69" i="39" s="1"/>
  <c r="AZ124" i="39"/>
  <c r="BB124" i="39" s="1"/>
  <c r="AZ99" i="39"/>
  <c r="BB99" i="39" s="1"/>
  <c r="AZ78" i="39"/>
  <c r="BB78" i="39" s="1"/>
  <c r="AZ154" i="39"/>
  <c r="BB154" i="39" s="1"/>
  <c r="AZ75" i="39"/>
  <c r="BB75" i="39" s="1"/>
  <c r="AZ125" i="39"/>
  <c r="BB125" i="39" s="1"/>
  <c r="AZ142" i="39"/>
  <c r="BB142" i="39" s="1"/>
  <c r="AZ38" i="39"/>
  <c r="BB38" i="39" s="1"/>
  <c r="AZ117" i="39"/>
  <c r="BB117" i="39" s="1"/>
  <c r="AZ122" i="39"/>
  <c r="BB122" i="39" s="1"/>
  <c r="AZ210" i="39"/>
  <c r="BB210" i="39" s="1"/>
  <c r="AZ20" i="39"/>
  <c r="BB20" i="39" s="1"/>
  <c r="AZ135" i="39"/>
  <c r="BB135" i="39" s="1"/>
  <c r="AZ132" i="39"/>
  <c r="BB132" i="39" s="1"/>
  <c r="AZ100" i="39"/>
  <c r="BB100" i="39" s="1"/>
  <c r="AZ34" i="39"/>
  <c r="BB34" i="39" s="1"/>
  <c r="AZ88" i="39"/>
  <c r="BB88" i="39" s="1"/>
  <c r="AY37" i="39"/>
  <c r="AY32" i="39"/>
  <c r="AX108" i="39"/>
  <c r="DQ108" i="39" s="1"/>
  <c r="AY108" i="39"/>
  <c r="AY172" i="39"/>
  <c r="AX93" i="39"/>
  <c r="DQ93" i="39" s="1"/>
  <c r="AY93" i="39"/>
  <c r="AY51" i="39"/>
  <c r="AY13" i="39"/>
  <c r="AX115" i="39"/>
  <c r="DQ115" i="39" s="1"/>
  <c r="AY115" i="39"/>
  <c r="AU57" i="39"/>
  <c r="DD57" i="39"/>
  <c r="DD24" i="39"/>
  <c r="DD123" i="39"/>
  <c r="AU28" i="39"/>
  <c r="AW68" i="39"/>
  <c r="AY68" i="39" s="1"/>
  <c r="AU52" i="39"/>
  <c r="AW21" i="39"/>
  <c r="AW62" i="39"/>
  <c r="AW123" i="39"/>
  <c r="AX123" i="39" s="1"/>
  <c r="DD63" i="39"/>
  <c r="DD125" i="39"/>
  <c r="AU40" i="39"/>
  <c r="DD142" i="39"/>
  <c r="AU62" i="39"/>
  <c r="AX32" i="39"/>
  <c r="DP32" i="39" s="1"/>
  <c r="DO32" i="39" s="1"/>
  <c r="AU142" i="39"/>
  <c r="AW40" i="39"/>
  <c r="AY40" i="39" s="1"/>
  <c r="AX37" i="39"/>
  <c r="DQ37" i="39" s="1"/>
  <c r="AW52" i="39"/>
  <c r="AW24" i="39"/>
  <c r="AU53" i="39"/>
  <c r="AU135" i="39"/>
  <c r="AW63" i="39"/>
  <c r="DD68" i="39"/>
  <c r="AW33" i="39"/>
  <c r="AX33" i="39" s="1"/>
  <c r="DD53" i="39"/>
  <c r="DD33" i="39"/>
  <c r="AU98" i="39"/>
  <c r="AU21" i="39"/>
  <c r="AW58" i="39"/>
  <c r="AX172" i="39"/>
  <c r="DQ172" i="39" s="1"/>
  <c r="DD124" i="39"/>
  <c r="AW105" i="39"/>
  <c r="AX105" i="39" s="1"/>
  <c r="DP105" i="39" s="1"/>
  <c r="DO105" i="39" s="1"/>
  <c r="AW41" i="39"/>
  <c r="AU124" i="39"/>
  <c r="AU129" i="39"/>
  <c r="AU147" i="39"/>
  <c r="DD73" i="39"/>
  <c r="AW48" i="39"/>
  <c r="AW43" i="39"/>
  <c r="AW70" i="39"/>
  <c r="AX70" i="39" s="1"/>
  <c r="AU99" i="39"/>
  <c r="DD94" i="39"/>
  <c r="AW147" i="39"/>
  <c r="DD99" i="39"/>
  <c r="AW73" i="39"/>
  <c r="DD48" i="39"/>
  <c r="DD70" i="39"/>
  <c r="AW29" i="39"/>
  <c r="AU58" i="39"/>
  <c r="DD69" i="39"/>
  <c r="AW94" i="39"/>
  <c r="DD105" i="39"/>
  <c r="AW98" i="39"/>
  <c r="DD135" i="39"/>
  <c r="DD119" i="39"/>
  <c r="AW139" i="39"/>
  <c r="AY139" i="39" s="1"/>
  <c r="AU44" i="39"/>
  <c r="DD171" i="39"/>
  <c r="AW157" i="39"/>
  <c r="AW47" i="39"/>
  <c r="AU47" i="39"/>
  <c r="AW143" i="39"/>
  <c r="AU78" i="39"/>
  <c r="AU157" i="39"/>
  <c r="DD78" i="39"/>
  <c r="DD38" i="39"/>
  <c r="DD129" i="39"/>
  <c r="AU23" i="39"/>
  <c r="DD89" i="39"/>
  <c r="AW89" i="39"/>
  <c r="AW44" i="39"/>
  <c r="AW156" i="39"/>
  <c r="AU156" i="39"/>
  <c r="AU117" i="39"/>
  <c r="AW86" i="39"/>
  <c r="AU106" i="39"/>
  <c r="AU153" i="39"/>
  <c r="AW153" i="39"/>
  <c r="AU140" i="39"/>
  <c r="AU88" i="39"/>
  <c r="DD34" i="39"/>
  <c r="AW50" i="39"/>
  <c r="DD39" i="39"/>
  <c r="DD65" i="39"/>
  <c r="AW87" i="39"/>
  <c r="AU35" i="39"/>
  <c r="AW80" i="39"/>
  <c r="AW35" i="39"/>
  <c r="AW71" i="39"/>
  <c r="AU80" i="39"/>
  <c r="AW97" i="39"/>
  <c r="AW39" i="39"/>
  <c r="AW121" i="39"/>
  <c r="DD97" i="39"/>
  <c r="AU122" i="39"/>
  <c r="AW57" i="39"/>
  <c r="AY57" i="39" s="1"/>
  <c r="DD122" i="39"/>
  <c r="AW146" i="39"/>
  <c r="AW119" i="39"/>
  <c r="AU146" i="39"/>
  <c r="AW45" i="39"/>
  <c r="AW133" i="39"/>
  <c r="AU34" i="39"/>
  <c r="AW140" i="39"/>
  <c r="AU50" i="39"/>
  <c r="DD23" i="39"/>
  <c r="AW106" i="39"/>
  <c r="AW55" i="39"/>
  <c r="AU110" i="39"/>
  <c r="DD51" i="39"/>
  <c r="AW25" i="39"/>
  <c r="AW60" i="39"/>
  <c r="AU81" i="39"/>
  <c r="AU86" i="39"/>
  <c r="DD88" i="39"/>
  <c r="AW110" i="39"/>
  <c r="AU51" i="39"/>
  <c r="DD107" i="39"/>
  <c r="AU20" i="39"/>
  <c r="AU25" i="39"/>
  <c r="DD60" i="39"/>
  <c r="AU112" i="39"/>
  <c r="AW141" i="39"/>
  <c r="AW107" i="39"/>
  <c r="DD132" i="39"/>
  <c r="DD112" i="39"/>
  <c r="AU92" i="39"/>
  <c r="DD100" i="39"/>
  <c r="AW159" i="39"/>
  <c r="AU132" i="39"/>
  <c r="AU55" i="39"/>
  <c r="AW161" i="39"/>
  <c r="DD92" i="39"/>
  <c r="AU75" i="39"/>
  <c r="AU143" i="39"/>
  <c r="AU38" i="39"/>
  <c r="AU133" i="39"/>
  <c r="DD210" i="39"/>
  <c r="AU46" i="39"/>
  <c r="DD75" i="39"/>
  <c r="AW114" i="39"/>
  <c r="AU71" i="39"/>
  <c r="AU45" i="39"/>
  <c r="AW28" i="39"/>
  <c r="AW72" i="39"/>
  <c r="AW65" i="39"/>
  <c r="AU41" i="39"/>
  <c r="DD20" i="39"/>
  <c r="AU69" i="39"/>
  <c r="AU210" i="39"/>
  <c r="AW46" i="39"/>
  <c r="AU114" i="39"/>
  <c r="AW42" i="39"/>
  <c r="AU121" i="39"/>
  <c r="AW171" i="39"/>
  <c r="AU72" i="39"/>
  <c r="AW91" i="39"/>
  <c r="AU43" i="39"/>
  <c r="DD29" i="39"/>
  <c r="AU100" i="39"/>
  <c r="DD159" i="39"/>
  <c r="AW81" i="39"/>
  <c r="AW66" i="39"/>
  <c r="AU161" i="39"/>
  <c r="AU141" i="39"/>
  <c r="DD117" i="39"/>
  <c r="AU91" i="39"/>
  <c r="AU66" i="39"/>
  <c r="AU154" i="39"/>
  <c r="DD139" i="39"/>
  <c r="DD42" i="39"/>
  <c r="AT188" i="39"/>
  <c r="DD188" i="39" s="1"/>
  <c r="AV162" i="39"/>
  <c r="AU162" i="39" s="1"/>
  <c r="AV137" i="39"/>
  <c r="AU137" i="39" s="1"/>
  <c r="AV79" i="39"/>
  <c r="AW79" i="39" s="1"/>
  <c r="AY79" i="39" s="1"/>
  <c r="AV59" i="39"/>
  <c r="AW59" i="39" s="1"/>
  <c r="AY59" i="39" s="1"/>
  <c r="AU87" i="39"/>
  <c r="AU136" i="39"/>
  <c r="DD136" i="39"/>
  <c r="AW61" i="39"/>
  <c r="AU85" i="39"/>
  <c r="AV26" i="39"/>
  <c r="DD26" i="39" s="1"/>
  <c r="AV138" i="39"/>
  <c r="AW138" i="39" s="1"/>
  <c r="AY138" i="39" s="1"/>
  <c r="AV31" i="39"/>
  <c r="AU31" i="39" s="1"/>
  <c r="AV56" i="39"/>
  <c r="AW56" i="39" s="1"/>
  <c r="DD61" i="39"/>
  <c r="AW85" i="39"/>
  <c r="AV128" i="39"/>
  <c r="DD128" i="39" s="1"/>
  <c r="AV127" i="39"/>
  <c r="AW127" i="39" s="1"/>
  <c r="AX127" i="39" s="1"/>
  <c r="AV82" i="39"/>
  <c r="AU82" i="39" s="1"/>
  <c r="AV90" i="39"/>
  <c r="AW90" i="39" s="1"/>
  <c r="AY90" i="39" s="1"/>
  <c r="AU125" i="39"/>
  <c r="DD27" i="39"/>
  <c r="AV160" i="39"/>
  <c r="AU160" i="39" s="1"/>
  <c r="AV49" i="39"/>
  <c r="AU49" i="39" s="1"/>
  <c r="AV74" i="39"/>
  <c r="AU74" i="39" s="1"/>
  <c r="AW27" i="39"/>
  <c r="DD22" i="39"/>
  <c r="AW102" i="39"/>
  <c r="AV103" i="39"/>
  <c r="AW103" i="39" s="1"/>
  <c r="AY103" i="39" s="1"/>
  <c r="AV77" i="39"/>
  <c r="AW77" i="39" s="1"/>
  <c r="AY77" i="39" s="1"/>
  <c r="AV83" i="39"/>
  <c r="DD83" i="39" s="1"/>
  <c r="AV144" i="39"/>
  <c r="AU144" i="39" s="1"/>
  <c r="AV155" i="39"/>
  <c r="DD155" i="39" s="1"/>
  <c r="AW22" i="39"/>
  <c r="DD102" i="39"/>
  <c r="DD154" i="39"/>
  <c r="AV104" i="39"/>
  <c r="DD104" i="39" s="1"/>
  <c r="AV30" i="39"/>
  <c r="AW30" i="39" s="1"/>
  <c r="AY30" i="39" s="1"/>
  <c r="AV158" i="39"/>
  <c r="AU158" i="39" s="1"/>
  <c r="AV84" i="39"/>
  <c r="AU84" i="39" s="1"/>
  <c r="AV192" i="39"/>
  <c r="AW192" i="39" s="1"/>
  <c r="AY192" i="39" s="1"/>
  <c r="AV101" i="39"/>
  <c r="AU101" i="39" s="1"/>
  <c r="AV96" i="39"/>
  <c r="AU96" i="39" s="1"/>
  <c r="AV54" i="39"/>
  <c r="AU54" i="39" s="1"/>
  <c r="M26" i="41"/>
  <c r="AU134" i="39"/>
  <c r="AW134" i="39"/>
  <c r="AY134" i="39" s="1"/>
  <c r="AX13" i="39"/>
  <c r="DQ13" i="39" s="1"/>
  <c r="AV19" i="39"/>
  <c r="AW19" i="39" s="1"/>
  <c r="AX99" i="39"/>
  <c r="DQ99" i="39" s="1"/>
  <c r="AX20" i="39"/>
  <c r="DP20" i="39" s="1"/>
  <c r="DO20" i="39" s="1"/>
  <c r="AX117" i="39"/>
  <c r="DQ117" i="39" s="1"/>
  <c r="AX124" i="39"/>
  <c r="DQ124" i="39" s="1"/>
  <c r="AX122" i="39"/>
  <c r="DP122" i="39" s="1"/>
  <c r="DO122" i="39" s="1"/>
  <c r="AX116" i="39"/>
  <c r="DP116" i="39" s="1"/>
  <c r="DO116" i="39" s="1"/>
  <c r="AX181" i="39"/>
  <c r="DP181" i="39" s="1"/>
  <c r="DO181" i="39" s="1"/>
  <c r="AX23" i="39"/>
  <c r="DQ23" i="39" s="1"/>
  <c r="AX92" i="39"/>
  <c r="DQ92" i="39" s="1"/>
  <c r="AX75" i="39"/>
  <c r="DP75" i="39" s="1"/>
  <c r="DO75" i="39" s="1"/>
  <c r="AX53" i="39"/>
  <c r="DQ53" i="39" s="1"/>
  <c r="AX125" i="39"/>
  <c r="DQ125" i="39" s="1"/>
  <c r="AX142" i="39"/>
  <c r="DQ142" i="39" s="1"/>
  <c r="AX132" i="39"/>
  <c r="DQ132" i="39" s="1"/>
  <c r="AX203" i="39"/>
  <c r="DQ203" i="39" s="1"/>
  <c r="AX78" i="39"/>
  <c r="DQ78" i="39" s="1"/>
  <c r="AX69" i="39"/>
  <c r="DQ69" i="39" s="1"/>
  <c r="FG17" i="39"/>
  <c r="FH17" i="39" s="1"/>
  <c r="AX199" i="39"/>
  <c r="DP199" i="39" s="1"/>
  <c r="DO199" i="39" s="1"/>
  <c r="EZ64" i="39"/>
  <c r="EY36" i="39"/>
  <c r="DP36" i="39"/>
  <c r="DO36" i="39" s="1"/>
  <c r="DQ36" i="39"/>
  <c r="FA115" i="39"/>
  <c r="AX100" i="39"/>
  <c r="DP64" i="39"/>
  <c r="DO64" i="39" s="1"/>
  <c r="DQ64" i="39"/>
  <c r="AX126" i="39"/>
  <c r="AX135" i="39"/>
  <c r="AX88" i="39"/>
  <c r="AX112" i="39"/>
  <c r="AX51" i="39"/>
  <c r="AX136" i="39"/>
  <c r="AX210" i="39"/>
  <c r="AX34" i="39"/>
  <c r="AX129" i="39"/>
  <c r="AX38" i="39"/>
  <c r="AX154" i="39"/>
  <c r="G25" i="41"/>
  <c r="M25" i="41" s="1"/>
  <c r="M27" i="41" s="1"/>
  <c r="D27" i="41"/>
  <c r="A28" i="41"/>
  <c r="M23" i="23"/>
  <c r="K23" i="23"/>
  <c r="W25" i="5"/>
  <c r="CA126" i="39" l="1"/>
  <c r="CB126" i="39"/>
  <c r="CC126" i="39" s="1"/>
  <c r="CH126" i="39" s="1"/>
  <c r="CI126" i="39" s="1"/>
  <c r="CB203" i="39"/>
  <c r="CC203" i="39" s="1"/>
  <c r="CH203" i="39" s="1"/>
  <c r="CI203" i="39" s="1"/>
  <c r="CA203" i="39"/>
  <c r="BJ116" i="39"/>
  <c r="BJ36" i="39"/>
  <c r="BJ17" i="39"/>
  <c r="BF199" i="39"/>
  <c r="BH199" i="39" s="1"/>
  <c r="BF181" i="39"/>
  <c r="BH181" i="39" s="1"/>
  <c r="BF64" i="39"/>
  <c r="BH64" i="39" s="1"/>
  <c r="BD122" i="39"/>
  <c r="BF122" i="39" s="1"/>
  <c r="BH122" i="39" s="1"/>
  <c r="BJ122" i="39" s="1"/>
  <c r="BL122" i="39" s="1"/>
  <c r="BN122" i="39" s="1"/>
  <c r="BP122" i="39" s="1"/>
  <c r="BR122" i="39" s="1"/>
  <c r="BT122" i="39" s="1"/>
  <c r="BV122" i="39" s="1"/>
  <c r="BY122" i="39" s="1"/>
  <c r="BD92" i="39"/>
  <c r="BF92" i="39" s="1"/>
  <c r="BH92" i="39" s="1"/>
  <c r="BJ92" i="39" s="1"/>
  <c r="BL92" i="39" s="1"/>
  <c r="BN92" i="39" s="1"/>
  <c r="BP92" i="39" s="1"/>
  <c r="BR92" i="39" s="1"/>
  <c r="BT92" i="39" s="1"/>
  <c r="BV92" i="39" s="1"/>
  <c r="BY92" i="39" s="1"/>
  <c r="BD88" i="39"/>
  <c r="BD117" i="39"/>
  <c r="BF117" i="39" s="1"/>
  <c r="BH117" i="39" s="1"/>
  <c r="BD124" i="39"/>
  <c r="BF124" i="39" s="1"/>
  <c r="BH124" i="39" s="1"/>
  <c r="BJ124" i="39" s="1"/>
  <c r="BL124" i="39" s="1"/>
  <c r="BN124" i="39" s="1"/>
  <c r="BP124" i="39" s="1"/>
  <c r="BR124" i="39" s="1"/>
  <c r="BT124" i="39" s="1"/>
  <c r="BV124" i="39" s="1"/>
  <c r="BY124" i="39" s="1"/>
  <c r="BD129" i="39"/>
  <c r="BD34" i="39"/>
  <c r="BD38" i="39"/>
  <c r="BF38" i="39" s="1"/>
  <c r="BH38" i="39" s="1"/>
  <c r="BJ38" i="39" s="1"/>
  <c r="BL38" i="39" s="1"/>
  <c r="BN38" i="39" s="1"/>
  <c r="BP38" i="39" s="1"/>
  <c r="BR38" i="39" s="1"/>
  <c r="BT38" i="39" s="1"/>
  <c r="BV38" i="39" s="1"/>
  <c r="BY38" i="39" s="1"/>
  <c r="BD69" i="39"/>
  <c r="BD100" i="39"/>
  <c r="BD135" i="39"/>
  <c r="BF135" i="39" s="1"/>
  <c r="BH135" i="39" s="1"/>
  <c r="BJ135" i="39" s="1"/>
  <c r="BL135" i="39" s="1"/>
  <c r="BN135" i="39" s="1"/>
  <c r="BP135" i="39" s="1"/>
  <c r="BR135" i="39" s="1"/>
  <c r="BT135" i="39" s="1"/>
  <c r="BV135" i="39" s="1"/>
  <c r="BY135" i="39" s="1"/>
  <c r="BD20" i="39"/>
  <c r="BF20" i="39" s="1"/>
  <c r="BH20" i="39" s="1"/>
  <c r="BJ20" i="39" s="1"/>
  <c r="BL20" i="39" s="1"/>
  <c r="BN20" i="39" s="1"/>
  <c r="BP20" i="39" s="1"/>
  <c r="BR20" i="39" s="1"/>
  <c r="BT20" i="39" s="1"/>
  <c r="BV20" i="39" s="1"/>
  <c r="BY20" i="39" s="1"/>
  <c r="BD99" i="39"/>
  <c r="BD132" i="39"/>
  <c r="BD125" i="39"/>
  <c r="BF125" i="39" s="1"/>
  <c r="BH125" i="39" s="1"/>
  <c r="BJ125" i="39" s="1"/>
  <c r="BL125" i="39" s="1"/>
  <c r="BN125" i="39" s="1"/>
  <c r="BP125" i="39" s="1"/>
  <c r="BR125" i="39" s="1"/>
  <c r="BT125" i="39" s="1"/>
  <c r="BV125" i="39" s="1"/>
  <c r="BY125" i="39" s="1"/>
  <c r="BD112" i="39"/>
  <c r="BF112" i="39" s="1"/>
  <c r="BH112" i="39" s="1"/>
  <c r="BJ112" i="39" s="1"/>
  <c r="BL112" i="39" s="1"/>
  <c r="BN112" i="39" s="1"/>
  <c r="BP112" i="39" s="1"/>
  <c r="BR112" i="39" s="1"/>
  <c r="BT112" i="39" s="1"/>
  <c r="BV112" i="39" s="1"/>
  <c r="BY112" i="39" s="1"/>
  <c r="BD78" i="39"/>
  <c r="BD53" i="39"/>
  <c r="BD154" i="39"/>
  <c r="BD23" i="39"/>
  <c r="BD210" i="39"/>
  <c r="BD136" i="39"/>
  <c r="BD188" i="39"/>
  <c r="BD75" i="39"/>
  <c r="BF75" i="39" s="1"/>
  <c r="BH75" i="39" s="1"/>
  <c r="BD142" i="39"/>
  <c r="DP115" i="39"/>
  <c r="DO115" i="39" s="1"/>
  <c r="AX139" i="39"/>
  <c r="DQ139" i="39" s="1"/>
  <c r="AX40" i="39"/>
  <c r="DQ40" i="39" s="1"/>
  <c r="AX68" i="39"/>
  <c r="DP68" i="39" s="1"/>
  <c r="DO68" i="39" s="1"/>
  <c r="DP93" i="39"/>
  <c r="DO93" i="39" s="1"/>
  <c r="AZ57" i="39"/>
  <c r="BB57" i="39" s="1"/>
  <c r="DP108" i="39"/>
  <c r="DO108" i="39" s="1"/>
  <c r="AZ134" i="39"/>
  <c r="BB134" i="39" s="1"/>
  <c r="AZ138" i="39"/>
  <c r="BB138" i="39" s="1"/>
  <c r="AZ59" i="39"/>
  <c r="BB59" i="39" s="1"/>
  <c r="AZ68" i="39"/>
  <c r="BB68" i="39" s="1"/>
  <c r="AZ13" i="39"/>
  <c r="BB13" i="39" s="1"/>
  <c r="AZ32" i="39"/>
  <c r="BB32" i="39" s="1"/>
  <c r="AZ77" i="39"/>
  <c r="BB77" i="39" s="1"/>
  <c r="AZ79" i="39"/>
  <c r="BB79" i="39" s="1"/>
  <c r="AZ51" i="39"/>
  <c r="BB51" i="39" s="1"/>
  <c r="AZ103" i="39"/>
  <c r="BB103" i="39" s="1"/>
  <c r="AZ30" i="39"/>
  <c r="BB30" i="39" s="1"/>
  <c r="AZ93" i="39"/>
  <c r="BB93" i="39" s="1"/>
  <c r="AZ139" i="39"/>
  <c r="BB139" i="39" s="1"/>
  <c r="AZ40" i="39"/>
  <c r="BB40" i="39" s="1"/>
  <c r="AZ172" i="39"/>
  <c r="BB172" i="39" s="1"/>
  <c r="AZ37" i="39"/>
  <c r="BB37" i="39" s="1"/>
  <c r="AZ90" i="39"/>
  <c r="BB90" i="39" s="1"/>
  <c r="AZ192" i="39"/>
  <c r="BB192" i="39" s="1"/>
  <c r="AZ115" i="39"/>
  <c r="BB115" i="39" s="1"/>
  <c r="AZ108" i="39"/>
  <c r="BB108" i="39" s="1"/>
  <c r="AY161" i="39"/>
  <c r="AY107" i="39"/>
  <c r="AY110" i="39"/>
  <c r="AY55" i="39"/>
  <c r="AY39" i="39"/>
  <c r="AY29" i="39"/>
  <c r="AY70" i="39"/>
  <c r="AY105" i="39"/>
  <c r="AY33" i="39"/>
  <c r="AY123" i="39"/>
  <c r="AY56" i="39"/>
  <c r="AX27" i="39"/>
  <c r="DP27" i="39" s="1"/>
  <c r="DO27" i="39" s="1"/>
  <c r="AY27" i="39"/>
  <c r="AY66" i="39"/>
  <c r="AY171" i="39"/>
  <c r="AY141" i="39"/>
  <c r="AY106" i="39"/>
  <c r="AY119" i="39"/>
  <c r="AY97" i="39"/>
  <c r="AY86" i="39"/>
  <c r="AY43" i="39"/>
  <c r="AX62" i="39"/>
  <c r="DP62" i="39" s="1"/>
  <c r="DO62" i="39" s="1"/>
  <c r="AY62" i="39"/>
  <c r="AY81" i="39"/>
  <c r="AY65" i="39"/>
  <c r="AX146" i="39"/>
  <c r="DP146" i="39" s="1"/>
  <c r="DO146" i="39" s="1"/>
  <c r="AY146" i="39"/>
  <c r="AY50" i="39"/>
  <c r="AX47" i="39"/>
  <c r="DP47" i="39" s="1"/>
  <c r="DO47" i="39" s="1"/>
  <c r="AY47" i="39"/>
  <c r="AY48" i="39"/>
  <c r="AX63" i="39"/>
  <c r="DQ63" i="39" s="1"/>
  <c r="AY63" i="39"/>
  <c r="AY21" i="39"/>
  <c r="AX85" i="39"/>
  <c r="DQ85" i="39" s="1"/>
  <c r="AY85" i="39"/>
  <c r="AX42" i="39"/>
  <c r="DP42" i="39" s="1"/>
  <c r="DO42" i="39" s="1"/>
  <c r="AY42" i="39"/>
  <c r="AY72" i="39"/>
  <c r="AX159" i="39"/>
  <c r="DQ159" i="39" s="1"/>
  <c r="AY159" i="39"/>
  <c r="AX71" i="39"/>
  <c r="DQ71" i="39" s="1"/>
  <c r="AY71" i="39"/>
  <c r="AY157" i="39"/>
  <c r="AX98" i="39"/>
  <c r="DQ98" i="39" s="1"/>
  <c r="AY98" i="39"/>
  <c r="AX73" i="39"/>
  <c r="DQ73" i="39" s="1"/>
  <c r="AY73" i="39"/>
  <c r="AX58" i="39"/>
  <c r="DQ58" i="39" s="1"/>
  <c r="AY58" i="39"/>
  <c r="AX28" i="39"/>
  <c r="DP28" i="39" s="1"/>
  <c r="DO28" i="39" s="1"/>
  <c r="AY28" i="39"/>
  <c r="AY60" i="39"/>
  <c r="AY140" i="39"/>
  <c r="AY35" i="39"/>
  <c r="AY156" i="39"/>
  <c r="AX46" i="39"/>
  <c r="DP46" i="39" s="1"/>
  <c r="DO46" i="39" s="1"/>
  <c r="AY46" i="39"/>
  <c r="AX25" i="39"/>
  <c r="DP25" i="39" s="1"/>
  <c r="DO25" i="39" s="1"/>
  <c r="AY25" i="39"/>
  <c r="AX80" i="39"/>
  <c r="DP80" i="39" s="1"/>
  <c r="DO80" i="39" s="1"/>
  <c r="AY80" i="39"/>
  <c r="AY44" i="39"/>
  <c r="AY94" i="39"/>
  <c r="AX147" i="39"/>
  <c r="DP147" i="39" s="1"/>
  <c r="DO147" i="39" s="1"/>
  <c r="AY147" i="39"/>
  <c r="AX24" i="39"/>
  <c r="DQ24" i="39" s="1"/>
  <c r="AY24" i="39"/>
  <c r="AY19" i="39"/>
  <c r="AY127" i="39"/>
  <c r="AY133" i="39"/>
  <c r="AX153" i="39"/>
  <c r="DP153" i="39" s="1"/>
  <c r="DO153" i="39" s="1"/>
  <c r="AY153" i="39"/>
  <c r="AX89" i="39"/>
  <c r="DQ89" i="39" s="1"/>
  <c r="AY89" i="39"/>
  <c r="AX52" i="39"/>
  <c r="DP52" i="39" s="1"/>
  <c r="DO52" i="39" s="1"/>
  <c r="AY52" i="39"/>
  <c r="AX22" i="39"/>
  <c r="DP22" i="39" s="1"/>
  <c r="DO22" i="39" s="1"/>
  <c r="AY22" i="39"/>
  <c r="AX102" i="39"/>
  <c r="DQ102" i="39" s="1"/>
  <c r="AY102" i="39"/>
  <c r="AX61" i="39"/>
  <c r="DQ61" i="39" s="1"/>
  <c r="AY61" i="39"/>
  <c r="AX91" i="39"/>
  <c r="DQ91" i="39" s="1"/>
  <c r="AY91" i="39"/>
  <c r="AY114" i="39"/>
  <c r="AY45" i="39"/>
  <c r="AY121" i="39"/>
  <c r="AX87" i="39"/>
  <c r="DP87" i="39" s="1"/>
  <c r="DO87" i="39" s="1"/>
  <c r="AY87" i="39"/>
  <c r="AY143" i="39"/>
  <c r="AY41" i="39"/>
  <c r="AX48" i="39"/>
  <c r="DQ48" i="39" s="1"/>
  <c r="DP172" i="39"/>
  <c r="DO172" i="39" s="1"/>
  <c r="AX21" i="39"/>
  <c r="DP21" i="39" s="1"/>
  <c r="DO21" i="39" s="1"/>
  <c r="AX141" i="39"/>
  <c r="DP141" i="39" s="1"/>
  <c r="DO141" i="39" s="1"/>
  <c r="AX106" i="39"/>
  <c r="DP106" i="39" s="1"/>
  <c r="DO106" i="39" s="1"/>
  <c r="AX119" i="39"/>
  <c r="DP119" i="39" s="1"/>
  <c r="DO119" i="39" s="1"/>
  <c r="AX86" i="39"/>
  <c r="DQ86" i="39" s="1"/>
  <c r="AX65" i="39"/>
  <c r="DQ65" i="39" s="1"/>
  <c r="AX97" i="39"/>
  <c r="DP97" i="39" s="1"/>
  <c r="DO97" i="39" s="1"/>
  <c r="AX43" i="39"/>
  <c r="DQ43" i="39" s="1"/>
  <c r="DQ32" i="39"/>
  <c r="AX29" i="39"/>
  <c r="DQ29" i="39" s="1"/>
  <c r="DP37" i="39"/>
  <c r="DO37" i="39" s="1"/>
  <c r="AX41" i="39"/>
  <c r="DP41" i="39" s="1"/>
  <c r="DO41" i="39" s="1"/>
  <c r="AX50" i="39"/>
  <c r="DQ50" i="39" s="1"/>
  <c r="DD54" i="39"/>
  <c r="AX157" i="39"/>
  <c r="DP157" i="39" s="1"/>
  <c r="DO157" i="39" s="1"/>
  <c r="AX44" i="39"/>
  <c r="DQ44" i="39" s="1"/>
  <c r="AX39" i="39"/>
  <c r="DP39" i="39" s="1"/>
  <c r="DO39" i="39" s="1"/>
  <c r="AX107" i="39"/>
  <c r="DQ107" i="39" s="1"/>
  <c r="AX55" i="39"/>
  <c r="DQ55" i="39" s="1"/>
  <c r="AX110" i="39"/>
  <c r="DP110" i="39" s="1"/>
  <c r="DO110" i="39" s="1"/>
  <c r="AX143" i="39"/>
  <c r="DQ143" i="39" s="1"/>
  <c r="AX133" i="39"/>
  <c r="DQ133" i="39" s="1"/>
  <c r="AX114" i="39"/>
  <c r="DQ114" i="39" s="1"/>
  <c r="DD192" i="39"/>
  <c r="AX171" i="39"/>
  <c r="DP171" i="39" s="1"/>
  <c r="DO171" i="39" s="1"/>
  <c r="AX66" i="39"/>
  <c r="DQ66" i="39" s="1"/>
  <c r="AX94" i="39"/>
  <c r="DQ94" i="39" s="1"/>
  <c r="AW128" i="39"/>
  <c r="AU128" i="39"/>
  <c r="AX57" i="39"/>
  <c r="DP57" i="39" s="1"/>
  <c r="DO57" i="39" s="1"/>
  <c r="DD90" i="39"/>
  <c r="AX156" i="39"/>
  <c r="DQ156" i="39" s="1"/>
  <c r="DD137" i="39"/>
  <c r="AU127" i="39"/>
  <c r="AW101" i="39"/>
  <c r="DD101" i="39"/>
  <c r="AU26" i="39"/>
  <c r="AX72" i="39"/>
  <c r="DP72" i="39" s="1"/>
  <c r="DO72" i="39" s="1"/>
  <c r="DD103" i="39"/>
  <c r="AU155" i="39"/>
  <c r="AW84" i="39"/>
  <c r="AX35" i="39"/>
  <c r="DQ35" i="39" s="1"/>
  <c r="AW137" i="39"/>
  <c r="AU104" i="39"/>
  <c r="AX161" i="39"/>
  <c r="DP161" i="39" s="1"/>
  <c r="DO161" i="39" s="1"/>
  <c r="AX121" i="39"/>
  <c r="DP121" i="39" s="1"/>
  <c r="DO121" i="39" s="1"/>
  <c r="DD84" i="39"/>
  <c r="AX45" i="39"/>
  <c r="DP45" i="39" s="1"/>
  <c r="DO45" i="39" s="1"/>
  <c r="AU90" i="39"/>
  <c r="AU56" i="39"/>
  <c r="AX140" i="39"/>
  <c r="DQ140" i="39" s="1"/>
  <c r="DD79" i="39"/>
  <c r="AX81" i="39"/>
  <c r="DP81" i="39" s="1"/>
  <c r="DO81" i="39" s="1"/>
  <c r="AW104" i="39"/>
  <c r="AU79" i="39"/>
  <c r="AW31" i="39"/>
  <c r="DD30" i="39"/>
  <c r="DD127" i="39"/>
  <c r="AU138" i="39"/>
  <c r="DD49" i="39"/>
  <c r="DD138" i="39"/>
  <c r="AU83" i="39"/>
  <c r="AW83" i="39"/>
  <c r="AX60" i="39"/>
  <c r="DP60" i="39" s="1"/>
  <c r="DO60" i="39" s="1"/>
  <c r="DD162" i="39"/>
  <c r="DD56" i="39"/>
  <c r="AU103" i="39"/>
  <c r="AW49" i="39"/>
  <c r="DD82" i="39"/>
  <c r="AW82" i="39"/>
  <c r="AW26" i="39"/>
  <c r="DD144" i="39"/>
  <c r="AW54" i="39"/>
  <c r="DD74" i="39"/>
  <c r="AW144" i="39"/>
  <c r="AW74" i="39"/>
  <c r="AU59" i="39"/>
  <c r="AU77" i="39"/>
  <c r="DD77" i="39"/>
  <c r="AW162" i="39"/>
  <c r="AW96" i="39"/>
  <c r="DD96" i="39"/>
  <c r="DD158" i="39"/>
  <c r="DD31" i="39"/>
  <c r="AU30" i="39"/>
  <c r="AW158" i="39"/>
  <c r="AW160" i="39"/>
  <c r="DD59" i="39"/>
  <c r="DD160" i="39"/>
  <c r="AW155" i="39"/>
  <c r="AU192" i="39"/>
  <c r="AX134" i="39"/>
  <c r="DP134" i="39" s="1"/>
  <c r="DO134" i="39" s="1"/>
  <c r="DP13" i="39"/>
  <c r="DO13" i="39" s="1"/>
  <c r="AU19" i="39"/>
  <c r="DD19" i="39"/>
  <c r="DQ122" i="39"/>
  <c r="FL17" i="39"/>
  <c r="DQ116" i="39"/>
  <c r="DP124" i="39"/>
  <c r="DO124" i="39" s="1"/>
  <c r="DP99" i="39"/>
  <c r="DO99" i="39" s="1"/>
  <c r="DP132" i="39"/>
  <c r="DO132" i="39" s="1"/>
  <c r="DP53" i="39"/>
  <c r="DO53" i="39" s="1"/>
  <c r="DQ20" i="39"/>
  <c r="DP23" i="39"/>
  <c r="DO23" i="39" s="1"/>
  <c r="DQ181" i="39"/>
  <c r="AX138" i="39"/>
  <c r="DQ138" i="39" s="1"/>
  <c r="AX56" i="39"/>
  <c r="DQ56" i="39" s="1"/>
  <c r="DP117" i="39"/>
  <c r="DO117" i="39" s="1"/>
  <c r="DQ105" i="39"/>
  <c r="DP125" i="39"/>
  <c r="DO125" i="39" s="1"/>
  <c r="DP203" i="39"/>
  <c r="DO203" i="39" s="1"/>
  <c r="DP92" i="39"/>
  <c r="DO92" i="39" s="1"/>
  <c r="AX59" i="39"/>
  <c r="DQ59" i="39" s="1"/>
  <c r="DP142" i="39"/>
  <c r="DO142" i="39" s="1"/>
  <c r="AX103" i="39"/>
  <c r="DQ103" i="39" s="1"/>
  <c r="AX90" i="39"/>
  <c r="DP90" i="39" s="1"/>
  <c r="DO90" i="39" s="1"/>
  <c r="DQ75" i="39"/>
  <c r="AX188" i="39"/>
  <c r="DQ188" i="39" s="1"/>
  <c r="AX192" i="39"/>
  <c r="DQ192" i="39" s="1"/>
  <c r="FM17" i="39"/>
  <c r="FA217" i="39"/>
  <c r="FA222" i="39"/>
  <c r="DQ199" i="39"/>
  <c r="EZ222" i="39"/>
  <c r="EZ217" i="39"/>
  <c r="DP69" i="39"/>
  <c r="DO69" i="39" s="1"/>
  <c r="AX77" i="39"/>
  <c r="DP77" i="39" s="1"/>
  <c r="DO77" i="39" s="1"/>
  <c r="DP78" i="39"/>
  <c r="DO78" i="39" s="1"/>
  <c r="EY217" i="39"/>
  <c r="EY222" i="39"/>
  <c r="DP34" i="39"/>
  <c r="DO34" i="39" s="1"/>
  <c r="DQ34" i="39"/>
  <c r="AX19" i="39"/>
  <c r="DQ210" i="39"/>
  <c r="DP210" i="39"/>
  <c r="DO210" i="39" s="1"/>
  <c r="DQ33" i="39"/>
  <c r="DP33" i="39"/>
  <c r="DO33" i="39" s="1"/>
  <c r="DQ51" i="39"/>
  <c r="DP51" i="39"/>
  <c r="DO51" i="39" s="1"/>
  <c r="DP100" i="39"/>
  <c r="DO100" i="39" s="1"/>
  <c r="DQ100" i="39"/>
  <c r="DP154" i="39"/>
  <c r="DO154" i="39" s="1"/>
  <c r="DQ154" i="39"/>
  <c r="DQ70" i="39"/>
  <c r="DP70" i="39"/>
  <c r="DO70" i="39" s="1"/>
  <c r="DQ88" i="39"/>
  <c r="DP88" i="39"/>
  <c r="DO88" i="39" s="1"/>
  <c r="FF64" i="39"/>
  <c r="FC64" i="39"/>
  <c r="DP38" i="39"/>
  <c r="DO38" i="39" s="1"/>
  <c r="DQ38" i="39"/>
  <c r="DQ136" i="39"/>
  <c r="DP136" i="39"/>
  <c r="DO136" i="39" s="1"/>
  <c r="DP123" i="39"/>
  <c r="DO123" i="39" s="1"/>
  <c r="DQ123" i="39"/>
  <c r="DP129" i="39"/>
  <c r="DO129" i="39" s="1"/>
  <c r="DQ129" i="39"/>
  <c r="AX30" i="39"/>
  <c r="DQ112" i="39"/>
  <c r="DP112" i="39"/>
  <c r="DO112" i="39" s="1"/>
  <c r="DQ135" i="39"/>
  <c r="DP135" i="39"/>
  <c r="DO135" i="39" s="1"/>
  <c r="DQ126" i="39"/>
  <c r="DP126" i="39"/>
  <c r="DO126" i="39" s="1"/>
  <c r="AX79" i="39"/>
  <c r="I25" i="41"/>
  <c r="C26" i="41" s="1"/>
  <c r="H26" i="41" s="1"/>
  <c r="D28" i="41"/>
  <c r="A29" i="41"/>
  <c r="W26" i="5"/>
  <c r="CA38" i="39" l="1"/>
  <c r="CB38" i="39" s="1"/>
  <c r="CA20" i="39"/>
  <c r="CB20" i="39"/>
  <c r="CB135" i="39"/>
  <c r="CC135" i="39" s="1"/>
  <c r="CJ135" i="39" s="1"/>
  <c r="K135" i="19" s="1"/>
  <c r="AC135" i="19" s="1"/>
  <c r="CA135" i="39"/>
  <c r="CA124" i="39"/>
  <c r="CB124" i="39"/>
  <c r="CC124" i="39" s="1"/>
  <c r="CJ124" i="39" s="1"/>
  <c r="K124" i="19" s="1"/>
  <c r="AC124" i="19" s="1"/>
  <c r="CA112" i="39"/>
  <c r="CB112" i="39" s="1"/>
  <c r="CC112" i="39" s="1"/>
  <c r="CJ112" i="39" s="1"/>
  <c r="K112" i="19" s="1"/>
  <c r="AC112" i="19" s="1"/>
  <c r="CA125" i="39"/>
  <c r="CB125" i="39"/>
  <c r="CC125" i="39" s="1"/>
  <c r="CJ125" i="39" s="1"/>
  <c r="K125" i="19" s="1"/>
  <c r="AC125" i="19" s="1"/>
  <c r="CA92" i="39"/>
  <c r="CB92" i="39"/>
  <c r="CC92" i="39" s="1"/>
  <c r="CJ92" i="39" s="1"/>
  <c r="K92" i="19" s="1"/>
  <c r="AC92" i="19" s="1"/>
  <c r="CB122" i="39"/>
  <c r="CC122" i="39" s="1"/>
  <c r="CJ122" i="39" s="1"/>
  <c r="K122" i="19" s="1"/>
  <c r="AC122" i="19" s="1"/>
  <c r="CA122" i="39"/>
  <c r="BL17" i="39"/>
  <c r="BL36" i="39"/>
  <c r="BL116" i="39"/>
  <c r="H126" i="19"/>
  <c r="AE126" i="19" s="1"/>
  <c r="AG126" i="19" s="1"/>
  <c r="HR126" i="39"/>
  <c r="CL126" i="39"/>
  <c r="DS126" i="39"/>
  <c r="DU126" i="39" s="1"/>
  <c r="DE126" i="39"/>
  <c r="BJ181" i="39"/>
  <c r="BJ117" i="39"/>
  <c r="DQ87" i="39"/>
  <c r="BJ199" i="39"/>
  <c r="BJ75" i="39"/>
  <c r="BJ64" i="39"/>
  <c r="DP139" i="39"/>
  <c r="DO139" i="39" s="1"/>
  <c r="BF34" i="39"/>
  <c r="BH34" i="39" s="1"/>
  <c r="CJ126" i="39"/>
  <c r="K126" i="19" s="1"/>
  <c r="AC126" i="19" s="1"/>
  <c r="DE203" i="39"/>
  <c r="BF99" i="39"/>
  <c r="BH99" i="39" s="1"/>
  <c r="BF129" i="39"/>
  <c r="BH129" i="39" s="1"/>
  <c r="BF88" i="39"/>
  <c r="BH88" i="39" s="1"/>
  <c r="BF132" i="39"/>
  <c r="BH132" i="39" s="1"/>
  <c r="BF136" i="39"/>
  <c r="BH136" i="39" s="1"/>
  <c r="CK126" i="39"/>
  <c r="BF23" i="39"/>
  <c r="BH23" i="39" s="1"/>
  <c r="BF188" i="39"/>
  <c r="BH188" i="39" s="1"/>
  <c r="BF154" i="39"/>
  <c r="BH154" i="39" s="1"/>
  <c r="BF78" i="39"/>
  <c r="BH78" i="39" s="1"/>
  <c r="BF100" i="39"/>
  <c r="BH100" i="39" s="1"/>
  <c r="CJ203" i="39"/>
  <c r="K203" i="19" s="1"/>
  <c r="AC203" i="19" s="1"/>
  <c r="CC20" i="39"/>
  <c r="CJ20" i="39" s="1"/>
  <c r="K20" i="19" s="1"/>
  <c r="AC20" i="19" s="1"/>
  <c r="CC38" i="39"/>
  <c r="CJ38" i="39" s="1"/>
  <c r="K38" i="19" s="1"/>
  <c r="AC38" i="19" s="1"/>
  <c r="BF210" i="39"/>
  <c r="BH210" i="39" s="1"/>
  <c r="BF53" i="39"/>
  <c r="BH53" i="39" s="1"/>
  <c r="BF69" i="39"/>
  <c r="BH69" i="39" s="1"/>
  <c r="BF142" i="39"/>
  <c r="BH142" i="39" s="1"/>
  <c r="BD77" i="39"/>
  <c r="BF77" i="39" s="1"/>
  <c r="BH77" i="39" s="1"/>
  <c r="BJ77" i="39" s="1"/>
  <c r="BL77" i="39" s="1"/>
  <c r="BN77" i="39" s="1"/>
  <c r="BP77" i="39" s="1"/>
  <c r="BR77" i="39" s="1"/>
  <c r="BT77" i="39" s="1"/>
  <c r="BV77" i="39" s="1"/>
  <c r="BY77" i="39" s="1"/>
  <c r="BD40" i="39"/>
  <c r="BD32" i="39"/>
  <c r="BD139" i="39"/>
  <c r="BF139" i="39" s="1"/>
  <c r="BH139" i="39" s="1"/>
  <c r="BJ139" i="39" s="1"/>
  <c r="BL139" i="39" s="1"/>
  <c r="BN139" i="39" s="1"/>
  <c r="BP139" i="39" s="1"/>
  <c r="BR139" i="39" s="1"/>
  <c r="BT139" i="39" s="1"/>
  <c r="BV139" i="39" s="1"/>
  <c r="BY139" i="39" s="1"/>
  <c r="BD13" i="39"/>
  <c r="BF13" i="39" s="1"/>
  <c r="BH13" i="39" s="1"/>
  <c r="BJ13" i="39" s="1"/>
  <c r="BL13" i="39" s="1"/>
  <c r="BN13" i="39" s="1"/>
  <c r="BP13" i="39" s="1"/>
  <c r="BR13" i="39" s="1"/>
  <c r="BD108" i="39"/>
  <c r="BF108" i="39" s="1"/>
  <c r="BH108" i="39" s="1"/>
  <c r="BJ108" i="39" s="1"/>
  <c r="BL108" i="39" s="1"/>
  <c r="BN108" i="39" s="1"/>
  <c r="BP108" i="39" s="1"/>
  <c r="BR108" i="39" s="1"/>
  <c r="BT108" i="39" s="1"/>
  <c r="BV108" i="39" s="1"/>
  <c r="BY108" i="39" s="1"/>
  <c r="BD93" i="39"/>
  <c r="BF93" i="39" s="1"/>
  <c r="BH93" i="39" s="1"/>
  <c r="BJ93" i="39" s="1"/>
  <c r="BL93" i="39" s="1"/>
  <c r="BN93" i="39" s="1"/>
  <c r="BP93" i="39" s="1"/>
  <c r="BR93" i="39" s="1"/>
  <c r="BT93" i="39" s="1"/>
  <c r="BV93" i="39" s="1"/>
  <c r="BY93" i="39" s="1"/>
  <c r="BD68" i="39"/>
  <c r="BF68" i="39" s="1"/>
  <c r="BH68" i="39" s="1"/>
  <c r="BJ68" i="39" s="1"/>
  <c r="BL68" i="39" s="1"/>
  <c r="BN68" i="39" s="1"/>
  <c r="BP68" i="39" s="1"/>
  <c r="BR68" i="39" s="1"/>
  <c r="BT68" i="39" s="1"/>
  <c r="BV68" i="39" s="1"/>
  <c r="BY68" i="39" s="1"/>
  <c r="BD30" i="39"/>
  <c r="BF30" i="39" s="1"/>
  <c r="BH30" i="39" s="1"/>
  <c r="BJ30" i="39" s="1"/>
  <c r="BL30" i="39" s="1"/>
  <c r="BN30" i="39" s="1"/>
  <c r="BP30" i="39" s="1"/>
  <c r="BR30" i="39" s="1"/>
  <c r="BT30" i="39" s="1"/>
  <c r="BV30" i="39" s="1"/>
  <c r="BY30" i="39" s="1"/>
  <c r="BD59" i="39"/>
  <c r="BD79" i="39"/>
  <c r="BD192" i="39"/>
  <c r="BF192" i="39" s="1"/>
  <c r="BH192" i="39" s="1"/>
  <c r="BJ192" i="39" s="1"/>
  <c r="BL192" i="39" s="1"/>
  <c r="BN192" i="39" s="1"/>
  <c r="BP192" i="39" s="1"/>
  <c r="BR192" i="39" s="1"/>
  <c r="BT192" i="39" s="1"/>
  <c r="BV192" i="39" s="1"/>
  <c r="BY192" i="39" s="1"/>
  <c r="BD103" i="39"/>
  <c r="BF103" i="39" s="1"/>
  <c r="BH103" i="39" s="1"/>
  <c r="BJ103" i="39" s="1"/>
  <c r="BL103" i="39" s="1"/>
  <c r="BN103" i="39" s="1"/>
  <c r="BP103" i="39" s="1"/>
  <c r="BR103" i="39" s="1"/>
  <c r="BT103" i="39" s="1"/>
  <c r="BV103" i="39" s="1"/>
  <c r="BY103" i="39" s="1"/>
  <c r="BD138" i="39"/>
  <c r="BF138" i="39" s="1"/>
  <c r="BH138" i="39" s="1"/>
  <c r="BJ138" i="39" s="1"/>
  <c r="BL138" i="39" s="1"/>
  <c r="BN138" i="39" s="1"/>
  <c r="BP138" i="39" s="1"/>
  <c r="BR138" i="39" s="1"/>
  <c r="BT138" i="39" s="1"/>
  <c r="BV138" i="39" s="1"/>
  <c r="BY138" i="39" s="1"/>
  <c r="BD37" i="39"/>
  <c r="BF37" i="39" s="1"/>
  <c r="BH37" i="39" s="1"/>
  <c r="BJ37" i="39" s="1"/>
  <c r="BL37" i="39" s="1"/>
  <c r="BN37" i="39" s="1"/>
  <c r="BP37" i="39" s="1"/>
  <c r="BR37" i="39" s="1"/>
  <c r="BT37" i="39" s="1"/>
  <c r="BV37" i="39" s="1"/>
  <c r="BY37" i="39" s="1"/>
  <c r="BD90" i="39"/>
  <c r="BD51" i="39"/>
  <c r="BF51" i="39" s="1"/>
  <c r="BH51" i="39" s="1"/>
  <c r="BJ51" i="39" s="1"/>
  <c r="BL51" i="39" s="1"/>
  <c r="BN51" i="39" s="1"/>
  <c r="BP51" i="39" s="1"/>
  <c r="BR51" i="39" s="1"/>
  <c r="BT51" i="39" s="1"/>
  <c r="BV51" i="39" s="1"/>
  <c r="BY51" i="39" s="1"/>
  <c r="DQ46" i="39"/>
  <c r="BD57" i="39"/>
  <c r="BD134" i="39"/>
  <c r="BF134" i="39" s="1"/>
  <c r="BH134" i="39" s="1"/>
  <c r="BJ134" i="39" s="1"/>
  <c r="BL134" i="39" s="1"/>
  <c r="BN134" i="39" s="1"/>
  <c r="BP134" i="39" s="1"/>
  <c r="BR134" i="39" s="1"/>
  <c r="BT134" i="39" s="1"/>
  <c r="BV134" i="39" s="1"/>
  <c r="BY134" i="39" s="1"/>
  <c r="BD172" i="39"/>
  <c r="BF172" i="39" s="1"/>
  <c r="BH172" i="39" s="1"/>
  <c r="BD115" i="39"/>
  <c r="BF115" i="39" s="1"/>
  <c r="BH115" i="39" s="1"/>
  <c r="DP58" i="39"/>
  <c r="DO58" i="39" s="1"/>
  <c r="DQ68" i="39"/>
  <c r="DQ22" i="39"/>
  <c r="DQ62" i="39"/>
  <c r="DP102" i="39"/>
  <c r="DO102" i="39" s="1"/>
  <c r="DQ141" i="39"/>
  <c r="DP40" i="39"/>
  <c r="DO40" i="39" s="1"/>
  <c r="DQ28" i="39"/>
  <c r="DQ147" i="39"/>
  <c r="DQ41" i="39"/>
  <c r="DQ146" i="39"/>
  <c r="DP48" i="39"/>
  <c r="DO48" i="39" s="1"/>
  <c r="DP85" i="39"/>
  <c r="DO85" i="39" s="1"/>
  <c r="DQ25" i="39"/>
  <c r="DP91" i="39"/>
  <c r="DO91" i="39" s="1"/>
  <c r="DQ52" i="39"/>
  <c r="DQ27" i="39"/>
  <c r="DP159" i="39"/>
  <c r="DO159" i="39" s="1"/>
  <c r="DQ153" i="39"/>
  <c r="DP73" i="39"/>
  <c r="DO73" i="39" s="1"/>
  <c r="DQ21" i="39"/>
  <c r="DP63" i="39"/>
  <c r="DO63" i="39" s="1"/>
  <c r="DQ42" i="39"/>
  <c r="DP98" i="39"/>
  <c r="DO98" i="39" s="1"/>
  <c r="AZ39" i="39"/>
  <c r="BB39" i="39" s="1"/>
  <c r="AZ161" i="39"/>
  <c r="BB161" i="39" s="1"/>
  <c r="DP61" i="39"/>
  <c r="DO61" i="39" s="1"/>
  <c r="AZ41" i="39"/>
  <c r="BB41" i="39" s="1"/>
  <c r="AZ45" i="39"/>
  <c r="BB45" i="39" s="1"/>
  <c r="AZ102" i="39"/>
  <c r="BB102" i="39" s="1"/>
  <c r="AZ153" i="39"/>
  <c r="BB153" i="39" s="1"/>
  <c r="AZ147" i="39"/>
  <c r="BB147" i="39" s="1"/>
  <c r="AZ25" i="39"/>
  <c r="BB25" i="39" s="1"/>
  <c r="AZ140" i="39"/>
  <c r="BB140" i="39" s="1"/>
  <c r="AZ73" i="39"/>
  <c r="BB73" i="39" s="1"/>
  <c r="AZ159" i="39"/>
  <c r="BB159" i="39" s="1"/>
  <c r="AZ21" i="39"/>
  <c r="BB21" i="39" s="1"/>
  <c r="AZ50" i="39"/>
  <c r="BB50" i="39" s="1"/>
  <c r="AZ62" i="39"/>
  <c r="BB62" i="39" s="1"/>
  <c r="AZ119" i="39"/>
  <c r="BB119" i="39" s="1"/>
  <c r="AZ66" i="39"/>
  <c r="BB66" i="39" s="1"/>
  <c r="DP89" i="39"/>
  <c r="DO89" i="39" s="1"/>
  <c r="DQ106" i="39"/>
  <c r="AZ105" i="39"/>
  <c r="BB105" i="39" s="1"/>
  <c r="AZ55" i="39"/>
  <c r="BB55" i="39" s="1"/>
  <c r="AZ33" i="39"/>
  <c r="BB33" i="39" s="1"/>
  <c r="AZ72" i="39"/>
  <c r="BB72" i="39" s="1"/>
  <c r="DP43" i="39"/>
  <c r="DO43" i="39" s="1"/>
  <c r="AZ70" i="39"/>
  <c r="BB70" i="39" s="1"/>
  <c r="AZ110" i="39"/>
  <c r="BB110" i="39" s="1"/>
  <c r="DQ47" i="39"/>
  <c r="AZ114" i="39"/>
  <c r="BB114" i="39" s="1"/>
  <c r="DP24" i="39"/>
  <c r="DO24" i="39" s="1"/>
  <c r="AZ87" i="39"/>
  <c r="BB87" i="39" s="1"/>
  <c r="AZ91" i="39"/>
  <c r="BB91" i="39" s="1"/>
  <c r="AZ52" i="39"/>
  <c r="BB52" i="39" s="1"/>
  <c r="AZ127" i="39"/>
  <c r="BB127" i="39" s="1"/>
  <c r="AZ44" i="39"/>
  <c r="BB44" i="39" s="1"/>
  <c r="AZ156" i="39"/>
  <c r="BB156" i="39" s="1"/>
  <c r="AZ28" i="39"/>
  <c r="BB28" i="39" s="1"/>
  <c r="AZ157" i="39"/>
  <c r="BB157" i="39" s="1"/>
  <c r="AZ42" i="39"/>
  <c r="BB42" i="39" s="1"/>
  <c r="AZ48" i="39"/>
  <c r="BB48" i="39" s="1"/>
  <c r="AZ65" i="39"/>
  <c r="BB65" i="39" s="1"/>
  <c r="AZ86" i="39"/>
  <c r="BB86" i="39" s="1"/>
  <c r="AZ141" i="39"/>
  <c r="BB141" i="39" s="1"/>
  <c r="AZ56" i="39"/>
  <c r="BB56" i="39" s="1"/>
  <c r="DP71" i="39"/>
  <c r="DO71" i="39" s="1"/>
  <c r="AZ19" i="39"/>
  <c r="BB19" i="39" s="1"/>
  <c r="AZ123" i="39"/>
  <c r="BB123" i="39" s="1"/>
  <c r="AZ29" i="39"/>
  <c r="BB29" i="39" s="1"/>
  <c r="AZ107" i="39"/>
  <c r="BB107" i="39" s="1"/>
  <c r="AZ143" i="39"/>
  <c r="BB143" i="39" s="1"/>
  <c r="AZ22" i="39"/>
  <c r="BB22" i="39" s="1"/>
  <c r="AZ133" i="39"/>
  <c r="BB133" i="39" s="1"/>
  <c r="AZ94" i="39"/>
  <c r="BB94" i="39" s="1"/>
  <c r="AZ46" i="39"/>
  <c r="BB46" i="39" s="1"/>
  <c r="AZ60" i="39"/>
  <c r="BB60" i="39" s="1"/>
  <c r="AZ98" i="39"/>
  <c r="BB98" i="39" s="1"/>
  <c r="AZ63" i="39"/>
  <c r="BB63" i="39" s="1"/>
  <c r="AZ146" i="39"/>
  <c r="BB146" i="39" s="1"/>
  <c r="AZ43" i="39"/>
  <c r="BB43" i="39" s="1"/>
  <c r="AZ106" i="39"/>
  <c r="BB106" i="39" s="1"/>
  <c r="AZ27" i="39"/>
  <c r="BB27" i="39" s="1"/>
  <c r="DQ80" i="39"/>
  <c r="AZ121" i="39"/>
  <c r="BB121" i="39" s="1"/>
  <c r="AZ61" i="39"/>
  <c r="BB61" i="39" s="1"/>
  <c r="AZ89" i="39"/>
  <c r="BB89" i="39" s="1"/>
  <c r="AZ24" i="39"/>
  <c r="BB24" i="39" s="1"/>
  <c r="AZ80" i="39"/>
  <c r="BB80" i="39" s="1"/>
  <c r="AZ35" i="39"/>
  <c r="BB35" i="39" s="1"/>
  <c r="AZ58" i="39"/>
  <c r="BB58" i="39" s="1"/>
  <c r="AZ71" i="39"/>
  <c r="BB71" i="39" s="1"/>
  <c r="AZ85" i="39"/>
  <c r="BB85" i="39" s="1"/>
  <c r="AZ47" i="39"/>
  <c r="BB47" i="39" s="1"/>
  <c r="AZ81" i="39"/>
  <c r="BB81" i="39" s="1"/>
  <c r="AZ97" i="39"/>
  <c r="BB97" i="39" s="1"/>
  <c r="AZ171" i="39"/>
  <c r="BB171" i="39" s="1"/>
  <c r="AY82" i="39"/>
  <c r="AX31" i="39"/>
  <c r="DQ31" i="39" s="1"/>
  <c r="AY31" i="39"/>
  <c r="AY84" i="39"/>
  <c r="AY101" i="39"/>
  <c r="AX155" i="39"/>
  <c r="DP155" i="39" s="1"/>
  <c r="DO155" i="39" s="1"/>
  <c r="AY155" i="39"/>
  <c r="AX160" i="39"/>
  <c r="DP160" i="39" s="1"/>
  <c r="DO160" i="39" s="1"/>
  <c r="AY160" i="39"/>
  <c r="AY74" i="39"/>
  <c r="AX158" i="39"/>
  <c r="DQ158" i="39" s="1"/>
  <c r="AY158" i="39"/>
  <c r="AX144" i="39"/>
  <c r="DP144" i="39" s="1"/>
  <c r="DO144" i="39" s="1"/>
  <c r="AY144" i="39"/>
  <c r="AX49" i="39"/>
  <c r="DQ49" i="39" s="1"/>
  <c r="AY49" i="39"/>
  <c r="AX96" i="39"/>
  <c r="DQ96" i="39" s="1"/>
  <c r="AY96" i="39"/>
  <c r="AY54" i="39"/>
  <c r="AY162" i="39"/>
  <c r="AY137" i="39"/>
  <c r="AY26" i="39"/>
  <c r="AY83" i="39"/>
  <c r="AY104" i="39"/>
  <c r="AY128" i="39"/>
  <c r="DP65" i="39"/>
  <c r="DO65" i="39" s="1"/>
  <c r="DQ97" i="39"/>
  <c r="DP86" i="39"/>
  <c r="DO86" i="39" s="1"/>
  <c r="DQ157" i="39"/>
  <c r="DP29" i="39"/>
  <c r="DO29" i="39" s="1"/>
  <c r="DQ119" i="39"/>
  <c r="DP50" i="39"/>
  <c r="DO50" i="39" s="1"/>
  <c r="DP55" i="39"/>
  <c r="DO55" i="39" s="1"/>
  <c r="DQ110" i="39"/>
  <c r="AX84" i="39"/>
  <c r="DQ84" i="39" s="1"/>
  <c r="AX128" i="39"/>
  <c r="DP128" i="39" s="1"/>
  <c r="DO128" i="39" s="1"/>
  <c r="AX101" i="39"/>
  <c r="DP101" i="39" s="1"/>
  <c r="DO101" i="39" s="1"/>
  <c r="DP114" i="39"/>
  <c r="DO114" i="39" s="1"/>
  <c r="DQ39" i="39"/>
  <c r="DP107" i="39"/>
  <c r="DO107" i="39" s="1"/>
  <c r="AX137" i="39"/>
  <c r="DP137" i="39" s="1"/>
  <c r="DO137" i="39" s="1"/>
  <c r="DQ45" i="39"/>
  <c r="DP143" i="39"/>
  <c r="DO143" i="39" s="1"/>
  <c r="DQ57" i="39"/>
  <c r="DP44" i="39"/>
  <c r="DO44" i="39" s="1"/>
  <c r="DP94" i="39"/>
  <c r="DO94" i="39" s="1"/>
  <c r="DP133" i="39"/>
  <c r="DO133" i="39" s="1"/>
  <c r="DQ81" i="39"/>
  <c r="DQ171" i="39"/>
  <c r="DP35" i="39"/>
  <c r="DO35" i="39" s="1"/>
  <c r="AX104" i="39"/>
  <c r="DQ104" i="39" s="1"/>
  <c r="DP66" i="39"/>
  <c r="DO66" i="39" s="1"/>
  <c r="AX82" i="39"/>
  <c r="DQ82" i="39" s="1"/>
  <c r="DQ60" i="39"/>
  <c r="DP156" i="39"/>
  <c r="DO156" i="39" s="1"/>
  <c r="DQ72" i="39"/>
  <c r="DQ161" i="39"/>
  <c r="DP140" i="39"/>
  <c r="DO140" i="39" s="1"/>
  <c r="DQ121" i="39"/>
  <c r="AX54" i="39"/>
  <c r="DP54" i="39" s="1"/>
  <c r="DO54" i="39" s="1"/>
  <c r="AX83" i="39"/>
  <c r="DQ83" i="39" s="1"/>
  <c r="DQ134" i="39"/>
  <c r="AX74" i="39"/>
  <c r="DP74" i="39" s="1"/>
  <c r="DO74" i="39" s="1"/>
  <c r="AX26" i="39"/>
  <c r="DP26" i="39" s="1"/>
  <c r="DO26" i="39" s="1"/>
  <c r="HR203" i="39"/>
  <c r="CL203" i="39"/>
  <c r="DS203" i="39"/>
  <c r="H203" i="19"/>
  <c r="CK203" i="39"/>
  <c r="AX162" i="39"/>
  <c r="DQ162" i="39" s="1"/>
  <c r="N26" i="41"/>
  <c r="DP138" i="39"/>
  <c r="DO138" i="39" s="1"/>
  <c r="DP56" i="39"/>
  <c r="DO56" i="39" s="1"/>
  <c r="DP59" i="39"/>
  <c r="DO59" i="39" s="1"/>
  <c r="DP192" i="39"/>
  <c r="DO192" i="39" s="1"/>
  <c r="DQ90" i="39"/>
  <c r="DP188" i="39"/>
  <c r="DO188" i="39" s="1"/>
  <c r="DP103" i="39"/>
  <c r="DO103" i="39" s="1"/>
  <c r="DQ77" i="39"/>
  <c r="FC217" i="39"/>
  <c r="FC222" i="39"/>
  <c r="FG64" i="39"/>
  <c r="FH64" i="39" s="1"/>
  <c r="FF217" i="39"/>
  <c r="FF222" i="39"/>
  <c r="FP17" i="39"/>
  <c r="DQ127" i="39"/>
  <c r="DP127" i="39"/>
  <c r="DO127" i="39" s="1"/>
  <c r="DQ30" i="39"/>
  <c r="DP30" i="39"/>
  <c r="DO30" i="39" s="1"/>
  <c r="DQ79" i="39"/>
  <c r="DP79" i="39"/>
  <c r="DO79" i="39" s="1"/>
  <c r="DP19" i="39"/>
  <c r="DO19" i="39" s="1"/>
  <c r="DQ19" i="39"/>
  <c r="F26" i="41"/>
  <c r="G26" i="41" s="1"/>
  <c r="N25" i="41" s="1"/>
  <c r="N27" i="41" s="1"/>
  <c r="D29" i="41"/>
  <c r="A30" i="41"/>
  <c r="AO2" i="39"/>
  <c r="W27" i="5"/>
  <c r="CA138" i="39" l="1"/>
  <c r="CB138" i="39"/>
  <c r="CA77" i="39"/>
  <c r="CB77" i="39"/>
  <c r="CA30" i="39"/>
  <c r="CB30" i="39"/>
  <c r="CC30" i="39" s="1"/>
  <c r="CJ30" i="39" s="1"/>
  <c r="K30" i="19" s="1"/>
  <c r="AC30" i="19" s="1"/>
  <c r="CA93" i="39"/>
  <c r="CB93" i="39"/>
  <c r="CC93" i="39" s="1"/>
  <c r="CJ93" i="39" s="1"/>
  <c r="K93" i="19" s="1"/>
  <c r="AC93" i="19" s="1"/>
  <c r="CA68" i="39"/>
  <c r="CB68" i="39"/>
  <c r="CC68" i="39" s="1"/>
  <c r="CJ68" i="39" s="1"/>
  <c r="K68" i="19" s="1"/>
  <c r="AC68" i="19" s="1"/>
  <c r="CB108" i="39"/>
  <c r="CC108" i="39" s="1"/>
  <c r="CJ108" i="39" s="1"/>
  <c r="K108" i="19" s="1"/>
  <c r="AC108" i="19" s="1"/>
  <c r="CA108" i="39"/>
  <c r="CB51" i="39"/>
  <c r="CC51" i="39" s="1"/>
  <c r="CJ51" i="39" s="1"/>
  <c r="K51" i="19" s="1"/>
  <c r="AC51" i="19" s="1"/>
  <c r="CA51" i="39"/>
  <c r="CA103" i="39"/>
  <c r="CB103" i="39"/>
  <c r="CC103" i="39" s="1"/>
  <c r="CJ103" i="39" s="1"/>
  <c r="K103" i="19" s="1"/>
  <c r="AC103" i="19" s="1"/>
  <c r="CB192" i="39"/>
  <c r="CA192" i="39"/>
  <c r="CA139" i="39"/>
  <c r="CB139" i="39"/>
  <c r="CB134" i="39"/>
  <c r="CC134" i="39" s="1"/>
  <c r="CJ134" i="39" s="1"/>
  <c r="K134" i="19" s="1"/>
  <c r="AC134" i="19" s="1"/>
  <c r="CA134" i="39"/>
  <c r="CB37" i="39"/>
  <c r="CC37" i="39" s="1"/>
  <c r="CJ37" i="39" s="1"/>
  <c r="K37" i="19" s="1"/>
  <c r="AC37" i="19" s="1"/>
  <c r="CA37" i="39"/>
  <c r="BT13" i="39"/>
  <c r="BV13" i="39" s="1"/>
  <c r="BY13" i="39" s="1"/>
  <c r="BN116" i="39"/>
  <c r="BN36" i="39"/>
  <c r="BN17" i="39"/>
  <c r="BL117" i="39"/>
  <c r="J126" i="19"/>
  <c r="BL181" i="39"/>
  <c r="BL64" i="39"/>
  <c r="BL75" i="39"/>
  <c r="BL199" i="39"/>
  <c r="CM126" i="39"/>
  <c r="DA126" i="39" s="1"/>
  <c r="Z126" i="19" s="1"/>
  <c r="DW126" i="39"/>
  <c r="L126" i="19"/>
  <c r="AD126" i="19" s="1"/>
  <c r="BJ188" i="39"/>
  <c r="BJ23" i="39"/>
  <c r="BJ99" i="39"/>
  <c r="BJ69" i="39"/>
  <c r="BJ142" i="39"/>
  <c r="BJ115" i="39"/>
  <c r="BJ53" i="39"/>
  <c r="BJ100" i="39"/>
  <c r="BJ136" i="39"/>
  <c r="BJ210" i="39"/>
  <c r="BJ132" i="39"/>
  <c r="BJ88" i="39"/>
  <c r="BJ172" i="39"/>
  <c r="BJ78" i="39"/>
  <c r="BJ34" i="39"/>
  <c r="BJ154" i="39"/>
  <c r="BJ129" i="39"/>
  <c r="CC77" i="39"/>
  <c r="CJ77" i="39" s="1"/>
  <c r="K77" i="19" s="1"/>
  <c r="AC77" i="19" s="1"/>
  <c r="CC138" i="39"/>
  <c r="CJ138" i="39" s="1"/>
  <c r="K138" i="19" s="1"/>
  <c r="AC138" i="19" s="1"/>
  <c r="BF90" i="39"/>
  <c r="BH90" i="39" s="1"/>
  <c r="BF32" i="39"/>
  <c r="BH32" i="39" s="1"/>
  <c r="CC192" i="39"/>
  <c r="CJ192" i="39" s="1"/>
  <c r="K192" i="19" s="1"/>
  <c r="AC192" i="19" s="1"/>
  <c r="CC139" i="39"/>
  <c r="CJ139" i="39" s="1"/>
  <c r="K139" i="19" s="1"/>
  <c r="AC139" i="19" s="1"/>
  <c r="BF40" i="39"/>
  <c r="BH40" i="39" s="1"/>
  <c r="BF59" i="39"/>
  <c r="BH59" i="39" s="1"/>
  <c r="BF57" i="39"/>
  <c r="BH57" i="39" s="1"/>
  <c r="BF79" i="39"/>
  <c r="BH79" i="39" s="1"/>
  <c r="BD80" i="39"/>
  <c r="BD44" i="39"/>
  <c r="BF44" i="39" s="1"/>
  <c r="BH44" i="39" s="1"/>
  <c r="BJ44" i="39" s="1"/>
  <c r="BL44" i="39" s="1"/>
  <c r="BN44" i="39" s="1"/>
  <c r="BP44" i="39" s="1"/>
  <c r="BR44" i="39" s="1"/>
  <c r="BT44" i="39" s="1"/>
  <c r="BV44" i="39" s="1"/>
  <c r="BY44" i="39" s="1"/>
  <c r="BD161" i="39"/>
  <c r="BF161" i="39" s="1"/>
  <c r="BH161" i="39" s="1"/>
  <c r="BJ161" i="39" s="1"/>
  <c r="BL161" i="39" s="1"/>
  <c r="BN161" i="39" s="1"/>
  <c r="BP161" i="39" s="1"/>
  <c r="BR161" i="39" s="1"/>
  <c r="BT161" i="39" s="1"/>
  <c r="BV161" i="39" s="1"/>
  <c r="BY161" i="39" s="1"/>
  <c r="BD35" i="39"/>
  <c r="BD106" i="39"/>
  <c r="BD56" i="39"/>
  <c r="BF56" i="39" s="1"/>
  <c r="BH56" i="39" s="1"/>
  <c r="BJ56" i="39" s="1"/>
  <c r="BL56" i="39" s="1"/>
  <c r="BN56" i="39" s="1"/>
  <c r="BP56" i="39" s="1"/>
  <c r="BR56" i="39" s="1"/>
  <c r="BT56" i="39" s="1"/>
  <c r="BV56" i="39" s="1"/>
  <c r="BY56" i="39" s="1"/>
  <c r="BD156" i="39"/>
  <c r="BF156" i="39" s="1"/>
  <c r="BH156" i="39" s="1"/>
  <c r="BJ156" i="39" s="1"/>
  <c r="BL156" i="39" s="1"/>
  <c r="BN156" i="39" s="1"/>
  <c r="BP156" i="39" s="1"/>
  <c r="BR156" i="39" s="1"/>
  <c r="BT156" i="39" s="1"/>
  <c r="BV156" i="39" s="1"/>
  <c r="BY156" i="39" s="1"/>
  <c r="BD73" i="39"/>
  <c r="BF73" i="39" s="1"/>
  <c r="BH73" i="39" s="1"/>
  <c r="BJ73" i="39" s="1"/>
  <c r="BL73" i="39" s="1"/>
  <c r="BN73" i="39" s="1"/>
  <c r="BP73" i="39" s="1"/>
  <c r="BR73" i="39" s="1"/>
  <c r="BT73" i="39" s="1"/>
  <c r="BV73" i="39" s="1"/>
  <c r="BY73" i="39" s="1"/>
  <c r="BD22" i="39"/>
  <c r="BD24" i="39"/>
  <c r="BD86" i="39"/>
  <c r="BD70" i="39"/>
  <c r="BF70" i="39" s="1"/>
  <c r="BH70" i="39" s="1"/>
  <c r="BJ70" i="39" s="1"/>
  <c r="BL70" i="39" s="1"/>
  <c r="BN70" i="39" s="1"/>
  <c r="BP70" i="39" s="1"/>
  <c r="BR70" i="39" s="1"/>
  <c r="BT70" i="39" s="1"/>
  <c r="BV70" i="39" s="1"/>
  <c r="BY70" i="39" s="1"/>
  <c r="BD39" i="39"/>
  <c r="BF39" i="39" s="1"/>
  <c r="BH39" i="39" s="1"/>
  <c r="BJ39" i="39" s="1"/>
  <c r="BL39" i="39" s="1"/>
  <c r="BN39" i="39" s="1"/>
  <c r="BP39" i="39" s="1"/>
  <c r="BR39" i="39" s="1"/>
  <c r="BT39" i="39" s="1"/>
  <c r="BV39" i="39" s="1"/>
  <c r="BY39" i="39" s="1"/>
  <c r="BD146" i="39"/>
  <c r="BD127" i="39"/>
  <c r="BF127" i="39" s="1"/>
  <c r="BH127" i="39" s="1"/>
  <c r="BJ127" i="39" s="1"/>
  <c r="BL127" i="39" s="1"/>
  <c r="BN127" i="39" s="1"/>
  <c r="BP127" i="39" s="1"/>
  <c r="BR127" i="39" s="1"/>
  <c r="BT127" i="39" s="1"/>
  <c r="BV127" i="39" s="1"/>
  <c r="BY127" i="39" s="1"/>
  <c r="BD81" i="39"/>
  <c r="BF81" i="39" s="1"/>
  <c r="BH81" i="39" s="1"/>
  <c r="BJ81" i="39" s="1"/>
  <c r="BL81" i="39" s="1"/>
  <c r="BN81" i="39" s="1"/>
  <c r="BP81" i="39" s="1"/>
  <c r="BR81" i="39" s="1"/>
  <c r="BT81" i="39" s="1"/>
  <c r="BV81" i="39" s="1"/>
  <c r="BY81" i="39" s="1"/>
  <c r="BD89" i="39"/>
  <c r="BF89" i="39" s="1"/>
  <c r="BH89" i="39" s="1"/>
  <c r="BJ89" i="39" s="1"/>
  <c r="BL89" i="39" s="1"/>
  <c r="BN89" i="39" s="1"/>
  <c r="BP89" i="39" s="1"/>
  <c r="BR89" i="39" s="1"/>
  <c r="BT89" i="39" s="1"/>
  <c r="BV89" i="39" s="1"/>
  <c r="BY89" i="39" s="1"/>
  <c r="BD63" i="39"/>
  <c r="BD107" i="39"/>
  <c r="BD65" i="39"/>
  <c r="BF65" i="39" s="1"/>
  <c r="BH65" i="39" s="1"/>
  <c r="BJ65" i="39" s="1"/>
  <c r="BL65" i="39" s="1"/>
  <c r="BN65" i="39" s="1"/>
  <c r="BP65" i="39" s="1"/>
  <c r="BR65" i="39" s="1"/>
  <c r="BT65" i="39" s="1"/>
  <c r="BV65" i="39" s="1"/>
  <c r="BY65" i="39" s="1"/>
  <c r="BD52" i="39"/>
  <c r="BF52" i="39" s="1"/>
  <c r="BH52" i="39" s="1"/>
  <c r="BJ52" i="39" s="1"/>
  <c r="BL52" i="39" s="1"/>
  <c r="BN52" i="39" s="1"/>
  <c r="BP52" i="39" s="1"/>
  <c r="BR52" i="39" s="1"/>
  <c r="BT52" i="39" s="1"/>
  <c r="BV52" i="39" s="1"/>
  <c r="BY52" i="39" s="1"/>
  <c r="BD119" i="39"/>
  <c r="BF119" i="39" s="1"/>
  <c r="BH119" i="39" s="1"/>
  <c r="BD147" i="39"/>
  <c r="BF147" i="39" s="1"/>
  <c r="BH147" i="39" s="1"/>
  <c r="BJ147" i="39" s="1"/>
  <c r="BL147" i="39" s="1"/>
  <c r="BN147" i="39" s="1"/>
  <c r="BP147" i="39" s="1"/>
  <c r="BR147" i="39" s="1"/>
  <c r="BT147" i="39" s="1"/>
  <c r="BV147" i="39" s="1"/>
  <c r="BY147" i="39" s="1"/>
  <c r="BD171" i="39"/>
  <c r="BF171" i="39" s="1"/>
  <c r="BH171" i="39" s="1"/>
  <c r="BJ171" i="39" s="1"/>
  <c r="BL171" i="39" s="1"/>
  <c r="BN171" i="39" s="1"/>
  <c r="BP171" i="39" s="1"/>
  <c r="BR171" i="39" s="1"/>
  <c r="BT171" i="39" s="1"/>
  <c r="BV171" i="39" s="1"/>
  <c r="BY171" i="39" s="1"/>
  <c r="BD141" i="39"/>
  <c r="BF141" i="39" s="1"/>
  <c r="BH141" i="39" s="1"/>
  <c r="BD140" i="39"/>
  <c r="BD61" i="39"/>
  <c r="BF61" i="39" s="1"/>
  <c r="BH61" i="39" s="1"/>
  <c r="BJ61" i="39" s="1"/>
  <c r="BL61" i="39" s="1"/>
  <c r="BN61" i="39" s="1"/>
  <c r="BP61" i="39" s="1"/>
  <c r="BR61" i="39" s="1"/>
  <c r="BT61" i="39" s="1"/>
  <c r="BV61" i="39" s="1"/>
  <c r="BY61" i="39" s="1"/>
  <c r="BD98" i="39"/>
  <c r="BD91" i="39"/>
  <c r="BD72" i="39"/>
  <c r="BF72" i="39" s="1"/>
  <c r="BH72" i="39" s="1"/>
  <c r="BJ72" i="39" s="1"/>
  <c r="BL72" i="39" s="1"/>
  <c r="BN72" i="39" s="1"/>
  <c r="BP72" i="39" s="1"/>
  <c r="BR72" i="39" s="1"/>
  <c r="BT72" i="39" s="1"/>
  <c r="BV72" i="39" s="1"/>
  <c r="BY72" i="39" s="1"/>
  <c r="BD62" i="39"/>
  <c r="BD43" i="39"/>
  <c r="BF43" i="39" s="1"/>
  <c r="BH43" i="39" s="1"/>
  <c r="BJ43" i="39" s="1"/>
  <c r="BL43" i="39" s="1"/>
  <c r="BN43" i="39" s="1"/>
  <c r="BP43" i="39" s="1"/>
  <c r="BR43" i="39" s="1"/>
  <c r="BT43" i="39" s="1"/>
  <c r="BV43" i="39" s="1"/>
  <c r="BY43" i="39" s="1"/>
  <c r="BD110" i="39"/>
  <c r="BD97" i="39"/>
  <c r="BF97" i="39" s="1"/>
  <c r="BH97" i="39" s="1"/>
  <c r="BJ97" i="39" s="1"/>
  <c r="BL97" i="39" s="1"/>
  <c r="BN97" i="39" s="1"/>
  <c r="BP97" i="39" s="1"/>
  <c r="BR97" i="39" s="1"/>
  <c r="BT97" i="39" s="1"/>
  <c r="BV97" i="39" s="1"/>
  <c r="BY97" i="39" s="1"/>
  <c r="BD29" i="39"/>
  <c r="BF29" i="39" s="1"/>
  <c r="BH29" i="39" s="1"/>
  <c r="BJ29" i="39" s="1"/>
  <c r="BL29" i="39" s="1"/>
  <c r="BN29" i="39" s="1"/>
  <c r="BP29" i="39" s="1"/>
  <c r="BR29" i="39" s="1"/>
  <c r="BT29" i="39" s="1"/>
  <c r="BV29" i="39" s="1"/>
  <c r="BY29" i="39" s="1"/>
  <c r="BD85" i="39"/>
  <c r="BF85" i="39" s="1"/>
  <c r="BH85" i="39" s="1"/>
  <c r="BD121" i="39"/>
  <c r="BF121" i="39" s="1"/>
  <c r="BH121" i="39" s="1"/>
  <c r="BJ121" i="39" s="1"/>
  <c r="BL121" i="39" s="1"/>
  <c r="BN121" i="39" s="1"/>
  <c r="BP121" i="39" s="1"/>
  <c r="BR121" i="39" s="1"/>
  <c r="BT121" i="39" s="1"/>
  <c r="BV121" i="39" s="1"/>
  <c r="BY121" i="39" s="1"/>
  <c r="BD123" i="39"/>
  <c r="BD87" i="39"/>
  <c r="BD33" i="39"/>
  <c r="BF33" i="39" s="1"/>
  <c r="BH33" i="39" s="1"/>
  <c r="BJ33" i="39" s="1"/>
  <c r="BL33" i="39" s="1"/>
  <c r="BN33" i="39" s="1"/>
  <c r="BP33" i="39" s="1"/>
  <c r="BR33" i="39" s="1"/>
  <c r="BT33" i="39" s="1"/>
  <c r="BV33" i="39" s="1"/>
  <c r="BY33" i="39" s="1"/>
  <c r="BD50" i="39"/>
  <c r="BF50" i="39" s="1"/>
  <c r="BH50" i="39" s="1"/>
  <c r="BD102" i="39"/>
  <c r="BF102" i="39" s="1"/>
  <c r="BH102" i="39" s="1"/>
  <c r="BJ102" i="39" s="1"/>
  <c r="BL102" i="39" s="1"/>
  <c r="BN102" i="39" s="1"/>
  <c r="BP102" i="39" s="1"/>
  <c r="BR102" i="39" s="1"/>
  <c r="BT102" i="39" s="1"/>
  <c r="BV102" i="39" s="1"/>
  <c r="BY102" i="39" s="1"/>
  <c r="BD48" i="39"/>
  <c r="BF48" i="39" s="1"/>
  <c r="BH48" i="39" s="1"/>
  <c r="BJ48" i="39" s="1"/>
  <c r="BL48" i="39" s="1"/>
  <c r="BN48" i="39" s="1"/>
  <c r="BP48" i="39" s="1"/>
  <c r="BR48" i="39" s="1"/>
  <c r="BT48" i="39" s="1"/>
  <c r="BV48" i="39" s="1"/>
  <c r="BY48" i="39" s="1"/>
  <c r="BD71" i="39"/>
  <c r="BD46" i="39"/>
  <c r="BD19" i="39"/>
  <c r="BF19" i="39" s="1"/>
  <c r="BH19" i="39" s="1"/>
  <c r="BJ19" i="39" s="1"/>
  <c r="BL19" i="39" s="1"/>
  <c r="BN19" i="39" s="1"/>
  <c r="BP19" i="39" s="1"/>
  <c r="BR19" i="39" s="1"/>
  <c r="BT19" i="39" s="1"/>
  <c r="BV19" i="39" s="1"/>
  <c r="BY19" i="39" s="1"/>
  <c r="BD157" i="39"/>
  <c r="BF157" i="39" s="1"/>
  <c r="BH157" i="39" s="1"/>
  <c r="BJ157" i="39" s="1"/>
  <c r="BL157" i="39" s="1"/>
  <c r="BN157" i="39" s="1"/>
  <c r="BP157" i="39" s="1"/>
  <c r="BR157" i="39" s="1"/>
  <c r="BT157" i="39" s="1"/>
  <c r="BV157" i="39" s="1"/>
  <c r="BY157" i="39" s="1"/>
  <c r="BD47" i="39"/>
  <c r="BD58" i="39"/>
  <c r="BF58" i="39" s="1"/>
  <c r="BH58" i="39" s="1"/>
  <c r="BJ58" i="39" s="1"/>
  <c r="BL58" i="39" s="1"/>
  <c r="BN58" i="39" s="1"/>
  <c r="BP58" i="39" s="1"/>
  <c r="BR58" i="39" s="1"/>
  <c r="BT58" i="39" s="1"/>
  <c r="BV58" i="39" s="1"/>
  <c r="BY58" i="39" s="1"/>
  <c r="BD27" i="39"/>
  <c r="BF27" i="39" s="1"/>
  <c r="BH27" i="39" s="1"/>
  <c r="BJ27" i="39" s="1"/>
  <c r="BL27" i="39" s="1"/>
  <c r="BN27" i="39" s="1"/>
  <c r="BP27" i="39" s="1"/>
  <c r="BR27" i="39" s="1"/>
  <c r="BT27" i="39" s="1"/>
  <c r="BV27" i="39" s="1"/>
  <c r="BY27" i="39" s="1"/>
  <c r="BD94" i="39"/>
  <c r="BF94" i="39" s="1"/>
  <c r="BH94" i="39" s="1"/>
  <c r="BJ94" i="39" s="1"/>
  <c r="BL94" i="39" s="1"/>
  <c r="BN94" i="39" s="1"/>
  <c r="BP94" i="39" s="1"/>
  <c r="BR94" i="39" s="1"/>
  <c r="BT94" i="39" s="1"/>
  <c r="BV94" i="39" s="1"/>
  <c r="BY94" i="39" s="1"/>
  <c r="BD28" i="39"/>
  <c r="BF28" i="39" s="1"/>
  <c r="BH28" i="39" s="1"/>
  <c r="BD114" i="39"/>
  <c r="BD105" i="39"/>
  <c r="BD159" i="39"/>
  <c r="BD41" i="39"/>
  <c r="BD25" i="39"/>
  <c r="BF25" i="39" s="1"/>
  <c r="BH25" i="39" s="1"/>
  <c r="BJ25" i="39" s="1"/>
  <c r="BL25" i="39" s="1"/>
  <c r="BN25" i="39" s="1"/>
  <c r="BP25" i="39" s="1"/>
  <c r="BR25" i="39" s="1"/>
  <c r="BT25" i="39" s="1"/>
  <c r="BV25" i="39" s="1"/>
  <c r="BY25" i="39" s="1"/>
  <c r="BD66" i="39"/>
  <c r="BF66" i="39" s="1"/>
  <c r="BH66" i="39" s="1"/>
  <c r="BJ66" i="39" s="1"/>
  <c r="BL66" i="39" s="1"/>
  <c r="BN66" i="39" s="1"/>
  <c r="BP66" i="39" s="1"/>
  <c r="BR66" i="39" s="1"/>
  <c r="BT66" i="39" s="1"/>
  <c r="BV66" i="39" s="1"/>
  <c r="BY66" i="39" s="1"/>
  <c r="BD133" i="39"/>
  <c r="BF133" i="39" s="1"/>
  <c r="BH133" i="39" s="1"/>
  <c r="BD21" i="39"/>
  <c r="BD143" i="39"/>
  <c r="BD55" i="39"/>
  <c r="BF55" i="39" s="1"/>
  <c r="BH55" i="39" s="1"/>
  <c r="BJ55" i="39" s="1"/>
  <c r="BL55" i="39" s="1"/>
  <c r="BN55" i="39" s="1"/>
  <c r="BP55" i="39" s="1"/>
  <c r="BR55" i="39" s="1"/>
  <c r="BT55" i="39" s="1"/>
  <c r="BV55" i="39" s="1"/>
  <c r="BY55" i="39" s="1"/>
  <c r="BD60" i="39"/>
  <c r="BF60" i="39" s="1"/>
  <c r="BH60" i="39" s="1"/>
  <c r="BJ60" i="39" s="1"/>
  <c r="BL60" i="39" s="1"/>
  <c r="BN60" i="39" s="1"/>
  <c r="BP60" i="39" s="1"/>
  <c r="BR60" i="39" s="1"/>
  <c r="BT60" i="39" s="1"/>
  <c r="BV60" i="39" s="1"/>
  <c r="BY60" i="39" s="1"/>
  <c r="BD42" i="39"/>
  <c r="BD45" i="39"/>
  <c r="BF45" i="39" s="1"/>
  <c r="BH45" i="39" s="1"/>
  <c r="BD153" i="39"/>
  <c r="J203" i="19"/>
  <c r="AE203" i="19"/>
  <c r="AG203" i="19" s="1"/>
  <c r="DQ160" i="39"/>
  <c r="DP49" i="39"/>
  <c r="DO49" i="39" s="1"/>
  <c r="DP158" i="39"/>
  <c r="DO158" i="39" s="1"/>
  <c r="DQ155" i="39"/>
  <c r="DP96" i="39"/>
  <c r="DO96" i="39" s="1"/>
  <c r="DP31" i="39"/>
  <c r="DO31" i="39" s="1"/>
  <c r="AZ83" i="39"/>
  <c r="BB83" i="39" s="1"/>
  <c r="AZ54" i="39"/>
  <c r="BB54" i="39" s="1"/>
  <c r="AZ101" i="39"/>
  <c r="BB101" i="39" s="1"/>
  <c r="DQ144" i="39"/>
  <c r="AZ104" i="39"/>
  <c r="BB104" i="39" s="1"/>
  <c r="AZ155" i="39"/>
  <c r="BB155" i="39" s="1"/>
  <c r="AZ158" i="39"/>
  <c r="BB158" i="39" s="1"/>
  <c r="AZ26" i="39"/>
  <c r="BB26" i="39" s="1"/>
  <c r="AZ96" i="39"/>
  <c r="BB96" i="39" s="1"/>
  <c r="AZ74" i="39"/>
  <c r="BB74" i="39" s="1"/>
  <c r="AZ84" i="39"/>
  <c r="BB84" i="39" s="1"/>
  <c r="AZ162" i="39"/>
  <c r="BB162" i="39" s="1"/>
  <c r="AZ144" i="39"/>
  <c r="BB144" i="39" s="1"/>
  <c r="AZ82" i="39"/>
  <c r="BB82" i="39" s="1"/>
  <c r="AZ128" i="39"/>
  <c r="BB128" i="39" s="1"/>
  <c r="AZ137" i="39"/>
  <c r="BB137" i="39" s="1"/>
  <c r="AZ49" i="39"/>
  <c r="BB49" i="39" s="1"/>
  <c r="AZ160" i="39"/>
  <c r="BB160" i="39" s="1"/>
  <c r="AZ31" i="39"/>
  <c r="BB31" i="39" s="1"/>
  <c r="DP84" i="39"/>
  <c r="DO84" i="39" s="1"/>
  <c r="DQ128" i="39"/>
  <c r="CU126" i="39"/>
  <c r="GQ126" i="39" s="1"/>
  <c r="DQ101" i="39"/>
  <c r="DQ137" i="39"/>
  <c r="DP104" i="39"/>
  <c r="DO104" i="39" s="1"/>
  <c r="DP82" i="39"/>
  <c r="DO82" i="39" s="1"/>
  <c r="DP83" i="39"/>
  <c r="DO83" i="39" s="1"/>
  <c r="DQ54" i="39"/>
  <c r="DQ74" i="39"/>
  <c r="DQ26" i="39"/>
  <c r="DP162" i="39"/>
  <c r="DO162" i="39" s="1"/>
  <c r="CM203" i="39"/>
  <c r="L203" i="19"/>
  <c r="DW203" i="39"/>
  <c r="DU203" i="39"/>
  <c r="FL64" i="39"/>
  <c r="FL222" i="39" s="1"/>
  <c r="FG222" i="39"/>
  <c r="FG217" i="39"/>
  <c r="FM64" i="39"/>
  <c r="FH222" i="39"/>
  <c r="FH217" i="39"/>
  <c r="I26" i="41"/>
  <c r="C27" i="41" s="1"/>
  <c r="H27" i="41" s="1"/>
  <c r="D30" i="41"/>
  <c r="A31" i="41"/>
  <c r="W28" i="5"/>
  <c r="CA43" i="39" l="1"/>
  <c r="CB43" i="39"/>
  <c r="CA65" i="39"/>
  <c r="CB65" i="39"/>
  <c r="CA73" i="39"/>
  <c r="CB73" i="39" s="1"/>
  <c r="CA171" i="39"/>
  <c r="CB171" i="39" s="1"/>
  <c r="CC171" i="39" s="1"/>
  <c r="CJ171" i="39" s="1"/>
  <c r="K171" i="19" s="1"/>
  <c r="AC171" i="19" s="1"/>
  <c r="CB48" i="39"/>
  <c r="CC48" i="39" s="1"/>
  <c r="CJ48" i="39" s="1"/>
  <c r="K48" i="19" s="1"/>
  <c r="AC48" i="19" s="1"/>
  <c r="CA48" i="39"/>
  <c r="CB156" i="39"/>
  <c r="CC156" i="39" s="1"/>
  <c r="CJ156" i="39" s="1"/>
  <c r="K156" i="19" s="1"/>
  <c r="AC156" i="19" s="1"/>
  <c r="CA156" i="39"/>
  <c r="CA97" i="39"/>
  <c r="CB97" i="39" s="1"/>
  <c r="CC97" i="39" s="1"/>
  <c r="CJ97" i="39" s="1"/>
  <c r="K97" i="19" s="1"/>
  <c r="AC97" i="19" s="1"/>
  <c r="CA52" i="39"/>
  <c r="CB52" i="39"/>
  <c r="CA102" i="39"/>
  <c r="CB102" i="39"/>
  <c r="CC102" i="39" s="1"/>
  <c r="CJ102" i="39" s="1"/>
  <c r="K102" i="19" s="1"/>
  <c r="AC102" i="19" s="1"/>
  <c r="CA89" i="39"/>
  <c r="CB89" i="39"/>
  <c r="CB157" i="39"/>
  <c r="CC157" i="39" s="1"/>
  <c r="CJ157" i="39" s="1"/>
  <c r="K157" i="19" s="1"/>
  <c r="AC157" i="19" s="1"/>
  <c r="CA157" i="39"/>
  <c r="CA66" i="39"/>
  <c r="CB66" i="39"/>
  <c r="CC66" i="39" s="1"/>
  <c r="CJ66" i="39" s="1"/>
  <c r="K66" i="19" s="1"/>
  <c r="AC66" i="19" s="1"/>
  <c r="CA33" i="39"/>
  <c r="CB33" i="39"/>
  <c r="CC33" i="39" s="1"/>
  <c r="CJ33" i="39" s="1"/>
  <c r="K33" i="19" s="1"/>
  <c r="AC33" i="19" s="1"/>
  <c r="CA81" i="39"/>
  <c r="CB81" i="39"/>
  <c r="CB72" i="39"/>
  <c r="CA72" i="39"/>
  <c r="CB60" i="39"/>
  <c r="CA60" i="39"/>
  <c r="CA94" i="39"/>
  <c r="CB94" i="39"/>
  <c r="CC94" i="39" s="1"/>
  <c r="CJ94" i="39" s="1"/>
  <c r="K94" i="19" s="1"/>
  <c r="AC94" i="19" s="1"/>
  <c r="CB61" i="39"/>
  <c r="CC61" i="39" s="1"/>
  <c r="CJ61" i="39" s="1"/>
  <c r="K61" i="19" s="1"/>
  <c r="AC61" i="19" s="1"/>
  <c r="CA61" i="39"/>
  <c r="CA127" i="39"/>
  <c r="CB127" i="39"/>
  <c r="CA161" i="39"/>
  <c r="CB161" i="39" s="1"/>
  <c r="CC161" i="39" s="1"/>
  <c r="CJ161" i="39" s="1"/>
  <c r="K161" i="19" s="1"/>
  <c r="AC161" i="19" s="1"/>
  <c r="CA29" i="39"/>
  <c r="CB29" i="39"/>
  <c r="CC29" i="39" s="1"/>
  <c r="CJ29" i="39" s="1"/>
  <c r="K29" i="19" s="1"/>
  <c r="AC29" i="19" s="1"/>
  <c r="CB25" i="39"/>
  <c r="CC25" i="39" s="1"/>
  <c r="CJ25" i="39" s="1"/>
  <c r="K25" i="19" s="1"/>
  <c r="AC25" i="19" s="1"/>
  <c r="CA25" i="39"/>
  <c r="CA55" i="39"/>
  <c r="CB55" i="39"/>
  <c r="CC55" i="39" s="1"/>
  <c r="CJ55" i="39" s="1"/>
  <c r="K55" i="19" s="1"/>
  <c r="AC55" i="19" s="1"/>
  <c r="CB27" i="39"/>
  <c r="CC27" i="39" s="1"/>
  <c r="CJ27" i="39" s="1"/>
  <c r="K27" i="19" s="1"/>
  <c r="AC27" i="19" s="1"/>
  <c r="CA27" i="39"/>
  <c r="CA44" i="39"/>
  <c r="CB44" i="39"/>
  <c r="CC44" i="39" s="1"/>
  <c r="CJ44" i="39" s="1"/>
  <c r="K44" i="19" s="1"/>
  <c r="AC44" i="19" s="1"/>
  <c r="CA70" i="39"/>
  <c r="CB70" i="39"/>
  <c r="CB147" i="39"/>
  <c r="CC147" i="39" s="1"/>
  <c r="CJ147" i="39" s="1"/>
  <c r="K147" i="19" s="1"/>
  <c r="AC147" i="19" s="1"/>
  <c r="CA147" i="39"/>
  <c r="CA19" i="39"/>
  <c r="CB19" i="39"/>
  <c r="CA56" i="39"/>
  <c r="CB56" i="39"/>
  <c r="CC56" i="39" s="1"/>
  <c r="CJ56" i="39" s="1"/>
  <c r="K56" i="19" s="1"/>
  <c r="AC56" i="19" s="1"/>
  <c r="CA58" i="39"/>
  <c r="CB58" i="39"/>
  <c r="CB121" i="39"/>
  <c r="CA121" i="39"/>
  <c r="CB39" i="39"/>
  <c r="CA39" i="39"/>
  <c r="CB13" i="39"/>
  <c r="CA13" i="39"/>
  <c r="BP17" i="39"/>
  <c r="BP36" i="39"/>
  <c r="BP116" i="39"/>
  <c r="BR116" i="39" s="1"/>
  <c r="BT116" i="39" s="1"/>
  <c r="BV116" i="39" s="1"/>
  <c r="BY116" i="39" s="1"/>
  <c r="BN199" i="39"/>
  <c r="BN75" i="39"/>
  <c r="BN64" i="39"/>
  <c r="BN181" i="39"/>
  <c r="BN117" i="39"/>
  <c r="M126" i="19"/>
  <c r="CZ126" i="39"/>
  <c r="Y126" i="19" s="1"/>
  <c r="BL78" i="39"/>
  <c r="BL115" i="39"/>
  <c r="BL142" i="39"/>
  <c r="BL88" i="39"/>
  <c r="GI126" i="39"/>
  <c r="GW126" i="39" s="1"/>
  <c r="HE126" i="39" s="1"/>
  <c r="HI126" i="39" s="1"/>
  <c r="BL132" i="39"/>
  <c r="BL69" i="39"/>
  <c r="BL210" i="39"/>
  <c r="BL172" i="39"/>
  <c r="DC126" i="39"/>
  <c r="AB126" i="19" s="1"/>
  <c r="BL129" i="39"/>
  <c r="BL136" i="39"/>
  <c r="BL99" i="39"/>
  <c r="DB126" i="39"/>
  <c r="AA126" i="19" s="1"/>
  <c r="BL154" i="39"/>
  <c r="BL100" i="39"/>
  <c r="BL23" i="39"/>
  <c r="CO126" i="39"/>
  <c r="GK126" i="39" s="1"/>
  <c r="GY126" i="39" s="1"/>
  <c r="BL34" i="39"/>
  <c r="BL53" i="39"/>
  <c r="BL188" i="39"/>
  <c r="BJ32" i="39"/>
  <c r="BJ57" i="39"/>
  <c r="BJ50" i="39"/>
  <c r="BL50" i="39" s="1"/>
  <c r="BJ79" i="39"/>
  <c r="BJ119" i="39"/>
  <c r="BJ59" i="39"/>
  <c r="BJ141" i="39"/>
  <c r="BJ28" i="39"/>
  <c r="BJ85" i="39"/>
  <c r="BJ40" i="39"/>
  <c r="BJ133" i="39"/>
  <c r="BJ45" i="39"/>
  <c r="BJ90" i="39"/>
  <c r="BF62" i="39"/>
  <c r="BH62" i="39" s="1"/>
  <c r="BF21" i="39"/>
  <c r="BH21" i="39" s="1"/>
  <c r="CC121" i="39"/>
  <c r="CJ121" i="39" s="1"/>
  <c r="K121" i="19" s="1"/>
  <c r="AC121" i="19" s="1"/>
  <c r="CC72" i="39"/>
  <c r="CJ72" i="39" s="1"/>
  <c r="K72" i="19" s="1"/>
  <c r="AC72" i="19" s="1"/>
  <c r="CC89" i="39"/>
  <c r="CJ89" i="39" s="1"/>
  <c r="K89" i="19" s="1"/>
  <c r="AC89" i="19" s="1"/>
  <c r="BF22" i="39"/>
  <c r="BH22" i="39" s="1"/>
  <c r="CC81" i="39"/>
  <c r="CJ81" i="39" s="1"/>
  <c r="K81" i="19" s="1"/>
  <c r="AC81" i="19" s="1"/>
  <c r="CC73" i="39"/>
  <c r="CJ73" i="39" s="1"/>
  <c r="K73" i="19" s="1"/>
  <c r="AC73" i="19" s="1"/>
  <c r="CC127" i="39"/>
  <c r="CJ127" i="39" s="1"/>
  <c r="K127" i="19" s="1"/>
  <c r="AC127" i="19" s="1"/>
  <c r="BF86" i="39"/>
  <c r="BH86" i="39" s="1"/>
  <c r="BF80" i="39"/>
  <c r="BH80" i="39" s="1"/>
  <c r="BF46" i="39"/>
  <c r="BH46" i="39" s="1"/>
  <c r="CC58" i="39"/>
  <c r="CJ58" i="39" s="1"/>
  <c r="K58" i="19" s="1"/>
  <c r="AC58" i="19" s="1"/>
  <c r="BF143" i="39"/>
  <c r="BH143" i="39" s="1"/>
  <c r="BF41" i="39"/>
  <c r="BH41" i="39" s="1"/>
  <c r="BF98" i="39"/>
  <c r="BH98" i="39" s="1"/>
  <c r="BF71" i="39"/>
  <c r="BH71" i="39" s="1"/>
  <c r="CC19" i="39"/>
  <c r="CJ19" i="39" s="1"/>
  <c r="K19" i="19" s="1"/>
  <c r="AC19" i="19" s="1"/>
  <c r="BF114" i="39"/>
  <c r="BH114" i="39" s="1"/>
  <c r="CC60" i="39"/>
  <c r="CJ60" i="39" s="1"/>
  <c r="K60" i="19" s="1"/>
  <c r="AC60" i="19" s="1"/>
  <c r="CC52" i="39"/>
  <c r="CJ52" i="39" s="1"/>
  <c r="K52" i="19" s="1"/>
  <c r="AC52" i="19" s="1"/>
  <c r="CC39" i="39"/>
  <c r="CJ39" i="39" s="1"/>
  <c r="K39" i="19" s="1"/>
  <c r="AC39" i="19" s="1"/>
  <c r="BF107" i="39"/>
  <c r="BF146" i="39"/>
  <c r="BH146" i="39" s="1"/>
  <c r="BF140" i="39"/>
  <c r="BH140" i="39" s="1"/>
  <c r="BF91" i="39"/>
  <c r="BH91" i="39" s="1"/>
  <c r="BF106" i="39"/>
  <c r="BH106" i="39" s="1"/>
  <c r="BJ106" i="39" s="1"/>
  <c r="BF159" i="39"/>
  <c r="BH159" i="39" s="1"/>
  <c r="BF87" i="39"/>
  <c r="BH87" i="39" s="1"/>
  <c r="BF42" i="39"/>
  <c r="BH42" i="39" s="1"/>
  <c r="CC43" i="39"/>
  <c r="CJ43" i="39" s="1"/>
  <c r="K43" i="19" s="1"/>
  <c r="AC43" i="19" s="1"/>
  <c r="CC65" i="39"/>
  <c r="CJ65" i="39" s="1"/>
  <c r="K65" i="19" s="1"/>
  <c r="AC65" i="19" s="1"/>
  <c r="CC70" i="39"/>
  <c r="CJ70" i="39" s="1"/>
  <c r="K70" i="19" s="1"/>
  <c r="AC70" i="19" s="1"/>
  <c r="BF63" i="39"/>
  <c r="BH63" i="39" s="1"/>
  <c r="BF24" i="39"/>
  <c r="BH24" i="39" s="1"/>
  <c r="BF110" i="39"/>
  <c r="BH110" i="39" s="1"/>
  <c r="BF47" i="39"/>
  <c r="BH47" i="39" s="1"/>
  <c r="BF35" i="39"/>
  <c r="BH35" i="39" s="1"/>
  <c r="BF105" i="39"/>
  <c r="BH105" i="39" s="1"/>
  <c r="BF123" i="39"/>
  <c r="BH123" i="39" s="1"/>
  <c r="BF153" i="39"/>
  <c r="BH153" i="39" s="1"/>
  <c r="BD160" i="39"/>
  <c r="BF160" i="39" s="1"/>
  <c r="BH160" i="39" s="1"/>
  <c r="BJ160" i="39" s="1"/>
  <c r="BL160" i="39" s="1"/>
  <c r="BN160" i="39" s="1"/>
  <c r="BP160" i="39" s="1"/>
  <c r="BR160" i="39" s="1"/>
  <c r="BT160" i="39" s="1"/>
  <c r="BV160" i="39" s="1"/>
  <c r="BY160" i="39" s="1"/>
  <c r="BD74" i="39"/>
  <c r="BF74" i="39" s="1"/>
  <c r="BH74" i="39" s="1"/>
  <c r="BJ74" i="39" s="1"/>
  <c r="BL74" i="39" s="1"/>
  <c r="BN74" i="39" s="1"/>
  <c r="BP74" i="39" s="1"/>
  <c r="BR74" i="39" s="1"/>
  <c r="BT74" i="39" s="1"/>
  <c r="BV74" i="39" s="1"/>
  <c r="BY74" i="39" s="1"/>
  <c r="BD54" i="39"/>
  <c r="BF54" i="39" s="1"/>
  <c r="BH54" i="39" s="1"/>
  <c r="BJ54" i="39" s="1"/>
  <c r="BL54" i="39" s="1"/>
  <c r="BN54" i="39" s="1"/>
  <c r="BP54" i="39" s="1"/>
  <c r="BR54" i="39" s="1"/>
  <c r="BT54" i="39" s="1"/>
  <c r="BV54" i="39" s="1"/>
  <c r="BY54" i="39" s="1"/>
  <c r="BD128" i="39"/>
  <c r="BD158" i="39"/>
  <c r="BD96" i="39"/>
  <c r="BD82" i="39"/>
  <c r="BF82" i="39" s="1"/>
  <c r="BH82" i="39" s="1"/>
  <c r="BJ82" i="39" s="1"/>
  <c r="BL82" i="39" s="1"/>
  <c r="BN82" i="39" s="1"/>
  <c r="BP82" i="39" s="1"/>
  <c r="BR82" i="39" s="1"/>
  <c r="BT82" i="39" s="1"/>
  <c r="BV82" i="39" s="1"/>
  <c r="BY82" i="39" s="1"/>
  <c r="BD49" i="39"/>
  <c r="BF49" i="39" s="1"/>
  <c r="BH49" i="39" s="1"/>
  <c r="BJ49" i="39" s="1"/>
  <c r="BL49" i="39" s="1"/>
  <c r="BN49" i="39" s="1"/>
  <c r="BP49" i="39" s="1"/>
  <c r="BR49" i="39" s="1"/>
  <c r="BT49" i="39" s="1"/>
  <c r="BV49" i="39" s="1"/>
  <c r="BY49" i="39" s="1"/>
  <c r="BD155" i="39"/>
  <c r="BF155" i="39" s="1"/>
  <c r="BH155" i="39" s="1"/>
  <c r="BJ155" i="39" s="1"/>
  <c r="BL155" i="39" s="1"/>
  <c r="BN155" i="39" s="1"/>
  <c r="BP155" i="39" s="1"/>
  <c r="BR155" i="39" s="1"/>
  <c r="BT155" i="39" s="1"/>
  <c r="BV155" i="39" s="1"/>
  <c r="BY155" i="39" s="1"/>
  <c r="BD104" i="39"/>
  <c r="BF104" i="39" s="1"/>
  <c r="BH104" i="39" s="1"/>
  <c r="BJ104" i="39" s="1"/>
  <c r="BL104" i="39" s="1"/>
  <c r="BN104" i="39" s="1"/>
  <c r="BP104" i="39" s="1"/>
  <c r="BR104" i="39" s="1"/>
  <c r="BT104" i="39" s="1"/>
  <c r="BV104" i="39" s="1"/>
  <c r="BY104" i="39" s="1"/>
  <c r="BD26" i="39"/>
  <c r="BD83" i="39"/>
  <c r="BD137" i="39"/>
  <c r="BD162" i="39"/>
  <c r="BD84" i="39"/>
  <c r="BF84" i="39" s="1"/>
  <c r="BH84" i="39" s="1"/>
  <c r="BJ84" i="39" s="1"/>
  <c r="BL84" i="39" s="1"/>
  <c r="BN84" i="39" s="1"/>
  <c r="BP84" i="39" s="1"/>
  <c r="BR84" i="39" s="1"/>
  <c r="BT84" i="39" s="1"/>
  <c r="BV84" i="39" s="1"/>
  <c r="BY84" i="39" s="1"/>
  <c r="BD101" i="39"/>
  <c r="BD144" i="39"/>
  <c r="BF144" i="39" s="1"/>
  <c r="BH144" i="39" s="1"/>
  <c r="BJ144" i="39" s="1"/>
  <c r="BL144" i="39" s="1"/>
  <c r="BN144" i="39" s="1"/>
  <c r="BP144" i="39" s="1"/>
  <c r="BR144" i="39" s="1"/>
  <c r="BT144" i="39" s="1"/>
  <c r="BV144" i="39" s="1"/>
  <c r="BY144" i="39" s="1"/>
  <c r="BD31" i="39"/>
  <c r="CV126" i="39"/>
  <c r="U126" i="19" s="1"/>
  <c r="CW126" i="39"/>
  <c r="V126" i="19" s="1"/>
  <c r="CX126" i="39"/>
  <c r="GT126" i="39" s="1"/>
  <c r="T126" i="19"/>
  <c r="CY126" i="39"/>
  <c r="X126" i="19" s="1"/>
  <c r="CZ203" i="39"/>
  <c r="Y203" i="19" s="1"/>
  <c r="DA203" i="39"/>
  <c r="Z203" i="19" s="1"/>
  <c r="DB203" i="39"/>
  <c r="AA203" i="19" s="1"/>
  <c r="DC203" i="39"/>
  <c r="AB203" i="19" s="1"/>
  <c r="AD203" i="19"/>
  <c r="M203" i="19"/>
  <c r="CU203" i="39"/>
  <c r="CO203" i="39"/>
  <c r="GI203" i="39"/>
  <c r="GW203" i="39" s="1"/>
  <c r="HE203" i="39" s="1"/>
  <c r="O26" i="41"/>
  <c r="FL217" i="39"/>
  <c r="FP64" i="39"/>
  <c r="FM217" i="39"/>
  <c r="FM222" i="39"/>
  <c r="F27" i="41"/>
  <c r="G27" i="41" s="1"/>
  <c r="O25" i="41" s="1"/>
  <c r="O27" i="41" s="1"/>
  <c r="D31" i="41"/>
  <c r="A32" i="41"/>
  <c r="W29" i="5"/>
  <c r="CA82" i="39" l="1"/>
  <c r="CB82" i="39"/>
  <c r="CA116" i="39"/>
  <c r="CB116" i="39"/>
  <c r="CB144" i="39"/>
  <c r="CC144" i="39" s="1"/>
  <c r="CJ144" i="39" s="1"/>
  <c r="K144" i="19" s="1"/>
  <c r="AC144" i="19" s="1"/>
  <c r="CA144" i="39"/>
  <c r="CB84" i="39"/>
  <c r="CC84" i="39" s="1"/>
  <c r="CJ84" i="39" s="1"/>
  <c r="K84" i="19" s="1"/>
  <c r="AC84" i="19" s="1"/>
  <c r="CA84" i="39"/>
  <c r="CA54" i="39"/>
  <c r="CB54" i="39"/>
  <c r="CC54" i="39" s="1"/>
  <c r="CJ54" i="39" s="1"/>
  <c r="K54" i="19" s="1"/>
  <c r="AC54" i="19" s="1"/>
  <c r="CB74" i="39"/>
  <c r="CC74" i="39" s="1"/>
  <c r="CJ74" i="39" s="1"/>
  <c r="K74" i="19" s="1"/>
  <c r="AC74" i="19" s="1"/>
  <c r="CA74" i="39"/>
  <c r="CB155" i="39"/>
  <c r="CC155" i="39" s="1"/>
  <c r="CJ155" i="39" s="1"/>
  <c r="K155" i="19" s="1"/>
  <c r="AC155" i="19" s="1"/>
  <c r="CA155" i="39"/>
  <c r="CB49" i="39"/>
  <c r="CC49" i="39" s="1"/>
  <c r="CJ49" i="39" s="1"/>
  <c r="K49" i="19" s="1"/>
  <c r="AC49" i="19" s="1"/>
  <c r="CA49" i="39"/>
  <c r="CA160" i="39"/>
  <c r="CB160" i="39"/>
  <c r="CA104" i="39"/>
  <c r="CB104" i="39"/>
  <c r="BR36" i="39"/>
  <c r="BT36" i="39" s="1"/>
  <c r="BV36" i="39" s="1"/>
  <c r="BY36" i="39" s="1"/>
  <c r="BR17" i="39"/>
  <c r="BT17" i="39" s="1"/>
  <c r="BV17" i="39" s="1"/>
  <c r="BY17" i="39" s="1"/>
  <c r="CC13" i="39"/>
  <c r="BP117" i="39"/>
  <c r="BP64" i="39"/>
  <c r="BP75" i="39"/>
  <c r="BP199" i="39"/>
  <c r="BR199" i="39" s="1"/>
  <c r="BT199" i="39" s="1"/>
  <c r="BV199" i="39" s="1"/>
  <c r="BY199" i="39" s="1"/>
  <c r="CC116" i="39"/>
  <c r="BP181" i="39"/>
  <c r="BN50" i="39"/>
  <c r="BN188" i="39"/>
  <c r="BN53" i="39"/>
  <c r="BN34" i="39"/>
  <c r="BN23" i="39"/>
  <c r="BN100" i="39"/>
  <c r="BN154" i="39"/>
  <c r="BN99" i="39"/>
  <c r="BN136" i="39"/>
  <c r="BN129" i="39"/>
  <c r="BN172" i="39"/>
  <c r="BN210" i="39"/>
  <c r="BN69" i="39"/>
  <c r="BN132" i="39"/>
  <c r="BN88" i="39"/>
  <c r="BN142" i="39"/>
  <c r="BN115" i="39"/>
  <c r="BN78" i="39"/>
  <c r="O126" i="19"/>
  <c r="CQ126" i="39"/>
  <c r="GM126" i="39" s="1"/>
  <c r="HA126" i="39" s="1"/>
  <c r="HC126" i="39" s="1"/>
  <c r="BL40" i="39"/>
  <c r="BL79" i="39"/>
  <c r="BL141" i="39"/>
  <c r="BL57" i="39"/>
  <c r="BL28" i="39"/>
  <c r="HH126" i="39"/>
  <c r="BL32" i="39"/>
  <c r="HG126" i="39"/>
  <c r="BL90" i="39"/>
  <c r="BL85" i="39"/>
  <c r="HF126" i="39"/>
  <c r="BL106" i="39"/>
  <c r="BL45" i="39"/>
  <c r="BL59" i="39"/>
  <c r="BL133" i="39"/>
  <c r="BL119" i="39"/>
  <c r="BJ24" i="39"/>
  <c r="BJ22" i="39"/>
  <c r="BJ63" i="39"/>
  <c r="BJ42" i="39"/>
  <c r="BJ71" i="39"/>
  <c r="BJ46" i="39"/>
  <c r="BJ114" i="39"/>
  <c r="BJ153" i="39"/>
  <c r="BJ87" i="39"/>
  <c r="BJ98" i="39"/>
  <c r="BJ80" i="39"/>
  <c r="BJ110" i="39"/>
  <c r="BJ123" i="39"/>
  <c r="BJ159" i="39"/>
  <c r="BJ41" i="39"/>
  <c r="BJ86" i="39"/>
  <c r="BJ21" i="39"/>
  <c r="BJ47" i="39"/>
  <c r="BJ140" i="39"/>
  <c r="BJ146" i="39"/>
  <c r="BJ105" i="39"/>
  <c r="BJ143" i="39"/>
  <c r="BJ62" i="39"/>
  <c r="BJ35" i="39"/>
  <c r="BJ91" i="39"/>
  <c r="GR126" i="39"/>
  <c r="BH107" i="39"/>
  <c r="BJ107" i="39" s="1"/>
  <c r="BL107" i="39" s="1"/>
  <c r="BN107" i="39" s="1"/>
  <c r="BP107" i="39" s="1"/>
  <c r="BR107" i="39" s="1"/>
  <c r="BT107" i="39" s="1"/>
  <c r="BV107" i="39" s="1"/>
  <c r="BY107" i="39" s="1"/>
  <c r="BF26" i="39"/>
  <c r="BH26" i="39" s="1"/>
  <c r="BF83" i="39"/>
  <c r="BH83" i="39" s="1"/>
  <c r="CC104" i="39"/>
  <c r="CJ104" i="39" s="1"/>
  <c r="K104" i="19" s="1"/>
  <c r="AC104" i="19" s="1"/>
  <c r="BF137" i="39"/>
  <c r="BH137" i="39" s="1"/>
  <c r="BF96" i="39"/>
  <c r="BH96" i="39" s="1"/>
  <c r="CC160" i="39"/>
  <c r="CJ160" i="39" s="1"/>
  <c r="K160" i="19" s="1"/>
  <c r="AC160" i="19" s="1"/>
  <c r="BF162" i="39"/>
  <c r="BH162" i="39" s="1"/>
  <c r="BF158" i="39"/>
  <c r="BH158" i="39" s="1"/>
  <c r="CC82" i="39"/>
  <c r="CJ82" i="39" s="1"/>
  <c r="K82" i="19" s="1"/>
  <c r="AC82" i="19" s="1"/>
  <c r="BF128" i="39"/>
  <c r="BH128" i="39" s="1"/>
  <c r="BF101" i="39"/>
  <c r="BH101" i="39" s="1"/>
  <c r="BF31" i="39"/>
  <c r="BH31" i="39" s="1"/>
  <c r="GS126" i="39"/>
  <c r="W126" i="19"/>
  <c r="GU126" i="39"/>
  <c r="HH203" i="39"/>
  <c r="HG203" i="39"/>
  <c r="HI203" i="39"/>
  <c r="HF203" i="39"/>
  <c r="GK203" i="39"/>
  <c r="GY203" i="39" s="1"/>
  <c r="CQ203" i="39"/>
  <c r="O203" i="19"/>
  <c r="GQ203" i="39"/>
  <c r="CX203" i="39"/>
  <c r="T203" i="19"/>
  <c r="CW203" i="39"/>
  <c r="CV203" i="39"/>
  <c r="CY203" i="39"/>
  <c r="FP222" i="39"/>
  <c r="AQ130" i="39" s="1"/>
  <c r="FP217" i="39"/>
  <c r="I27" i="41"/>
  <c r="C28" i="41" s="1"/>
  <c r="H28" i="41" s="1"/>
  <c r="D32" i="41"/>
  <c r="A33" i="41"/>
  <c r="W30" i="5"/>
  <c r="CB36" i="39" l="1"/>
  <c r="CA36" i="39"/>
  <c r="CA17" i="39"/>
  <c r="CB17" i="39"/>
  <c r="CC17" i="39" s="1"/>
  <c r="CJ17" i="39" s="1"/>
  <c r="K17" i="19" s="1"/>
  <c r="AC17" i="19" s="1"/>
  <c r="CB107" i="39"/>
  <c r="CC107" i="39" s="1"/>
  <c r="CJ107" i="39" s="1"/>
  <c r="K107" i="19" s="1"/>
  <c r="AC107" i="19" s="1"/>
  <c r="CA107" i="39"/>
  <c r="CA199" i="39"/>
  <c r="CB199" i="39"/>
  <c r="CC199" i="39" s="1"/>
  <c r="CC36" i="39"/>
  <c r="CJ36" i="39" s="1"/>
  <c r="K36" i="19" s="1"/>
  <c r="AC36" i="19" s="1"/>
  <c r="BR64" i="39"/>
  <c r="BT64" i="39" s="1"/>
  <c r="BV64" i="39" s="1"/>
  <c r="BY64" i="39" s="1"/>
  <c r="BR181" i="39"/>
  <c r="BT181" i="39" s="1"/>
  <c r="BV181" i="39" s="1"/>
  <c r="BY181" i="39" s="1"/>
  <c r="CH13" i="39"/>
  <c r="DE13" i="39"/>
  <c r="CJ13" i="39"/>
  <c r="K13" i="19" s="1"/>
  <c r="AC13" i="19" s="1"/>
  <c r="BR117" i="39"/>
  <c r="BT117" i="39" s="1"/>
  <c r="BV117" i="39" s="1"/>
  <c r="BY117" i="39" s="1"/>
  <c r="BR75" i="39"/>
  <c r="BT75" i="39" s="1"/>
  <c r="BV75" i="39" s="1"/>
  <c r="BY75" i="39" s="1"/>
  <c r="BP129" i="39"/>
  <c r="CH116" i="39"/>
  <c r="CJ116" i="39"/>
  <c r="K116" i="19" s="1"/>
  <c r="AC116" i="19" s="1"/>
  <c r="DE116" i="39"/>
  <c r="BP99" i="39"/>
  <c r="BP78" i="39"/>
  <c r="BP115" i="39"/>
  <c r="BP88" i="39"/>
  <c r="BP132" i="39"/>
  <c r="BP188" i="39"/>
  <c r="BR188" i="39" s="1"/>
  <c r="BT188" i="39" s="1"/>
  <c r="BV188" i="39" s="1"/>
  <c r="BY188" i="39" s="1"/>
  <c r="BP172" i="39"/>
  <c r="BP136" i="39"/>
  <c r="BP23" i="39"/>
  <c r="BP34" i="39"/>
  <c r="BP53" i="39"/>
  <c r="BP69" i="39"/>
  <c r="BP50" i="39"/>
  <c r="Q126" i="19"/>
  <c r="BP154" i="39"/>
  <c r="BP100" i="39"/>
  <c r="BP142" i="39"/>
  <c r="BP210" i="39"/>
  <c r="BN119" i="39"/>
  <c r="BN133" i="39"/>
  <c r="BN59" i="39"/>
  <c r="BN45" i="39"/>
  <c r="BN106" i="39"/>
  <c r="BN85" i="39"/>
  <c r="BN90" i="39"/>
  <c r="BN32" i="39"/>
  <c r="BN28" i="39"/>
  <c r="BN57" i="39"/>
  <c r="BN141" i="39"/>
  <c r="BN79" i="39"/>
  <c r="BN40" i="39"/>
  <c r="BL146" i="39"/>
  <c r="BL159" i="39"/>
  <c r="BL153" i="39"/>
  <c r="BL140" i="39"/>
  <c r="BL114" i="39"/>
  <c r="BL71" i="39"/>
  <c r="BL91" i="39"/>
  <c r="BL35" i="39"/>
  <c r="BL110" i="39"/>
  <c r="BL42" i="39"/>
  <c r="BL123" i="39"/>
  <c r="BL47" i="39"/>
  <c r="BL46" i="39"/>
  <c r="BL62" i="39"/>
  <c r="BL21" i="39"/>
  <c r="BL80" i="39"/>
  <c r="BL63" i="39"/>
  <c r="BL143" i="39"/>
  <c r="BL86" i="39"/>
  <c r="BL98" i="39"/>
  <c r="BL22" i="39"/>
  <c r="BL105" i="39"/>
  <c r="BL41" i="39"/>
  <c r="BL87" i="39"/>
  <c r="BL24" i="39"/>
  <c r="BJ101" i="39"/>
  <c r="BJ83" i="39"/>
  <c r="BJ26" i="39"/>
  <c r="BJ96" i="39"/>
  <c r="BJ137" i="39"/>
  <c r="BJ158" i="39"/>
  <c r="BJ128" i="39"/>
  <c r="BJ31" i="39"/>
  <c r="BJ162" i="39"/>
  <c r="GM203" i="39"/>
  <c r="HA203" i="39" s="1"/>
  <c r="HC203" i="39" s="1"/>
  <c r="Q203" i="19"/>
  <c r="GU203" i="39"/>
  <c r="X203" i="19"/>
  <c r="U203" i="19"/>
  <c r="GR203" i="39"/>
  <c r="V203" i="19"/>
  <c r="GS203" i="39"/>
  <c r="GT203" i="39"/>
  <c r="W203" i="19"/>
  <c r="P26" i="41"/>
  <c r="AR130" i="39"/>
  <c r="AS130" i="39" s="1"/>
  <c r="F28" i="41"/>
  <c r="G28" i="41" s="1"/>
  <c r="D33" i="41"/>
  <c r="A34" i="41"/>
  <c r="W31" i="5"/>
  <c r="CB181" i="39" l="1"/>
  <c r="CA181" i="39"/>
  <c r="CA117" i="39"/>
  <c r="CB117" i="39"/>
  <c r="CC117" i="39" s="1"/>
  <c r="CJ117" i="39" s="1"/>
  <c r="K117" i="19" s="1"/>
  <c r="AC117" i="19" s="1"/>
  <c r="CB75" i="39"/>
  <c r="CC75" i="39" s="1"/>
  <c r="CJ75" i="39" s="1"/>
  <c r="K75" i="19" s="1"/>
  <c r="AC75" i="19" s="1"/>
  <c r="CA75" i="39"/>
  <c r="CA188" i="39"/>
  <c r="CB188" i="39"/>
  <c r="CC188" i="39" s="1"/>
  <c r="CA64" i="39"/>
  <c r="CB64" i="39"/>
  <c r="CC64" i="39"/>
  <c r="CJ64" i="39" s="1"/>
  <c r="K64" i="19" s="1"/>
  <c r="AC64" i="19" s="1"/>
  <c r="BR69" i="39"/>
  <c r="BT69" i="39" s="1"/>
  <c r="BV69" i="39" s="1"/>
  <c r="BY69" i="39" s="1"/>
  <c r="BR132" i="39"/>
  <c r="BT132" i="39" s="1"/>
  <c r="BV132" i="39" s="1"/>
  <c r="BY132" i="39" s="1"/>
  <c r="BR129" i="39"/>
  <c r="BT129" i="39" s="1"/>
  <c r="BV129" i="39" s="1"/>
  <c r="BY129" i="39" s="1"/>
  <c r="BR210" i="39"/>
  <c r="BT210" i="39" s="1"/>
  <c r="BV210" i="39" s="1"/>
  <c r="BY210" i="39" s="1"/>
  <c r="BR53" i="39"/>
  <c r="BT53" i="39" s="1"/>
  <c r="BV53" i="39" s="1"/>
  <c r="BY53" i="39" s="1"/>
  <c r="BR88" i="39"/>
  <c r="BT88" i="39" s="1"/>
  <c r="BV88" i="39" s="1"/>
  <c r="BY88" i="39" s="1"/>
  <c r="BR50" i="39"/>
  <c r="BT50" i="39" s="1"/>
  <c r="BV50" i="39" s="1"/>
  <c r="BY50" i="39" s="1"/>
  <c r="BR115" i="39"/>
  <c r="BT115" i="39" s="1"/>
  <c r="BV115" i="39" s="1"/>
  <c r="BY115" i="39" s="1"/>
  <c r="BR100" i="39"/>
  <c r="BT100" i="39" s="1"/>
  <c r="BV100" i="39" s="1"/>
  <c r="BY100" i="39" s="1"/>
  <c r="BR23" i="39"/>
  <c r="BT23" i="39" s="1"/>
  <c r="BV23" i="39" s="1"/>
  <c r="BY23" i="39" s="1"/>
  <c r="BR78" i="39"/>
  <c r="BT78" i="39" s="1"/>
  <c r="BV78" i="39" s="1"/>
  <c r="BY78" i="39" s="1"/>
  <c r="BR154" i="39"/>
  <c r="BT154" i="39" s="1"/>
  <c r="BV154" i="39" s="1"/>
  <c r="BY154" i="39" s="1"/>
  <c r="BR99" i="39"/>
  <c r="BT99" i="39" s="1"/>
  <c r="BV99" i="39" s="1"/>
  <c r="BY99" i="39" s="1"/>
  <c r="CC181" i="39"/>
  <c r="BR142" i="39"/>
  <c r="BT142" i="39" s="1"/>
  <c r="BV142" i="39" s="1"/>
  <c r="BY142" i="39" s="1"/>
  <c r="BR34" i="39"/>
  <c r="BT34" i="39" s="1"/>
  <c r="BV34" i="39" s="1"/>
  <c r="BY34" i="39" s="1"/>
  <c r="BR136" i="39"/>
  <c r="BT136" i="39" s="1"/>
  <c r="BV136" i="39" s="1"/>
  <c r="BY136" i="39" s="1"/>
  <c r="BR172" i="39"/>
  <c r="BT172" i="39" s="1"/>
  <c r="BV172" i="39" s="1"/>
  <c r="BY172" i="39" s="1"/>
  <c r="BP57" i="39"/>
  <c r="BP28" i="39"/>
  <c r="BP106" i="39"/>
  <c r="BP59" i="39"/>
  <c r="BP133" i="39"/>
  <c r="BP32" i="39"/>
  <c r="BP141" i="39"/>
  <c r="BP90" i="39"/>
  <c r="BP85" i="39"/>
  <c r="CI116" i="39"/>
  <c r="HR116" i="39"/>
  <c r="BP45" i="39"/>
  <c r="BP40" i="39"/>
  <c r="BP119" i="39"/>
  <c r="DE199" i="39"/>
  <c r="CH199" i="39"/>
  <c r="CJ199" i="39"/>
  <c r="K199" i="19" s="1"/>
  <c r="AC199" i="19" s="1"/>
  <c r="BP79" i="39"/>
  <c r="BN24" i="39"/>
  <c r="BN87" i="39"/>
  <c r="BN41" i="39"/>
  <c r="BN105" i="39"/>
  <c r="BN22" i="39"/>
  <c r="BN98" i="39"/>
  <c r="BN86" i="39"/>
  <c r="BN143" i="39"/>
  <c r="BN63" i="39"/>
  <c r="BN80" i="39"/>
  <c r="BN21" i="39"/>
  <c r="BN62" i="39"/>
  <c r="BN46" i="39"/>
  <c r="BN47" i="39"/>
  <c r="BN123" i="39"/>
  <c r="BN42" i="39"/>
  <c r="BN110" i="39"/>
  <c r="BN35" i="39"/>
  <c r="BN91" i="39"/>
  <c r="BN71" i="39"/>
  <c r="BN114" i="39"/>
  <c r="BN140" i="39"/>
  <c r="BN153" i="39"/>
  <c r="BN159" i="39"/>
  <c r="BN146" i="39"/>
  <c r="BL31" i="39"/>
  <c r="BL96" i="39"/>
  <c r="BL26" i="39"/>
  <c r="BL158" i="39"/>
  <c r="BL137" i="39"/>
  <c r="BL128" i="39"/>
  <c r="BL83" i="39"/>
  <c r="BL101" i="39"/>
  <c r="BL162" i="39"/>
  <c r="AV130" i="39"/>
  <c r="AW130" i="39" s="1"/>
  <c r="AY130" i="39" s="1"/>
  <c r="P25" i="41"/>
  <c r="P27" i="41" s="1"/>
  <c r="I28" i="41"/>
  <c r="C29" i="41" s="1"/>
  <c r="D34" i="41"/>
  <c r="A35" i="41"/>
  <c r="W32" i="5"/>
  <c r="CA78" i="39" l="1"/>
  <c r="CB78" i="39"/>
  <c r="CA88" i="39"/>
  <c r="CB88" i="39"/>
  <c r="CC88" i="39" s="1"/>
  <c r="CJ88" i="39" s="1"/>
  <c r="K88" i="19" s="1"/>
  <c r="AC88" i="19" s="1"/>
  <c r="CB50" i="39"/>
  <c r="CC50" i="39" s="1"/>
  <c r="CJ50" i="39" s="1"/>
  <c r="K50" i="19" s="1"/>
  <c r="AC50" i="19" s="1"/>
  <c r="CA50" i="39"/>
  <c r="CA129" i="39"/>
  <c r="CB129" i="39"/>
  <c r="CC129" i="39" s="1"/>
  <c r="CJ129" i="39" s="1"/>
  <c r="K129" i="19" s="1"/>
  <c r="AC129" i="19" s="1"/>
  <c r="CA100" i="39"/>
  <c r="CB100" i="39"/>
  <c r="CC100" i="39" s="1"/>
  <c r="CJ100" i="39" s="1"/>
  <c r="K100" i="19" s="1"/>
  <c r="AC100" i="19" s="1"/>
  <c r="CA136" i="39"/>
  <c r="CB136" i="39"/>
  <c r="CC136" i="39" s="1"/>
  <c r="CJ136" i="39" s="1"/>
  <c r="K136" i="19" s="1"/>
  <c r="AC136" i="19" s="1"/>
  <c r="CA210" i="39"/>
  <c r="CB210" i="39"/>
  <c r="CB132" i="39"/>
  <c r="CC132" i="39" s="1"/>
  <c r="CJ132" i="39" s="1"/>
  <c r="K132" i="19" s="1"/>
  <c r="AC132" i="19" s="1"/>
  <c r="CA132" i="39"/>
  <c r="CA172" i="39"/>
  <c r="CB172" i="39"/>
  <c r="CA34" i="39"/>
  <c r="CB34" i="39"/>
  <c r="CC34" i="39" s="1"/>
  <c r="CJ34" i="39" s="1"/>
  <c r="K34" i="19" s="1"/>
  <c r="AC34" i="19" s="1"/>
  <c r="CA142" i="39"/>
  <c r="CB142" i="39"/>
  <c r="CC142" i="39" s="1"/>
  <c r="CJ142" i="39" s="1"/>
  <c r="K142" i="19" s="1"/>
  <c r="AC142" i="19" s="1"/>
  <c r="CB99" i="39"/>
  <c r="CC99" i="39" s="1"/>
  <c r="CJ99" i="39" s="1"/>
  <c r="K99" i="19" s="1"/>
  <c r="AC99" i="19" s="1"/>
  <c r="CA99" i="39"/>
  <c r="CA69" i="39"/>
  <c r="CB69" i="39" s="1"/>
  <c r="CC69" i="39"/>
  <c r="CJ69" i="39" s="1"/>
  <c r="K69" i="19" s="1"/>
  <c r="AC69" i="19" s="1"/>
  <c r="CB23" i="39"/>
  <c r="CA23" i="39"/>
  <c r="CA115" i="39"/>
  <c r="CB115" i="39"/>
  <c r="CA53" i="39"/>
  <c r="CB53" i="39"/>
  <c r="CC53" i="39" s="1"/>
  <c r="CJ53" i="39" s="1"/>
  <c r="K53" i="19" s="1"/>
  <c r="AC53" i="19" s="1"/>
  <c r="CA154" i="39"/>
  <c r="CB154" i="39"/>
  <c r="CC154" i="39" s="1"/>
  <c r="CJ154" i="39" s="1"/>
  <c r="K154" i="19" s="1"/>
  <c r="AC154" i="19" s="1"/>
  <c r="CC23" i="39"/>
  <c r="CJ23" i="39" s="1"/>
  <c r="K23" i="19" s="1"/>
  <c r="AC23" i="19" s="1"/>
  <c r="CC78" i="39"/>
  <c r="CJ78" i="39" s="1"/>
  <c r="K78" i="19" s="1"/>
  <c r="AC78" i="19" s="1"/>
  <c r="CC172" i="39"/>
  <c r="CJ172" i="39" s="1"/>
  <c r="K172" i="19" s="1"/>
  <c r="AC172" i="19" s="1"/>
  <c r="CC115" i="39"/>
  <c r="CJ115" i="39" s="1"/>
  <c r="K115" i="19" s="1"/>
  <c r="AC115" i="19" s="1"/>
  <c r="CC210" i="39"/>
  <c r="CJ210" i="39" s="1"/>
  <c r="K210" i="19" s="1"/>
  <c r="AC210" i="19" s="1"/>
  <c r="BR85" i="39"/>
  <c r="BT85" i="39" s="1"/>
  <c r="BV85" i="39" s="1"/>
  <c r="BY85" i="39" s="1"/>
  <c r="BR28" i="39"/>
  <c r="BT28" i="39" s="1"/>
  <c r="BV28" i="39" s="1"/>
  <c r="BY28" i="39" s="1"/>
  <c r="BR79" i="39"/>
  <c r="BT79" i="39" s="1"/>
  <c r="BV79" i="39" s="1"/>
  <c r="BY79" i="39" s="1"/>
  <c r="BR90" i="39"/>
  <c r="BT90" i="39" s="1"/>
  <c r="BV90" i="39" s="1"/>
  <c r="BY90" i="39" s="1"/>
  <c r="BR57" i="39"/>
  <c r="BT57" i="39" s="1"/>
  <c r="BV57" i="39" s="1"/>
  <c r="BY57" i="39" s="1"/>
  <c r="DE181" i="39"/>
  <c r="CH181" i="39"/>
  <c r="CJ181" i="39"/>
  <c r="K181" i="19" s="1"/>
  <c r="AC181" i="19" s="1"/>
  <c r="BR119" i="39"/>
  <c r="BT119" i="39" s="1"/>
  <c r="BV119" i="39" s="1"/>
  <c r="BY119" i="39" s="1"/>
  <c r="BR141" i="39"/>
  <c r="BT141" i="39" s="1"/>
  <c r="BV141" i="39" s="1"/>
  <c r="BY141" i="39" s="1"/>
  <c r="BR40" i="39"/>
  <c r="BT40" i="39" s="1"/>
  <c r="BV40" i="39" s="1"/>
  <c r="BY40" i="39" s="1"/>
  <c r="BR32" i="39"/>
  <c r="BT32" i="39" s="1"/>
  <c r="BV32" i="39" s="1"/>
  <c r="BY32" i="39" s="1"/>
  <c r="BR59" i="39"/>
  <c r="BT59" i="39" s="1"/>
  <c r="BV59" i="39" s="1"/>
  <c r="BY59" i="39" s="1"/>
  <c r="BR106" i="39"/>
  <c r="BT106" i="39" s="1"/>
  <c r="BV106" i="39" s="1"/>
  <c r="BY106" i="39" s="1"/>
  <c r="BR45" i="39"/>
  <c r="BT45" i="39" s="1"/>
  <c r="BV45" i="39" s="1"/>
  <c r="BY45" i="39" s="1"/>
  <c r="BR133" i="39"/>
  <c r="BT133" i="39" s="1"/>
  <c r="BV133" i="39" s="1"/>
  <c r="BY133" i="39" s="1"/>
  <c r="BP143" i="39"/>
  <c r="BP86" i="39"/>
  <c r="BP22" i="39"/>
  <c r="BP123" i="39"/>
  <c r="CI199" i="39"/>
  <c r="HR199" i="39"/>
  <c r="BP47" i="39"/>
  <c r="BP114" i="39"/>
  <c r="BP71" i="39"/>
  <c r="BP98" i="39"/>
  <c r="BP110" i="39"/>
  <c r="BP42" i="39"/>
  <c r="BP105" i="39"/>
  <c r="BP41" i="39"/>
  <c r="BP87" i="39"/>
  <c r="BP146" i="39"/>
  <c r="BP46" i="39"/>
  <c r="BP24" i="39"/>
  <c r="BP159" i="39"/>
  <c r="BP62" i="39"/>
  <c r="BP153" i="39"/>
  <c r="BP21" i="39"/>
  <c r="CH188" i="39"/>
  <c r="DE188" i="39"/>
  <c r="CJ188" i="39"/>
  <c r="K188" i="19" s="1"/>
  <c r="AC188" i="19" s="1"/>
  <c r="BP63" i="39"/>
  <c r="BP91" i="39"/>
  <c r="BP35" i="39"/>
  <c r="H116" i="19"/>
  <c r="CL116" i="39"/>
  <c r="CK116" i="39"/>
  <c r="DS116" i="39"/>
  <c r="BP140" i="39"/>
  <c r="BP80" i="39"/>
  <c r="BN162" i="39"/>
  <c r="BN101" i="39"/>
  <c r="BN83" i="39"/>
  <c r="BN128" i="39"/>
  <c r="BN137" i="39"/>
  <c r="BN158" i="39"/>
  <c r="BN26" i="39"/>
  <c r="BN96" i="39"/>
  <c r="BN31" i="39"/>
  <c r="AZ130" i="39"/>
  <c r="BB130" i="39" s="1"/>
  <c r="DD130" i="39"/>
  <c r="AU130" i="39"/>
  <c r="AX130" i="39"/>
  <c r="DQ130" i="39" s="1"/>
  <c r="F29" i="41"/>
  <c r="H29" i="41"/>
  <c r="D35" i="41"/>
  <c r="A36" i="41"/>
  <c r="W33" i="5"/>
  <c r="CB119" i="39" l="1"/>
  <c r="CA119" i="39"/>
  <c r="CA79" i="39"/>
  <c r="CB79" i="39"/>
  <c r="CA45" i="39"/>
  <c r="CB45" i="39"/>
  <c r="CC45" i="39" s="1"/>
  <c r="CJ45" i="39" s="1"/>
  <c r="K45" i="19" s="1"/>
  <c r="AC45" i="19" s="1"/>
  <c r="CB85" i="39"/>
  <c r="CC85" i="39" s="1"/>
  <c r="CJ85" i="39" s="1"/>
  <c r="K85" i="19" s="1"/>
  <c r="AC85" i="19" s="1"/>
  <c r="CA85" i="39"/>
  <c r="CA57" i="39"/>
  <c r="CB57" i="39"/>
  <c r="CC57" i="39" s="1"/>
  <c r="CB59" i="39"/>
  <c r="CC59" i="39" s="1"/>
  <c r="CJ59" i="39" s="1"/>
  <c r="K59" i="19" s="1"/>
  <c r="AC59" i="19" s="1"/>
  <c r="CA59" i="39"/>
  <c r="CA32" i="39"/>
  <c r="CB32" i="39"/>
  <c r="CC32" i="39" s="1"/>
  <c r="CJ32" i="39" s="1"/>
  <c r="K32" i="19" s="1"/>
  <c r="AC32" i="19" s="1"/>
  <c r="CB133" i="39"/>
  <c r="CC133" i="39" s="1"/>
  <c r="CJ133" i="39" s="1"/>
  <c r="K133" i="19" s="1"/>
  <c r="AC133" i="19" s="1"/>
  <c r="CA133" i="39"/>
  <c r="CA106" i="39"/>
  <c r="CB106" i="39"/>
  <c r="CC106" i="39" s="1"/>
  <c r="CJ106" i="39" s="1"/>
  <c r="K106" i="19" s="1"/>
  <c r="AC106" i="19" s="1"/>
  <c r="CA40" i="39"/>
  <c r="CB40" i="39"/>
  <c r="CC40" i="39" s="1"/>
  <c r="CJ40" i="39" s="1"/>
  <c r="K40" i="19" s="1"/>
  <c r="AC40" i="19" s="1"/>
  <c r="CA90" i="39"/>
  <c r="CB90" i="39"/>
  <c r="CC90" i="39" s="1"/>
  <c r="CJ90" i="39" s="1"/>
  <c r="K90" i="19" s="1"/>
  <c r="AC90" i="19" s="1"/>
  <c r="CA28" i="39"/>
  <c r="CB28" i="39"/>
  <c r="CC28" i="39" s="1"/>
  <c r="CJ28" i="39" s="1"/>
  <c r="K28" i="19" s="1"/>
  <c r="AC28" i="19" s="1"/>
  <c r="CA141" i="39"/>
  <c r="CB141" i="39"/>
  <c r="CC141" i="39" s="1"/>
  <c r="CJ141" i="39" s="1"/>
  <c r="K141" i="19" s="1"/>
  <c r="AC141" i="19" s="1"/>
  <c r="L116" i="19"/>
  <c r="AD116" i="19" s="1"/>
  <c r="CC119" i="39"/>
  <c r="CJ119" i="39" s="1"/>
  <c r="K119" i="19" s="1"/>
  <c r="AC119" i="19" s="1"/>
  <c r="CC79" i="39"/>
  <c r="CJ79" i="39" s="1"/>
  <c r="K79" i="19" s="1"/>
  <c r="AC79" i="19" s="1"/>
  <c r="BR143" i="39"/>
  <c r="BT143" i="39" s="1"/>
  <c r="BV143" i="39" s="1"/>
  <c r="BY143" i="39" s="1"/>
  <c r="BR21" i="39"/>
  <c r="BT21" i="39" s="1"/>
  <c r="BV21" i="39" s="1"/>
  <c r="BY21" i="39" s="1"/>
  <c r="BR41" i="39"/>
  <c r="BT41" i="39" s="1"/>
  <c r="BV41" i="39" s="1"/>
  <c r="BY41" i="39" s="1"/>
  <c r="BR114" i="39"/>
  <c r="BT114" i="39" s="1"/>
  <c r="BV114" i="39" s="1"/>
  <c r="BY114" i="39" s="1"/>
  <c r="BR153" i="39"/>
  <c r="BT153" i="39" s="1"/>
  <c r="BV153" i="39" s="1"/>
  <c r="BY153" i="39" s="1"/>
  <c r="BR62" i="39"/>
  <c r="BT62" i="39" s="1"/>
  <c r="BV62" i="39" s="1"/>
  <c r="BY62" i="39" s="1"/>
  <c r="BR105" i="39"/>
  <c r="BT105" i="39" s="1"/>
  <c r="BV105" i="39" s="1"/>
  <c r="BY105" i="39" s="1"/>
  <c r="BR42" i="39"/>
  <c r="BT42" i="39" s="1"/>
  <c r="BV42" i="39" s="1"/>
  <c r="BY42" i="39" s="1"/>
  <c r="BR140" i="39"/>
  <c r="BT140" i="39" s="1"/>
  <c r="BV140" i="39" s="1"/>
  <c r="BY140" i="39" s="1"/>
  <c r="BR159" i="39"/>
  <c r="BT159" i="39" s="1"/>
  <c r="BV159" i="39" s="1"/>
  <c r="BY159" i="39" s="1"/>
  <c r="BR110" i="39"/>
  <c r="BT110" i="39" s="1"/>
  <c r="BV110" i="39" s="1"/>
  <c r="BY110" i="39" s="1"/>
  <c r="CI181" i="39"/>
  <c r="HR181" i="39"/>
  <c r="BR35" i="39"/>
  <c r="BT35" i="39" s="1"/>
  <c r="BV35" i="39" s="1"/>
  <c r="BY35" i="39" s="1"/>
  <c r="BR91" i="39"/>
  <c r="BT91" i="39" s="1"/>
  <c r="BV91" i="39" s="1"/>
  <c r="BY91" i="39" s="1"/>
  <c r="BR47" i="39"/>
  <c r="BT47" i="39" s="1"/>
  <c r="BV47" i="39" s="1"/>
  <c r="BY47" i="39" s="1"/>
  <c r="BR80" i="39"/>
  <c r="BT80" i="39" s="1"/>
  <c r="BV80" i="39" s="1"/>
  <c r="BY80" i="39" s="1"/>
  <c r="BR63" i="39"/>
  <c r="BT63" i="39" s="1"/>
  <c r="BV63" i="39" s="1"/>
  <c r="BY63" i="39" s="1"/>
  <c r="BR24" i="39"/>
  <c r="BT24" i="39" s="1"/>
  <c r="BV24" i="39" s="1"/>
  <c r="BY24" i="39" s="1"/>
  <c r="BR98" i="39"/>
  <c r="BT98" i="39" s="1"/>
  <c r="BV98" i="39" s="1"/>
  <c r="BY98" i="39" s="1"/>
  <c r="BR123" i="39"/>
  <c r="BT123" i="39" s="1"/>
  <c r="BV123" i="39" s="1"/>
  <c r="BY123" i="39" s="1"/>
  <c r="BR87" i="39"/>
  <c r="BT87" i="39" s="1"/>
  <c r="BV87" i="39" s="1"/>
  <c r="BY87" i="39" s="1"/>
  <c r="BR46" i="39"/>
  <c r="BT46" i="39" s="1"/>
  <c r="BV46" i="39" s="1"/>
  <c r="BY46" i="39" s="1"/>
  <c r="BR71" i="39"/>
  <c r="BT71" i="39" s="1"/>
  <c r="BV71" i="39" s="1"/>
  <c r="BY71" i="39" s="1"/>
  <c r="BR22" i="39"/>
  <c r="BT22" i="39" s="1"/>
  <c r="BV22" i="39" s="1"/>
  <c r="BY22" i="39" s="1"/>
  <c r="BR146" i="39"/>
  <c r="BT146" i="39" s="1"/>
  <c r="BV146" i="39" s="1"/>
  <c r="BY146" i="39" s="1"/>
  <c r="BR86" i="39"/>
  <c r="BT86" i="39" s="1"/>
  <c r="BV86" i="39" s="1"/>
  <c r="BY86" i="39" s="1"/>
  <c r="CM116" i="39"/>
  <c r="CO116" i="39" s="1"/>
  <c r="BP26" i="39"/>
  <c r="BP83" i="39"/>
  <c r="DW116" i="39"/>
  <c r="DU116" i="39"/>
  <c r="DS199" i="39"/>
  <c r="CK199" i="39"/>
  <c r="H199" i="19"/>
  <c r="CL199" i="39"/>
  <c r="AE116" i="19"/>
  <c r="AG116" i="19" s="1"/>
  <c r="J116" i="19"/>
  <c r="M116" i="19" s="1"/>
  <c r="BP137" i="39"/>
  <c r="BP128" i="39"/>
  <c r="BP101" i="39"/>
  <c r="BP162" i="39"/>
  <c r="CI188" i="39"/>
  <c r="HR188" i="39"/>
  <c r="BP31" i="39"/>
  <c r="BP158" i="39"/>
  <c r="BP96" i="39"/>
  <c r="BD130" i="39"/>
  <c r="BF130" i="39" s="1"/>
  <c r="BH130" i="39" s="1"/>
  <c r="BJ130" i="39" s="1"/>
  <c r="BL130" i="39" s="1"/>
  <c r="BN130" i="39" s="1"/>
  <c r="BP130" i="39" s="1"/>
  <c r="BR130" i="39" s="1"/>
  <c r="BT130" i="39" s="1"/>
  <c r="BV130" i="39" s="1"/>
  <c r="BY130" i="39" s="1"/>
  <c r="Q26" i="41"/>
  <c r="DP130" i="39"/>
  <c r="DO130" i="39" s="1"/>
  <c r="D36" i="41"/>
  <c r="A37" i="41"/>
  <c r="G29" i="41"/>
  <c r="W34" i="5"/>
  <c r="CA42" i="39" l="1"/>
  <c r="CB42" i="39"/>
  <c r="CB24" i="39"/>
  <c r="CA24" i="39"/>
  <c r="CA80" i="39"/>
  <c r="CB80" i="39"/>
  <c r="CA21" i="39"/>
  <c r="CB21" i="39"/>
  <c r="CC21" i="39" s="1"/>
  <c r="CJ21" i="39" s="1"/>
  <c r="K21" i="19" s="1"/>
  <c r="AC21" i="19" s="1"/>
  <c r="CB47" i="39"/>
  <c r="CC47" i="39" s="1"/>
  <c r="CJ47" i="39" s="1"/>
  <c r="K47" i="19" s="1"/>
  <c r="AC47" i="19" s="1"/>
  <c r="CA47" i="39"/>
  <c r="CB86" i="39"/>
  <c r="CC86" i="39" s="1"/>
  <c r="CJ86" i="39" s="1"/>
  <c r="K86" i="19" s="1"/>
  <c r="AC86" i="19" s="1"/>
  <c r="CA86" i="39"/>
  <c r="CA22" i="39"/>
  <c r="CB22" i="39"/>
  <c r="CC22" i="39" s="1"/>
  <c r="CJ22" i="39" s="1"/>
  <c r="K22" i="19" s="1"/>
  <c r="AC22" i="19" s="1"/>
  <c r="CB143" i="39"/>
  <c r="CC143" i="39" s="1"/>
  <c r="CJ143" i="39" s="1"/>
  <c r="K143" i="19" s="1"/>
  <c r="AC143" i="19" s="1"/>
  <c r="CA143" i="39"/>
  <c r="CB98" i="39"/>
  <c r="CA98" i="39"/>
  <c r="CA114" i="39"/>
  <c r="CB114" i="39"/>
  <c r="CC114" i="39" s="1"/>
  <c r="CJ114" i="39" s="1"/>
  <c r="K114" i="19" s="1"/>
  <c r="AC114" i="19" s="1"/>
  <c r="CA130" i="39"/>
  <c r="CB130" i="39"/>
  <c r="CC130" i="39" s="1"/>
  <c r="CJ130" i="39" s="1"/>
  <c r="K130" i="19" s="1"/>
  <c r="AC130" i="19" s="1"/>
  <c r="CB71" i="39"/>
  <c r="CC71" i="39" s="1"/>
  <c r="CJ71" i="39" s="1"/>
  <c r="K71" i="19" s="1"/>
  <c r="AC71" i="19" s="1"/>
  <c r="CA71" i="39"/>
  <c r="CB63" i="39"/>
  <c r="CA63" i="39"/>
  <c r="CA41" i="39"/>
  <c r="CB41" i="39"/>
  <c r="CC41" i="39" s="1"/>
  <c r="CJ41" i="39" s="1"/>
  <c r="K41" i="19" s="1"/>
  <c r="AC41" i="19" s="1"/>
  <c r="CB62" i="39"/>
  <c r="CA62" i="39"/>
  <c r="CA153" i="39"/>
  <c r="CB153" i="39"/>
  <c r="CC153" i="39" s="1"/>
  <c r="CJ153" i="39" s="1"/>
  <c r="K153" i="19" s="1"/>
  <c r="AC153" i="19" s="1"/>
  <c r="CA146" i="39"/>
  <c r="CB146" i="39" s="1"/>
  <c r="CC146" i="39" s="1"/>
  <c r="CJ146" i="39" s="1"/>
  <c r="K146" i="19" s="1"/>
  <c r="AC146" i="19" s="1"/>
  <c r="CB87" i="39"/>
  <c r="CC87" i="39" s="1"/>
  <c r="CJ87" i="39" s="1"/>
  <c r="K87" i="19" s="1"/>
  <c r="AC87" i="19" s="1"/>
  <c r="CA87" i="39"/>
  <c r="CA105" i="39"/>
  <c r="CB105" i="39"/>
  <c r="CA91" i="39"/>
  <c r="CB91" i="39"/>
  <c r="CC91" i="39" s="1"/>
  <c r="CJ91" i="39" s="1"/>
  <c r="K91" i="19" s="1"/>
  <c r="AC91" i="19" s="1"/>
  <c r="CB35" i="39"/>
  <c r="CC35" i="39" s="1"/>
  <c r="CJ35" i="39" s="1"/>
  <c r="K35" i="19" s="1"/>
  <c r="AC35" i="19" s="1"/>
  <c r="CA35" i="39"/>
  <c r="CA46" i="39"/>
  <c r="CB46" i="39"/>
  <c r="CC46" i="39" s="1"/>
  <c r="CJ46" i="39" s="1"/>
  <c r="K46" i="19" s="1"/>
  <c r="AC46" i="19" s="1"/>
  <c r="CB110" i="39"/>
  <c r="CC110" i="39" s="1"/>
  <c r="CJ110" i="39" s="1"/>
  <c r="K110" i="19" s="1"/>
  <c r="AC110" i="19" s="1"/>
  <c r="CA110" i="39"/>
  <c r="CB159" i="39"/>
  <c r="CC159" i="39" s="1"/>
  <c r="CJ159" i="39" s="1"/>
  <c r="K159" i="19" s="1"/>
  <c r="AC159" i="19" s="1"/>
  <c r="CA159" i="39"/>
  <c r="CB123" i="39"/>
  <c r="CC123" i="39" s="1"/>
  <c r="CJ123" i="39" s="1"/>
  <c r="K123" i="19" s="1"/>
  <c r="AC123" i="19" s="1"/>
  <c r="CA123" i="39"/>
  <c r="CA140" i="39"/>
  <c r="CB140" i="39"/>
  <c r="CC140" i="39" s="1"/>
  <c r="CJ140" i="39" s="1"/>
  <c r="K140" i="19" s="1"/>
  <c r="AC140" i="19" s="1"/>
  <c r="CH57" i="39"/>
  <c r="CJ57" i="39"/>
  <c r="K57" i="19" s="1"/>
  <c r="AC57" i="19" s="1"/>
  <c r="CC42" i="39"/>
  <c r="CJ42" i="39" s="1"/>
  <c r="K42" i="19" s="1"/>
  <c r="AC42" i="19" s="1"/>
  <c r="CC24" i="39"/>
  <c r="CJ24" i="39" s="1"/>
  <c r="K24" i="19" s="1"/>
  <c r="AC24" i="19" s="1"/>
  <c r="CC63" i="39"/>
  <c r="CJ63" i="39" s="1"/>
  <c r="K63" i="19" s="1"/>
  <c r="AC63" i="19" s="1"/>
  <c r="CC98" i="39"/>
  <c r="CJ98" i="39" s="1"/>
  <c r="K98" i="19" s="1"/>
  <c r="AC98" i="19" s="1"/>
  <c r="CC62" i="39"/>
  <c r="CJ62" i="39" s="1"/>
  <c r="K62" i="19" s="1"/>
  <c r="AC62" i="19" s="1"/>
  <c r="CC105" i="39"/>
  <c r="CJ105" i="39" s="1"/>
  <c r="K105" i="19" s="1"/>
  <c r="AC105" i="19" s="1"/>
  <c r="CC80" i="39"/>
  <c r="CJ80" i="39" s="1"/>
  <c r="K80" i="19" s="1"/>
  <c r="AC80" i="19" s="1"/>
  <c r="GI116" i="39"/>
  <c r="GW116" i="39" s="1"/>
  <c r="HE116" i="39" s="1"/>
  <c r="HI116" i="39" s="1"/>
  <c r="DA116" i="39"/>
  <c r="Z116" i="19" s="1"/>
  <c r="BR26" i="39"/>
  <c r="BT26" i="39" s="1"/>
  <c r="BV26" i="39" s="1"/>
  <c r="BY26" i="39" s="1"/>
  <c r="DB116" i="39"/>
  <c r="AA116" i="19" s="1"/>
  <c r="BR101" i="39"/>
  <c r="BT101" i="39" s="1"/>
  <c r="BV101" i="39" s="1"/>
  <c r="BY101" i="39" s="1"/>
  <c r="BR96" i="39"/>
  <c r="BT96" i="39" s="1"/>
  <c r="BV96" i="39" s="1"/>
  <c r="BY96" i="39" s="1"/>
  <c r="BR128" i="39"/>
  <c r="BT128" i="39" s="1"/>
  <c r="BV128" i="39" s="1"/>
  <c r="BY128" i="39" s="1"/>
  <c r="CU116" i="39"/>
  <c r="CW116" i="39" s="1"/>
  <c r="CZ116" i="39"/>
  <c r="Y116" i="19" s="1"/>
  <c r="BR137" i="39"/>
  <c r="BT137" i="39" s="1"/>
  <c r="BV137" i="39" s="1"/>
  <c r="BY137" i="39" s="1"/>
  <c r="DC116" i="39"/>
  <c r="AB116" i="19" s="1"/>
  <c r="BR162" i="39"/>
  <c r="BT162" i="39" s="1"/>
  <c r="BV162" i="39" s="1"/>
  <c r="BY162" i="39" s="1"/>
  <c r="BR158" i="39"/>
  <c r="BT158" i="39" s="1"/>
  <c r="BV158" i="39" s="1"/>
  <c r="BY158" i="39" s="1"/>
  <c r="BR31" i="39"/>
  <c r="BT31" i="39" s="1"/>
  <c r="BV31" i="39" s="1"/>
  <c r="BY31" i="39" s="1"/>
  <c r="BR83" i="39"/>
  <c r="BT83" i="39" s="1"/>
  <c r="BV83" i="39" s="1"/>
  <c r="BY83" i="39" s="1"/>
  <c r="DS181" i="39"/>
  <c r="H181" i="19"/>
  <c r="CL181" i="39"/>
  <c r="CK181" i="39"/>
  <c r="CM199" i="39"/>
  <c r="DA199" i="39" s="1"/>
  <c r="Z199" i="19" s="1"/>
  <c r="AE199" i="19"/>
  <c r="AG199" i="19" s="1"/>
  <c r="J199" i="19"/>
  <c r="GK116" i="39"/>
  <c r="GY116" i="39" s="1"/>
  <c r="O116" i="19"/>
  <c r="CQ116" i="39"/>
  <c r="DW199" i="39"/>
  <c r="DU199" i="39"/>
  <c r="L199" i="19"/>
  <c r="AD199" i="19" s="1"/>
  <c r="CK188" i="39"/>
  <c r="H188" i="19"/>
  <c r="DS188" i="39"/>
  <c r="CL188" i="39"/>
  <c r="I29" i="41"/>
  <c r="C30" i="41" s="1"/>
  <c r="Q25" i="41"/>
  <c r="Q27" i="41" s="1"/>
  <c r="D37" i="41"/>
  <c r="A38" i="41"/>
  <c r="W35" i="5"/>
  <c r="L181" i="19" l="1"/>
  <c r="AD181" i="19" s="1"/>
  <c r="CB26" i="39"/>
  <c r="CA26" i="39"/>
  <c r="CA31" i="39"/>
  <c r="CB31" i="39"/>
  <c r="CC31" i="39" s="1"/>
  <c r="CJ31" i="39" s="1"/>
  <c r="K31" i="19" s="1"/>
  <c r="AC31" i="19" s="1"/>
  <c r="CA162" i="39"/>
  <c r="CB162" i="39"/>
  <c r="CC162" i="39" s="1"/>
  <c r="CJ162" i="39" s="1"/>
  <c r="K162" i="19" s="1"/>
  <c r="AC162" i="19" s="1"/>
  <c r="CB158" i="39"/>
  <c r="CC158" i="39" s="1"/>
  <c r="CJ158" i="39" s="1"/>
  <c r="K158" i="19" s="1"/>
  <c r="AC158" i="19" s="1"/>
  <c r="CA158" i="39"/>
  <c r="CA101" i="39"/>
  <c r="CB101" i="39"/>
  <c r="CC101" i="39" s="1"/>
  <c r="CJ101" i="39" s="1"/>
  <c r="K101" i="19" s="1"/>
  <c r="AC101" i="19" s="1"/>
  <c r="CA128" i="39"/>
  <c r="CB128" i="39"/>
  <c r="CC128" i="39" s="1"/>
  <c r="CJ128" i="39" s="1"/>
  <c r="K128" i="19" s="1"/>
  <c r="AC128" i="19" s="1"/>
  <c r="CB83" i="39"/>
  <c r="CC83" i="39" s="1"/>
  <c r="CJ83" i="39" s="1"/>
  <c r="K83" i="19" s="1"/>
  <c r="AC83" i="19" s="1"/>
  <c r="CA83" i="39"/>
  <c r="CA137" i="39"/>
  <c r="CB137" i="39"/>
  <c r="CC137" i="39" s="1"/>
  <c r="CJ137" i="39" s="1"/>
  <c r="K137" i="19" s="1"/>
  <c r="AC137" i="19" s="1"/>
  <c r="CB96" i="39"/>
  <c r="CA96" i="39"/>
  <c r="CC96" i="39"/>
  <c r="CJ96" i="39" s="1"/>
  <c r="K96" i="19" s="1"/>
  <c r="AC96" i="19" s="1"/>
  <c r="CC26" i="39"/>
  <c r="CJ26" i="39" s="1"/>
  <c r="K26" i="19" s="1"/>
  <c r="AC26" i="19" s="1"/>
  <c r="HG116" i="39"/>
  <c r="HF116" i="39"/>
  <c r="HH116" i="39"/>
  <c r="DB199" i="39"/>
  <c r="AA199" i="19" s="1"/>
  <c r="CY116" i="39"/>
  <c r="X116" i="19" s="1"/>
  <c r="CX116" i="39"/>
  <c r="W116" i="19" s="1"/>
  <c r="CM181" i="39"/>
  <c r="DB181" i="39" s="1"/>
  <c r="AA181" i="19" s="1"/>
  <c r="T116" i="19"/>
  <c r="GQ116" i="39"/>
  <c r="CV116" i="39"/>
  <c r="U116" i="19" s="1"/>
  <c r="CO199" i="39"/>
  <c r="GK199" i="39" s="1"/>
  <c r="GY199" i="39" s="1"/>
  <c r="DC199" i="39"/>
  <c r="AB199" i="19" s="1"/>
  <c r="CU199" i="39"/>
  <c r="CV199" i="39" s="1"/>
  <c r="GI199" i="39"/>
  <c r="GW199" i="39" s="1"/>
  <c r="HE199" i="39" s="1"/>
  <c r="HF199" i="39" s="1"/>
  <c r="CZ199" i="39"/>
  <c r="Y199" i="19" s="1"/>
  <c r="DU181" i="39"/>
  <c r="DW181" i="39"/>
  <c r="J181" i="19"/>
  <c r="M181" i="19" s="1"/>
  <c r="AE181" i="19"/>
  <c r="AG181" i="19" s="1"/>
  <c r="L188" i="19"/>
  <c r="AD188" i="19" s="1"/>
  <c r="V116" i="19"/>
  <c r="GS116" i="39"/>
  <c r="Q116" i="19"/>
  <c r="GM116" i="39"/>
  <c r="HA116" i="39" s="1"/>
  <c r="HC116" i="39" s="1"/>
  <c r="CM188" i="39"/>
  <c r="DU188" i="39"/>
  <c r="DW188" i="39"/>
  <c r="M199" i="19"/>
  <c r="J188" i="19"/>
  <c r="AE188" i="19"/>
  <c r="AG188" i="19" s="1"/>
  <c r="D38" i="41"/>
  <c r="A39" i="41"/>
  <c r="H30" i="41"/>
  <c r="CJ32" i="41" s="1"/>
  <c r="F30" i="41"/>
  <c r="W36" i="5"/>
  <c r="GT116" i="39" l="1"/>
  <c r="GU116" i="39"/>
  <c r="CZ181" i="39"/>
  <c r="Y181" i="19" s="1"/>
  <c r="DA181" i="39"/>
  <c r="Z181" i="19" s="1"/>
  <c r="CU181" i="39"/>
  <c r="CX181" i="39" s="1"/>
  <c r="DC181" i="39"/>
  <c r="AB181" i="19" s="1"/>
  <c r="GI181" i="39"/>
  <c r="GW181" i="39" s="1"/>
  <c r="HE181" i="39" s="1"/>
  <c r="HH181" i="39" s="1"/>
  <c r="CO181" i="39"/>
  <c r="O181" i="19" s="1"/>
  <c r="O199" i="19"/>
  <c r="GR116" i="39"/>
  <c r="CQ199" i="39"/>
  <c r="GM199" i="39" s="1"/>
  <c r="HA199" i="39" s="1"/>
  <c r="HC199" i="39" s="1"/>
  <c r="HG199" i="39"/>
  <c r="HH199" i="39"/>
  <c r="HI199" i="39"/>
  <c r="CX199" i="39"/>
  <c r="GT199" i="39" s="1"/>
  <c r="CW199" i="39"/>
  <c r="V199" i="19" s="1"/>
  <c r="M188" i="19"/>
  <c r="GQ199" i="39"/>
  <c r="CY199" i="39"/>
  <c r="GU199" i="39" s="1"/>
  <c r="T199" i="19"/>
  <c r="DA188" i="39"/>
  <c r="Z188" i="19" s="1"/>
  <c r="DB188" i="39"/>
  <c r="AA188" i="19" s="1"/>
  <c r="DC188" i="39"/>
  <c r="AB188" i="19" s="1"/>
  <c r="CO188" i="39"/>
  <c r="CU188" i="39"/>
  <c r="GI188" i="39"/>
  <c r="GW188" i="39" s="1"/>
  <c r="HE188" i="39" s="1"/>
  <c r="CZ188" i="39"/>
  <c r="Y188" i="19" s="1"/>
  <c r="U199" i="19"/>
  <c r="GR199" i="39"/>
  <c r="G30" i="41"/>
  <c r="R25" i="41" s="1"/>
  <c r="I30" i="41"/>
  <c r="C31" i="41" s="1"/>
  <c r="FX2" i="39"/>
  <c r="R26" i="41"/>
  <c r="D39" i="41"/>
  <c r="A40" i="41"/>
  <c r="W37" i="5"/>
  <c r="CY181" i="39" l="1"/>
  <c r="GQ181" i="39"/>
  <c r="CV181" i="39"/>
  <c r="GR181" i="39" s="1"/>
  <c r="CW181" i="39"/>
  <c r="V181" i="19" s="1"/>
  <c r="HF181" i="39"/>
  <c r="GK181" i="39"/>
  <c r="GY181" i="39" s="1"/>
  <c r="CQ181" i="39"/>
  <c r="Q181" i="19" s="1"/>
  <c r="HI181" i="39"/>
  <c r="HG181" i="39"/>
  <c r="T181" i="19"/>
  <c r="GS199" i="39"/>
  <c r="W199" i="19"/>
  <c r="Q199" i="19"/>
  <c r="GU181" i="39"/>
  <c r="X181" i="19"/>
  <c r="U181" i="19"/>
  <c r="X199" i="19"/>
  <c r="GT181" i="39"/>
  <c r="W181" i="19"/>
  <c r="HI188" i="39"/>
  <c r="HF188" i="39"/>
  <c r="HG188" i="39"/>
  <c r="HH188" i="39"/>
  <c r="CY188" i="39"/>
  <c r="T188" i="19"/>
  <c r="GQ188" i="39"/>
  <c r="CV188" i="39"/>
  <c r="CX188" i="39"/>
  <c r="CW188" i="39"/>
  <c r="O188" i="19"/>
  <c r="GK188" i="39"/>
  <c r="GY188" i="39" s="1"/>
  <c r="CQ188" i="39"/>
  <c r="R27" i="41"/>
  <c r="D40" i="41"/>
  <c r="A41" i="41"/>
  <c r="FX3" i="39"/>
  <c r="FX4" i="39"/>
  <c r="H31" i="41"/>
  <c r="S26" i="41" s="1"/>
  <c r="F31" i="41"/>
  <c r="W38" i="5"/>
  <c r="GS181" i="39" l="1"/>
  <c r="GM181" i="39"/>
  <c r="HA181" i="39" s="1"/>
  <c r="HC181" i="39" s="1"/>
  <c r="V188" i="19"/>
  <c r="GS188" i="39"/>
  <c r="GT188" i="39"/>
  <c r="W188" i="19"/>
  <c r="U188" i="19"/>
  <c r="GR188" i="39"/>
  <c r="X188" i="19"/>
  <c r="GU188" i="39"/>
  <c r="GM188" i="39"/>
  <c r="HA188" i="39" s="1"/>
  <c r="HC188" i="39" s="1"/>
  <c r="Q188" i="19"/>
  <c r="G31" i="41"/>
  <c r="S25" i="41" s="1"/>
  <c r="S27" i="41" s="1"/>
  <c r="FX5" i="39"/>
  <c r="D41" i="41"/>
  <c r="A42" i="41"/>
  <c r="I31" i="41"/>
  <c r="C32" i="41" s="1"/>
  <c r="AQ14" i="39"/>
  <c r="AQ211" i="39"/>
  <c r="AQ207" i="39"/>
  <c r="AQ168" i="39"/>
  <c r="AQ15" i="39"/>
  <c r="AQ174" i="39"/>
  <c r="AQ163" i="39"/>
  <c r="AQ202" i="39"/>
  <c r="AQ166" i="39"/>
  <c r="AQ179" i="39"/>
  <c r="AQ200" i="39"/>
  <c r="AQ164" i="39"/>
  <c r="AQ204" i="39"/>
  <c r="AQ167" i="39"/>
  <c r="AQ95" i="39"/>
  <c r="AQ198" i="39"/>
  <c r="AQ152" i="39"/>
  <c r="AQ76" i="39"/>
  <c r="AQ196" i="39"/>
  <c r="AQ150" i="39"/>
  <c r="AQ190" i="39"/>
  <c r="AQ149" i="39"/>
  <c r="AQ194" i="39"/>
  <c r="AQ191" i="39"/>
  <c r="AQ148" i="39"/>
  <c r="AQ16" i="39"/>
  <c r="AQ193" i="39"/>
  <c r="AQ120" i="39"/>
  <c r="AQ176" i="39"/>
  <c r="AQ18" i="39"/>
  <c r="AQ151" i="39"/>
  <c r="AQ184" i="39"/>
  <c r="AQ145" i="39"/>
  <c r="AQ208" i="39"/>
  <c r="AQ189" i="39"/>
  <c r="AQ113" i="39"/>
  <c r="AQ213" i="39"/>
  <c r="AQ67" i="39"/>
  <c r="AQ216" i="39"/>
  <c r="AQ180" i="39"/>
  <c r="AQ118" i="39"/>
  <c r="AQ131" i="39"/>
  <c r="AQ183" i="39"/>
  <c r="AQ186" i="39"/>
  <c r="AQ187" i="39"/>
  <c r="AQ206" i="39"/>
  <c r="AQ215" i="39"/>
  <c r="AQ212" i="39"/>
  <c r="AQ177" i="39"/>
  <c r="AQ165" i="39"/>
  <c r="AQ182" i="39"/>
  <c r="AQ111" i="39"/>
  <c r="AQ185" i="39"/>
  <c r="AQ201" i="39"/>
  <c r="AQ209" i="39"/>
  <c r="AQ173" i="39"/>
  <c r="AQ197" i="39"/>
  <c r="AQ214" i="39"/>
  <c r="AQ175" i="39"/>
  <c r="AQ109" i="39"/>
  <c r="AQ178" i="39"/>
  <c r="AQ195" i="39"/>
  <c r="AQ205" i="39"/>
  <c r="AQ170" i="39"/>
  <c r="AQ169" i="39"/>
  <c r="W39" i="5"/>
  <c r="AR183" i="39" l="1"/>
  <c r="AS183" i="39" s="1"/>
  <c r="AR193" i="39"/>
  <c r="AS193" i="39" s="1"/>
  <c r="AR196" i="39"/>
  <c r="AS196" i="39" s="1"/>
  <c r="AR200" i="39"/>
  <c r="AS200" i="39" s="1"/>
  <c r="AY200" i="39" s="1"/>
  <c r="AR207" i="39"/>
  <c r="AS207" i="39" s="1"/>
  <c r="AR214" i="39"/>
  <c r="AS214" i="39" s="1"/>
  <c r="AR165" i="39"/>
  <c r="AS165" i="39" s="1"/>
  <c r="AR131" i="39"/>
  <c r="AS131" i="39" s="1"/>
  <c r="AR208" i="39"/>
  <c r="AS208" i="39" s="1"/>
  <c r="AR16" i="39"/>
  <c r="AS16" i="39" s="1"/>
  <c r="AR76" i="39"/>
  <c r="AS76" i="39" s="1"/>
  <c r="AR179" i="39"/>
  <c r="AS179" i="39" s="1"/>
  <c r="AR211" i="39"/>
  <c r="AS211" i="39" s="1"/>
  <c r="AR175" i="39"/>
  <c r="AS175" i="39" s="1"/>
  <c r="AR169" i="39"/>
  <c r="AS169" i="39" s="1"/>
  <c r="AR148" i="39"/>
  <c r="AS148" i="39" s="1"/>
  <c r="AR170" i="39"/>
  <c r="AS170" i="39" s="1"/>
  <c r="AY170" i="39" s="1"/>
  <c r="AR173" i="39"/>
  <c r="AS173" i="39" s="1"/>
  <c r="AR212" i="39"/>
  <c r="AS212" i="39" s="1"/>
  <c r="AR180" i="39"/>
  <c r="AS180" i="39" s="1"/>
  <c r="AY180" i="39" s="1"/>
  <c r="AR184" i="39"/>
  <c r="AS184" i="39" s="1"/>
  <c r="AR191" i="39"/>
  <c r="AS191" i="39" s="1"/>
  <c r="AR198" i="39"/>
  <c r="AS198" i="39" s="1"/>
  <c r="AY198" i="39" s="1"/>
  <c r="AR202" i="39"/>
  <c r="AS202" i="39" s="1"/>
  <c r="AY202" i="39" s="1"/>
  <c r="AR189" i="39"/>
  <c r="AS189" i="39" s="1"/>
  <c r="AR145" i="39"/>
  <c r="AS145" i="39" s="1"/>
  <c r="AR205" i="39"/>
  <c r="AS205" i="39" s="1"/>
  <c r="AY205" i="39" s="1"/>
  <c r="AR151" i="39"/>
  <c r="AS151" i="39" s="1"/>
  <c r="AR194" i="39"/>
  <c r="AS194" i="39" s="1"/>
  <c r="AR95" i="39"/>
  <c r="AS95" i="39" s="1"/>
  <c r="AR163" i="39"/>
  <c r="AS163" i="39" s="1"/>
  <c r="AY163" i="39" s="1"/>
  <c r="AR182" i="39"/>
  <c r="AS182" i="39" s="1"/>
  <c r="AR118" i="39"/>
  <c r="AS118" i="39" s="1"/>
  <c r="AR152" i="39"/>
  <c r="AS152" i="39" s="1"/>
  <c r="AR216" i="39"/>
  <c r="AS216" i="39" s="1"/>
  <c r="AR195" i="39"/>
  <c r="AS195" i="39" s="1"/>
  <c r="AR201" i="39"/>
  <c r="AS201" i="39" s="1"/>
  <c r="AY201" i="39" s="1"/>
  <c r="AR206" i="39"/>
  <c r="AS206" i="39" s="1"/>
  <c r="AY206" i="39" s="1"/>
  <c r="AR67" i="39"/>
  <c r="AS67" i="39" s="1"/>
  <c r="AR18" i="39"/>
  <c r="AS18" i="39" s="1"/>
  <c r="AR149" i="39"/>
  <c r="AS149" i="39" s="1"/>
  <c r="AR167" i="39"/>
  <c r="AS167" i="39" s="1"/>
  <c r="AR174" i="39"/>
  <c r="AS174" i="39" s="1"/>
  <c r="AR177" i="39"/>
  <c r="AS177" i="39" s="1"/>
  <c r="AR166" i="39"/>
  <c r="AS166" i="39" s="1"/>
  <c r="AR215" i="39"/>
  <c r="AS215" i="39" s="1"/>
  <c r="AR178" i="39"/>
  <c r="AS178" i="39" s="1"/>
  <c r="AR185" i="39"/>
  <c r="AS185" i="39" s="1"/>
  <c r="AR187" i="39"/>
  <c r="AS187" i="39" s="1"/>
  <c r="AR213" i="39"/>
  <c r="AS213" i="39" s="1"/>
  <c r="AR176" i="39"/>
  <c r="AS176" i="39" s="1"/>
  <c r="AR190" i="39"/>
  <c r="AS190" i="39" s="1"/>
  <c r="AR204" i="39"/>
  <c r="AS204" i="39" s="1"/>
  <c r="AR15" i="39"/>
  <c r="AS15" i="39" s="1"/>
  <c r="AR197" i="39"/>
  <c r="AS197" i="39" s="1"/>
  <c r="AR14" i="39"/>
  <c r="AS14" i="39" s="1"/>
  <c r="AR209" i="39"/>
  <c r="AS209" i="39" s="1"/>
  <c r="AR109" i="39"/>
  <c r="AS109" i="39" s="1"/>
  <c r="AY109" i="39" s="1"/>
  <c r="AR111" i="39"/>
  <c r="AS111" i="39" s="1"/>
  <c r="AR186" i="39"/>
  <c r="AS186" i="39" s="1"/>
  <c r="AR113" i="39"/>
  <c r="AR120" i="39"/>
  <c r="AS120" i="39" s="1"/>
  <c r="AR150" i="39"/>
  <c r="AS150" i="39" s="1"/>
  <c r="AR164" i="39"/>
  <c r="AS164" i="39" s="1"/>
  <c r="AR168" i="39"/>
  <c r="AS168" i="39" s="1"/>
  <c r="AP2" i="39"/>
  <c r="AP1" i="39" s="1"/>
  <c r="H32" i="41"/>
  <c r="T26" i="41" s="1"/>
  <c r="F32" i="41"/>
  <c r="AP217" i="39"/>
  <c r="D42" i="41"/>
  <c r="A43" i="41"/>
  <c r="W40" i="5"/>
  <c r="AZ201" i="39" l="1"/>
  <c r="BB201" i="39" s="1"/>
  <c r="AZ163" i="39"/>
  <c r="BB163" i="39" s="1"/>
  <c r="AZ180" i="39"/>
  <c r="BB180" i="39" s="1"/>
  <c r="AZ205" i="39"/>
  <c r="BB205" i="39" s="1"/>
  <c r="AZ198" i="39"/>
  <c r="BB198" i="39" s="1"/>
  <c r="AZ170" i="39"/>
  <c r="BB170" i="39" s="1"/>
  <c r="AZ206" i="39"/>
  <c r="BB206" i="39" s="1"/>
  <c r="AZ200" i="39"/>
  <c r="BB200" i="39" s="1"/>
  <c r="AZ109" i="39"/>
  <c r="BB109" i="39" s="1"/>
  <c r="AZ202" i="39"/>
  <c r="BB202" i="39" s="1"/>
  <c r="AY216" i="39"/>
  <c r="AV150" i="39"/>
  <c r="AU150" i="39" s="1"/>
  <c r="AV197" i="39"/>
  <c r="DD197" i="39" s="1"/>
  <c r="AV178" i="39"/>
  <c r="AW178" i="39" s="1"/>
  <c r="AY178" i="39" s="1"/>
  <c r="AV67" i="39"/>
  <c r="AW67" i="39" s="1"/>
  <c r="AT163" i="39"/>
  <c r="DD163" i="39" s="1"/>
  <c r="AT198" i="39"/>
  <c r="DD198" i="39" s="1"/>
  <c r="AV169" i="39"/>
  <c r="DD169" i="39" s="1"/>
  <c r="AV165" i="39"/>
  <c r="DD165" i="39" s="1"/>
  <c r="AV14" i="39"/>
  <c r="AV182" i="39"/>
  <c r="DD182" i="39" s="1"/>
  <c r="AT202" i="39"/>
  <c r="DD202" i="39" s="1"/>
  <c r="AV148" i="39"/>
  <c r="AW148" i="39" s="1"/>
  <c r="AY148" i="39" s="1"/>
  <c r="AV131" i="39"/>
  <c r="AU131" i="39" s="1"/>
  <c r="AV120" i="39"/>
  <c r="AW120" i="39" s="1"/>
  <c r="AY120" i="39" s="1"/>
  <c r="AV15" i="39"/>
  <c r="AW15" i="39" s="1"/>
  <c r="AY15" i="39" s="1"/>
  <c r="AV215" i="39"/>
  <c r="AU215" i="39" s="1"/>
  <c r="AT206" i="39"/>
  <c r="DD206" i="39" s="1"/>
  <c r="AV95" i="39"/>
  <c r="AW95" i="39" s="1"/>
  <c r="AY95" i="39" s="1"/>
  <c r="AV191" i="39"/>
  <c r="DD191" i="39" s="1"/>
  <c r="AV175" i="39"/>
  <c r="AW175" i="39" s="1"/>
  <c r="AY175" i="39" s="1"/>
  <c r="AV214" i="39"/>
  <c r="AU214" i="39" s="1"/>
  <c r="AV185" i="39"/>
  <c r="DD185" i="39" s="1"/>
  <c r="AV166" i="39"/>
  <c r="AW166" i="39" s="1"/>
  <c r="AY166" i="39" s="1"/>
  <c r="AV194" i="39"/>
  <c r="DD194" i="39" s="1"/>
  <c r="AV207" i="39"/>
  <c r="AW207" i="39" s="1"/>
  <c r="AY207" i="39" s="1"/>
  <c r="AV186" i="39"/>
  <c r="AU186" i="39" s="1"/>
  <c r="AV190" i="39"/>
  <c r="DD190" i="39" s="1"/>
  <c r="AV177" i="39"/>
  <c r="DD177" i="39" s="1"/>
  <c r="AV195" i="39"/>
  <c r="AW195" i="39" s="1"/>
  <c r="AY195" i="39" s="1"/>
  <c r="AV151" i="39"/>
  <c r="DD151" i="39" s="1"/>
  <c r="AT180" i="39"/>
  <c r="DD180" i="39" s="1"/>
  <c r="AV179" i="39"/>
  <c r="AW179" i="39" s="1"/>
  <c r="AY179" i="39" s="1"/>
  <c r="AT200" i="39"/>
  <c r="DD200" i="39" s="1"/>
  <c r="AV164" i="39"/>
  <c r="AU164" i="39" s="1"/>
  <c r="AV204" i="39"/>
  <c r="AU204" i="39" s="1"/>
  <c r="AT201" i="39"/>
  <c r="DD201" i="39" s="1"/>
  <c r="AV184" i="39"/>
  <c r="AU184" i="39" s="1"/>
  <c r="AV211" i="39"/>
  <c r="AW211" i="39" s="1"/>
  <c r="AY211" i="39" s="1"/>
  <c r="AV111" i="39"/>
  <c r="AW111" i="39" s="1"/>
  <c r="AY111" i="39" s="1"/>
  <c r="AV176" i="39"/>
  <c r="AW176" i="39" s="1"/>
  <c r="AY176" i="39" s="1"/>
  <c r="AV174" i="39"/>
  <c r="DD174" i="39" s="1"/>
  <c r="AT216" i="39"/>
  <c r="DD216" i="39" s="1"/>
  <c r="AT205" i="39"/>
  <c r="DD205" i="39" s="1"/>
  <c r="AV212" i="39"/>
  <c r="AW212" i="39" s="1"/>
  <c r="AY212" i="39" s="1"/>
  <c r="AV76" i="39"/>
  <c r="AW76" i="39" s="1"/>
  <c r="AY76" i="39" s="1"/>
  <c r="AV196" i="39"/>
  <c r="DD196" i="39" s="1"/>
  <c r="AT109" i="39"/>
  <c r="DD109" i="39" s="1"/>
  <c r="AV213" i="39"/>
  <c r="AU213" i="39" s="1"/>
  <c r="AV167" i="39"/>
  <c r="AW167" i="39" s="1"/>
  <c r="AY167" i="39" s="1"/>
  <c r="AV152" i="39"/>
  <c r="AW152" i="39" s="1"/>
  <c r="AX152" i="39" s="1"/>
  <c r="AV145" i="39"/>
  <c r="AU145" i="39" s="1"/>
  <c r="AV173" i="39"/>
  <c r="DD173" i="39" s="1"/>
  <c r="AV16" i="39"/>
  <c r="AU16" i="39" s="1"/>
  <c r="AV193" i="39"/>
  <c r="DD193" i="39" s="1"/>
  <c r="AV168" i="39"/>
  <c r="AU168" i="39" s="1"/>
  <c r="AV209" i="39"/>
  <c r="AW209" i="39" s="1"/>
  <c r="AY209" i="39" s="1"/>
  <c r="AV187" i="39"/>
  <c r="AW187" i="39" s="1"/>
  <c r="AY187" i="39" s="1"/>
  <c r="AV149" i="39"/>
  <c r="AU149" i="39" s="1"/>
  <c r="AV118" i="39"/>
  <c r="DD118" i="39" s="1"/>
  <c r="AV189" i="39"/>
  <c r="AU189" i="39" s="1"/>
  <c r="AT170" i="39"/>
  <c r="DD170" i="39" s="1"/>
  <c r="AV208" i="39"/>
  <c r="AU208" i="39" s="1"/>
  <c r="AV183" i="39"/>
  <c r="AW183" i="39" s="1"/>
  <c r="AY183" i="39" s="1"/>
  <c r="AV18" i="39"/>
  <c r="AU18" i="39" s="1"/>
  <c r="AR217" i="39"/>
  <c r="AS113" i="39"/>
  <c r="G32" i="41"/>
  <c r="T25" i="41" s="1"/>
  <c r="T27" i="41" s="1"/>
  <c r="D43" i="41"/>
  <c r="A44" i="41"/>
  <c r="AQ217" i="39"/>
  <c r="W41" i="5"/>
  <c r="AU166" i="39" l="1"/>
  <c r="DD150" i="39"/>
  <c r="BD163" i="39"/>
  <c r="BF163" i="39" s="1"/>
  <c r="BH163" i="39" s="1"/>
  <c r="BJ163" i="39" s="1"/>
  <c r="BL163" i="39" s="1"/>
  <c r="BN163" i="39" s="1"/>
  <c r="BP163" i="39" s="1"/>
  <c r="BR163" i="39" s="1"/>
  <c r="BT163" i="39" s="1"/>
  <c r="BV163" i="39" s="1"/>
  <c r="BY163" i="39" s="1"/>
  <c r="BD202" i="39"/>
  <c r="BF202" i="39" s="1"/>
  <c r="BH202" i="39" s="1"/>
  <c r="BJ202" i="39" s="1"/>
  <c r="BL202" i="39" s="1"/>
  <c r="BN202" i="39" s="1"/>
  <c r="BP202" i="39" s="1"/>
  <c r="BR202" i="39" s="1"/>
  <c r="BT202" i="39" s="1"/>
  <c r="BV202" i="39" s="1"/>
  <c r="BY202" i="39" s="1"/>
  <c r="BD109" i="39"/>
  <c r="BD170" i="39"/>
  <c r="BD201" i="39"/>
  <c r="BD198" i="39"/>
  <c r="BF198" i="39" s="1"/>
  <c r="BH198" i="39" s="1"/>
  <c r="BJ198" i="39" s="1"/>
  <c r="BL198" i="39" s="1"/>
  <c r="BN198" i="39" s="1"/>
  <c r="BP198" i="39" s="1"/>
  <c r="BR198" i="39" s="1"/>
  <c r="BT198" i="39" s="1"/>
  <c r="BV198" i="39" s="1"/>
  <c r="BY198" i="39" s="1"/>
  <c r="BD180" i="39"/>
  <c r="BD200" i="39"/>
  <c r="BF200" i="39" s="1"/>
  <c r="BH200" i="39" s="1"/>
  <c r="BJ200" i="39" s="1"/>
  <c r="BL200" i="39" s="1"/>
  <c r="BN200" i="39" s="1"/>
  <c r="BP200" i="39" s="1"/>
  <c r="BR200" i="39" s="1"/>
  <c r="BT200" i="39" s="1"/>
  <c r="BV200" i="39" s="1"/>
  <c r="BY200" i="39" s="1"/>
  <c r="BD206" i="39"/>
  <c r="BD205" i="39"/>
  <c r="BF205" i="39" s="1"/>
  <c r="BH205" i="39" s="1"/>
  <c r="BJ205" i="39" s="1"/>
  <c r="BL205" i="39" s="1"/>
  <c r="BN205" i="39" s="1"/>
  <c r="BP205" i="39" s="1"/>
  <c r="BR205" i="39" s="1"/>
  <c r="BT205" i="39" s="1"/>
  <c r="BV205" i="39" s="1"/>
  <c r="BY205" i="39" s="1"/>
  <c r="AZ176" i="39"/>
  <c r="BB176" i="39" s="1"/>
  <c r="AZ207" i="39"/>
  <c r="BB207" i="39" s="1"/>
  <c r="AZ209" i="39"/>
  <c r="BB209" i="39" s="1"/>
  <c r="AZ111" i="39"/>
  <c r="BB111" i="39" s="1"/>
  <c r="AZ166" i="39"/>
  <c r="BB166" i="39" s="1"/>
  <c r="AZ15" i="39"/>
  <c r="BB15" i="39" s="1"/>
  <c r="AZ216" i="39"/>
  <c r="BB216" i="39" s="1"/>
  <c r="AZ187" i="39"/>
  <c r="BB187" i="39" s="1"/>
  <c r="AZ211" i="39"/>
  <c r="BB211" i="39" s="1"/>
  <c r="AZ120" i="39"/>
  <c r="BB120" i="39" s="1"/>
  <c r="AZ183" i="39"/>
  <c r="BB183" i="39" s="1"/>
  <c r="AZ76" i="39"/>
  <c r="BB76" i="39" s="1"/>
  <c r="AZ195" i="39"/>
  <c r="BB195" i="39" s="1"/>
  <c r="AZ179" i="39"/>
  <c r="BB179" i="39" s="1"/>
  <c r="AZ212" i="39"/>
  <c r="BB212" i="39" s="1"/>
  <c r="AZ175" i="39"/>
  <c r="BB175" i="39" s="1"/>
  <c r="AZ148" i="39"/>
  <c r="BB148" i="39" s="1"/>
  <c r="AZ178" i="39"/>
  <c r="BB178" i="39" s="1"/>
  <c r="AZ167" i="39"/>
  <c r="BB167" i="39" s="1"/>
  <c r="AZ95" i="39"/>
  <c r="BB95" i="39" s="1"/>
  <c r="AY152" i="39"/>
  <c r="AY67" i="39"/>
  <c r="DD166" i="39"/>
  <c r="DD15" i="39"/>
  <c r="AU67" i="39"/>
  <c r="AU212" i="39"/>
  <c r="DD186" i="39"/>
  <c r="AW182" i="39"/>
  <c r="DD187" i="39"/>
  <c r="DD178" i="39"/>
  <c r="AU187" i="39"/>
  <c r="AU178" i="39"/>
  <c r="DD215" i="39"/>
  <c r="AW186" i="39"/>
  <c r="AU95" i="39"/>
  <c r="AU111" i="39"/>
  <c r="AW194" i="39"/>
  <c r="AU182" i="39"/>
  <c r="AW169" i="39"/>
  <c r="AU194" i="39"/>
  <c r="DD189" i="39"/>
  <c r="AW189" i="39"/>
  <c r="DD179" i="39"/>
  <c r="AU211" i="39"/>
  <c r="DD149" i="39"/>
  <c r="AU15" i="39"/>
  <c r="AU207" i="39"/>
  <c r="AU185" i="39"/>
  <c r="DD211" i="39"/>
  <c r="DD214" i="39"/>
  <c r="AU197" i="39"/>
  <c r="AW151" i="39"/>
  <c r="AU209" i="39"/>
  <c r="AW197" i="39"/>
  <c r="DD209" i="39"/>
  <c r="AU169" i="39"/>
  <c r="AW168" i="39"/>
  <c r="AU195" i="39"/>
  <c r="DD168" i="39"/>
  <c r="DD120" i="39"/>
  <c r="AW204" i="39"/>
  <c r="AU120" i="39"/>
  <c r="DD204" i="39"/>
  <c r="AW214" i="39"/>
  <c r="DD111" i="39"/>
  <c r="DD95" i="39"/>
  <c r="DD152" i="39"/>
  <c r="AW208" i="39"/>
  <c r="AU190" i="39"/>
  <c r="AW118" i="39"/>
  <c r="DD164" i="39"/>
  <c r="AU193" i="39"/>
  <c r="AW145" i="39"/>
  <c r="AU175" i="39"/>
  <c r="AU118" i="39"/>
  <c r="DD145" i="39"/>
  <c r="AU152" i="39"/>
  <c r="AW164" i="39"/>
  <c r="AW190" i="39"/>
  <c r="DD148" i="39"/>
  <c r="AW193" i="39"/>
  <c r="AU191" i="39"/>
  <c r="AU196" i="39"/>
  <c r="AW191" i="39"/>
  <c r="AW196" i="39"/>
  <c r="AW184" i="39"/>
  <c r="AU176" i="39"/>
  <c r="DD131" i="39"/>
  <c r="AW174" i="39"/>
  <c r="DD175" i="39"/>
  <c r="AW177" i="39"/>
  <c r="AU183" i="39"/>
  <c r="DD183" i="39"/>
  <c r="AT217" i="39"/>
  <c r="AU151" i="39"/>
  <c r="AW185" i="39"/>
  <c r="AW173" i="39"/>
  <c r="AW165" i="39"/>
  <c r="DD76" i="39"/>
  <c r="DD207" i="39"/>
  <c r="AW149" i="39"/>
  <c r="DD184" i="39"/>
  <c r="DD176" i="39"/>
  <c r="DD212" i="39"/>
  <c r="DD208" i="39"/>
  <c r="AW215" i="39"/>
  <c r="AU76" i="39"/>
  <c r="AW16" i="39"/>
  <c r="AU177" i="39"/>
  <c r="AW131" i="39"/>
  <c r="AW150" i="39"/>
  <c r="AU174" i="39"/>
  <c r="DD213" i="39"/>
  <c r="DD16" i="39"/>
  <c r="AU167" i="39"/>
  <c r="AU165" i="39"/>
  <c r="AW213" i="39"/>
  <c r="DD167" i="39"/>
  <c r="DD67" i="39"/>
  <c r="AU179" i="39"/>
  <c r="AU148" i="39"/>
  <c r="DD195" i="39"/>
  <c r="AU173" i="39"/>
  <c r="AW18" i="39"/>
  <c r="AY18" i="39" s="1"/>
  <c r="DD18" i="39"/>
  <c r="AV113" i="39"/>
  <c r="AV217" i="39" s="1"/>
  <c r="AS217" i="39"/>
  <c r="I32" i="41"/>
  <c r="C33" i="41" s="1"/>
  <c r="F33" i="41" s="1"/>
  <c r="AX205" i="39"/>
  <c r="DQ205" i="39" s="1"/>
  <c r="AX212" i="39"/>
  <c r="DP212" i="39" s="1"/>
  <c r="DO212" i="39" s="1"/>
  <c r="AX163" i="39"/>
  <c r="DQ163" i="39" s="1"/>
  <c r="AX207" i="39"/>
  <c r="DP207" i="39" s="1"/>
  <c r="DO207" i="39" s="1"/>
  <c r="AX148" i="39"/>
  <c r="DP148" i="39" s="1"/>
  <c r="DO148" i="39" s="1"/>
  <c r="AX111" i="39"/>
  <c r="DP111" i="39" s="1"/>
  <c r="DO111" i="39" s="1"/>
  <c r="AX198" i="39"/>
  <c r="DP198" i="39" s="1"/>
  <c r="DO198" i="39" s="1"/>
  <c r="AX195" i="39"/>
  <c r="DP195" i="39" s="1"/>
  <c r="DO195" i="39" s="1"/>
  <c r="AX95" i="39"/>
  <c r="DQ95" i="39" s="1"/>
  <c r="AX167" i="39"/>
  <c r="DP167" i="39" s="1"/>
  <c r="DO167" i="39" s="1"/>
  <c r="AX170" i="39"/>
  <c r="DP170" i="39" s="1"/>
  <c r="DO170" i="39" s="1"/>
  <c r="AX200" i="39"/>
  <c r="DQ200" i="39" s="1"/>
  <c r="AX176" i="39"/>
  <c r="DQ176" i="39" s="1"/>
  <c r="AX216" i="39"/>
  <c r="DQ216" i="39" s="1"/>
  <c r="AX202" i="39"/>
  <c r="DQ202" i="39" s="1"/>
  <c r="AX109" i="39"/>
  <c r="DQ109" i="39" s="1"/>
  <c r="AX67" i="39"/>
  <c r="AX206" i="39"/>
  <c r="AX166" i="39"/>
  <c r="AX180" i="39"/>
  <c r="DD14" i="39"/>
  <c r="AU14" i="39"/>
  <c r="AW14" i="39"/>
  <c r="D44" i="41"/>
  <c r="A45" i="41"/>
  <c r="AX179" i="39"/>
  <c r="AX187" i="39"/>
  <c r="AX178" i="39"/>
  <c r="AX209" i="39"/>
  <c r="AX175" i="39"/>
  <c r="AX211" i="39"/>
  <c r="AX76" i="39"/>
  <c r="AX201" i="39"/>
  <c r="AX15" i="39"/>
  <c r="AX120" i="39"/>
  <c r="AX183" i="39"/>
  <c r="W42" i="5"/>
  <c r="CA202" i="39" l="1"/>
  <c r="CB202" i="39"/>
  <c r="CA163" i="39"/>
  <c r="CB163" i="39"/>
  <c r="CC163" i="39" s="1"/>
  <c r="DE163" i="39" s="1"/>
  <c r="CA198" i="39"/>
  <c r="CB198" i="39"/>
  <c r="CB205" i="39"/>
  <c r="CC205" i="39" s="1"/>
  <c r="DE205" i="39" s="1"/>
  <c r="CA205" i="39"/>
  <c r="CA200" i="39"/>
  <c r="CB200" i="39"/>
  <c r="CC200" i="39" s="1"/>
  <c r="DE200" i="39" s="1"/>
  <c r="CC202" i="39"/>
  <c r="CH202" i="39" s="1"/>
  <c r="CI202" i="39" s="1"/>
  <c r="BF109" i="39"/>
  <c r="BH109" i="39" s="1"/>
  <c r="BF170" i="39"/>
  <c r="BH170" i="39" s="1"/>
  <c r="BF206" i="39"/>
  <c r="BH206" i="39" s="1"/>
  <c r="CC198" i="39"/>
  <c r="DE198" i="39" s="1"/>
  <c r="BF180" i="39"/>
  <c r="BH180" i="39" s="1"/>
  <c r="BF201" i="39"/>
  <c r="BH201" i="39" s="1"/>
  <c r="BD183" i="39"/>
  <c r="BF183" i="39" s="1"/>
  <c r="BH183" i="39" s="1"/>
  <c r="BJ183" i="39" s="1"/>
  <c r="BL183" i="39" s="1"/>
  <c r="BN183" i="39" s="1"/>
  <c r="BP183" i="39" s="1"/>
  <c r="BR183" i="39" s="1"/>
  <c r="BT183" i="39" s="1"/>
  <c r="BV183" i="39" s="1"/>
  <c r="BY183" i="39" s="1"/>
  <c r="BD175" i="39"/>
  <c r="BF175" i="39" s="1"/>
  <c r="BH175" i="39" s="1"/>
  <c r="BJ175" i="39" s="1"/>
  <c r="BL175" i="39" s="1"/>
  <c r="BN175" i="39" s="1"/>
  <c r="BP175" i="39" s="1"/>
  <c r="BR175" i="39" s="1"/>
  <c r="BT175" i="39" s="1"/>
  <c r="BV175" i="39" s="1"/>
  <c r="BY175" i="39" s="1"/>
  <c r="BD212" i="39"/>
  <c r="BD216" i="39"/>
  <c r="BF216" i="39" s="1"/>
  <c r="BH216" i="39" s="1"/>
  <c r="BJ216" i="39" s="1"/>
  <c r="BL216" i="39" s="1"/>
  <c r="BN216" i="39" s="1"/>
  <c r="BP216" i="39" s="1"/>
  <c r="BR216" i="39" s="1"/>
  <c r="BT216" i="39" s="1"/>
  <c r="BV216" i="39" s="1"/>
  <c r="BY216" i="39" s="1"/>
  <c r="BD178" i="39"/>
  <c r="BD179" i="39"/>
  <c r="BD15" i="39"/>
  <c r="BD207" i="39"/>
  <c r="BD195" i="39"/>
  <c r="BF195" i="39" s="1"/>
  <c r="BH195" i="39" s="1"/>
  <c r="BJ195" i="39" s="1"/>
  <c r="BL195" i="39" s="1"/>
  <c r="BN195" i="39" s="1"/>
  <c r="BP195" i="39" s="1"/>
  <c r="BR195" i="39" s="1"/>
  <c r="BT195" i="39" s="1"/>
  <c r="BV195" i="39" s="1"/>
  <c r="BY195" i="39" s="1"/>
  <c r="BD120" i="39"/>
  <c r="BD187" i="39"/>
  <c r="BF187" i="39" s="1"/>
  <c r="BH187" i="39" s="1"/>
  <c r="BD76" i="39"/>
  <c r="BD111" i="39"/>
  <c r="BF111" i="39" s="1"/>
  <c r="BH111" i="39" s="1"/>
  <c r="BJ111" i="39" s="1"/>
  <c r="BL111" i="39" s="1"/>
  <c r="BN111" i="39" s="1"/>
  <c r="BP111" i="39" s="1"/>
  <c r="BR111" i="39" s="1"/>
  <c r="BT111" i="39" s="1"/>
  <c r="BV111" i="39" s="1"/>
  <c r="BY111" i="39" s="1"/>
  <c r="BD148" i="39"/>
  <c r="BF148" i="39" s="1"/>
  <c r="BH148" i="39" s="1"/>
  <c r="BJ148" i="39" s="1"/>
  <c r="BL148" i="39" s="1"/>
  <c r="BN148" i="39" s="1"/>
  <c r="BP148" i="39" s="1"/>
  <c r="BR148" i="39" s="1"/>
  <c r="BT148" i="39" s="1"/>
  <c r="BV148" i="39" s="1"/>
  <c r="BY148" i="39" s="1"/>
  <c r="BD211" i="39"/>
  <c r="BD176" i="39"/>
  <c r="BF176" i="39" s="1"/>
  <c r="BH176" i="39" s="1"/>
  <c r="BD166" i="39"/>
  <c r="BF166" i="39" s="1"/>
  <c r="BH166" i="39" s="1"/>
  <c r="BD209" i="39"/>
  <c r="BF209" i="39" s="1"/>
  <c r="BH209" i="39" s="1"/>
  <c r="BJ209" i="39" s="1"/>
  <c r="BL209" i="39" s="1"/>
  <c r="BN209" i="39" s="1"/>
  <c r="BP209" i="39" s="1"/>
  <c r="BR209" i="39" s="1"/>
  <c r="BT209" i="39" s="1"/>
  <c r="BV209" i="39" s="1"/>
  <c r="BY209" i="39" s="1"/>
  <c r="BD95" i="39"/>
  <c r="BD167" i="39"/>
  <c r="AZ18" i="39"/>
  <c r="BB18" i="39" s="1"/>
  <c r="AZ67" i="39"/>
  <c r="BB67" i="39" s="1"/>
  <c r="AZ152" i="39"/>
  <c r="BB152" i="39" s="1"/>
  <c r="AX164" i="39"/>
  <c r="DQ164" i="39" s="1"/>
  <c r="AY164" i="39"/>
  <c r="AX213" i="39"/>
  <c r="DP213" i="39" s="1"/>
  <c r="DO213" i="39" s="1"/>
  <c r="AY213" i="39"/>
  <c r="AX190" i="39"/>
  <c r="DQ190" i="39" s="1"/>
  <c r="AY190" i="39"/>
  <c r="AY189" i="39"/>
  <c r="AY186" i="39"/>
  <c r="AX196" i="39"/>
  <c r="DQ196" i="39" s="1"/>
  <c r="AY196" i="39"/>
  <c r="AY204" i="39"/>
  <c r="AY184" i="39"/>
  <c r="AY191" i="39"/>
  <c r="AY208" i="39"/>
  <c r="AY169" i="39"/>
  <c r="AX149" i="39"/>
  <c r="DP149" i="39" s="1"/>
  <c r="DO149" i="39" s="1"/>
  <c r="AY149" i="39"/>
  <c r="AY177" i="39"/>
  <c r="AX197" i="39"/>
  <c r="DQ197" i="39" s="1"/>
  <c r="AY197" i="39"/>
  <c r="AX118" i="39"/>
  <c r="DQ118" i="39" s="1"/>
  <c r="AY118" i="39"/>
  <c r="AY165" i="39"/>
  <c r="AX194" i="39"/>
  <c r="DQ194" i="39" s="1"/>
  <c r="AY194" i="39"/>
  <c r="AY14" i="39"/>
  <c r="AX150" i="39"/>
  <c r="DQ150" i="39" s="1"/>
  <c r="AY150" i="39"/>
  <c r="AY173" i="39"/>
  <c r="AX174" i="39"/>
  <c r="DP174" i="39" s="1"/>
  <c r="DO174" i="39" s="1"/>
  <c r="AY174" i="39"/>
  <c r="AX193" i="39"/>
  <c r="DP193" i="39" s="1"/>
  <c r="DO193" i="39" s="1"/>
  <c r="AY193" i="39"/>
  <c r="AX145" i="39"/>
  <c r="DP145" i="39" s="1"/>
  <c r="DO145" i="39" s="1"/>
  <c r="AY145" i="39"/>
  <c r="AY168" i="39"/>
  <c r="AX151" i="39"/>
  <c r="DQ151" i="39" s="1"/>
  <c r="AY151" i="39"/>
  <c r="AX182" i="39"/>
  <c r="DP182" i="39" s="1"/>
  <c r="DO182" i="39" s="1"/>
  <c r="AY182" i="39"/>
  <c r="AX16" i="39"/>
  <c r="DQ16" i="39" s="1"/>
  <c r="AY16" i="39"/>
  <c r="AX131" i="39"/>
  <c r="DQ131" i="39" s="1"/>
  <c r="AY131" i="39"/>
  <c r="AX215" i="39"/>
  <c r="DQ215" i="39" s="1"/>
  <c r="AY215" i="39"/>
  <c r="AX185" i="39"/>
  <c r="DQ185" i="39" s="1"/>
  <c r="AY185" i="39"/>
  <c r="AY214" i="39"/>
  <c r="AX204" i="39"/>
  <c r="DQ204" i="39" s="1"/>
  <c r="AX169" i="39"/>
  <c r="DP169" i="39" s="1"/>
  <c r="DO169" i="39" s="1"/>
  <c r="AX168" i="39"/>
  <c r="DP168" i="39" s="1"/>
  <c r="DO168" i="39" s="1"/>
  <c r="AX214" i="39"/>
  <c r="DQ214" i="39" s="1"/>
  <c r="AX186" i="39"/>
  <c r="DQ186" i="39" s="1"/>
  <c r="AX189" i="39"/>
  <c r="DP189" i="39" s="1"/>
  <c r="DO189" i="39" s="1"/>
  <c r="AX208" i="39"/>
  <c r="DQ208" i="39" s="1"/>
  <c r="AX177" i="39"/>
  <c r="DQ177" i="39" s="1"/>
  <c r="AX173" i="39"/>
  <c r="DQ173" i="39" s="1"/>
  <c r="AX184" i="39"/>
  <c r="DQ184" i="39" s="1"/>
  <c r="AX191" i="39"/>
  <c r="DQ191" i="39" s="1"/>
  <c r="AX165" i="39"/>
  <c r="DP165" i="39" s="1"/>
  <c r="DO165" i="39" s="1"/>
  <c r="AX18" i="39"/>
  <c r="DQ18" i="39" s="1"/>
  <c r="AU113" i="39"/>
  <c r="AU217" i="39" s="1"/>
  <c r="DD113" i="39"/>
  <c r="AW113" i="39"/>
  <c r="AY113" i="39" s="1"/>
  <c r="DQ212" i="39"/>
  <c r="DP109" i="39"/>
  <c r="DO109" i="39" s="1"/>
  <c r="H33" i="41"/>
  <c r="U26" i="41" s="1"/>
  <c r="DP205" i="39"/>
  <c r="DO205" i="39" s="1"/>
  <c r="DP200" i="39"/>
  <c r="DO200" i="39" s="1"/>
  <c r="DP202" i="39"/>
  <c r="DO202" i="39" s="1"/>
  <c r="DQ167" i="39"/>
  <c r="DQ207" i="39"/>
  <c r="DQ170" i="39"/>
  <c r="DP163" i="39"/>
  <c r="DO163" i="39" s="1"/>
  <c r="DQ111" i="39"/>
  <c r="DQ148" i="39"/>
  <c r="G33" i="41"/>
  <c r="U25" i="41" s="1"/>
  <c r="U27" i="41" s="1"/>
  <c r="DQ198" i="39"/>
  <c r="DQ195" i="39"/>
  <c r="DP216" i="39"/>
  <c r="DO216" i="39" s="1"/>
  <c r="DP95" i="39"/>
  <c r="DO95" i="39" s="1"/>
  <c r="DP176" i="39"/>
  <c r="DO176" i="39" s="1"/>
  <c r="DQ201" i="39"/>
  <c r="DP201" i="39"/>
  <c r="DO201" i="39" s="1"/>
  <c r="DP76" i="39"/>
  <c r="DO76" i="39" s="1"/>
  <c r="DQ76" i="39"/>
  <c r="D45" i="41"/>
  <c r="A46" i="41"/>
  <c r="DP152" i="39"/>
  <c r="DO152" i="39" s="1"/>
  <c r="DQ152" i="39"/>
  <c r="DP183" i="39"/>
  <c r="DO183" i="39" s="1"/>
  <c r="DQ183" i="39"/>
  <c r="DQ209" i="39"/>
  <c r="DP209" i="39"/>
  <c r="DO209" i="39" s="1"/>
  <c r="DP179" i="39"/>
  <c r="DO179" i="39" s="1"/>
  <c r="DQ179" i="39"/>
  <c r="AX14" i="39"/>
  <c r="DP178" i="39"/>
  <c r="DO178" i="39" s="1"/>
  <c r="DQ178" i="39"/>
  <c r="DP206" i="39"/>
  <c r="DO206" i="39" s="1"/>
  <c r="DQ206" i="39"/>
  <c r="DQ67" i="39"/>
  <c r="DP67" i="39"/>
  <c r="DO67" i="39" s="1"/>
  <c r="DP120" i="39"/>
  <c r="DO120" i="39" s="1"/>
  <c r="DQ120" i="39"/>
  <c r="DQ211" i="39"/>
  <c r="DP211" i="39"/>
  <c r="DO211" i="39" s="1"/>
  <c r="DP180" i="39"/>
  <c r="DO180" i="39" s="1"/>
  <c r="DQ180" i="39"/>
  <c r="DP187" i="39"/>
  <c r="DO187" i="39" s="1"/>
  <c r="DQ187" i="39"/>
  <c r="DP166" i="39"/>
  <c r="DO166" i="39" s="1"/>
  <c r="DQ166" i="39"/>
  <c r="DP15" i="39"/>
  <c r="DO15" i="39" s="1"/>
  <c r="DQ15" i="39"/>
  <c r="DP175" i="39"/>
  <c r="DO175" i="39" s="1"/>
  <c r="DQ175" i="39"/>
  <c r="W43" i="5"/>
  <c r="DQ193" i="39" l="1"/>
  <c r="CA148" i="39"/>
  <c r="CB148" i="39"/>
  <c r="CC148" i="39" s="1"/>
  <c r="CJ148" i="39" s="1"/>
  <c r="K148" i="19" s="1"/>
  <c r="AC148" i="19" s="1"/>
  <c r="CA175" i="39"/>
  <c r="CB175" i="39"/>
  <c r="CC175" i="39" s="1"/>
  <c r="CJ175" i="39" s="1"/>
  <c r="K175" i="19" s="1"/>
  <c r="AC175" i="19" s="1"/>
  <c r="CB195" i="39"/>
  <c r="CC195" i="39" s="1"/>
  <c r="CJ195" i="39" s="1"/>
  <c r="K195" i="19" s="1"/>
  <c r="AC195" i="19" s="1"/>
  <c r="CA195" i="39"/>
  <c r="CB216" i="39"/>
  <c r="CC216" i="39" s="1"/>
  <c r="CJ216" i="39" s="1"/>
  <c r="K216" i="19" s="1"/>
  <c r="AC216" i="19" s="1"/>
  <c r="CA216" i="39"/>
  <c r="CB183" i="39"/>
  <c r="CC183" i="39" s="1"/>
  <c r="CJ183" i="39" s="1"/>
  <c r="K183" i="19" s="1"/>
  <c r="AC183" i="19" s="1"/>
  <c r="CA183" i="39"/>
  <c r="DQ149" i="39"/>
  <c r="CA209" i="39"/>
  <c r="CB209" i="39"/>
  <c r="CC209" i="39" s="1"/>
  <c r="CJ209" i="39" s="1"/>
  <c r="K209" i="19" s="1"/>
  <c r="AC209" i="19" s="1"/>
  <c r="CB111" i="39"/>
  <c r="CC111" i="39" s="1"/>
  <c r="CJ111" i="39" s="1"/>
  <c r="K111" i="19" s="1"/>
  <c r="AC111" i="19" s="1"/>
  <c r="CA111" i="39"/>
  <c r="DE202" i="39"/>
  <c r="CH205" i="39"/>
  <c r="CI205" i="39" s="1"/>
  <c r="H205" i="19" s="1"/>
  <c r="J205" i="19" s="1"/>
  <c r="CJ205" i="39"/>
  <c r="K205" i="19" s="1"/>
  <c r="AC205" i="19" s="1"/>
  <c r="CJ202" i="39"/>
  <c r="K202" i="19" s="1"/>
  <c r="AC202" i="19" s="1"/>
  <c r="CK202" i="39"/>
  <c r="CH198" i="39"/>
  <c r="CI198" i="39" s="1"/>
  <c r="CJ198" i="39"/>
  <c r="K198" i="19" s="1"/>
  <c r="AC198" i="19" s="1"/>
  <c r="DP185" i="39"/>
  <c r="DO185" i="39" s="1"/>
  <c r="CH200" i="39"/>
  <c r="CI200" i="39" s="1"/>
  <c r="BJ206" i="39"/>
  <c r="BJ187" i="39"/>
  <c r="BJ170" i="39"/>
  <c r="BL170" i="39" s="1"/>
  <c r="BN170" i="39" s="1"/>
  <c r="BP170" i="39" s="1"/>
  <c r="BR170" i="39" s="1"/>
  <c r="BT170" i="39" s="1"/>
  <c r="BV170" i="39" s="1"/>
  <c r="BY170" i="39" s="1"/>
  <c r="BJ166" i="39"/>
  <c r="BJ109" i="39"/>
  <c r="BJ176" i="39"/>
  <c r="BJ201" i="39"/>
  <c r="BJ180" i="39"/>
  <c r="DP194" i="39"/>
  <c r="DO194" i="39" s="1"/>
  <c r="BF179" i="39"/>
  <c r="BH179" i="39" s="1"/>
  <c r="CJ200" i="39"/>
  <c r="K200" i="19" s="1"/>
  <c r="AC200" i="19" s="1"/>
  <c r="AY217" i="39"/>
  <c r="BF76" i="39"/>
  <c r="BH76" i="39" s="1"/>
  <c r="BF95" i="39"/>
  <c r="BH95" i="39" s="1"/>
  <c r="BF120" i="39"/>
  <c r="BH120" i="39" s="1"/>
  <c r="BF212" i="39"/>
  <c r="BH212" i="39" s="1"/>
  <c r="CJ163" i="39"/>
  <c r="K163" i="19" s="1"/>
  <c r="AC163" i="19" s="1"/>
  <c r="BF211" i="39"/>
  <c r="BH211" i="39" s="1"/>
  <c r="CH163" i="39"/>
  <c r="CI163" i="39" s="1"/>
  <c r="BF167" i="39"/>
  <c r="BH167" i="39" s="1"/>
  <c r="BF15" i="39"/>
  <c r="BH15" i="39" s="1"/>
  <c r="BF207" i="39"/>
  <c r="BH207" i="39" s="1"/>
  <c r="BF178" i="39"/>
  <c r="BH178" i="39" s="1"/>
  <c r="BD152" i="39"/>
  <c r="BF152" i="39" s="1"/>
  <c r="BH152" i="39" s="1"/>
  <c r="BJ152" i="39" s="1"/>
  <c r="BL152" i="39" s="1"/>
  <c r="BN152" i="39" s="1"/>
  <c r="BP152" i="39" s="1"/>
  <c r="BR152" i="39" s="1"/>
  <c r="BT152" i="39" s="1"/>
  <c r="BV152" i="39" s="1"/>
  <c r="BY152" i="39" s="1"/>
  <c r="BD67" i="39"/>
  <c r="BF67" i="39" s="1"/>
  <c r="BH67" i="39" s="1"/>
  <c r="BJ67" i="39" s="1"/>
  <c r="BL67" i="39" s="1"/>
  <c r="BN67" i="39" s="1"/>
  <c r="BP67" i="39" s="1"/>
  <c r="BR67" i="39" s="1"/>
  <c r="BT67" i="39" s="1"/>
  <c r="BV67" i="39" s="1"/>
  <c r="BY67" i="39" s="1"/>
  <c r="BD18" i="39"/>
  <c r="BF18" i="39" s="1"/>
  <c r="BH18" i="39" s="1"/>
  <c r="BJ18" i="39" s="1"/>
  <c r="BL18" i="39" s="1"/>
  <c r="BN18" i="39" s="1"/>
  <c r="BP18" i="39" s="1"/>
  <c r="BR18" i="39" s="1"/>
  <c r="BT18" i="39" s="1"/>
  <c r="BV18" i="39" s="1"/>
  <c r="BY18" i="39" s="1"/>
  <c r="DQ145" i="39"/>
  <c r="DP190" i="39"/>
  <c r="DO190" i="39" s="1"/>
  <c r="DP118" i="39"/>
  <c r="DO118" i="39" s="1"/>
  <c r="DQ182" i="39"/>
  <c r="DQ213" i="39"/>
  <c r="DP197" i="39"/>
  <c r="DO197" i="39" s="1"/>
  <c r="DP214" i="39"/>
  <c r="DO214" i="39" s="1"/>
  <c r="DP131" i="39"/>
  <c r="DO131" i="39" s="1"/>
  <c r="DP150" i="39"/>
  <c r="DO150" i="39" s="1"/>
  <c r="DP196" i="39"/>
  <c r="DO196" i="39" s="1"/>
  <c r="DP215" i="39"/>
  <c r="DO215" i="39" s="1"/>
  <c r="DP164" i="39"/>
  <c r="DO164" i="39" s="1"/>
  <c r="DP16" i="39"/>
  <c r="DO16" i="39" s="1"/>
  <c r="DP151" i="39"/>
  <c r="DO151" i="39" s="1"/>
  <c r="AZ194" i="39"/>
  <c r="BB194" i="39" s="1"/>
  <c r="AZ177" i="39"/>
  <c r="BB177" i="39" s="1"/>
  <c r="AZ191" i="39"/>
  <c r="BB191" i="39" s="1"/>
  <c r="AZ186" i="39"/>
  <c r="BB186" i="39" s="1"/>
  <c r="AZ164" i="39"/>
  <c r="BB164" i="39" s="1"/>
  <c r="AZ131" i="39"/>
  <c r="BB131" i="39" s="1"/>
  <c r="AZ168" i="39"/>
  <c r="BB168" i="39" s="1"/>
  <c r="AZ173" i="39"/>
  <c r="BB173" i="39" s="1"/>
  <c r="AZ151" i="39"/>
  <c r="BB151" i="39" s="1"/>
  <c r="AZ149" i="39"/>
  <c r="BB149" i="39" s="1"/>
  <c r="AZ184" i="39"/>
  <c r="BB184" i="39" s="1"/>
  <c r="AZ189" i="39"/>
  <c r="BB189" i="39" s="1"/>
  <c r="AZ118" i="39"/>
  <c r="BB118" i="39" s="1"/>
  <c r="AZ169" i="39"/>
  <c r="BB169" i="39" s="1"/>
  <c r="AZ204" i="39"/>
  <c r="BB204" i="39" s="1"/>
  <c r="AZ190" i="39"/>
  <c r="BB190" i="39" s="1"/>
  <c r="AZ165" i="39"/>
  <c r="BB165" i="39" s="1"/>
  <c r="DQ174" i="39"/>
  <c r="AZ113" i="39"/>
  <c r="BB113" i="39" s="1"/>
  <c r="AZ214" i="39"/>
  <c r="BB214" i="39" s="1"/>
  <c r="AZ16" i="39"/>
  <c r="BB16" i="39" s="1"/>
  <c r="AZ145" i="39"/>
  <c r="BB145" i="39" s="1"/>
  <c r="AZ150" i="39"/>
  <c r="AZ215" i="39"/>
  <c r="BB215" i="39" s="1"/>
  <c r="AZ174" i="39"/>
  <c r="BB174" i="39" s="1"/>
  <c r="AZ197" i="39"/>
  <c r="BB197" i="39" s="1"/>
  <c r="AZ208" i="39"/>
  <c r="BB208" i="39" s="1"/>
  <c r="AZ196" i="39"/>
  <c r="BB196" i="39" s="1"/>
  <c r="AZ213" i="39"/>
  <c r="BB213" i="39" s="1"/>
  <c r="AZ185" i="39"/>
  <c r="BB185" i="39" s="1"/>
  <c r="AZ182" i="39"/>
  <c r="BB182" i="39" s="1"/>
  <c r="AZ193" i="39"/>
  <c r="BB193" i="39" s="1"/>
  <c r="AZ14" i="39"/>
  <c r="BB14" i="39" s="1"/>
  <c r="DP204" i="39"/>
  <c r="DO204" i="39" s="1"/>
  <c r="DQ169" i="39"/>
  <c r="DP186" i="39"/>
  <c r="DO186" i="39" s="1"/>
  <c r="DQ189" i="39"/>
  <c r="DP208" i="39"/>
  <c r="DO208" i="39" s="1"/>
  <c r="DQ168" i="39"/>
  <c r="HR202" i="39"/>
  <c r="DP184" i="39"/>
  <c r="DO184" i="39" s="1"/>
  <c r="H202" i="19"/>
  <c r="CL202" i="39"/>
  <c r="DS202" i="39"/>
  <c r="DU202" i="39" s="1"/>
  <c r="CL205" i="39"/>
  <c r="CK205" i="39"/>
  <c r="DS205" i="39"/>
  <c r="DW205" i="39" s="1"/>
  <c r="DP177" i="39"/>
  <c r="DO177" i="39" s="1"/>
  <c r="DP191" i="39"/>
  <c r="DO191" i="39" s="1"/>
  <c r="DP173" i="39"/>
  <c r="DO173" i="39" s="1"/>
  <c r="DQ165" i="39"/>
  <c r="DP18" i="39"/>
  <c r="DO18" i="39" s="1"/>
  <c r="AW217" i="39"/>
  <c r="AX113" i="39"/>
  <c r="AX217" i="39" s="1"/>
  <c r="I33" i="41"/>
  <c r="C34" i="41" s="1"/>
  <c r="F34" i="41" s="1"/>
  <c r="DQ14" i="39"/>
  <c r="DP14" i="39"/>
  <c r="DO14" i="39" s="1"/>
  <c r="D46" i="41"/>
  <c r="A47" i="41"/>
  <c r="W44" i="5"/>
  <c r="HR205" i="39" l="1"/>
  <c r="CA18" i="39"/>
  <c r="CB18" i="39" s="1"/>
  <c r="CC18" i="39" s="1"/>
  <c r="CJ18" i="39" s="1"/>
  <c r="K18" i="19" s="1"/>
  <c r="AC18" i="19" s="1"/>
  <c r="CA67" i="39"/>
  <c r="CB67" i="39"/>
  <c r="CB170" i="39"/>
  <c r="CC170" i="39" s="1"/>
  <c r="CA170" i="39"/>
  <c r="CA152" i="39"/>
  <c r="CB152" i="39"/>
  <c r="CC152" i="39" s="1"/>
  <c r="CJ152" i="39" s="1"/>
  <c r="K152" i="19" s="1"/>
  <c r="AC152" i="19" s="1"/>
  <c r="L202" i="19"/>
  <c r="AD202" i="19" s="1"/>
  <c r="HR198" i="39"/>
  <c r="AE205" i="19"/>
  <c r="AG205" i="19" s="1"/>
  <c r="BL187" i="39"/>
  <c r="BL180" i="39"/>
  <c r="BL201" i="39"/>
  <c r="BL176" i="39"/>
  <c r="BL109" i="39"/>
  <c r="BL166" i="39"/>
  <c r="BL206" i="39"/>
  <c r="CL200" i="39"/>
  <c r="DS198" i="39"/>
  <c r="DU198" i="39" s="1"/>
  <c r="DS200" i="39"/>
  <c r="DU200" i="39" s="1"/>
  <c r="HR200" i="39"/>
  <c r="CH216" i="39"/>
  <c r="CI216" i="39" s="1"/>
  <c r="CL216" i="39" s="1"/>
  <c r="H163" i="19"/>
  <c r="AE163" i="19" s="1"/>
  <c r="AG163" i="19" s="1"/>
  <c r="H200" i="19"/>
  <c r="AE200" i="19" s="1"/>
  <c r="AG200" i="19" s="1"/>
  <c r="DE216" i="39"/>
  <c r="CK200" i="39"/>
  <c r="CL198" i="39"/>
  <c r="H198" i="19"/>
  <c r="J198" i="19" s="1"/>
  <c r="CK198" i="39"/>
  <c r="BJ211" i="39"/>
  <c r="BJ178" i="39"/>
  <c r="BJ212" i="39"/>
  <c r="BJ207" i="39"/>
  <c r="BJ120" i="39"/>
  <c r="BJ76" i="39"/>
  <c r="BJ15" i="39"/>
  <c r="BJ179" i="39"/>
  <c r="BJ167" i="39"/>
  <c r="BJ95" i="39"/>
  <c r="CK163" i="39"/>
  <c r="CL163" i="39"/>
  <c r="DS163" i="39"/>
  <c r="DW163" i="39" s="1"/>
  <c r="AZ217" i="39"/>
  <c r="HR163" i="39"/>
  <c r="BB150" i="39"/>
  <c r="BD185" i="39"/>
  <c r="BF185" i="39" s="1"/>
  <c r="BH185" i="39" s="1"/>
  <c r="BJ185" i="39" s="1"/>
  <c r="BL185" i="39" s="1"/>
  <c r="BN185" i="39" s="1"/>
  <c r="BP185" i="39" s="1"/>
  <c r="BR185" i="39" s="1"/>
  <c r="BT185" i="39" s="1"/>
  <c r="BV185" i="39" s="1"/>
  <c r="BY185" i="39" s="1"/>
  <c r="BD145" i="39"/>
  <c r="BF145" i="39" s="1"/>
  <c r="BH145" i="39" s="1"/>
  <c r="BJ145" i="39" s="1"/>
  <c r="BL145" i="39" s="1"/>
  <c r="BN145" i="39" s="1"/>
  <c r="BP145" i="39" s="1"/>
  <c r="BR145" i="39" s="1"/>
  <c r="BT145" i="39" s="1"/>
  <c r="BV145" i="39" s="1"/>
  <c r="BY145" i="39" s="1"/>
  <c r="BD169" i="39"/>
  <c r="BF169" i="39" s="1"/>
  <c r="BH169" i="39" s="1"/>
  <c r="BJ169" i="39" s="1"/>
  <c r="BL169" i="39" s="1"/>
  <c r="BN169" i="39" s="1"/>
  <c r="BP169" i="39" s="1"/>
  <c r="BR169" i="39" s="1"/>
  <c r="BT169" i="39" s="1"/>
  <c r="BV169" i="39" s="1"/>
  <c r="BY169" i="39" s="1"/>
  <c r="BD131" i="39"/>
  <c r="BF131" i="39" s="1"/>
  <c r="BH131" i="39" s="1"/>
  <c r="BJ131" i="39" s="1"/>
  <c r="BL131" i="39" s="1"/>
  <c r="BN131" i="39" s="1"/>
  <c r="BP131" i="39" s="1"/>
  <c r="BR131" i="39" s="1"/>
  <c r="BT131" i="39" s="1"/>
  <c r="BV131" i="39" s="1"/>
  <c r="BY131" i="39" s="1"/>
  <c r="BD164" i="39"/>
  <c r="BF164" i="39" s="1"/>
  <c r="BH164" i="39" s="1"/>
  <c r="BJ164" i="39" s="1"/>
  <c r="BL164" i="39" s="1"/>
  <c r="BN164" i="39" s="1"/>
  <c r="BP164" i="39" s="1"/>
  <c r="BR164" i="39" s="1"/>
  <c r="BT164" i="39" s="1"/>
  <c r="BV164" i="39" s="1"/>
  <c r="BY164" i="39" s="1"/>
  <c r="BD215" i="39"/>
  <c r="BF215" i="39" s="1"/>
  <c r="BH215" i="39" s="1"/>
  <c r="BJ215" i="39" s="1"/>
  <c r="BL215" i="39" s="1"/>
  <c r="BN215" i="39" s="1"/>
  <c r="BP215" i="39" s="1"/>
  <c r="BR215" i="39" s="1"/>
  <c r="BT215" i="39" s="1"/>
  <c r="BV215" i="39" s="1"/>
  <c r="BY215" i="39" s="1"/>
  <c r="BD204" i="39"/>
  <c r="BD189" i="39"/>
  <c r="BF189" i="39" s="1"/>
  <c r="BH189" i="39" s="1"/>
  <c r="BJ189" i="39" s="1"/>
  <c r="BL189" i="39" s="1"/>
  <c r="BN189" i="39" s="1"/>
  <c r="BP189" i="39" s="1"/>
  <c r="BR189" i="39" s="1"/>
  <c r="BT189" i="39" s="1"/>
  <c r="BV189" i="39" s="1"/>
  <c r="BY189" i="39" s="1"/>
  <c r="BD208" i="39"/>
  <c r="BF208" i="39" s="1"/>
  <c r="BH208" i="39" s="1"/>
  <c r="BJ208" i="39" s="1"/>
  <c r="BL208" i="39" s="1"/>
  <c r="BN208" i="39" s="1"/>
  <c r="BP208" i="39" s="1"/>
  <c r="BR208" i="39" s="1"/>
  <c r="BT208" i="39" s="1"/>
  <c r="BV208" i="39" s="1"/>
  <c r="BY208" i="39" s="1"/>
  <c r="BD113" i="39"/>
  <c r="BF113" i="39" s="1"/>
  <c r="BH113" i="39" s="1"/>
  <c r="BJ113" i="39" s="1"/>
  <c r="BL113" i="39" s="1"/>
  <c r="BN113" i="39" s="1"/>
  <c r="BP113" i="39" s="1"/>
  <c r="BR113" i="39" s="1"/>
  <c r="BT113" i="39" s="1"/>
  <c r="BV113" i="39" s="1"/>
  <c r="BY113" i="39" s="1"/>
  <c r="BD191" i="39"/>
  <c r="BF191" i="39" s="1"/>
  <c r="BH191" i="39" s="1"/>
  <c r="BJ191" i="39" s="1"/>
  <c r="BL191" i="39" s="1"/>
  <c r="BN191" i="39" s="1"/>
  <c r="BP191" i="39" s="1"/>
  <c r="BR191" i="39" s="1"/>
  <c r="BT191" i="39" s="1"/>
  <c r="BV191" i="39" s="1"/>
  <c r="BY191" i="39" s="1"/>
  <c r="BD193" i="39"/>
  <c r="BF193" i="39" s="1"/>
  <c r="BH193" i="39" s="1"/>
  <c r="BJ193" i="39" s="1"/>
  <c r="BD182" i="39"/>
  <c r="BF182" i="39" s="1"/>
  <c r="BH182" i="39" s="1"/>
  <c r="BJ182" i="39" s="1"/>
  <c r="BL182" i="39" s="1"/>
  <c r="BN182" i="39" s="1"/>
  <c r="BP182" i="39" s="1"/>
  <c r="BR182" i="39" s="1"/>
  <c r="BT182" i="39" s="1"/>
  <c r="BV182" i="39" s="1"/>
  <c r="BY182" i="39" s="1"/>
  <c r="BD196" i="39"/>
  <c r="BD149" i="39"/>
  <c r="BF149" i="39" s="1"/>
  <c r="BH149" i="39" s="1"/>
  <c r="BJ149" i="39" s="1"/>
  <c r="BL149" i="39" s="1"/>
  <c r="BN149" i="39" s="1"/>
  <c r="BP149" i="39" s="1"/>
  <c r="BR149" i="39" s="1"/>
  <c r="BT149" i="39" s="1"/>
  <c r="BV149" i="39" s="1"/>
  <c r="BY149" i="39" s="1"/>
  <c r="BD177" i="39"/>
  <c r="BF177" i="39" s="1"/>
  <c r="BH177" i="39" s="1"/>
  <c r="BJ177" i="39" s="1"/>
  <c r="BL177" i="39" s="1"/>
  <c r="BN177" i="39" s="1"/>
  <c r="BP177" i="39" s="1"/>
  <c r="BR177" i="39" s="1"/>
  <c r="BT177" i="39" s="1"/>
  <c r="BV177" i="39" s="1"/>
  <c r="BY177" i="39" s="1"/>
  <c r="BD190" i="39"/>
  <c r="BF190" i="39" s="1"/>
  <c r="BH190" i="39" s="1"/>
  <c r="BJ190" i="39" s="1"/>
  <c r="BL190" i="39" s="1"/>
  <c r="BN190" i="39" s="1"/>
  <c r="BP190" i="39" s="1"/>
  <c r="BR190" i="39" s="1"/>
  <c r="BT190" i="39" s="1"/>
  <c r="BV190" i="39" s="1"/>
  <c r="BY190" i="39" s="1"/>
  <c r="BD14" i="39"/>
  <c r="BD174" i="39"/>
  <c r="BF174" i="39" s="1"/>
  <c r="BH174" i="39" s="1"/>
  <c r="BJ174" i="39" s="1"/>
  <c r="BL174" i="39" s="1"/>
  <c r="BN174" i="39" s="1"/>
  <c r="BP174" i="39" s="1"/>
  <c r="BR174" i="39" s="1"/>
  <c r="BT174" i="39" s="1"/>
  <c r="BV174" i="39" s="1"/>
  <c r="BY174" i="39" s="1"/>
  <c r="BD165" i="39"/>
  <c r="BF165" i="39" s="1"/>
  <c r="BH165" i="39" s="1"/>
  <c r="BD151" i="39"/>
  <c r="BF151" i="39" s="1"/>
  <c r="BH151" i="39" s="1"/>
  <c r="BJ151" i="39" s="1"/>
  <c r="BL151" i="39" s="1"/>
  <c r="BN151" i="39" s="1"/>
  <c r="BP151" i="39" s="1"/>
  <c r="BR151" i="39" s="1"/>
  <c r="BT151" i="39" s="1"/>
  <c r="BV151" i="39" s="1"/>
  <c r="BY151" i="39" s="1"/>
  <c r="BD194" i="39"/>
  <c r="BF194" i="39" s="1"/>
  <c r="BH194" i="39" s="1"/>
  <c r="BJ194" i="39" s="1"/>
  <c r="BL194" i="39" s="1"/>
  <c r="BN194" i="39" s="1"/>
  <c r="BP194" i="39" s="1"/>
  <c r="BR194" i="39" s="1"/>
  <c r="BT194" i="39" s="1"/>
  <c r="BV194" i="39" s="1"/>
  <c r="BY194" i="39" s="1"/>
  <c r="BD186" i="39"/>
  <c r="BF186" i="39" s="1"/>
  <c r="BH186" i="39" s="1"/>
  <c r="BJ186" i="39" s="1"/>
  <c r="BL186" i="39" s="1"/>
  <c r="BN186" i="39" s="1"/>
  <c r="BP186" i="39" s="1"/>
  <c r="BR186" i="39" s="1"/>
  <c r="BT186" i="39" s="1"/>
  <c r="BV186" i="39" s="1"/>
  <c r="BY186" i="39" s="1"/>
  <c r="BD197" i="39"/>
  <c r="BD16" i="39"/>
  <c r="BD168" i="39"/>
  <c r="BD118" i="39"/>
  <c r="BF118" i="39" s="1"/>
  <c r="BH118" i="39" s="1"/>
  <c r="BD214" i="39"/>
  <c r="BD173" i="39"/>
  <c r="BF173" i="39" s="1"/>
  <c r="BH173" i="39" s="1"/>
  <c r="BJ173" i="39" s="1"/>
  <c r="BL173" i="39" s="1"/>
  <c r="BN173" i="39" s="1"/>
  <c r="BP173" i="39" s="1"/>
  <c r="BR173" i="39" s="1"/>
  <c r="BT173" i="39" s="1"/>
  <c r="BV173" i="39" s="1"/>
  <c r="BY173" i="39" s="1"/>
  <c r="BD213" i="39"/>
  <c r="BF213" i="39" s="1"/>
  <c r="BH213" i="39" s="1"/>
  <c r="BD184" i="39"/>
  <c r="BF184" i="39" s="1"/>
  <c r="BH184" i="39" s="1"/>
  <c r="BJ184" i="39" s="1"/>
  <c r="BL184" i="39" s="1"/>
  <c r="BN184" i="39" s="1"/>
  <c r="BP184" i="39" s="1"/>
  <c r="BR184" i="39" s="1"/>
  <c r="BT184" i="39" s="1"/>
  <c r="BV184" i="39" s="1"/>
  <c r="BY184" i="39" s="1"/>
  <c r="J202" i="19"/>
  <c r="AE202" i="19"/>
  <c r="AG202" i="19" s="1"/>
  <c r="CM202" i="39"/>
  <c r="CM205" i="39"/>
  <c r="L205" i="19"/>
  <c r="AD205" i="19" s="1"/>
  <c r="DW202" i="39"/>
  <c r="DU205" i="39"/>
  <c r="DP113" i="39"/>
  <c r="DO113" i="39" s="1"/>
  <c r="DQ113" i="39"/>
  <c r="H34" i="41"/>
  <c r="V26" i="41" s="1"/>
  <c r="G34" i="41"/>
  <c r="V25" i="41" s="1"/>
  <c r="V27" i="41" s="1"/>
  <c r="D47" i="41"/>
  <c r="A48" i="41"/>
  <c r="W45" i="5"/>
  <c r="CB215" i="39" l="1"/>
  <c r="CA215" i="39"/>
  <c r="CB191" i="39"/>
  <c r="CA191" i="39"/>
  <c r="CA164" i="39"/>
  <c r="CB164" i="39"/>
  <c r="CA113" i="39"/>
  <c r="CB113" i="39"/>
  <c r="CC113" i="39" s="1"/>
  <c r="CJ113" i="39" s="1"/>
  <c r="K113" i="19" s="1"/>
  <c r="AC113" i="19" s="1"/>
  <c r="CA184" i="39"/>
  <c r="CB184" i="39"/>
  <c r="CC184" i="39" s="1"/>
  <c r="CJ184" i="39" s="1"/>
  <c r="K184" i="19" s="1"/>
  <c r="AC184" i="19" s="1"/>
  <c r="CA131" i="39"/>
  <c r="CB131" i="39" s="1"/>
  <c r="CC131" i="39" s="1"/>
  <c r="CJ131" i="39" s="1"/>
  <c r="K131" i="19" s="1"/>
  <c r="AC131" i="19" s="1"/>
  <c r="CA151" i="39"/>
  <c r="CB151" i="39" s="1"/>
  <c r="CA173" i="39"/>
  <c r="CB173" i="39"/>
  <c r="CC173" i="39" s="1"/>
  <c r="CJ173" i="39" s="1"/>
  <c r="K173" i="19" s="1"/>
  <c r="AC173" i="19" s="1"/>
  <c r="CB169" i="39"/>
  <c r="CC169" i="39" s="1"/>
  <c r="CJ169" i="39" s="1"/>
  <c r="K169" i="19" s="1"/>
  <c r="AC169" i="19" s="1"/>
  <c r="CA169" i="39"/>
  <c r="CB194" i="39"/>
  <c r="CA194" i="39"/>
  <c r="CA189" i="39"/>
  <c r="CB189" i="39"/>
  <c r="CA190" i="39"/>
  <c r="CB190" i="39" s="1"/>
  <c r="CC190" i="39" s="1"/>
  <c r="CJ190" i="39" s="1"/>
  <c r="K190" i="19" s="1"/>
  <c r="AC190" i="19" s="1"/>
  <c r="CB145" i="39"/>
  <c r="CC145" i="39" s="1"/>
  <c r="CJ145" i="39" s="1"/>
  <c r="K145" i="19" s="1"/>
  <c r="AC145" i="19" s="1"/>
  <c r="CA145" i="39"/>
  <c r="CA208" i="39"/>
  <c r="CB208" i="39"/>
  <c r="CA177" i="39"/>
  <c r="CB177" i="39"/>
  <c r="CA185" i="39"/>
  <c r="CB185" i="39"/>
  <c r="CC185" i="39" s="1"/>
  <c r="CJ185" i="39" s="1"/>
  <c r="K185" i="19" s="1"/>
  <c r="AC185" i="19" s="1"/>
  <c r="CA186" i="39"/>
  <c r="CB186" i="39"/>
  <c r="CC186" i="39" s="1"/>
  <c r="CJ186" i="39" s="1"/>
  <c r="K186" i="19" s="1"/>
  <c r="AC186" i="19" s="1"/>
  <c r="CA174" i="39"/>
  <c r="CB174" i="39" s="1"/>
  <c r="CC174" i="39" s="1"/>
  <c r="CJ174" i="39" s="1"/>
  <c r="K174" i="19" s="1"/>
  <c r="AC174" i="19" s="1"/>
  <c r="CA149" i="39"/>
  <c r="CB149" i="39" s="1"/>
  <c r="CC149" i="39" s="1"/>
  <c r="CJ149" i="39" s="1"/>
  <c r="K149" i="19" s="1"/>
  <c r="AC149" i="19" s="1"/>
  <c r="CA182" i="39"/>
  <c r="CB182" i="39" s="1"/>
  <c r="M202" i="19"/>
  <c r="DW198" i="39"/>
  <c r="CM200" i="39"/>
  <c r="CZ200" i="39" s="1"/>
  <c r="Y200" i="19" s="1"/>
  <c r="BN206" i="39"/>
  <c r="BN166" i="39"/>
  <c r="BN109" i="39"/>
  <c r="BN176" i="39"/>
  <c r="BN201" i="39"/>
  <c r="BN180" i="39"/>
  <c r="BN187" i="39"/>
  <c r="L200" i="19"/>
  <c r="AD200" i="19" s="1"/>
  <c r="AE198" i="19"/>
  <c r="AG198" i="19" s="1"/>
  <c r="BL120" i="39"/>
  <c r="BN120" i="39" s="1"/>
  <c r="BL95" i="39"/>
  <c r="BL212" i="39"/>
  <c r="BL167" i="39"/>
  <c r="BL178" i="39"/>
  <c r="BL207" i="39"/>
  <c r="BL179" i="39"/>
  <c r="BL211" i="39"/>
  <c r="BL15" i="39"/>
  <c r="BL193" i="39"/>
  <c r="BL76" i="39"/>
  <c r="J200" i="19"/>
  <c r="L198" i="19"/>
  <c r="AD198" i="19" s="1"/>
  <c r="CM198" i="39"/>
  <c r="CU198" i="39" s="1"/>
  <c r="GQ198" i="39" s="1"/>
  <c r="DW200" i="39"/>
  <c r="J163" i="19"/>
  <c r="DB205" i="39"/>
  <c r="AA205" i="19" s="1"/>
  <c r="CK216" i="39"/>
  <c r="L216" i="19" s="1"/>
  <c r="AD216" i="19" s="1"/>
  <c r="GI202" i="39"/>
  <c r="GW202" i="39" s="1"/>
  <c r="HE202" i="39" s="1"/>
  <c r="HF202" i="39" s="1"/>
  <c r="HR216" i="39"/>
  <c r="H216" i="19"/>
  <c r="DS216" i="39"/>
  <c r="L163" i="19"/>
  <c r="CM163" i="39"/>
  <c r="DA163" i="39" s="1"/>
  <c r="Z163" i="19" s="1"/>
  <c r="BJ213" i="39"/>
  <c r="DU163" i="39"/>
  <c r="BJ165" i="39"/>
  <c r="DE170" i="39"/>
  <c r="CJ170" i="39"/>
  <c r="K170" i="19" s="1"/>
  <c r="AC170" i="19" s="1"/>
  <c r="CH170" i="39"/>
  <c r="BJ118" i="39"/>
  <c r="CC182" i="39"/>
  <c r="CJ182" i="39" s="1"/>
  <c r="K182" i="19" s="1"/>
  <c r="AC182" i="19" s="1"/>
  <c r="CC215" i="39"/>
  <c r="CJ215" i="39" s="1"/>
  <c r="K215" i="19" s="1"/>
  <c r="AC215" i="19" s="1"/>
  <c r="CC151" i="39"/>
  <c r="CJ151" i="39" s="1"/>
  <c r="K151" i="19" s="1"/>
  <c r="AC151" i="19" s="1"/>
  <c r="BF204" i="39"/>
  <c r="BH204" i="39" s="1"/>
  <c r="BF196" i="39"/>
  <c r="BH196" i="39" s="1"/>
  <c r="BB217" i="39"/>
  <c r="BF14" i="39"/>
  <c r="BH14" i="39" s="1"/>
  <c r="BF197" i="39"/>
  <c r="BH197" i="39" s="1"/>
  <c r="CC191" i="39"/>
  <c r="CJ191" i="39" s="1"/>
  <c r="K191" i="19" s="1"/>
  <c r="AC191" i="19" s="1"/>
  <c r="CC177" i="39"/>
  <c r="CJ177" i="39" s="1"/>
  <c r="K177" i="19" s="1"/>
  <c r="AC177" i="19" s="1"/>
  <c r="CC208" i="39"/>
  <c r="CJ208" i="39" s="1"/>
  <c r="K208" i="19" s="1"/>
  <c r="AC208" i="19" s="1"/>
  <c r="CC164" i="39"/>
  <c r="CJ164" i="39" s="1"/>
  <c r="K164" i="19" s="1"/>
  <c r="AC164" i="19" s="1"/>
  <c r="BD150" i="39"/>
  <c r="BD217" i="39" s="1"/>
  <c r="CC194" i="39"/>
  <c r="CJ194" i="39" s="1"/>
  <c r="K194" i="19" s="1"/>
  <c r="AC194" i="19" s="1"/>
  <c r="CC189" i="39"/>
  <c r="CJ189" i="39" s="1"/>
  <c r="K189" i="19" s="1"/>
  <c r="AC189" i="19" s="1"/>
  <c r="BF168" i="39"/>
  <c r="BH168" i="39" s="1"/>
  <c r="BF214" i="39"/>
  <c r="BH214" i="39" s="1"/>
  <c r="BF16" i="39"/>
  <c r="BH16" i="39" s="1"/>
  <c r="CC67" i="39"/>
  <c r="CJ67" i="39" s="1"/>
  <c r="K67" i="19" s="1"/>
  <c r="CO205" i="39"/>
  <c r="GK205" i="39" s="1"/>
  <c r="GY205" i="39" s="1"/>
  <c r="CO202" i="39"/>
  <c r="O202" i="19" s="1"/>
  <c r="GI205" i="39"/>
  <c r="GW205" i="39" s="1"/>
  <c r="HE205" i="39" s="1"/>
  <c r="HF205" i="39" s="1"/>
  <c r="DA205" i="39"/>
  <c r="Z205" i="19" s="1"/>
  <c r="CU205" i="39"/>
  <c r="GQ205" i="39" s="1"/>
  <c r="CZ205" i="39"/>
  <c r="Y205" i="19" s="1"/>
  <c r="DA202" i="39"/>
  <c r="Z202" i="19" s="1"/>
  <c r="CU202" i="39"/>
  <c r="GQ202" i="39" s="1"/>
  <c r="DC202" i="39"/>
  <c r="AB202" i="19" s="1"/>
  <c r="CZ202" i="39"/>
  <c r="Y202" i="19" s="1"/>
  <c r="DB202" i="39"/>
  <c r="AA202" i="19" s="1"/>
  <c r="DC205" i="39"/>
  <c r="AB205" i="19" s="1"/>
  <c r="M205" i="19"/>
  <c r="I34" i="41"/>
  <c r="C35" i="41" s="1"/>
  <c r="F35" i="41" s="1"/>
  <c r="D48" i="41"/>
  <c r="A49" i="41"/>
  <c r="W46" i="5"/>
  <c r="DA198" i="39" l="1"/>
  <c r="Z198" i="19" s="1"/>
  <c r="DC198" i="39"/>
  <c r="AB198" i="19" s="1"/>
  <c r="DA200" i="39"/>
  <c r="Z200" i="19" s="1"/>
  <c r="CO200" i="39"/>
  <c r="O200" i="19" s="1"/>
  <c r="DC200" i="39"/>
  <c r="AB200" i="19" s="1"/>
  <c r="DB200" i="39"/>
  <c r="AA200" i="19" s="1"/>
  <c r="GI200" i="39"/>
  <c r="GW200" i="39" s="1"/>
  <c r="HE200" i="39" s="1"/>
  <c r="HF200" i="39" s="1"/>
  <c r="CU200" i="39"/>
  <c r="GQ200" i="39" s="1"/>
  <c r="BP180" i="39"/>
  <c r="BP109" i="39"/>
  <c r="BP166" i="39"/>
  <c r="BP201" i="39"/>
  <c r="BP206" i="39"/>
  <c r="BR206" i="39" s="1"/>
  <c r="BT206" i="39" s="1"/>
  <c r="BV206" i="39" s="1"/>
  <c r="BY206" i="39" s="1"/>
  <c r="BP187" i="39"/>
  <c r="BP176" i="39"/>
  <c r="BP120" i="39"/>
  <c r="DC163" i="39"/>
  <c r="AB163" i="19" s="1"/>
  <c r="GI198" i="39"/>
  <c r="GW198" i="39" s="1"/>
  <c r="HE198" i="39" s="1"/>
  <c r="HH198" i="39" s="1"/>
  <c r="CU163" i="39"/>
  <c r="CW163" i="39" s="1"/>
  <c r="CO163" i="39"/>
  <c r="CQ163" i="39" s="1"/>
  <c r="DB198" i="39"/>
  <c r="AA198" i="19" s="1"/>
  <c r="CO198" i="39"/>
  <c r="GK198" i="39" s="1"/>
  <c r="GY198" i="39" s="1"/>
  <c r="CZ198" i="39"/>
  <c r="Y198" i="19" s="1"/>
  <c r="M200" i="19"/>
  <c r="BN76" i="39"/>
  <c r="BN193" i="39"/>
  <c r="BN15" i="39"/>
  <c r="BN211" i="39"/>
  <c r="BN179" i="39"/>
  <c r="BN207" i="39"/>
  <c r="BN178" i="39"/>
  <c r="BN167" i="39"/>
  <c r="BN212" i="39"/>
  <c r="BN95" i="39"/>
  <c r="GI163" i="39"/>
  <c r="GW163" i="39" s="1"/>
  <c r="HE163" i="39" s="1"/>
  <c r="HI163" i="39" s="1"/>
  <c r="DB163" i="39"/>
  <c r="AA163" i="19" s="1"/>
  <c r="CZ163" i="39"/>
  <c r="Y163" i="19" s="1"/>
  <c r="HH202" i="39"/>
  <c r="M198" i="19"/>
  <c r="M163" i="19"/>
  <c r="CV198" i="39"/>
  <c r="GR198" i="39" s="1"/>
  <c r="BL165" i="39"/>
  <c r="BL213" i="39"/>
  <c r="BL118" i="39"/>
  <c r="BN118" i="39" s="1"/>
  <c r="BP118" i="39" s="1"/>
  <c r="BR118" i="39" s="1"/>
  <c r="BT118" i="39" s="1"/>
  <c r="BV118" i="39" s="1"/>
  <c r="BY118" i="39" s="1"/>
  <c r="CM216" i="39"/>
  <c r="CU216" i="39" s="1"/>
  <c r="HG202" i="39"/>
  <c r="CY198" i="39"/>
  <c r="GU198" i="39" s="1"/>
  <c r="CX198" i="39"/>
  <c r="GT198" i="39" s="1"/>
  <c r="AD163" i="19"/>
  <c r="T198" i="19"/>
  <c r="DW216" i="39"/>
  <c r="DU216" i="39"/>
  <c r="HI202" i="39"/>
  <c r="GK200" i="39"/>
  <c r="GY200" i="39" s="1"/>
  <c r="J216" i="19"/>
  <c r="M216" i="19" s="1"/>
  <c r="AE216" i="19"/>
  <c r="AG216" i="19" s="1"/>
  <c r="CW198" i="39"/>
  <c r="GS198" i="39" s="1"/>
  <c r="BJ197" i="39"/>
  <c r="BJ204" i="39"/>
  <c r="BJ168" i="39"/>
  <c r="BJ16" i="39"/>
  <c r="BJ214" i="39"/>
  <c r="BJ14" i="39"/>
  <c r="BL14" i="39" s="1"/>
  <c r="BN14" i="39" s="1"/>
  <c r="BP14" i="39" s="1"/>
  <c r="BR14" i="39" s="1"/>
  <c r="CI170" i="39"/>
  <c r="HR170" i="39"/>
  <c r="BJ196" i="39"/>
  <c r="BF150" i="39"/>
  <c r="F20" i="37"/>
  <c r="F20" i="38"/>
  <c r="AC67" i="19"/>
  <c r="CQ205" i="39"/>
  <c r="GM205" i="39" s="1"/>
  <c r="HA205" i="39" s="1"/>
  <c r="HC205" i="39" s="1"/>
  <c r="O205" i="19"/>
  <c r="CX205" i="39"/>
  <c r="W205" i="19" s="1"/>
  <c r="T202" i="19"/>
  <c r="CW205" i="39"/>
  <c r="V205" i="19" s="1"/>
  <c r="T205" i="19"/>
  <c r="GK202" i="39"/>
  <c r="GY202" i="39" s="1"/>
  <c r="CY205" i="39"/>
  <c r="GU205" i="39" s="1"/>
  <c r="CW202" i="39"/>
  <c r="V202" i="19" s="1"/>
  <c r="CV202" i="39"/>
  <c r="U202" i="19" s="1"/>
  <c r="CQ202" i="39"/>
  <c r="HG205" i="39"/>
  <c r="CX202" i="39"/>
  <c r="W202" i="19" s="1"/>
  <c r="CV205" i="39"/>
  <c r="U205" i="19" s="1"/>
  <c r="HH205" i="39"/>
  <c r="HI205" i="39"/>
  <c r="CY202" i="39"/>
  <c r="X202" i="19" s="1"/>
  <c r="H35" i="41"/>
  <c r="W26" i="41" s="1"/>
  <c r="D49" i="41"/>
  <c r="A50" i="41"/>
  <c r="W47" i="5"/>
  <c r="HH200" i="39" l="1"/>
  <c r="CQ200" i="39"/>
  <c r="Q200" i="19" s="1"/>
  <c r="CB206" i="39"/>
  <c r="CA206" i="39"/>
  <c r="CA118" i="39"/>
  <c r="CB118" i="39"/>
  <c r="CC118" i="39" s="1"/>
  <c r="CJ118" i="39" s="1"/>
  <c r="K118" i="19" s="1"/>
  <c r="AC118" i="19" s="1"/>
  <c r="CX163" i="39"/>
  <c r="GT163" i="39" s="1"/>
  <c r="CV200" i="39"/>
  <c r="U200" i="19" s="1"/>
  <c r="T200" i="19"/>
  <c r="CY200" i="39"/>
  <c r="GU200" i="39" s="1"/>
  <c r="HF163" i="39"/>
  <c r="HG163" i="39"/>
  <c r="CX200" i="39"/>
  <c r="W200" i="19" s="1"/>
  <c r="CW200" i="39"/>
  <c r="GS200" i="39" s="1"/>
  <c r="HI200" i="39"/>
  <c r="HG200" i="39"/>
  <c r="T163" i="19"/>
  <c r="CY163" i="39"/>
  <c r="X163" i="19" s="1"/>
  <c r="GQ163" i="39"/>
  <c r="BT14" i="39"/>
  <c r="BV14" i="39" s="1"/>
  <c r="BY14" i="39" s="1"/>
  <c r="BR187" i="39"/>
  <c r="BT187" i="39" s="1"/>
  <c r="BV187" i="39" s="1"/>
  <c r="BY187" i="39" s="1"/>
  <c r="BR201" i="39"/>
  <c r="BT201" i="39" s="1"/>
  <c r="BV201" i="39" s="1"/>
  <c r="BY201" i="39" s="1"/>
  <c r="BR166" i="39"/>
  <c r="BT166" i="39" s="1"/>
  <c r="BV166" i="39" s="1"/>
  <c r="BY166" i="39" s="1"/>
  <c r="BR109" i="39"/>
  <c r="BT109" i="39" s="1"/>
  <c r="BV109" i="39" s="1"/>
  <c r="BY109" i="39" s="1"/>
  <c r="BR176" i="39"/>
  <c r="BT176" i="39" s="1"/>
  <c r="BV176" i="39" s="1"/>
  <c r="BY176" i="39" s="1"/>
  <c r="BR120" i="39"/>
  <c r="BT120" i="39" s="1"/>
  <c r="BV120" i="39" s="1"/>
  <c r="BY120" i="39" s="1"/>
  <c r="BR180" i="39"/>
  <c r="BT180" i="39" s="1"/>
  <c r="BV180" i="39" s="1"/>
  <c r="BY180" i="39" s="1"/>
  <c r="BP95" i="39"/>
  <c r="BP207" i="39"/>
  <c r="BP179" i="39"/>
  <c r="BP193" i="39"/>
  <c r="BP178" i="39"/>
  <c r="BP211" i="39"/>
  <c r="BP15" i="39"/>
  <c r="BP76" i="39"/>
  <c r="BP212" i="39"/>
  <c r="CC206" i="39"/>
  <c r="O198" i="19"/>
  <c r="BP167" i="39"/>
  <c r="CQ198" i="39"/>
  <c r="GM198" i="39" s="1"/>
  <c r="HA198" i="39" s="1"/>
  <c r="HC198" i="39" s="1"/>
  <c r="CV163" i="39"/>
  <c r="U163" i="19" s="1"/>
  <c r="HG198" i="39"/>
  <c r="HI198" i="39"/>
  <c r="HH163" i="39"/>
  <c r="HF198" i="39"/>
  <c r="GK163" i="39"/>
  <c r="GY163" i="39" s="1"/>
  <c r="O163" i="19"/>
  <c r="X198" i="19"/>
  <c r="BN213" i="39"/>
  <c r="BN165" i="39"/>
  <c r="CV216" i="39"/>
  <c r="U216" i="19" s="1"/>
  <c r="GQ216" i="39"/>
  <c r="CW216" i="39"/>
  <c r="GS216" i="39" s="1"/>
  <c r="CX216" i="39"/>
  <c r="W216" i="19" s="1"/>
  <c r="DC216" i="39"/>
  <c r="AB216" i="19" s="1"/>
  <c r="U198" i="19"/>
  <c r="CY216" i="39"/>
  <c r="GU216" i="39" s="1"/>
  <c r="BL204" i="39"/>
  <c r="BL16" i="39"/>
  <c r="BL168" i="39"/>
  <c r="BL214" i="39"/>
  <c r="BL197" i="39"/>
  <c r="BL196" i="39"/>
  <c r="W198" i="19"/>
  <c r="GM200" i="39"/>
  <c r="HA200" i="39" s="1"/>
  <c r="HC200" i="39" s="1"/>
  <c r="T216" i="19"/>
  <c r="GI216" i="39"/>
  <c r="GW216" i="39" s="1"/>
  <c r="HE216" i="39" s="1"/>
  <c r="DB216" i="39"/>
  <c r="AA216" i="19" s="1"/>
  <c r="CO216" i="39"/>
  <c r="DA216" i="39"/>
  <c r="Z216" i="19" s="1"/>
  <c r="CZ216" i="39"/>
  <c r="Y216" i="19" s="1"/>
  <c r="V198" i="19"/>
  <c r="H170" i="19"/>
  <c r="CK170" i="39"/>
  <c r="CL170" i="39"/>
  <c r="DS170" i="39"/>
  <c r="BH150" i="39"/>
  <c r="BJ150" i="39" s="1"/>
  <c r="BF217" i="39"/>
  <c r="Q205" i="19"/>
  <c r="G35" i="41"/>
  <c r="GS202" i="39"/>
  <c r="GT205" i="39"/>
  <c r="GR202" i="39"/>
  <c r="GT202" i="39"/>
  <c r="GM202" i="39"/>
  <c r="HA202" i="39" s="1"/>
  <c r="HC202" i="39" s="1"/>
  <c r="Q202" i="19"/>
  <c r="X205" i="19"/>
  <c r="GS205" i="39"/>
  <c r="GU202" i="39"/>
  <c r="GR205" i="39"/>
  <c r="Q163" i="19"/>
  <c r="GM163" i="39"/>
  <c r="HA163" i="39" s="1"/>
  <c r="HC163" i="39" s="1"/>
  <c r="V163" i="19"/>
  <c r="GS163" i="39"/>
  <c r="I31" i="26"/>
  <c r="F19" i="37"/>
  <c r="F19" i="36"/>
  <c r="F19" i="32"/>
  <c r="F19" i="24"/>
  <c r="F19" i="38"/>
  <c r="F19" i="23"/>
  <c r="D50" i="41"/>
  <c r="A51" i="41"/>
  <c r="W25" i="41"/>
  <c r="W27" i="41" s="1"/>
  <c r="I35" i="41"/>
  <c r="C36" i="41" s="1"/>
  <c r="W48" i="5"/>
  <c r="GR200" i="39" l="1"/>
  <c r="W163" i="19"/>
  <c r="CA176" i="39"/>
  <c r="CB176" i="39"/>
  <c r="CA187" i="39"/>
  <c r="CB187" i="39" s="1"/>
  <c r="CC187" i="39" s="1"/>
  <c r="CJ187" i="39" s="1"/>
  <c r="K187" i="19" s="1"/>
  <c r="AC187" i="19" s="1"/>
  <c r="CB14" i="39"/>
  <c r="CA14" i="39"/>
  <c r="CB120" i="39"/>
  <c r="CC120" i="39" s="1"/>
  <c r="CJ120" i="39" s="1"/>
  <c r="K120" i="19" s="1"/>
  <c r="AC120" i="19" s="1"/>
  <c r="CA120" i="39"/>
  <c r="CB109" i="39"/>
  <c r="CC109" i="39" s="1"/>
  <c r="CA109" i="39"/>
  <c r="CA166" i="39"/>
  <c r="CB166" i="39"/>
  <c r="CC166" i="39" s="1"/>
  <c r="CJ166" i="39" s="1"/>
  <c r="K166" i="19" s="1"/>
  <c r="AC166" i="19" s="1"/>
  <c r="CA201" i="39"/>
  <c r="CB201" i="39"/>
  <c r="CC201" i="39" s="1"/>
  <c r="X200" i="19"/>
  <c r="CB180" i="39"/>
  <c r="CA180" i="39"/>
  <c r="GT200" i="39"/>
  <c r="GU163" i="39"/>
  <c r="V216" i="19"/>
  <c r="V200" i="19"/>
  <c r="CC176" i="39"/>
  <c r="CJ176" i="39" s="1"/>
  <c r="K176" i="19" s="1"/>
  <c r="AC176" i="19" s="1"/>
  <c r="CC180" i="39"/>
  <c r="BR15" i="39"/>
  <c r="BR193" i="39"/>
  <c r="BT193" i="39" s="1"/>
  <c r="BV193" i="39" s="1"/>
  <c r="BY193" i="39" s="1"/>
  <c r="BR211" i="39"/>
  <c r="BT211" i="39" s="1"/>
  <c r="BV211" i="39" s="1"/>
  <c r="BY211" i="39" s="1"/>
  <c r="BR167" i="39"/>
  <c r="BT167" i="39" s="1"/>
  <c r="BV167" i="39" s="1"/>
  <c r="BY167" i="39" s="1"/>
  <c r="BR179" i="39"/>
  <c r="BT179" i="39" s="1"/>
  <c r="BV179" i="39" s="1"/>
  <c r="BY179" i="39" s="1"/>
  <c r="BR178" i="39"/>
  <c r="BT178" i="39" s="1"/>
  <c r="BV178" i="39" s="1"/>
  <c r="BY178" i="39" s="1"/>
  <c r="BR212" i="39"/>
  <c r="BT212" i="39" s="1"/>
  <c r="BV212" i="39" s="1"/>
  <c r="BY212" i="39" s="1"/>
  <c r="BR207" i="39"/>
  <c r="BT207" i="39" s="1"/>
  <c r="BV207" i="39" s="1"/>
  <c r="BY207" i="39" s="1"/>
  <c r="BR76" i="39"/>
  <c r="BT76" i="39" s="1"/>
  <c r="BV76" i="39" s="1"/>
  <c r="BY76" i="39" s="1"/>
  <c r="BR95" i="39"/>
  <c r="BT95" i="39" s="1"/>
  <c r="BV95" i="39" s="1"/>
  <c r="BY95" i="39" s="1"/>
  <c r="Q198" i="19"/>
  <c r="GR163" i="39"/>
  <c r="BP213" i="39"/>
  <c r="BP165" i="39"/>
  <c r="CH206" i="39"/>
  <c r="CJ206" i="39"/>
  <c r="K206" i="19" s="1"/>
  <c r="AC206" i="19" s="1"/>
  <c r="DE206" i="39"/>
  <c r="GT216" i="39"/>
  <c r="GR216" i="39"/>
  <c r="BL150" i="39"/>
  <c r="BN150" i="39" s="1"/>
  <c r="BP150" i="39" s="1"/>
  <c r="BR150" i="39" s="1"/>
  <c r="BT150" i="39" s="1"/>
  <c r="BV150" i="39" s="1"/>
  <c r="BY150" i="39" s="1"/>
  <c r="BJ217" i="39"/>
  <c r="BN196" i="39"/>
  <c r="BN197" i="39"/>
  <c r="BN214" i="39"/>
  <c r="BN168" i="39"/>
  <c r="BN16" i="39"/>
  <c r="BP16" i="39" s="1"/>
  <c r="BR16" i="39" s="1"/>
  <c r="BT16" i="39" s="1"/>
  <c r="BV16" i="39" s="1"/>
  <c r="BY16" i="39" s="1"/>
  <c r="BN204" i="39"/>
  <c r="X216" i="19"/>
  <c r="CM170" i="39"/>
  <c r="CO170" i="39" s="1"/>
  <c r="CQ216" i="39"/>
  <c r="O216" i="19"/>
  <c r="GK216" i="39"/>
  <c r="GY216" i="39" s="1"/>
  <c r="HF216" i="39"/>
  <c r="HI216" i="39"/>
  <c r="HH216" i="39"/>
  <c r="HG216" i="39"/>
  <c r="DU170" i="39"/>
  <c r="DW170" i="39"/>
  <c r="L170" i="19"/>
  <c r="J170" i="19"/>
  <c r="AE170" i="19"/>
  <c r="AG170" i="19" s="1"/>
  <c r="BH217" i="39"/>
  <c r="I31" i="25"/>
  <c r="H36" i="41"/>
  <c r="X26" i="41" s="1"/>
  <c r="F36" i="41"/>
  <c r="D51" i="41"/>
  <c r="A52" i="41"/>
  <c r="W49" i="5"/>
  <c r="CA150" i="39" l="1"/>
  <c r="CB150" i="39" s="1"/>
  <c r="CB207" i="39"/>
  <c r="CA207" i="39"/>
  <c r="CA16" i="39"/>
  <c r="CB16" i="39"/>
  <c r="CA179" i="39"/>
  <c r="CB179" i="39" s="1"/>
  <c r="CC179" i="39" s="1"/>
  <c r="CJ179" i="39" s="1"/>
  <c r="K179" i="19" s="1"/>
  <c r="AC179" i="19" s="1"/>
  <c r="CA212" i="39"/>
  <c r="CB212" i="39"/>
  <c r="CC212" i="39" s="1"/>
  <c r="CJ212" i="39" s="1"/>
  <c r="K212" i="19" s="1"/>
  <c r="AC212" i="19" s="1"/>
  <c r="CA211" i="39"/>
  <c r="CB211" i="39"/>
  <c r="CC211" i="39" s="1"/>
  <c r="CJ211" i="39" s="1"/>
  <c r="K211" i="19" s="1"/>
  <c r="AC211" i="19" s="1"/>
  <c r="CB95" i="39"/>
  <c r="CC95" i="39" s="1"/>
  <c r="CJ95" i="39" s="1"/>
  <c r="K95" i="19" s="1"/>
  <c r="AC95" i="19" s="1"/>
  <c r="CA95" i="39"/>
  <c r="CA178" i="39"/>
  <c r="CB178" i="39"/>
  <c r="CA167" i="39"/>
  <c r="CB167" i="39" s="1"/>
  <c r="CC167" i="39" s="1"/>
  <c r="CJ167" i="39" s="1"/>
  <c r="K167" i="19" s="1"/>
  <c r="AC167" i="19" s="1"/>
  <c r="CA193" i="39"/>
  <c r="CB193" i="39" s="1"/>
  <c r="CC193" i="39" s="1"/>
  <c r="CJ193" i="39" s="1"/>
  <c r="K193" i="19" s="1"/>
  <c r="AC193" i="19" s="1"/>
  <c r="CA76" i="39"/>
  <c r="CB76" i="39"/>
  <c r="CH201" i="39"/>
  <c r="CI201" i="39" s="1"/>
  <c r="DS201" i="39" s="1"/>
  <c r="CJ201" i="39"/>
  <c r="K201" i="19" s="1"/>
  <c r="AC201" i="19" s="1"/>
  <c r="DE201" i="39"/>
  <c r="DE180" i="39"/>
  <c r="CJ180" i="39"/>
  <c r="K180" i="19" s="1"/>
  <c r="AC180" i="19" s="1"/>
  <c r="CH180" i="39"/>
  <c r="CH109" i="39"/>
  <c r="CJ109" i="39"/>
  <c r="K109" i="19" s="1"/>
  <c r="AC109" i="19" s="1"/>
  <c r="DE109" i="39"/>
  <c r="CC76" i="39"/>
  <c r="CJ76" i="39" s="1"/>
  <c r="K76" i="19" s="1"/>
  <c r="AC76" i="19" s="1"/>
  <c r="CC207" i="39"/>
  <c r="CJ207" i="39" s="1"/>
  <c r="K207" i="19" s="1"/>
  <c r="AC207" i="19" s="1"/>
  <c r="CC178" i="39"/>
  <c r="CJ178" i="39" s="1"/>
  <c r="K178" i="19" s="1"/>
  <c r="AC178" i="19" s="1"/>
  <c r="BR165" i="39"/>
  <c r="BT165" i="39" s="1"/>
  <c r="BV165" i="39" s="1"/>
  <c r="BY165" i="39" s="1"/>
  <c r="CC14" i="39"/>
  <c r="BT15" i="39"/>
  <c r="BV15" i="39" s="1"/>
  <c r="BY15" i="39" s="1"/>
  <c r="BR213" i="39"/>
  <c r="BT213" i="39" s="1"/>
  <c r="BV213" i="39" s="1"/>
  <c r="BY213" i="39" s="1"/>
  <c r="BP168" i="39"/>
  <c r="CI206" i="39"/>
  <c r="HR206" i="39"/>
  <c r="BP196" i="39"/>
  <c r="BP214" i="39"/>
  <c r="BP197" i="39"/>
  <c r="BL217" i="39"/>
  <c r="BP204" i="39"/>
  <c r="CZ170" i="39"/>
  <c r="Y170" i="19" s="1"/>
  <c r="DC170" i="39"/>
  <c r="AB170" i="19" s="1"/>
  <c r="CC16" i="39"/>
  <c r="CJ16" i="39" s="1"/>
  <c r="K16" i="19" s="1"/>
  <c r="AC16" i="19" s="1"/>
  <c r="BN217" i="39"/>
  <c r="DB170" i="39"/>
  <c r="AA170" i="19" s="1"/>
  <c r="GI170" i="39"/>
  <c r="GW170" i="39" s="1"/>
  <c r="HE170" i="39" s="1"/>
  <c r="HI170" i="39" s="1"/>
  <c r="CU170" i="39"/>
  <c r="CX170" i="39" s="1"/>
  <c r="DA170" i="39"/>
  <c r="Z170" i="19" s="1"/>
  <c r="GM216" i="39"/>
  <c r="HA216" i="39" s="1"/>
  <c r="HC216" i="39" s="1"/>
  <c r="Q216" i="19"/>
  <c r="GK170" i="39"/>
  <c r="GY170" i="39" s="1"/>
  <c r="O170" i="19"/>
  <c r="CQ170" i="39"/>
  <c r="M170" i="19"/>
  <c r="AD170" i="19"/>
  <c r="CC150" i="39"/>
  <c r="G36" i="41"/>
  <c r="X25" i="41" s="1"/>
  <c r="X27" i="41" s="1"/>
  <c r="D52" i="41"/>
  <c r="A53" i="41"/>
  <c r="W50" i="5"/>
  <c r="CA165" i="39" l="1"/>
  <c r="CB165" i="39"/>
  <c r="CA213" i="39"/>
  <c r="CB213" i="39"/>
  <c r="CC213" i="39" s="1"/>
  <c r="CJ213" i="39" s="1"/>
  <c r="K213" i="19" s="1"/>
  <c r="AC213" i="19" s="1"/>
  <c r="CB15" i="39"/>
  <c r="CA15" i="39"/>
  <c r="HR201" i="39"/>
  <c r="CL201" i="39"/>
  <c r="CK201" i="39"/>
  <c r="H201" i="19"/>
  <c r="AE201" i="19" s="1"/>
  <c r="AG201" i="19" s="1"/>
  <c r="HR109" i="39"/>
  <c r="CI109" i="39"/>
  <c r="CI180" i="39"/>
  <c r="HR180" i="39"/>
  <c r="CC165" i="39"/>
  <c r="CJ165" i="39" s="1"/>
  <c r="K165" i="19" s="1"/>
  <c r="AC165" i="19" s="1"/>
  <c r="BR196" i="39"/>
  <c r="BT196" i="39" s="1"/>
  <c r="BV196" i="39" s="1"/>
  <c r="BY196" i="39" s="1"/>
  <c r="CJ14" i="39"/>
  <c r="K14" i="19" s="1"/>
  <c r="AC14" i="19" s="1"/>
  <c r="CH14" i="39"/>
  <c r="BR197" i="39"/>
  <c r="BT197" i="39" s="1"/>
  <c r="BV197" i="39" s="1"/>
  <c r="BY197" i="39" s="1"/>
  <c r="BR214" i="39"/>
  <c r="BR168" i="39"/>
  <c r="BT168" i="39" s="1"/>
  <c r="BV168" i="39" s="1"/>
  <c r="BY168" i="39" s="1"/>
  <c r="BR204" i="39"/>
  <c r="BT204" i="39" s="1"/>
  <c r="BV204" i="39" s="1"/>
  <c r="BY204" i="39" s="1"/>
  <c r="J201" i="19"/>
  <c r="DU201" i="39"/>
  <c r="DW201" i="39"/>
  <c r="CL206" i="39"/>
  <c r="DS206" i="39"/>
  <c r="CK206" i="39"/>
  <c r="H206" i="19"/>
  <c r="CV170" i="39"/>
  <c r="U170" i="19" s="1"/>
  <c r="CY170" i="39"/>
  <c r="X170" i="19" s="1"/>
  <c r="GQ170" i="39"/>
  <c r="HH170" i="39"/>
  <c r="HG170" i="39"/>
  <c r="HF170" i="39"/>
  <c r="CW170" i="39"/>
  <c r="GS170" i="39" s="1"/>
  <c r="T170" i="19"/>
  <c r="GM170" i="39"/>
  <c r="HA170" i="39" s="1"/>
  <c r="HC170" i="39" s="1"/>
  <c r="Q170" i="19"/>
  <c r="W170" i="19"/>
  <c r="GT170" i="39"/>
  <c r="CJ150" i="39"/>
  <c r="I36" i="41"/>
  <c r="C37" i="41" s="1"/>
  <c r="F37" i="41" s="1"/>
  <c r="D53" i="41"/>
  <c r="A54" i="41"/>
  <c r="W51" i="5"/>
  <c r="CM201" i="39" l="1"/>
  <c r="CB204" i="39"/>
  <c r="CA204" i="39"/>
  <c r="CA197" i="39"/>
  <c r="CB197" i="39"/>
  <c r="CC197" i="39" s="1"/>
  <c r="CJ197" i="39" s="1"/>
  <c r="K197" i="19" s="1"/>
  <c r="AC197" i="19" s="1"/>
  <c r="CB168" i="39"/>
  <c r="CA168" i="39"/>
  <c r="CA196" i="39"/>
  <c r="CB196" i="39"/>
  <c r="L201" i="19"/>
  <c r="AD201" i="19" s="1"/>
  <c r="CC196" i="39"/>
  <c r="CJ196" i="39" s="1"/>
  <c r="K196" i="19" s="1"/>
  <c r="AC196" i="19" s="1"/>
  <c r="CL180" i="39"/>
  <c r="H180" i="19"/>
  <c r="CK180" i="39"/>
  <c r="DS180" i="39"/>
  <c r="CC204" i="39"/>
  <c r="CJ204" i="39" s="1"/>
  <c r="K204" i="19" s="1"/>
  <c r="AC204" i="19" s="1"/>
  <c r="CL109" i="39"/>
  <c r="H109" i="19"/>
  <c r="CK109" i="39"/>
  <c r="DS109" i="39"/>
  <c r="CC15" i="39"/>
  <c r="BT214" i="39"/>
  <c r="BV214" i="39" s="1"/>
  <c r="BY214" i="39" s="1"/>
  <c r="BY217" i="39" s="1"/>
  <c r="CA217" i="39" s="1"/>
  <c r="BR217" i="39"/>
  <c r="GR170" i="39"/>
  <c r="CM206" i="39"/>
  <c r="DB206" i="39" s="1"/>
  <c r="AA206" i="19" s="1"/>
  <c r="J206" i="19"/>
  <c r="AE206" i="19"/>
  <c r="AG206" i="19" s="1"/>
  <c r="DC201" i="39"/>
  <c r="AB201" i="19" s="1"/>
  <c r="DB201" i="39"/>
  <c r="AA201" i="19" s="1"/>
  <c r="GI201" i="39"/>
  <c r="GW201" i="39" s="1"/>
  <c r="HE201" i="39" s="1"/>
  <c r="CO201" i="39"/>
  <c r="DA201" i="39"/>
  <c r="Z201" i="19" s="1"/>
  <c r="CZ201" i="39"/>
  <c r="Y201" i="19" s="1"/>
  <c r="CU201" i="39"/>
  <c r="GU170" i="39"/>
  <c r="L206" i="19"/>
  <c r="AD206" i="19" s="1"/>
  <c r="DU206" i="39"/>
  <c r="DW206" i="39"/>
  <c r="V170" i="19"/>
  <c r="K150" i="19"/>
  <c r="AC150" i="19" s="1"/>
  <c r="H37" i="41"/>
  <c r="Y26" i="41" s="1"/>
  <c r="D54" i="41"/>
  <c r="A55" i="41"/>
  <c r="W52" i="5"/>
  <c r="M201" i="19" l="1"/>
  <c r="CA214" i="39"/>
  <c r="CB214" i="39"/>
  <c r="CU206" i="39"/>
  <c r="CY206" i="39" s="1"/>
  <c r="DA206" i="39"/>
  <c r="Z206" i="19" s="1"/>
  <c r="J109" i="19"/>
  <c r="AE109" i="19"/>
  <c r="AG109" i="19" s="1"/>
  <c r="CZ206" i="39"/>
  <c r="Y206" i="19" s="1"/>
  <c r="J180" i="19"/>
  <c r="AE180" i="19"/>
  <c r="AG180" i="19" s="1"/>
  <c r="CC214" i="39"/>
  <c r="CJ214" i="39" s="1"/>
  <c r="K214" i="19" s="1"/>
  <c r="AC214" i="19" s="1"/>
  <c r="DU109" i="39"/>
  <c r="DW109" i="39"/>
  <c r="DU180" i="39"/>
  <c r="DW180" i="39"/>
  <c r="L180" i="19"/>
  <c r="AD180" i="19" s="1"/>
  <c r="CM180" i="39"/>
  <c r="CM109" i="39"/>
  <c r="L109" i="19"/>
  <c r="AD109" i="19" s="1"/>
  <c r="BT217" i="39"/>
  <c r="CJ15" i="39"/>
  <c r="GI206" i="39"/>
  <c r="GW206" i="39" s="1"/>
  <c r="HE206" i="39" s="1"/>
  <c r="HH206" i="39" s="1"/>
  <c r="DC206" i="39"/>
  <c r="AB206" i="19" s="1"/>
  <c r="CO206" i="39"/>
  <c r="GK206" i="39" s="1"/>
  <c r="GY206" i="39" s="1"/>
  <c r="M206" i="19"/>
  <c r="HF201" i="39"/>
  <c r="HH201" i="39"/>
  <c r="HG201" i="39"/>
  <c r="HI201" i="39"/>
  <c r="CV201" i="39"/>
  <c r="CX201" i="39"/>
  <c r="T201" i="19"/>
  <c r="GQ201" i="39"/>
  <c r="CY201" i="39"/>
  <c r="CW201" i="39"/>
  <c r="GQ206" i="39"/>
  <c r="CW206" i="39"/>
  <c r="CX206" i="39"/>
  <c r="CQ201" i="39"/>
  <c r="O201" i="19"/>
  <c r="GK201" i="39"/>
  <c r="GY201" i="39" s="1"/>
  <c r="G37" i="41"/>
  <c r="Y25" i="41"/>
  <c r="Y27" i="41" s="1"/>
  <c r="I37" i="41"/>
  <c r="C38" i="41" s="1"/>
  <c r="D55" i="41"/>
  <c r="A56" i="41"/>
  <c r="W53" i="5"/>
  <c r="T206" i="19" l="1"/>
  <c r="CV206" i="39"/>
  <c r="M180" i="19"/>
  <c r="BV217" i="39"/>
  <c r="CU180" i="39"/>
  <c r="CO180" i="39"/>
  <c r="GI180" i="39"/>
  <c r="GW180" i="39" s="1"/>
  <c r="HE180" i="39" s="1"/>
  <c r="DB180" i="39"/>
  <c r="AA180" i="19" s="1"/>
  <c r="CZ180" i="39"/>
  <c r="Y180" i="19" s="1"/>
  <c r="DC180" i="39"/>
  <c r="AB180" i="19" s="1"/>
  <c r="DA180" i="39"/>
  <c r="Z180" i="19" s="1"/>
  <c r="CC168" i="39"/>
  <c r="CB217" i="39"/>
  <c r="GI109" i="39"/>
  <c r="GW109" i="39" s="1"/>
  <c r="HE109" i="39" s="1"/>
  <c r="CU109" i="39"/>
  <c r="DA109" i="39"/>
  <c r="Z109" i="19" s="1"/>
  <c r="DB109" i="39"/>
  <c r="AA109" i="19" s="1"/>
  <c r="DC109" i="39"/>
  <c r="AB109" i="19" s="1"/>
  <c r="CO109" i="39"/>
  <c r="CZ109" i="39"/>
  <c r="Y109" i="19" s="1"/>
  <c r="M109" i="19"/>
  <c r="HF206" i="39"/>
  <c r="CQ206" i="39"/>
  <c r="GM206" i="39" s="1"/>
  <c r="HA206" i="39" s="1"/>
  <c r="HC206" i="39" s="1"/>
  <c r="O206" i="19"/>
  <c r="HI206" i="39"/>
  <c r="HG206" i="39"/>
  <c r="K15" i="19"/>
  <c r="AC15" i="19" s="1"/>
  <c r="GM201" i="39"/>
  <c r="HA201" i="39" s="1"/>
  <c r="HC201" i="39" s="1"/>
  <c r="Q201" i="19"/>
  <c r="GT201" i="39"/>
  <c r="W201" i="19"/>
  <c r="GS206" i="39"/>
  <c r="V206" i="19"/>
  <c r="U201" i="19"/>
  <c r="GR201" i="39"/>
  <c r="X206" i="19"/>
  <c r="GU206" i="39"/>
  <c r="V201" i="19"/>
  <c r="GS201" i="39"/>
  <c r="X201" i="19"/>
  <c r="GU201" i="39"/>
  <c r="W206" i="19"/>
  <c r="GT206" i="39"/>
  <c r="U206" i="19"/>
  <c r="GR206" i="39"/>
  <c r="F38" i="41"/>
  <c r="H38" i="41"/>
  <c r="Z26" i="41" s="1"/>
  <c r="D56" i="41"/>
  <c r="A57" i="41"/>
  <c r="W54" i="5"/>
  <c r="CJ168" i="39" l="1"/>
  <c r="CC217" i="39"/>
  <c r="CW109" i="39"/>
  <c r="T109" i="19"/>
  <c r="CV109" i="39"/>
  <c r="CY109" i="39"/>
  <c r="CX109" i="39"/>
  <c r="GQ109" i="39"/>
  <c r="HI109" i="39"/>
  <c r="HG109" i="39"/>
  <c r="HF109" i="39"/>
  <c r="HH109" i="39"/>
  <c r="Q206" i="19"/>
  <c r="HG180" i="39"/>
  <c r="HI180" i="39"/>
  <c r="HH180" i="39"/>
  <c r="HF180" i="39"/>
  <c r="GK180" i="39"/>
  <c r="GY180" i="39" s="1"/>
  <c r="O180" i="19"/>
  <c r="CQ180" i="39"/>
  <c r="CQ109" i="39"/>
  <c r="O109" i="19"/>
  <c r="GK109" i="39"/>
  <c r="GY109" i="39" s="1"/>
  <c r="CW180" i="39"/>
  <c r="CY180" i="39"/>
  <c r="CX180" i="39"/>
  <c r="CV180" i="39"/>
  <c r="T180" i="19"/>
  <c r="GQ180" i="39"/>
  <c r="G38" i="41"/>
  <c r="D57" i="41"/>
  <c r="A58" i="41"/>
  <c r="W55" i="5"/>
  <c r="K168" i="19" l="1"/>
  <c r="AC168" i="19" s="1"/>
  <c r="CJ217" i="39"/>
  <c r="GT180" i="39"/>
  <c r="W180" i="19"/>
  <c r="X109" i="19"/>
  <c r="GU109" i="39"/>
  <c r="V180" i="19"/>
  <c r="GS180" i="39"/>
  <c r="GR109" i="39"/>
  <c r="U109" i="19"/>
  <c r="Q180" i="19"/>
  <c r="GM180" i="39"/>
  <c r="HA180" i="39" s="1"/>
  <c r="HC180" i="39" s="1"/>
  <c r="GU180" i="39"/>
  <c r="X180" i="19"/>
  <c r="GM109" i="39"/>
  <c r="HA109" i="39" s="1"/>
  <c r="HC109" i="39" s="1"/>
  <c r="Q109" i="19"/>
  <c r="W109" i="19"/>
  <c r="GT109" i="39"/>
  <c r="U180" i="19"/>
  <c r="GR180" i="39"/>
  <c r="GS109" i="39"/>
  <c r="V109" i="19"/>
  <c r="Z25" i="41"/>
  <c r="Z27" i="41" s="1"/>
  <c r="I38" i="41"/>
  <c r="C39" i="41" s="1"/>
  <c r="D58" i="41"/>
  <c r="A59" i="41"/>
  <c r="W56" i="5"/>
  <c r="H39" i="41" l="1"/>
  <c r="AA26" i="41" s="1"/>
  <c r="F39" i="41"/>
  <c r="A60" i="41"/>
  <c r="D59" i="41"/>
  <c r="W57" i="5"/>
  <c r="G39" i="41" l="1"/>
  <c r="AA25" i="41" s="1"/>
  <c r="AA27" i="41" s="1"/>
  <c r="A61" i="41"/>
  <c r="D60" i="41"/>
  <c r="W58" i="5"/>
  <c r="I39" i="41" l="1"/>
  <c r="C40" i="41" s="1"/>
  <c r="F40" i="41" s="1"/>
  <c r="A62" i="41"/>
  <c r="D61" i="41"/>
  <c r="W59" i="5"/>
  <c r="H40" i="41" l="1"/>
  <c r="AB26" i="41" s="1"/>
  <c r="A63" i="41"/>
  <c r="D62" i="41"/>
  <c r="W60" i="5"/>
  <c r="G40" i="41" l="1"/>
  <c r="AB25" i="41" s="1"/>
  <c r="AB27" i="41" s="1"/>
  <c r="I40" i="41"/>
  <c r="C41" i="41" s="1"/>
  <c r="A64" i="41"/>
  <c r="D63" i="41"/>
  <c r="W61" i="5"/>
  <c r="F41" i="41" l="1"/>
  <c r="H41" i="41"/>
  <c r="AC26" i="41" s="1"/>
  <c r="A65" i="41"/>
  <c r="D64" i="41"/>
  <c r="W62" i="5"/>
  <c r="G41" i="41" l="1"/>
  <c r="D65" i="41"/>
  <c r="A66" i="41"/>
  <c r="AC25" i="41" l="1"/>
  <c r="AC27" i="41" s="1"/>
  <c r="I41" i="41"/>
  <c r="C42" i="41" s="1"/>
  <c r="A67" i="41"/>
  <c r="D66" i="41"/>
  <c r="Y19" i="5"/>
  <c r="F42" i="41" l="1"/>
  <c r="H42" i="41"/>
  <c r="AD26" i="41" s="1"/>
  <c r="D67" i="41"/>
  <c r="A68" i="41"/>
  <c r="G42" i="41" l="1"/>
  <c r="A69" i="41"/>
  <c r="D68" i="41"/>
  <c r="AD25" i="41" l="1"/>
  <c r="AD27" i="41" s="1"/>
  <c r="I42" i="41"/>
  <c r="C43" i="41" s="1"/>
  <c r="D69" i="41"/>
  <c r="A70" i="41"/>
  <c r="F43" i="41" l="1"/>
  <c r="H43" i="41"/>
  <c r="AE26" i="41" s="1"/>
  <c r="D70" i="41"/>
  <c r="A71" i="41"/>
  <c r="G43" i="41" l="1"/>
  <c r="AE25" i="41" s="1"/>
  <c r="AE27" i="41" s="1"/>
  <c r="I43" i="41"/>
  <c r="C44" i="41" s="1"/>
  <c r="H44" i="41" s="1"/>
  <c r="AF26" i="41" s="1"/>
  <c r="D71" i="41"/>
  <c r="A72" i="41"/>
  <c r="F44" i="41" l="1"/>
  <c r="G44" i="41" s="1"/>
  <c r="D72" i="41"/>
  <c r="A73" i="41"/>
  <c r="AF25" i="41" l="1"/>
  <c r="AF27" i="41" s="1"/>
  <c r="I44" i="41"/>
  <c r="C45" i="41" s="1"/>
  <c r="D73" i="41"/>
  <c r="A74" i="41"/>
  <c r="H45" i="41" l="1"/>
  <c r="AG26" i="41" s="1"/>
  <c r="F45" i="41"/>
  <c r="D74" i="41"/>
  <c r="A75" i="41"/>
  <c r="G45" i="41" l="1"/>
  <c r="AG25" i="41" s="1"/>
  <c r="AG27" i="41" s="1"/>
  <c r="A76" i="41"/>
  <c r="D75" i="41"/>
  <c r="I45" i="41" l="1"/>
  <c r="C46" i="41" s="1"/>
  <c r="F46" i="41" s="1"/>
  <c r="A77" i="41"/>
  <c r="D76" i="41"/>
  <c r="H46" i="41" l="1"/>
  <c r="AH26" i="41" s="1"/>
  <c r="A78" i="41"/>
  <c r="D77" i="41"/>
  <c r="G46" i="41" l="1"/>
  <c r="AH25" i="41" s="1"/>
  <c r="AH27" i="41" s="1"/>
  <c r="I46" i="41"/>
  <c r="C47" i="41" s="1"/>
  <c r="D78" i="41"/>
  <c r="A79" i="41"/>
  <c r="F47" i="41" l="1"/>
  <c r="H47" i="41"/>
  <c r="AI26" i="41" s="1"/>
  <c r="A80" i="41"/>
  <c r="D79" i="41"/>
  <c r="G47" i="41" l="1"/>
  <c r="D80" i="41"/>
  <c r="A81" i="41"/>
  <c r="AI25" i="41" l="1"/>
  <c r="AI27" i="41" s="1"/>
  <c r="I47" i="41"/>
  <c r="C48" i="41" s="1"/>
  <c r="A82" i="41"/>
  <c r="D81" i="41"/>
  <c r="H48" i="41" l="1"/>
  <c r="AJ26" i="41" s="1"/>
  <c r="F48" i="41"/>
  <c r="A83" i="41"/>
  <c r="D82" i="41"/>
  <c r="G48" i="41" l="1"/>
  <c r="AJ25" i="41" s="1"/>
  <c r="AJ27" i="41" s="1"/>
  <c r="A84" i="41"/>
  <c r="D83" i="41"/>
  <c r="I48" i="41" l="1"/>
  <c r="C49" i="41" s="1"/>
  <c r="H49" i="41" s="1"/>
  <c r="AK26" i="41" s="1"/>
  <c r="D84" i="41"/>
  <c r="A85" i="41"/>
  <c r="F49" i="41" l="1"/>
  <c r="G49" i="41" s="1"/>
  <c r="I49" i="41" s="1"/>
  <c r="C50" i="41" s="1"/>
  <c r="F50" i="41" s="1"/>
  <c r="A86" i="41"/>
  <c r="D85" i="41"/>
  <c r="AK25" i="41" l="1"/>
  <c r="AK27" i="41" s="1"/>
  <c r="H50" i="41"/>
  <c r="AL26" i="41" s="1"/>
  <c r="G50" i="41"/>
  <c r="D86" i="41"/>
  <c r="A87" i="41"/>
  <c r="AL25" i="41" l="1"/>
  <c r="AL27" i="41" s="1"/>
  <c r="I50" i="41"/>
  <c r="C51" i="41" s="1"/>
  <c r="A88" i="41"/>
  <c r="D87" i="41"/>
  <c r="F51" i="41" l="1"/>
  <c r="H51" i="41"/>
  <c r="AM26" i="41" s="1"/>
  <c r="A89" i="41"/>
  <c r="D88" i="41"/>
  <c r="G51" i="41" l="1"/>
  <c r="D89" i="41"/>
  <c r="A90" i="41"/>
  <c r="AM25" i="41" l="1"/>
  <c r="AM27" i="41" s="1"/>
  <c r="I51" i="41"/>
  <c r="C52" i="41" s="1"/>
  <c r="D90" i="41"/>
  <c r="A91" i="41"/>
  <c r="H52" i="41" l="1"/>
  <c r="AN26" i="41" s="1"/>
  <c r="F52" i="41"/>
  <c r="A92" i="41"/>
  <c r="D91" i="41"/>
  <c r="G52" i="41" l="1"/>
  <c r="AN25" i="41" s="1"/>
  <c r="AN27" i="41" s="1"/>
  <c r="D92" i="41"/>
  <c r="A93" i="41"/>
  <c r="I52" i="41" l="1"/>
  <c r="C53" i="41" s="1"/>
  <c r="H53" i="41" s="1"/>
  <c r="AO26" i="41" s="1"/>
  <c r="D93" i="41"/>
  <c r="A94" i="41"/>
  <c r="F53" i="41" l="1"/>
  <c r="G53" i="41" s="1"/>
  <c r="I53" i="41" s="1"/>
  <c r="C54" i="41" s="1"/>
  <c r="A95" i="41"/>
  <c r="D94" i="41"/>
  <c r="AO25" i="41" l="1"/>
  <c r="AO27" i="41" s="1"/>
  <c r="F54" i="41"/>
  <c r="H54" i="41"/>
  <c r="AP26" i="41" s="1"/>
  <c r="D95" i="41"/>
  <c r="A96" i="41"/>
  <c r="G54" i="41" l="1"/>
  <c r="D96" i="41"/>
  <c r="A97" i="41"/>
  <c r="AP25" i="41" l="1"/>
  <c r="AP27" i="41" s="1"/>
  <c r="I54" i="41"/>
  <c r="C55" i="41" s="1"/>
  <c r="A98" i="41"/>
  <c r="D97" i="41"/>
  <c r="H55" i="41" l="1"/>
  <c r="AQ26" i="41" s="1"/>
  <c r="F55" i="41"/>
  <c r="A99" i="41"/>
  <c r="D98" i="41"/>
  <c r="G55" i="41" l="1"/>
  <c r="AQ25" i="41" s="1"/>
  <c r="AQ27" i="41" s="1"/>
  <c r="A100" i="41"/>
  <c r="D99" i="41"/>
  <c r="I55" i="41" l="1"/>
  <c r="C56" i="41" s="1"/>
  <c r="A101" i="41"/>
  <c r="D100" i="41"/>
  <c r="H56" i="41" l="1"/>
  <c r="AR26" i="41" s="1"/>
  <c r="F56" i="41"/>
  <c r="G56" i="41" s="1"/>
  <c r="AR25" i="41" s="1"/>
  <c r="AR27" i="41" s="1"/>
  <c r="D101" i="41"/>
  <c r="A102" i="41"/>
  <c r="I56" i="41" l="1"/>
  <c r="C57" i="41" s="1"/>
  <c r="H57" i="41" s="1"/>
  <c r="AS26" i="41" s="1"/>
  <c r="D102" i="41"/>
  <c r="A103" i="41"/>
  <c r="F57" i="41" l="1"/>
  <c r="G57" i="41" s="1"/>
  <c r="AS25" i="41" s="1"/>
  <c r="AS27" i="41" s="1"/>
  <c r="D103" i="41"/>
  <c r="A104" i="41"/>
  <c r="I57" i="41" l="1"/>
  <c r="C58" i="41" s="1"/>
  <c r="F58" i="41" s="1"/>
  <c r="D104" i="41"/>
  <c r="A105" i="41"/>
  <c r="H58" i="41" l="1"/>
  <c r="AT26" i="41" s="1"/>
  <c r="G58" i="41"/>
  <c r="AT25" i="41" s="1"/>
  <c r="AT27" i="41" s="1"/>
  <c r="D105" i="41"/>
  <c r="A106" i="41"/>
  <c r="I58" i="41" l="1"/>
  <c r="C59" i="41" s="1"/>
  <c r="H59" i="41" s="1"/>
  <c r="AU26" i="41" s="1"/>
  <c r="D106" i="41"/>
  <c r="A107" i="41"/>
  <c r="F59" i="41" l="1"/>
  <c r="G59" i="41"/>
  <c r="AU25" i="41" s="1"/>
  <c r="AU27" i="41" s="1"/>
  <c r="D107" i="41"/>
  <c r="A108" i="41"/>
  <c r="I59" i="41" l="1"/>
  <c r="C60" i="41" s="1"/>
  <c r="H60" i="41" s="1"/>
  <c r="AV26" i="41" s="1"/>
  <c r="A109" i="41"/>
  <c r="D108" i="41"/>
  <c r="F60" i="41" l="1"/>
  <c r="G60" i="41" s="1"/>
  <c r="I60" i="41" s="1"/>
  <c r="C61" i="41" s="1"/>
  <c r="H61" i="41" s="1"/>
  <c r="AW26" i="41" s="1"/>
  <c r="D109" i="41"/>
  <c r="A110" i="41"/>
  <c r="F61" i="41" l="1"/>
  <c r="AV25" i="41"/>
  <c r="AV27" i="41" s="1"/>
  <c r="G61" i="41"/>
  <c r="I61" i="41" s="1"/>
  <c r="C62" i="41" s="1"/>
  <c r="D110" i="41"/>
  <c r="A111" i="41"/>
  <c r="AW25" i="41" l="1"/>
  <c r="AW27" i="41" s="1"/>
  <c r="F62" i="41"/>
  <c r="H62" i="41"/>
  <c r="AX26" i="41" s="1"/>
  <c r="D111" i="41"/>
  <c r="A112" i="41"/>
  <c r="G62" i="41" l="1"/>
  <c r="A113" i="41"/>
  <c r="D112" i="41"/>
  <c r="AX25" i="41" l="1"/>
  <c r="AX27" i="41" s="1"/>
  <c r="I62" i="41"/>
  <c r="C63" i="41" s="1"/>
  <c r="A114" i="41"/>
  <c r="D113" i="41"/>
  <c r="F63" i="41" l="1"/>
  <c r="H63" i="41"/>
  <c r="AY26" i="41" s="1"/>
  <c r="A115" i="41"/>
  <c r="D114" i="41"/>
  <c r="G63" i="41" l="1"/>
  <c r="A116" i="41"/>
  <c r="D115" i="41"/>
  <c r="AY25" i="41" l="1"/>
  <c r="AY27" i="41" s="1"/>
  <c r="I63" i="41"/>
  <c r="C64" i="41" s="1"/>
  <c r="D116" i="41"/>
  <c r="A117" i="41"/>
  <c r="H64" i="41" l="1"/>
  <c r="AZ26" i="41" s="1"/>
  <c r="F64" i="41"/>
  <c r="A118" i="41"/>
  <c r="D117" i="41"/>
  <c r="G64" i="41" l="1"/>
  <c r="AZ25" i="41" s="1"/>
  <c r="AZ27" i="41" s="1"/>
  <c r="D118" i="41"/>
  <c r="A119" i="41"/>
  <c r="I64" i="41" l="1"/>
  <c r="C65" i="41" s="1"/>
  <c r="H65" i="41" s="1"/>
  <c r="BA26" i="41" s="1"/>
  <c r="A120" i="41"/>
  <c r="D119" i="41"/>
  <c r="F65" i="41" l="1"/>
  <c r="G65" i="41"/>
  <c r="BA25" i="41" s="1"/>
  <c r="BA27" i="41" s="1"/>
  <c r="I65" i="41"/>
  <c r="C66" i="41" s="1"/>
  <c r="A121" i="41"/>
  <c r="D120" i="41"/>
  <c r="F66" i="41" l="1"/>
  <c r="H66" i="41"/>
  <c r="BB26" i="41" s="1"/>
  <c r="D121" i="41"/>
  <c r="A122" i="41"/>
  <c r="G66" i="41" l="1"/>
  <c r="A123" i="41"/>
  <c r="D122" i="41"/>
  <c r="BB25" i="41" l="1"/>
  <c r="BB27" i="41" s="1"/>
  <c r="I66" i="41"/>
  <c r="C67" i="41" s="1"/>
  <c r="A124" i="41"/>
  <c r="D123" i="41"/>
  <c r="H67" i="41" l="1"/>
  <c r="BC26" i="41" s="1"/>
  <c r="F67" i="41"/>
  <c r="D124" i="41"/>
  <c r="A125" i="41"/>
  <c r="G67" i="41" l="1"/>
  <c r="BC25" i="41" s="1"/>
  <c r="BC27" i="41" s="1"/>
  <c r="D125" i="41"/>
  <c r="A126" i="41"/>
  <c r="I67" i="41" l="1"/>
  <c r="C68" i="41" s="1"/>
  <c r="F68" i="41" s="1"/>
  <c r="A127" i="41"/>
  <c r="D126" i="41"/>
  <c r="H68" i="41" l="1"/>
  <c r="BD26" i="41" s="1"/>
  <c r="A128" i="41"/>
  <c r="D127" i="41"/>
  <c r="G68" i="41" l="1"/>
  <c r="BD25" i="41" s="1"/>
  <c r="BD27" i="41" s="1"/>
  <c r="I68" i="41"/>
  <c r="C69" i="41" s="1"/>
  <c r="D128" i="41"/>
  <c r="A129" i="41"/>
  <c r="H69" i="41" l="1"/>
  <c r="BE26" i="41" s="1"/>
  <c r="F69" i="41"/>
  <c r="D129" i="41"/>
  <c r="A130" i="41"/>
  <c r="G69" i="41" l="1"/>
  <c r="BE25" i="41" s="1"/>
  <c r="BE27" i="41" s="1"/>
  <c r="I69" i="41"/>
  <c r="C70" i="41" s="1"/>
  <c r="A131" i="41"/>
  <c r="D130" i="41"/>
  <c r="F70" i="41" l="1"/>
  <c r="H70" i="41"/>
  <c r="BF26" i="41" s="1"/>
  <c r="D131" i="41"/>
  <c r="A132" i="41"/>
  <c r="G70" i="41" l="1"/>
  <c r="A133" i="41"/>
  <c r="D132" i="41"/>
  <c r="BF25" i="41" l="1"/>
  <c r="BF27" i="41" s="1"/>
  <c r="I70" i="41"/>
  <c r="C71" i="41" s="1"/>
  <c r="D133" i="41"/>
  <c r="A134" i="41"/>
  <c r="F71" i="41" l="1"/>
  <c r="H71" i="41"/>
  <c r="BG26" i="41" s="1"/>
  <c r="A135" i="41"/>
  <c r="D134" i="41"/>
  <c r="G71" i="41" l="1"/>
  <c r="D135" i="41"/>
  <c r="A136" i="41"/>
  <c r="BG25" i="41" l="1"/>
  <c r="BG27" i="41" s="1"/>
  <c r="I71" i="41"/>
  <c r="C72" i="41" s="1"/>
  <c r="A137" i="41"/>
  <c r="D136" i="41"/>
  <c r="F72" i="41" l="1"/>
  <c r="H72" i="41"/>
  <c r="BH26" i="41" s="1"/>
  <c r="A138" i="41"/>
  <c r="D137" i="41"/>
  <c r="G72" i="41" l="1"/>
  <c r="A139" i="41"/>
  <c r="D138" i="41"/>
  <c r="BH25" i="41" l="1"/>
  <c r="BH27" i="41" s="1"/>
  <c r="I72" i="41"/>
  <c r="C73" i="41" s="1"/>
  <c r="A140" i="41"/>
  <c r="D139" i="41"/>
  <c r="F73" i="41" l="1"/>
  <c r="H73" i="41"/>
  <c r="BI26" i="41" s="1"/>
  <c r="A141" i="41"/>
  <c r="D140" i="41"/>
  <c r="G73" i="41" l="1"/>
  <c r="D141" i="41"/>
  <c r="A142" i="41"/>
  <c r="BI25" i="41" l="1"/>
  <c r="BI27" i="41" s="1"/>
  <c r="I73" i="41"/>
  <c r="C74" i="41" s="1"/>
  <c r="A143" i="41"/>
  <c r="D142" i="41"/>
  <c r="F74" i="41" l="1"/>
  <c r="H74" i="41"/>
  <c r="BJ26" i="41" s="1"/>
  <c r="D143" i="41"/>
  <c r="A144" i="41"/>
  <c r="G74" i="41" l="1"/>
  <c r="A145" i="41"/>
  <c r="D144" i="41"/>
  <c r="BJ25" i="41" l="1"/>
  <c r="BJ27" i="41" s="1"/>
  <c r="I74" i="41"/>
  <c r="C75" i="41" s="1"/>
  <c r="D145" i="41"/>
  <c r="A146" i="41"/>
  <c r="F75" i="41" l="1"/>
  <c r="H75" i="41"/>
  <c r="BK26" i="41" s="1"/>
  <c r="A147" i="41"/>
  <c r="B146" i="41"/>
  <c r="D146" i="41"/>
  <c r="G75" i="41" l="1"/>
  <c r="B147" i="41"/>
  <c r="A148" i="41"/>
  <c r="D147" i="41"/>
  <c r="BK25" i="41" l="1"/>
  <c r="BK27" i="41" s="1"/>
  <c r="I75" i="41"/>
  <c r="C76" i="41" s="1"/>
  <c r="B148" i="41"/>
  <c r="A149" i="41"/>
  <c r="D148" i="41"/>
  <c r="F76" i="41" l="1"/>
  <c r="H76" i="41"/>
  <c r="BL26" i="41" s="1"/>
  <c r="D149" i="41"/>
  <c r="A150" i="41"/>
  <c r="B149" i="41"/>
  <c r="G76" i="41" l="1"/>
  <c r="B150" i="41"/>
  <c r="D150" i="41"/>
  <c r="A151" i="41"/>
  <c r="I76" i="41" l="1"/>
  <c r="C77" i="41" s="1"/>
  <c r="BL25" i="41"/>
  <c r="BL27" i="41" s="1"/>
  <c r="B151" i="41"/>
  <c r="A152" i="41"/>
  <c r="D151" i="41"/>
  <c r="H77" i="41" l="1"/>
  <c r="BM26" i="41" s="1"/>
  <c r="F77" i="41"/>
  <c r="A153" i="41"/>
  <c r="B152" i="41"/>
  <c r="D152" i="41"/>
  <c r="G77" i="41" l="1"/>
  <c r="BM25" i="41" s="1"/>
  <c r="BM27" i="41" s="1"/>
  <c r="D153" i="41"/>
  <c r="A154" i="41"/>
  <c r="B153" i="41"/>
  <c r="I77" i="41" l="1"/>
  <c r="C78" i="41" s="1"/>
  <c r="F78" i="41" s="1"/>
  <c r="D154" i="41"/>
  <c r="A155" i="41"/>
  <c r="B154" i="41"/>
  <c r="H78" i="41" l="1"/>
  <c r="BN26" i="41" s="1"/>
  <c r="B155" i="41"/>
  <c r="D155" i="41"/>
  <c r="A156" i="41"/>
  <c r="G78" i="41" l="1"/>
  <c r="D156" i="41"/>
  <c r="B156" i="41"/>
  <c r="A157" i="41"/>
  <c r="BN25" i="41" l="1"/>
  <c r="BN27" i="41" s="1"/>
  <c r="I78" i="41"/>
  <c r="C79" i="41" s="1"/>
  <c r="A158" i="41"/>
  <c r="D157" i="41"/>
  <c r="B157" i="41"/>
  <c r="F79" i="41" l="1"/>
  <c r="H79" i="41"/>
  <c r="BO26" i="41" s="1"/>
  <c r="B158" i="41"/>
  <c r="D158" i="41"/>
  <c r="A159" i="41"/>
  <c r="G79" i="41" l="1"/>
  <c r="A160" i="41"/>
  <c r="B159" i="41"/>
  <c r="D159" i="41"/>
  <c r="BO25" i="41" l="1"/>
  <c r="BO27" i="41" s="1"/>
  <c r="I79" i="41"/>
  <c r="C80" i="41" s="1"/>
  <c r="A161" i="41"/>
  <c r="D160" i="41"/>
  <c r="B160" i="41"/>
  <c r="F80" i="41" l="1"/>
  <c r="H80" i="41"/>
  <c r="BP26" i="41" s="1"/>
  <c r="D161" i="41"/>
  <c r="B161" i="41"/>
  <c r="A162" i="41"/>
  <c r="G80" i="41" l="1"/>
  <c r="BP25" i="41" s="1"/>
  <c r="BP27" i="41" s="1"/>
  <c r="D162" i="41"/>
  <c r="B162" i="41"/>
  <c r="A163" i="41"/>
  <c r="I80" i="41" l="1"/>
  <c r="C81" i="41" s="1"/>
  <c r="F81" i="41" s="1"/>
  <c r="D163" i="41"/>
  <c r="B163" i="41"/>
  <c r="A164" i="41"/>
  <c r="H81" i="41" l="1"/>
  <c r="BQ26" i="41" s="1"/>
  <c r="A165" i="41"/>
  <c r="D164" i="41"/>
  <c r="B164" i="41"/>
  <c r="G81" i="41" l="1"/>
  <c r="BQ25" i="41" s="1"/>
  <c r="BQ27" i="41" s="1"/>
  <c r="B165" i="41"/>
  <c r="A166" i="41"/>
  <c r="D165" i="41"/>
  <c r="I81" i="41" l="1"/>
  <c r="C82" i="41" s="1"/>
  <c r="F82" i="41" s="1"/>
  <c r="D166" i="41"/>
  <c r="B166" i="41"/>
  <c r="A167" i="41"/>
  <c r="H82" i="41" l="1"/>
  <c r="BR26" i="41" s="1"/>
  <c r="D167" i="41"/>
  <c r="B167" i="41"/>
  <c r="A168" i="41"/>
  <c r="G82" i="41" l="1"/>
  <c r="B168" i="41"/>
  <c r="A169" i="41"/>
  <c r="D168" i="41"/>
  <c r="BR25" i="41" l="1"/>
  <c r="BR27" i="41" s="1"/>
  <c r="I82" i="41"/>
  <c r="C83" i="41" s="1"/>
  <c r="A170" i="41"/>
  <c r="D169" i="41"/>
  <c r="B169" i="41"/>
  <c r="H83" i="41" l="1"/>
  <c r="BS26" i="41" s="1"/>
  <c r="F83" i="41"/>
  <c r="A171" i="41"/>
  <c r="D170" i="41"/>
  <c r="B170" i="41"/>
  <c r="G83" i="41" l="1"/>
  <c r="B171" i="41"/>
  <c r="A172" i="41"/>
  <c r="D171" i="41"/>
  <c r="BS25" i="41" l="1"/>
  <c r="BS27" i="41" s="1"/>
  <c r="I83" i="41"/>
  <c r="C84" i="41" s="1"/>
  <c r="D172" i="41"/>
  <c r="A173" i="41"/>
  <c r="B172" i="41"/>
  <c r="H84" i="41" l="1"/>
  <c r="BT26" i="41" s="1"/>
  <c r="F84" i="41"/>
  <c r="D173" i="41"/>
  <c r="B173" i="41"/>
  <c r="A174" i="41"/>
  <c r="L36" i="41" l="1"/>
  <c r="G87" i="41"/>
  <c r="G84" i="41"/>
  <c r="B174" i="41"/>
  <c r="D174" i="41"/>
  <c r="A175" i="41"/>
  <c r="BT25" i="41" l="1"/>
  <c r="BT27" i="41" s="1"/>
  <c r="I84" i="41"/>
  <c r="C85" i="41" s="1"/>
  <c r="B175" i="41"/>
  <c r="A176" i="41"/>
  <c r="D175" i="41"/>
  <c r="F85" i="41" l="1"/>
  <c r="H85" i="41"/>
  <c r="D176" i="41"/>
  <c r="B176" i="41"/>
  <c r="A177" i="41"/>
  <c r="G85" i="41" l="1"/>
  <c r="I85" i="41" s="1"/>
  <c r="C86" i="41" s="1"/>
  <c r="H86" i="41" s="1"/>
  <c r="A178" i="41"/>
  <c r="B177" i="41"/>
  <c r="D177" i="41"/>
  <c r="F86" i="41" l="1"/>
  <c r="G86" i="41" s="1"/>
  <c r="I86" i="41" s="1"/>
  <c r="C87" i="41" s="1"/>
  <c r="F87" i="41" s="1"/>
  <c r="B178" i="41"/>
  <c r="A179" i="41"/>
  <c r="D178" i="41"/>
  <c r="I87" i="41" l="1"/>
  <c r="C88" i="41" s="1"/>
  <c r="F88" i="41" s="1"/>
  <c r="H87" i="41"/>
  <c r="A180" i="41"/>
  <c r="B179" i="41"/>
  <c r="D179" i="41"/>
  <c r="H88" i="41" l="1"/>
  <c r="G88" i="41" s="1"/>
  <c r="I88" i="41" s="1"/>
  <c r="C89" i="41" s="1"/>
  <c r="H89" i="41" s="1"/>
  <c r="B180" i="41"/>
  <c r="A181" i="41"/>
  <c r="D180" i="41"/>
  <c r="F89" i="41" l="1"/>
  <c r="G89" i="41" s="1"/>
  <c r="I89" i="41" s="1"/>
  <c r="C90" i="41" s="1"/>
  <c r="H90" i="41" s="1"/>
  <c r="A182" i="41"/>
  <c r="B181" i="41"/>
  <c r="D181" i="41"/>
  <c r="F90" i="41" l="1"/>
  <c r="G90" i="41" s="1"/>
  <c r="I90" i="41" s="1"/>
  <c r="C91" i="41" s="1"/>
  <c r="H91" i="41" s="1"/>
  <c r="A183" i="41"/>
  <c r="B182" i="41"/>
  <c r="D182" i="41"/>
  <c r="F91" i="41" l="1"/>
  <c r="G91" i="41" s="1"/>
  <c r="I91" i="41" s="1"/>
  <c r="C92" i="41" s="1"/>
  <c r="F92" i="41" s="1"/>
  <c r="A184" i="41"/>
  <c r="B183" i="41"/>
  <c r="D183" i="41"/>
  <c r="H92" i="41" l="1"/>
  <c r="G92" i="41" s="1"/>
  <c r="I92" i="41" s="1"/>
  <c r="C93" i="41" s="1"/>
  <c r="A185" i="41"/>
  <c r="B184" i="41"/>
  <c r="D184" i="41"/>
  <c r="H93" i="41" l="1"/>
  <c r="F93" i="41"/>
  <c r="A186" i="41"/>
  <c r="D185" i="41"/>
  <c r="B185" i="41"/>
  <c r="G93" i="41" l="1"/>
  <c r="I93" i="41" s="1"/>
  <c r="C94" i="41" s="1"/>
  <c r="H94" i="41" s="1"/>
  <c r="D186" i="41"/>
  <c r="B186" i="41"/>
  <c r="A187" i="41"/>
  <c r="F94" i="41" l="1"/>
  <c r="G94" i="41" s="1"/>
  <c r="I94" i="41" s="1"/>
  <c r="C95" i="41" s="1"/>
  <c r="H95" i="41" s="1"/>
  <c r="A188" i="41"/>
  <c r="B187" i="41"/>
  <c r="D187" i="41"/>
  <c r="F95" i="41" l="1"/>
  <c r="G95" i="41" s="1"/>
  <c r="I95" i="41" s="1"/>
  <c r="C96" i="41" s="1"/>
  <c r="F96" i="41" s="1"/>
  <c r="D188" i="41"/>
  <c r="B188" i="41"/>
  <c r="A189" i="41"/>
  <c r="H96" i="41" l="1"/>
  <c r="G96" i="41" s="1"/>
  <c r="I96" i="41" s="1"/>
  <c r="C97" i="41" s="1"/>
  <c r="A190" i="41"/>
  <c r="B189" i="41"/>
  <c r="D189" i="41"/>
  <c r="H97" i="41" l="1"/>
  <c r="F97" i="41"/>
  <c r="G97" i="41" s="1"/>
  <c r="I97" i="41" s="1"/>
  <c r="C98" i="41" s="1"/>
  <c r="D190" i="41"/>
  <c r="B190" i="41"/>
  <c r="A191" i="41"/>
  <c r="H98" i="41" l="1"/>
  <c r="F98" i="41"/>
  <c r="D191" i="41"/>
  <c r="B191" i="41"/>
  <c r="A192" i="41"/>
  <c r="G98" i="41" l="1"/>
  <c r="I98" i="41" s="1"/>
  <c r="C99" i="41" s="1"/>
  <c r="H99" i="41" s="1"/>
  <c r="D192" i="41"/>
  <c r="A193" i="41"/>
  <c r="B192" i="41"/>
  <c r="F99" i="41" l="1"/>
  <c r="G99" i="41" s="1"/>
  <c r="I99" i="41" s="1"/>
  <c r="C100" i="41" s="1"/>
  <c r="H100" i="41" s="1"/>
  <c r="B193" i="41"/>
  <c r="A194" i="41"/>
  <c r="D193" i="41"/>
  <c r="F100" i="41" l="1"/>
  <c r="G100" i="41" s="1"/>
  <c r="I100" i="41" s="1"/>
  <c r="C101" i="41" s="1"/>
  <c r="H101" i="41" s="1"/>
  <c r="D194" i="41"/>
  <c r="A195" i="41"/>
  <c r="B194" i="41"/>
  <c r="F101" i="41" l="1"/>
  <c r="G101" i="41" s="1"/>
  <c r="I101" i="41" s="1"/>
  <c r="C102" i="41" s="1"/>
  <c r="H102" i="41" s="1"/>
  <c r="B195" i="41"/>
  <c r="D195" i="41"/>
  <c r="A196" i="41"/>
  <c r="F102" i="41" l="1"/>
  <c r="G102" i="41" s="1"/>
  <c r="I102" i="41" s="1"/>
  <c r="C103" i="41" s="1"/>
  <c r="B196" i="41"/>
  <c r="D196" i="41"/>
  <c r="A197" i="41"/>
  <c r="F103" i="41" l="1"/>
  <c r="H103" i="41"/>
  <c r="B197" i="41"/>
  <c r="D197" i="41"/>
  <c r="A198" i="41"/>
  <c r="G103" i="41" l="1"/>
  <c r="I103" i="41" s="1"/>
  <c r="C104" i="41" s="1"/>
  <c r="A199" i="41"/>
  <c r="B198" i="41"/>
  <c r="D198" i="41"/>
  <c r="H104" i="41" l="1"/>
  <c r="F104" i="41"/>
  <c r="A200" i="41"/>
  <c r="D199" i="41"/>
  <c r="B199" i="41"/>
  <c r="G104" i="41" l="1"/>
  <c r="I104" i="41" s="1"/>
  <c r="C105" i="41" s="1"/>
  <c r="H105" i="41" s="1"/>
  <c r="A201" i="41"/>
  <c r="B200" i="41"/>
  <c r="D200" i="41"/>
  <c r="F105" i="41" l="1"/>
  <c r="G105" i="41" s="1"/>
  <c r="I105" i="41" s="1"/>
  <c r="C106" i="41" s="1"/>
  <c r="F106" i="41" s="1"/>
  <c r="D201" i="41"/>
  <c r="A202" i="41"/>
  <c r="B201" i="41"/>
  <c r="H106" i="41" l="1"/>
  <c r="G106" i="41" s="1"/>
  <c r="I106" i="41" s="1"/>
  <c r="C107" i="41" s="1"/>
  <c r="H107" i="41" s="1"/>
  <c r="B202" i="41"/>
  <c r="A203" i="41"/>
  <c r="D202" i="41"/>
  <c r="F107" i="41" l="1"/>
  <c r="G107" i="41" s="1"/>
  <c r="I107" i="41" s="1"/>
  <c r="C108" i="41" s="1"/>
  <c r="H108" i="41" s="1"/>
  <c r="B203" i="41"/>
  <c r="A204" i="41"/>
  <c r="D203" i="41"/>
  <c r="F108" i="41" l="1"/>
  <c r="G108" i="41" s="1"/>
  <c r="I108" i="41" s="1"/>
  <c r="C109" i="41" s="1"/>
  <c r="F109" i="41" s="1"/>
  <c r="B204" i="41"/>
  <c r="D204" i="41"/>
  <c r="A205" i="41"/>
  <c r="H109" i="41" l="1"/>
  <c r="G109" i="41" s="1"/>
  <c r="I109" i="41" s="1"/>
  <c r="C110" i="41" s="1"/>
  <c r="H110" i="41" s="1"/>
  <c r="B205" i="41"/>
  <c r="D205" i="41"/>
  <c r="A206" i="41"/>
  <c r="F110" i="41" l="1"/>
  <c r="G110" i="41" s="1"/>
  <c r="I110" i="41" s="1"/>
  <c r="C111" i="41" s="1"/>
  <c r="H111" i="41" s="1"/>
  <c r="D206" i="41"/>
  <c r="A207" i="41"/>
  <c r="B206" i="41"/>
  <c r="F111" i="41" l="1"/>
  <c r="G111" i="41" s="1"/>
  <c r="I111" i="41" s="1"/>
  <c r="C112" i="41" s="1"/>
  <c r="H112" i="41" s="1"/>
  <c r="D207" i="41"/>
  <c r="A208" i="41"/>
  <c r="B207" i="41"/>
  <c r="F112" i="41" l="1"/>
  <c r="G112" i="41" s="1"/>
  <c r="I112" i="41" s="1"/>
  <c r="C113" i="41" s="1"/>
  <c r="F113" i="41" s="1"/>
  <c r="A209" i="41"/>
  <c r="B208" i="41"/>
  <c r="D208" i="41"/>
  <c r="H113" i="41" l="1"/>
  <c r="G113" i="41" s="1"/>
  <c r="I113" i="41" s="1"/>
  <c r="C114" i="41" s="1"/>
  <c r="F114" i="41" s="1"/>
  <c r="D209" i="41"/>
  <c r="A210" i="41"/>
  <c r="B209" i="41"/>
  <c r="H114" i="41" l="1"/>
  <c r="G114" i="41" s="1"/>
  <c r="I114" i="41" s="1"/>
  <c r="C115" i="41" s="1"/>
  <c r="A211" i="41"/>
  <c r="D210" i="41"/>
  <c r="B210" i="41"/>
  <c r="H115" i="41" l="1"/>
  <c r="F115" i="41"/>
  <c r="G115" i="41" s="1"/>
  <c r="I115" i="41" s="1"/>
  <c r="C116" i="41" s="1"/>
  <c r="B211" i="41"/>
  <c r="D211" i="41"/>
  <c r="A212" i="41"/>
  <c r="F116" i="41" l="1"/>
  <c r="H116" i="41"/>
  <c r="A213" i="41"/>
  <c r="D212" i="41"/>
  <c r="B212" i="41"/>
  <c r="G116" i="41" l="1"/>
  <c r="I116" i="41" s="1"/>
  <c r="C117" i="41" s="1"/>
  <c r="B213" i="41"/>
  <c r="D213" i="41"/>
  <c r="A214" i="41"/>
  <c r="H117" i="41" l="1"/>
  <c r="F117" i="41"/>
  <c r="D214" i="41"/>
  <c r="B214" i="41"/>
  <c r="A215" i="41"/>
  <c r="G117" i="41" l="1"/>
  <c r="I117" i="41" s="1"/>
  <c r="C118" i="41" s="1"/>
  <c r="D215" i="41"/>
  <c r="A216" i="41"/>
  <c r="B215" i="41"/>
  <c r="F118" i="41" l="1"/>
  <c r="H118" i="41"/>
  <c r="A217" i="41"/>
  <c r="D216" i="41"/>
  <c r="B216" i="41"/>
  <c r="G118" i="41" l="1"/>
  <c r="I118" i="41" s="1"/>
  <c r="C119" i="41" s="1"/>
  <c r="H119" i="41" s="1"/>
  <c r="A218" i="41"/>
  <c r="B217" i="41"/>
  <c r="D217" i="41"/>
  <c r="F119" i="41" l="1"/>
  <c r="G119" i="41" s="1"/>
  <c r="I119" i="41" s="1"/>
  <c r="C120" i="41" s="1"/>
  <c r="D218" i="41"/>
  <c r="B218" i="41"/>
  <c r="A219" i="41"/>
  <c r="H120" i="41" l="1"/>
  <c r="F120" i="41"/>
  <c r="G120" i="41" s="1"/>
  <c r="I120" i="41" s="1"/>
  <c r="C121" i="41" s="1"/>
  <c r="B219" i="41"/>
  <c r="A220" i="41"/>
  <c r="D219" i="41"/>
  <c r="H121" i="41" l="1"/>
  <c r="F121" i="41"/>
  <c r="D220" i="41"/>
  <c r="B220" i="41"/>
  <c r="A221" i="41"/>
  <c r="G121" i="41" l="1"/>
  <c r="I121" i="41" s="1"/>
  <c r="C122" i="41" s="1"/>
  <c r="F122" i="41" s="1"/>
  <c r="A222" i="41"/>
  <c r="D221" i="41"/>
  <c r="B221" i="41"/>
  <c r="H122" i="41" l="1"/>
  <c r="G122" i="41" s="1"/>
  <c r="I122" i="41" s="1"/>
  <c r="C123" i="41" s="1"/>
  <c r="F123" i="41" s="1"/>
  <c r="A223" i="41"/>
  <c r="B222" i="41"/>
  <c r="D222" i="41"/>
  <c r="H123" i="41" l="1"/>
  <c r="G123" i="41"/>
  <c r="I123" i="41" s="1"/>
  <c r="C124" i="41" s="1"/>
  <c r="A224" i="41"/>
  <c r="D223" i="41"/>
  <c r="B223" i="41"/>
  <c r="H124" i="41" l="1"/>
  <c r="F124" i="41"/>
  <c r="D224" i="41"/>
  <c r="A225" i="41"/>
  <c r="B224" i="41"/>
  <c r="G124" i="41" l="1"/>
  <c r="I124" i="41" s="1"/>
  <c r="C125" i="41" s="1"/>
  <c r="H125" i="41" s="1"/>
  <c r="B225" i="41"/>
  <c r="D225" i="41"/>
  <c r="A226" i="41"/>
  <c r="F125" i="41" l="1"/>
  <c r="G125" i="41" s="1"/>
  <c r="I125" i="41" s="1"/>
  <c r="C126" i="41" s="1"/>
  <c r="F126" i="41" s="1"/>
  <c r="A227" i="41"/>
  <c r="D226" i="41"/>
  <c r="B226" i="41"/>
  <c r="H126" i="41" l="1"/>
  <c r="G126" i="41" s="1"/>
  <c r="I126" i="41" s="1"/>
  <c r="C127" i="41" s="1"/>
  <c r="F127" i="41" s="1"/>
  <c r="D227" i="41"/>
  <c r="B227" i="41"/>
  <c r="A228" i="41"/>
  <c r="H127" i="41" l="1"/>
  <c r="G127" i="41"/>
  <c r="I127" i="41" s="1"/>
  <c r="C128" i="41" s="1"/>
  <c r="F128" i="41" s="1"/>
  <c r="A229" i="41"/>
  <c r="D228" i="41"/>
  <c r="B228" i="41"/>
  <c r="H128" i="41" l="1"/>
  <c r="G128" i="41" s="1"/>
  <c r="I128" i="41" s="1"/>
  <c r="C129" i="41" s="1"/>
  <c r="H129" i="41" s="1"/>
  <c r="D229" i="41"/>
  <c r="B229" i="41"/>
  <c r="A230" i="41"/>
  <c r="F129" i="41" l="1"/>
  <c r="G129" i="41" s="1"/>
  <c r="I129" i="41" s="1"/>
  <c r="C130" i="41" s="1"/>
  <c r="H130" i="41" s="1"/>
  <c r="D230" i="41"/>
  <c r="A231" i="41"/>
  <c r="B230" i="41"/>
  <c r="F130" i="41" l="1"/>
  <c r="G130" i="41" s="1"/>
  <c r="I130" i="41" s="1"/>
  <c r="C131" i="41" s="1"/>
  <c r="F131" i="41" s="1"/>
  <c r="A232" i="41"/>
  <c r="B231" i="41"/>
  <c r="D231" i="41"/>
  <c r="H131" i="41" l="1"/>
  <c r="G131" i="41"/>
  <c r="I131" i="41" s="1"/>
  <c r="C132" i="41" s="1"/>
  <c r="B232" i="41"/>
  <c r="A233" i="41"/>
  <c r="D232" i="41"/>
  <c r="F132" i="41" l="1"/>
  <c r="H132" i="41"/>
  <c r="B233" i="41"/>
  <c r="A234" i="41"/>
  <c r="D233" i="41"/>
  <c r="G132" i="41" l="1"/>
  <c r="I132" i="41" s="1"/>
  <c r="C133" i="41" s="1"/>
  <c r="B234" i="41"/>
  <c r="A235" i="41"/>
  <c r="D234" i="41"/>
  <c r="H133" i="41" l="1"/>
  <c r="F133" i="41"/>
  <c r="B235" i="41"/>
  <c r="A236" i="41"/>
  <c r="D235" i="41"/>
  <c r="G133" i="41" l="1"/>
  <c r="I133" i="41" s="1"/>
  <c r="C134" i="41" s="1"/>
  <c r="F134" i="41" s="1"/>
  <c r="D236" i="41"/>
  <c r="A237" i="41"/>
  <c r="B236" i="41"/>
  <c r="H134" i="41" l="1"/>
  <c r="G134" i="41" s="1"/>
  <c r="I134" i="41" s="1"/>
  <c r="C135" i="41" s="1"/>
  <c r="H135" i="41" s="1"/>
  <c r="D237" i="41"/>
  <c r="B237" i="41"/>
  <c r="A238" i="41"/>
  <c r="F135" i="41" l="1"/>
  <c r="G135" i="41" s="1"/>
  <c r="I135" i="41" s="1"/>
  <c r="C136" i="41" s="1"/>
  <c r="F136" i="41" s="1"/>
  <c r="D238" i="41"/>
  <c r="B238" i="41"/>
  <c r="A239" i="41"/>
  <c r="H136" i="41" l="1"/>
  <c r="G136" i="41" s="1"/>
  <c r="I136" i="41" s="1"/>
  <c r="C137" i="41" s="1"/>
  <c r="A240" i="41"/>
  <c r="D239" i="41"/>
  <c r="B239" i="41"/>
  <c r="H137" i="41" l="1"/>
  <c r="F137" i="41"/>
  <c r="G137" i="41" s="1"/>
  <c r="I137" i="41" s="1"/>
  <c r="C138" i="41" s="1"/>
  <c r="A241" i="41"/>
  <c r="B240" i="41"/>
  <c r="D240" i="41"/>
  <c r="F138" i="41" l="1"/>
  <c r="H138" i="41"/>
  <c r="D241" i="41"/>
  <c r="A242" i="41"/>
  <c r="B241" i="41"/>
  <c r="G138" i="41" l="1"/>
  <c r="I138" i="41" s="1"/>
  <c r="C139" i="41" s="1"/>
  <c r="F139" i="41" s="1"/>
  <c r="D242" i="41"/>
  <c r="B242" i="41"/>
  <c r="A243" i="41"/>
  <c r="H139" i="41" l="1"/>
  <c r="G139" i="41" s="1"/>
  <c r="I139" i="41" s="1"/>
  <c r="C140" i="41" s="1"/>
  <c r="B243" i="41"/>
  <c r="D243" i="41"/>
  <c r="A244" i="41"/>
  <c r="F140" i="41" l="1"/>
  <c r="H140" i="41"/>
  <c r="D244" i="41"/>
  <c r="A245" i="41"/>
  <c r="B244" i="41"/>
  <c r="G140" i="41" l="1"/>
  <c r="I140" i="41" s="1"/>
  <c r="C141" i="41" s="1"/>
  <c r="F141" i="41" s="1"/>
  <c r="B245" i="41"/>
  <c r="D245" i="41"/>
  <c r="A246" i="41"/>
  <c r="H141" i="41" l="1"/>
  <c r="G141" i="41" s="1"/>
  <c r="I141" i="41" s="1"/>
  <c r="C142" i="41" s="1"/>
  <c r="A247" i="41"/>
  <c r="B246" i="41"/>
  <c r="D246" i="41"/>
  <c r="F142" i="41" l="1"/>
  <c r="H142" i="41"/>
  <c r="B247" i="41"/>
  <c r="D247" i="41"/>
  <c r="A248" i="41"/>
  <c r="G142" i="41" l="1"/>
  <c r="I142" i="41" s="1"/>
  <c r="C143" i="41" s="1"/>
  <c r="F143" i="41" s="1"/>
  <c r="D248" i="41"/>
  <c r="B248" i="41"/>
  <c r="A249" i="41"/>
  <c r="H143" i="41" l="1"/>
  <c r="G143" i="41"/>
  <c r="I143" i="41" s="1"/>
  <c r="C144" i="41" s="1"/>
  <c r="B249" i="41"/>
  <c r="D249" i="41"/>
  <c r="A250" i="41"/>
  <c r="F144" i="41" l="1"/>
  <c r="H144" i="41"/>
  <c r="I144" i="41"/>
  <c r="C145" i="41" s="1"/>
  <c r="D250" i="41"/>
  <c r="B250" i="41"/>
  <c r="A251" i="41"/>
  <c r="G144" i="41" l="1"/>
  <c r="F145" i="41"/>
  <c r="H145" i="41"/>
  <c r="I145" i="41"/>
  <c r="C146" i="41" s="1"/>
  <c r="D251" i="41"/>
  <c r="B251" i="41"/>
  <c r="A252" i="41"/>
  <c r="G145" i="41" l="1"/>
  <c r="E146" i="41"/>
  <c r="H146" i="41"/>
  <c r="D252" i="41"/>
  <c r="A253" i="41"/>
  <c r="B252" i="41"/>
  <c r="I146" i="41" l="1"/>
  <c r="C147" i="41" s="1"/>
  <c r="F146" i="41"/>
  <c r="G146" i="41" s="1"/>
  <c r="A254" i="41"/>
  <c r="B253" i="41"/>
  <c r="D253" i="41"/>
  <c r="H147" i="41" l="1"/>
  <c r="E147" i="41"/>
  <c r="D254" i="41"/>
  <c r="A255" i="41"/>
  <c r="B254" i="41"/>
  <c r="F147" i="41" l="1"/>
  <c r="G147" i="41" s="1"/>
  <c r="I147" i="41"/>
  <c r="C148" i="41" s="1"/>
  <c r="D255" i="41"/>
  <c r="A256" i="41"/>
  <c r="B255" i="41"/>
  <c r="H148" i="41" l="1"/>
  <c r="E148" i="41"/>
  <c r="B256" i="41"/>
  <c r="D256" i="41"/>
  <c r="A257" i="41"/>
  <c r="I148" i="41" l="1"/>
  <c r="C149" i="41" s="1"/>
  <c r="F148" i="41"/>
  <c r="G148" i="41" s="1"/>
  <c r="B257" i="41"/>
  <c r="D257" i="41"/>
  <c r="A258" i="41"/>
  <c r="E149" i="41" l="1"/>
  <c r="H149" i="41"/>
  <c r="D258" i="41"/>
  <c r="A259" i="41"/>
  <c r="B258" i="41"/>
  <c r="I149" i="41" l="1"/>
  <c r="C150" i="41" s="1"/>
  <c r="F149" i="41"/>
  <c r="G149" i="41" s="1"/>
  <c r="B259" i="41"/>
  <c r="D259" i="41"/>
  <c r="A260" i="41"/>
  <c r="E150" i="41" l="1"/>
  <c r="H150" i="41"/>
  <c r="B260" i="41"/>
  <c r="A261" i="41"/>
  <c r="D260" i="41"/>
  <c r="F150" i="41" l="1"/>
  <c r="G150" i="41" s="1"/>
  <c r="I150" i="41"/>
  <c r="C151" i="41" s="1"/>
  <c r="B261" i="41"/>
  <c r="D261" i="41"/>
  <c r="A262" i="41"/>
  <c r="H151" i="41" l="1"/>
  <c r="E151" i="41"/>
  <c r="D262" i="41"/>
  <c r="A263" i="41"/>
  <c r="B262" i="41"/>
  <c r="F151" i="41" l="1"/>
  <c r="G151" i="41" s="1"/>
  <c r="I151" i="41"/>
  <c r="C152" i="41" s="1"/>
  <c r="B263" i="41"/>
  <c r="A264" i="41"/>
  <c r="D263" i="41"/>
  <c r="E152" i="41" l="1"/>
  <c r="H152" i="41"/>
  <c r="B264" i="41"/>
  <c r="D264" i="41"/>
  <c r="A265" i="41"/>
  <c r="I152" i="41" l="1"/>
  <c r="C153" i="41" s="1"/>
  <c r="F152" i="41"/>
  <c r="G152" i="41" s="1"/>
  <c r="A266" i="41"/>
  <c r="D265" i="41"/>
  <c r="B265" i="41"/>
  <c r="H153" i="41" l="1"/>
  <c r="E153" i="41"/>
  <c r="B266" i="41"/>
  <c r="D266" i="41"/>
  <c r="A267" i="41"/>
  <c r="I153" i="41" l="1"/>
  <c r="C154" i="41" s="1"/>
  <c r="F153" i="41"/>
  <c r="G153" i="41" s="1"/>
  <c r="D267" i="41"/>
  <c r="B267" i="41"/>
  <c r="A268" i="41"/>
  <c r="E154" i="41" l="1"/>
  <c r="H154" i="41"/>
  <c r="D268" i="41"/>
  <c r="A269" i="41"/>
  <c r="B268" i="41"/>
  <c r="I154" i="41" l="1"/>
  <c r="C155" i="41" s="1"/>
  <c r="F154" i="41"/>
  <c r="G154" i="41" s="1"/>
  <c r="B269" i="41"/>
  <c r="D269" i="41"/>
  <c r="A270" i="41"/>
  <c r="H155" i="41" l="1"/>
  <c r="E155" i="41"/>
  <c r="A271" i="41"/>
  <c r="D270" i="41"/>
  <c r="B270" i="41"/>
  <c r="I155" i="41" l="1"/>
  <c r="C156" i="41" s="1"/>
  <c r="F155" i="41"/>
  <c r="G155" i="41" s="1"/>
  <c r="B271" i="41"/>
  <c r="A272" i="41"/>
  <c r="D271" i="41"/>
  <c r="E156" i="41" l="1"/>
  <c r="H156" i="41"/>
  <c r="B272" i="41"/>
  <c r="A273" i="41"/>
  <c r="D272" i="41"/>
  <c r="I156" i="41" l="1"/>
  <c r="C157" i="41" s="1"/>
  <c r="F156" i="41"/>
  <c r="G156" i="41" s="1"/>
  <c r="D273" i="41"/>
  <c r="B273" i="41"/>
  <c r="A274" i="41"/>
  <c r="E157" i="41" l="1"/>
  <c r="H157" i="41"/>
  <c r="B274" i="41"/>
  <c r="A275" i="41"/>
  <c r="D274" i="41"/>
  <c r="I157" i="41" l="1"/>
  <c r="C158" i="41" s="1"/>
  <c r="F157" i="41"/>
  <c r="G157" i="41" s="1"/>
  <c r="A276" i="41"/>
  <c r="D275" i="41"/>
  <c r="B275" i="41"/>
  <c r="H158" i="41" l="1"/>
  <c r="E158" i="41"/>
  <c r="B276" i="41"/>
  <c r="D276" i="41"/>
  <c r="A277" i="41"/>
  <c r="F158" i="41" l="1"/>
  <c r="G158" i="41" s="1"/>
  <c r="I158" i="41"/>
  <c r="C159" i="41" s="1"/>
  <c r="B277" i="41"/>
  <c r="A278" i="41"/>
  <c r="D277" i="41"/>
  <c r="E159" i="41" l="1"/>
  <c r="H159" i="41"/>
  <c r="B278" i="41"/>
  <c r="A279" i="41"/>
  <c r="D278" i="41"/>
  <c r="F159" i="41" l="1"/>
  <c r="G159" i="41" s="1"/>
  <c r="I159" i="41"/>
  <c r="C160" i="41" s="1"/>
  <c r="A280" i="41"/>
  <c r="B279" i="41"/>
  <c r="D279" i="41"/>
  <c r="E160" i="41" l="1"/>
  <c r="H160" i="41"/>
  <c r="B280" i="41"/>
  <c r="D280" i="41"/>
  <c r="A281" i="41"/>
  <c r="I160" i="41" l="1"/>
  <c r="C161" i="41" s="1"/>
  <c r="F160" i="41"/>
  <c r="G160" i="41" s="1"/>
  <c r="B281" i="41"/>
  <c r="D281" i="41"/>
  <c r="A282" i="41"/>
  <c r="E161" i="41" l="1"/>
  <c r="H161" i="41"/>
  <c r="B282" i="41"/>
  <c r="D282" i="41"/>
  <c r="A283" i="41"/>
  <c r="F161" i="41" l="1"/>
  <c r="G161" i="41" s="1"/>
  <c r="I161" i="41"/>
  <c r="C162" i="41" s="1"/>
  <c r="D283" i="41"/>
  <c r="A284" i="41"/>
  <c r="B283" i="41"/>
  <c r="E162" i="41" l="1"/>
  <c r="H162" i="41"/>
  <c r="D284" i="41"/>
  <c r="A285" i="41"/>
  <c r="B284" i="41"/>
  <c r="F162" i="41" l="1"/>
  <c r="G162" i="41" s="1"/>
  <c r="I162" i="41"/>
  <c r="C163" i="41" s="1"/>
  <c r="B285" i="41"/>
  <c r="A286" i="41"/>
  <c r="D285" i="41"/>
  <c r="H163" i="41" l="1"/>
  <c r="E163" i="41"/>
  <c r="A287" i="41"/>
  <c r="D286" i="41"/>
  <c r="B286" i="41"/>
  <c r="F163" i="41" l="1"/>
  <c r="G163" i="41" s="1"/>
  <c r="I163" i="41"/>
  <c r="C164" i="41" s="1"/>
  <c r="A288" i="41"/>
  <c r="B287" i="41"/>
  <c r="D287" i="41"/>
  <c r="H164" i="41" l="1"/>
  <c r="E164" i="41"/>
  <c r="B288" i="41"/>
  <c r="D288" i="41"/>
  <c r="A289" i="41"/>
  <c r="F164" i="41" l="1"/>
  <c r="G164" i="41" s="1"/>
  <c r="I164" i="41"/>
  <c r="C165" i="41" s="1"/>
  <c r="A290" i="41"/>
  <c r="B289" i="41"/>
  <c r="D289" i="41"/>
  <c r="E165" i="41" l="1"/>
  <c r="H165" i="41"/>
  <c r="D290" i="41"/>
  <c r="A291" i="41"/>
  <c r="B290" i="41"/>
  <c r="I165" i="41" l="1"/>
  <c r="C166" i="41" s="1"/>
  <c r="F165" i="41"/>
  <c r="G165" i="41" s="1"/>
  <c r="D291" i="41"/>
  <c r="B291" i="41"/>
  <c r="A292" i="41"/>
  <c r="E166" i="41" l="1"/>
  <c r="H166" i="41"/>
  <c r="A293" i="41"/>
  <c r="D292" i="41"/>
  <c r="B292" i="41"/>
  <c r="I166" i="41" l="1"/>
  <c r="C167" i="41" s="1"/>
  <c r="F166" i="41"/>
  <c r="G166" i="41" s="1"/>
  <c r="B293" i="41"/>
  <c r="D293" i="41"/>
  <c r="A294" i="41"/>
  <c r="E167" i="41" l="1"/>
  <c r="H167" i="41"/>
  <c r="B294" i="41"/>
  <c r="D294" i="41"/>
  <c r="A295" i="41"/>
  <c r="F167" i="41" l="1"/>
  <c r="G167" i="41" s="1"/>
  <c r="I167" i="41"/>
  <c r="C168" i="41" s="1"/>
  <c r="B295" i="41"/>
  <c r="D295" i="41"/>
  <c r="A296" i="41"/>
  <c r="H168" i="41" l="1"/>
  <c r="E168" i="41"/>
  <c r="D296" i="41"/>
  <c r="A297" i="41"/>
  <c r="B296" i="41"/>
  <c r="F168" i="41" l="1"/>
  <c r="G168" i="41" s="1"/>
  <c r="I168" i="41"/>
  <c r="C169" i="41" s="1"/>
  <c r="D297" i="41"/>
  <c r="A298" i="41"/>
  <c r="B297" i="41"/>
  <c r="H169" i="41" l="1"/>
  <c r="E169" i="41"/>
  <c r="A299" i="41"/>
  <c r="B298" i="41"/>
  <c r="D298" i="41"/>
  <c r="I169" i="41" l="1"/>
  <c r="C170" i="41" s="1"/>
  <c r="F169" i="41"/>
  <c r="G169" i="41" s="1"/>
  <c r="B299" i="41"/>
  <c r="A300" i="41"/>
  <c r="D299" i="41"/>
  <c r="E170" i="41" l="1"/>
  <c r="H170" i="41"/>
  <c r="D300" i="41"/>
  <c r="A301" i="41"/>
  <c r="B300" i="41"/>
  <c r="I170" i="41" l="1"/>
  <c r="C171" i="41" s="1"/>
  <c r="F170" i="41"/>
  <c r="G170" i="41" s="1"/>
  <c r="D301" i="41"/>
  <c r="B301" i="41"/>
  <c r="A302" i="41"/>
  <c r="E171" i="41" l="1"/>
  <c r="H171" i="41"/>
  <c r="D302" i="41"/>
  <c r="B302" i="41"/>
  <c r="A303" i="41"/>
  <c r="I171" i="41" l="1"/>
  <c r="C172" i="41" s="1"/>
  <c r="F171" i="41"/>
  <c r="G171" i="41" s="1"/>
  <c r="B303" i="41"/>
  <c r="A304" i="41"/>
  <c r="D303" i="41"/>
  <c r="E172" i="41" l="1"/>
  <c r="H172" i="41"/>
  <c r="B304" i="41"/>
  <c r="A305" i="41"/>
  <c r="D304" i="41"/>
  <c r="F172" i="41" l="1"/>
  <c r="G172" i="41" s="1"/>
  <c r="I172" i="41"/>
  <c r="C173" i="41" s="1"/>
  <c r="B305" i="41"/>
  <c r="D305" i="41"/>
  <c r="A306" i="41"/>
  <c r="H173" i="41" l="1"/>
  <c r="E173" i="41"/>
  <c r="B306" i="41"/>
  <c r="D306" i="41"/>
  <c r="A307" i="41"/>
  <c r="I173" i="41" l="1"/>
  <c r="C174" i="41" s="1"/>
  <c r="F173" i="41"/>
  <c r="G173" i="41" s="1"/>
  <c r="D307" i="41"/>
  <c r="B307" i="41"/>
  <c r="A308" i="41"/>
  <c r="H174" i="41" l="1"/>
  <c r="E174" i="41"/>
  <c r="B308" i="41"/>
  <c r="A309" i="41"/>
  <c r="D308" i="41"/>
  <c r="F174" i="41" l="1"/>
  <c r="G174" i="41" s="1"/>
  <c r="I174" i="41"/>
  <c r="C175" i="41" s="1"/>
  <c r="D309" i="41"/>
  <c r="B309" i="41"/>
  <c r="A310" i="41"/>
  <c r="H175" i="41" l="1"/>
  <c r="E175" i="41"/>
  <c r="D310" i="41"/>
  <c r="B310" i="41"/>
  <c r="A311" i="41"/>
  <c r="I175" i="41" l="1"/>
  <c r="C176" i="41" s="1"/>
  <c r="F175" i="41"/>
  <c r="G175" i="41" s="1"/>
  <c r="B311" i="41"/>
  <c r="A312" i="41"/>
  <c r="D311" i="41"/>
  <c r="E176" i="41" l="1"/>
  <c r="H176" i="41"/>
  <c r="D312" i="41"/>
  <c r="A313" i="41"/>
  <c r="B312" i="41"/>
  <c r="F176" i="41" l="1"/>
  <c r="G176" i="41" s="1"/>
  <c r="I176" i="41"/>
  <c r="C177" i="41" s="1"/>
  <c r="B313" i="41"/>
  <c r="D313" i="41"/>
  <c r="A314" i="41"/>
  <c r="H177" i="41" l="1"/>
  <c r="E177" i="41"/>
  <c r="B314" i="41"/>
  <c r="D314" i="41"/>
  <c r="A315" i="41"/>
  <c r="F177" i="41" l="1"/>
  <c r="G177" i="41" s="1"/>
  <c r="I177" i="41"/>
  <c r="C178" i="41" s="1"/>
  <c r="B315" i="41"/>
  <c r="A316" i="41"/>
  <c r="D315" i="41"/>
  <c r="H178" i="41" l="1"/>
  <c r="E178" i="41"/>
  <c r="A317" i="41"/>
  <c r="D316" i="41"/>
  <c r="B316" i="41"/>
  <c r="F178" i="41" l="1"/>
  <c r="G178" i="41" s="1"/>
  <c r="I178" i="41"/>
  <c r="C179" i="41" s="1"/>
  <c r="B317" i="41"/>
  <c r="A318" i="41"/>
  <c r="D317" i="41"/>
  <c r="H179" i="41" l="1"/>
  <c r="E179" i="41"/>
  <c r="B318" i="41"/>
  <c r="D318" i="41"/>
  <c r="A319" i="41"/>
  <c r="I179" i="41" l="1"/>
  <c r="C180" i="41" s="1"/>
  <c r="F179" i="41"/>
  <c r="G179" i="41" s="1"/>
  <c r="A320" i="41"/>
  <c r="D319" i="41"/>
  <c r="B319" i="41"/>
  <c r="H180" i="41" l="1"/>
  <c r="E180" i="41"/>
  <c r="A321" i="41"/>
  <c r="D320" i="41"/>
  <c r="B320" i="41"/>
  <c r="I180" i="41" l="1"/>
  <c r="C181" i="41" s="1"/>
  <c r="F180" i="41"/>
  <c r="G180" i="41" s="1"/>
  <c r="A322" i="41"/>
  <c r="D321" i="41"/>
  <c r="B321" i="41"/>
  <c r="E181" i="41" l="1"/>
  <c r="H181" i="41"/>
  <c r="D322" i="41"/>
  <c r="B322" i="41"/>
  <c r="A323" i="41"/>
  <c r="I181" i="41" l="1"/>
  <c r="C182" i="41" s="1"/>
  <c r="F181" i="41"/>
  <c r="G181" i="41" s="1"/>
  <c r="A324" i="41"/>
  <c r="D323" i="41"/>
  <c r="B323" i="41"/>
  <c r="H182" i="41" l="1"/>
  <c r="E182" i="41"/>
  <c r="B324" i="41"/>
  <c r="D324" i="41"/>
  <c r="A325" i="41"/>
  <c r="I182" i="41" l="1"/>
  <c r="C183" i="41" s="1"/>
  <c r="F182" i="41"/>
  <c r="G182" i="41" s="1"/>
  <c r="D325" i="41"/>
  <c r="A326" i="41"/>
  <c r="B325" i="41"/>
  <c r="E183" i="41" l="1"/>
  <c r="H183" i="41"/>
  <c r="B326" i="41"/>
  <c r="A327" i="41"/>
  <c r="D326" i="41"/>
  <c r="F183" i="41" l="1"/>
  <c r="G183" i="41" s="1"/>
  <c r="I183" i="41"/>
  <c r="C184" i="41" s="1"/>
  <c r="B327" i="41"/>
  <c r="A328" i="41"/>
  <c r="D327" i="41"/>
  <c r="E184" i="41" l="1"/>
  <c r="H184" i="41"/>
  <c r="D328" i="41"/>
  <c r="B328" i="41"/>
  <c r="A329" i="41"/>
  <c r="F184" i="41" l="1"/>
  <c r="G184" i="41" s="1"/>
  <c r="I184" i="41"/>
  <c r="C185" i="41" s="1"/>
  <c r="D329" i="41"/>
  <c r="B329" i="41"/>
  <c r="A330" i="41"/>
  <c r="H185" i="41" l="1"/>
  <c r="E185" i="41"/>
  <c r="D330" i="41"/>
  <c r="B330" i="41"/>
  <c r="A331" i="41"/>
  <c r="F185" i="41" l="1"/>
  <c r="G185" i="41" s="1"/>
  <c r="I185" i="41"/>
  <c r="C186" i="41" s="1"/>
  <c r="B331" i="41"/>
  <c r="D331" i="41"/>
  <c r="A332" i="41"/>
  <c r="E186" i="41" l="1"/>
  <c r="H186" i="41"/>
  <c r="B332" i="41"/>
  <c r="D332" i="41"/>
  <c r="A333" i="41"/>
  <c r="I186" i="41" l="1"/>
  <c r="C187" i="41" s="1"/>
  <c r="F186" i="41"/>
  <c r="G186" i="41" s="1"/>
  <c r="B333" i="41"/>
  <c r="D333" i="41"/>
  <c r="A334" i="41"/>
  <c r="E187" i="41" l="1"/>
  <c r="H187" i="41"/>
  <c r="D334" i="41"/>
  <c r="A335" i="41"/>
  <c r="B334" i="41"/>
  <c r="F187" i="41" l="1"/>
  <c r="G187" i="41" s="1"/>
  <c r="I187" i="41"/>
  <c r="C188" i="41" s="1"/>
  <c r="D335" i="41"/>
  <c r="A336" i="41"/>
  <c r="B335" i="41"/>
  <c r="H188" i="41" l="1"/>
  <c r="E188" i="41"/>
  <c r="B336" i="41"/>
  <c r="D336" i="41"/>
  <c r="A337" i="41"/>
  <c r="I188" i="41" l="1"/>
  <c r="C189" i="41" s="1"/>
  <c r="F188" i="41"/>
  <c r="G188" i="41" s="1"/>
  <c r="B337" i="41"/>
  <c r="A338" i="41"/>
  <c r="D337" i="41"/>
  <c r="H189" i="41" l="1"/>
  <c r="E189" i="41"/>
  <c r="B338" i="41"/>
  <c r="D338" i="41"/>
  <c r="A339" i="41"/>
  <c r="I189" i="41" l="1"/>
  <c r="C190" i="41" s="1"/>
  <c r="F189" i="41"/>
  <c r="G189" i="41" s="1"/>
  <c r="D339" i="41"/>
  <c r="B339" i="41"/>
  <c r="A340" i="41"/>
  <c r="E190" i="41" l="1"/>
  <c r="H190" i="41"/>
  <c r="B340" i="41"/>
  <c r="D340" i="41"/>
  <c r="A341" i="41"/>
  <c r="F190" i="41" l="1"/>
  <c r="G190" i="41" s="1"/>
  <c r="I190" i="41"/>
  <c r="C191" i="41" s="1"/>
  <c r="B341" i="41"/>
  <c r="D341" i="41"/>
  <c r="A342" i="41"/>
  <c r="E191" i="41" l="1"/>
  <c r="H191" i="41"/>
  <c r="A343" i="41"/>
  <c r="D342" i="41"/>
  <c r="B342" i="41"/>
  <c r="I191" i="41" l="1"/>
  <c r="C192" i="41" s="1"/>
  <c r="F191" i="41"/>
  <c r="G191" i="41" s="1"/>
  <c r="D343" i="41"/>
  <c r="B343" i="41"/>
  <c r="A344" i="41"/>
  <c r="E192" i="41" l="1"/>
  <c r="H192" i="41"/>
  <c r="D344" i="41"/>
  <c r="A345" i="41"/>
  <c r="B344" i="41"/>
  <c r="I192" i="41" l="1"/>
  <c r="C193" i="41" s="1"/>
  <c r="F192" i="41"/>
  <c r="G192" i="41" s="1"/>
  <c r="B345" i="41"/>
  <c r="D345" i="41"/>
  <c r="A346" i="41"/>
  <c r="H193" i="41" l="1"/>
  <c r="E193" i="41"/>
  <c r="D346" i="41"/>
  <c r="A347" i="41"/>
  <c r="B346" i="41"/>
  <c r="F193" i="41" l="1"/>
  <c r="G193" i="41" s="1"/>
  <c r="I193" i="41"/>
  <c r="C194" i="41" s="1"/>
  <c r="B347" i="41"/>
  <c r="A348" i="41"/>
  <c r="D347" i="41"/>
  <c r="H194" i="41" l="1"/>
  <c r="E194" i="41"/>
  <c r="A349" i="41"/>
  <c r="D348" i="41"/>
  <c r="B348" i="41"/>
  <c r="F194" i="41" l="1"/>
  <c r="G194" i="41" s="1"/>
  <c r="I194" i="41"/>
  <c r="C195" i="41" s="1"/>
  <c r="A350" i="41"/>
  <c r="D349" i="41"/>
  <c r="B349" i="41"/>
  <c r="H195" i="41" l="1"/>
  <c r="E195" i="41"/>
  <c r="A351" i="41"/>
  <c r="D350" i="41"/>
  <c r="B350" i="41"/>
  <c r="I195" i="41" l="1"/>
  <c r="C196" i="41" s="1"/>
  <c r="F195" i="41"/>
  <c r="G195" i="41" s="1"/>
  <c r="D351" i="41"/>
  <c r="A352" i="41"/>
  <c r="B351" i="41"/>
  <c r="E196" i="41" l="1"/>
  <c r="H196" i="41"/>
  <c r="B352" i="41"/>
  <c r="A353" i="41"/>
  <c r="D352" i="41"/>
  <c r="F196" i="41" l="1"/>
  <c r="G196" i="41" s="1"/>
  <c r="I196" i="41"/>
  <c r="C197" i="41" s="1"/>
  <c r="A354" i="41"/>
  <c r="B353" i="41"/>
  <c r="D353" i="41"/>
  <c r="E197" i="41" l="1"/>
  <c r="H197" i="41"/>
  <c r="A355" i="41"/>
  <c r="D354" i="41"/>
  <c r="B354" i="41"/>
  <c r="I197" i="41" l="1"/>
  <c r="C198" i="41" s="1"/>
  <c r="F197" i="41"/>
  <c r="G197" i="41" s="1"/>
  <c r="B355" i="41"/>
  <c r="D355" i="41"/>
  <c r="A356" i="41"/>
  <c r="H198" i="41" l="1"/>
  <c r="E198" i="41"/>
  <c r="D356" i="41"/>
  <c r="B356" i="41"/>
  <c r="A357" i="41"/>
  <c r="F198" i="41" l="1"/>
  <c r="G198" i="41" s="1"/>
  <c r="I198" i="41"/>
  <c r="C199" i="41" s="1"/>
  <c r="D357" i="41"/>
  <c r="A358" i="41"/>
  <c r="B357" i="41"/>
  <c r="E199" i="41" l="1"/>
  <c r="H199" i="41"/>
  <c r="A359" i="41"/>
  <c r="D358" i="41"/>
  <c r="B358" i="41"/>
  <c r="F199" i="41" l="1"/>
  <c r="G199" i="41" s="1"/>
  <c r="I199" i="41"/>
  <c r="C200" i="41" s="1"/>
  <c r="B359" i="41"/>
  <c r="D359" i="41"/>
  <c r="A360" i="41"/>
  <c r="H200" i="41" l="1"/>
  <c r="E200" i="41"/>
  <c r="B360" i="41"/>
  <c r="D360" i="41"/>
  <c r="A361" i="41"/>
  <c r="F200" i="41" l="1"/>
  <c r="G200" i="41" s="1"/>
  <c r="I200" i="41"/>
  <c r="C201" i="41" s="1"/>
  <c r="D361" i="41"/>
  <c r="B361" i="41"/>
  <c r="A362" i="41"/>
  <c r="E201" i="41" l="1"/>
  <c r="H201" i="41"/>
  <c r="D362" i="41"/>
  <c r="A363" i="41"/>
  <c r="B362" i="41"/>
  <c r="I201" i="41" l="1"/>
  <c r="C202" i="41" s="1"/>
  <c r="F201" i="41"/>
  <c r="G201" i="41" s="1"/>
  <c r="A364" i="41"/>
  <c r="D363" i="41"/>
  <c r="B363" i="41"/>
  <c r="E202" i="41" l="1"/>
  <c r="H202" i="41"/>
  <c r="D364" i="41"/>
  <c r="A365" i="41"/>
  <c r="B364" i="41"/>
  <c r="I202" i="41" l="1"/>
  <c r="C203" i="41" s="1"/>
  <c r="F202" i="41"/>
  <c r="G202" i="41" s="1"/>
  <c r="A366" i="41"/>
  <c r="D365" i="41"/>
  <c r="B365" i="41"/>
  <c r="H203" i="41" l="1"/>
  <c r="E203" i="41"/>
  <c r="D366" i="41"/>
  <c r="B366" i="41"/>
  <c r="A367" i="41"/>
  <c r="I203" i="41" l="1"/>
  <c r="C204" i="41" s="1"/>
  <c r="F203" i="41"/>
  <c r="G203" i="41" s="1"/>
  <c r="D367" i="41"/>
  <c r="A368" i="41"/>
  <c r="B367" i="41"/>
  <c r="E204" i="41" l="1"/>
  <c r="H204" i="41"/>
  <c r="D368" i="41"/>
  <c r="B368" i="41"/>
  <c r="A369" i="41"/>
  <c r="F204" i="41" l="1"/>
  <c r="G204" i="41" s="1"/>
  <c r="I204" i="41"/>
  <c r="C205" i="41" s="1"/>
  <c r="A370" i="41"/>
  <c r="B369" i="41"/>
  <c r="D369" i="41"/>
  <c r="H205" i="41" l="1"/>
  <c r="E205" i="41"/>
  <c r="D370" i="41"/>
  <c r="A371" i="41"/>
  <c r="B370" i="41"/>
  <c r="F205" i="41" l="1"/>
  <c r="G205" i="41" s="1"/>
  <c r="I205" i="41"/>
  <c r="C206" i="41" s="1"/>
  <c r="B371" i="41"/>
  <c r="D371" i="41"/>
  <c r="A372" i="41"/>
  <c r="H206" i="41" l="1"/>
  <c r="E206" i="41"/>
  <c r="A373" i="41"/>
  <c r="B372" i="41"/>
  <c r="D372" i="41"/>
  <c r="F206" i="41" l="1"/>
  <c r="G206" i="41" s="1"/>
  <c r="I206" i="41"/>
  <c r="C207" i="41" s="1"/>
  <c r="B373" i="41"/>
  <c r="A374" i="41"/>
  <c r="D373" i="41"/>
  <c r="E207" i="41" l="1"/>
  <c r="H207" i="41"/>
  <c r="B374" i="41"/>
  <c r="A375" i="41"/>
  <c r="D374" i="41"/>
  <c r="F207" i="41" l="1"/>
  <c r="G207" i="41" s="1"/>
  <c r="I207" i="41"/>
  <c r="C208" i="41" s="1"/>
  <c r="A376" i="41"/>
  <c r="D375" i="41"/>
  <c r="B375" i="41"/>
  <c r="E208" i="41" l="1"/>
  <c r="H208" i="41"/>
  <c r="A377" i="41"/>
  <c r="B376" i="41"/>
  <c r="D376" i="41"/>
  <c r="F208" i="41" l="1"/>
  <c r="G208" i="41" s="1"/>
  <c r="I208" i="41"/>
  <c r="C209" i="41" s="1"/>
  <c r="B377" i="41"/>
  <c r="D377" i="41"/>
  <c r="A378" i="41"/>
  <c r="H209" i="41" l="1"/>
  <c r="E209" i="41"/>
  <c r="D378" i="41"/>
  <c r="B378" i="41"/>
  <c r="A379" i="41"/>
  <c r="F209" i="41" l="1"/>
  <c r="G209" i="41" s="1"/>
  <c r="I209" i="41"/>
  <c r="C210" i="41" s="1"/>
  <c r="D379" i="41"/>
  <c r="B379" i="41"/>
  <c r="A380" i="41"/>
  <c r="E210" i="41" l="1"/>
  <c r="H210" i="41"/>
  <c r="A381" i="41"/>
  <c r="D380" i="41"/>
  <c r="B380" i="41"/>
  <c r="I210" i="41" l="1"/>
  <c r="C211" i="41" s="1"/>
  <c r="F210" i="41"/>
  <c r="G210" i="41" s="1"/>
  <c r="A382" i="41"/>
  <c r="D381" i="41"/>
  <c r="B381" i="41"/>
  <c r="E211" i="41" l="1"/>
  <c r="H211" i="41"/>
  <c r="B382" i="41"/>
  <c r="D382" i="41"/>
  <c r="A383" i="41"/>
  <c r="I211" i="41" l="1"/>
  <c r="C212" i="41" s="1"/>
  <c r="F211" i="41"/>
  <c r="G211" i="41" s="1"/>
  <c r="A384" i="41"/>
  <c r="D383" i="41"/>
  <c r="B383" i="41"/>
  <c r="E212" i="41" l="1"/>
  <c r="H212" i="41"/>
  <c r="D384" i="41"/>
  <c r="B384" i="41"/>
  <c r="F212" i="41" l="1"/>
  <c r="G212" i="41" s="1"/>
  <c r="I212" i="41"/>
  <c r="C213" i="41" s="1"/>
  <c r="E213" i="41" l="1"/>
  <c r="H213" i="41"/>
  <c r="F213" i="41" l="1"/>
  <c r="G213" i="41" s="1"/>
  <c r="I213" i="41"/>
  <c r="C214" i="41" s="1"/>
  <c r="H214" i="41" l="1"/>
  <c r="E214" i="41"/>
  <c r="F214" i="41" l="1"/>
  <c r="G214" i="41" s="1"/>
  <c r="I214" i="41"/>
  <c r="C215" i="41" s="1"/>
  <c r="H215" i="41" l="1"/>
  <c r="E215" i="41"/>
  <c r="I215" i="41" l="1"/>
  <c r="C216" i="41" s="1"/>
  <c r="F215" i="41"/>
  <c r="G215" i="41" s="1"/>
  <c r="E216" i="41" l="1"/>
  <c r="H216" i="41"/>
  <c r="F216" i="41" l="1"/>
  <c r="G216" i="41" s="1"/>
  <c r="I216" i="41"/>
  <c r="C217" i="41" s="1"/>
  <c r="E217" i="41" l="1"/>
  <c r="H217" i="41"/>
  <c r="I217" i="41" l="1"/>
  <c r="C218" i="41" s="1"/>
  <c r="F217" i="41"/>
  <c r="G217" i="41" s="1"/>
  <c r="H218" i="41" l="1"/>
  <c r="E218" i="41"/>
  <c r="I218" i="41" l="1"/>
  <c r="C219" i="41" s="1"/>
  <c r="F218" i="41"/>
  <c r="G218" i="41" s="1"/>
  <c r="E219" i="41" l="1"/>
  <c r="H219" i="41"/>
  <c r="I219" i="41" l="1"/>
  <c r="C220" i="41" s="1"/>
  <c r="F219" i="41"/>
  <c r="G219" i="41" s="1"/>
  <c r="E220" i="41" l="1"/>
  <c r="H220" i="41"/>
  <c r="F220" i="41" l="1"/>
  <c r="G220" i="41" s="1"/>
  <c r="I220" i="41"/>
  <c r="C221" i="41" s="1"/>
  <c r="H221" i="41" l="1"/>
  <c r="E221" i="41"/>
  <c r="F221" i="41" l="1"/>
  <c r="G221" i="41" s="1"/>
  <c r="I221" i="41"/>
  <c r="C222" i="41" s="1"/>
  <c r="H222" i="41" l="1"/>
  <c r="E222" i="41"/>
  <c r="F222" i="41" l="1"/>
  <c r="G222" i="41" s="1"/>
  <c r="I222" i="41"/>
  <c r="C223" i="41" s="1"/>
  <c r="E223" i="41" l="1"/>
  <c r="H223" i="41"/>
  <c r="F223" i="41" l="1"/>
  <c r="G223" i="41" s="1"/>
  <c r="I223" i="41"/>
  <c r="C224" i="41" s="1"/>
  <c r="H224" i="41" l="1"/>
  <c r="E224" i="41"/>
  <c r="I224" i="41" l="1"/>
  <c r="C225" i="41" s="1"/>
  <c r="F224" i="41"/>
  <c r="G224" i="41" s="1"/>
  <c r="E225" i="41" l="1"/>
  <c r="H225" i="41"/>
  <c r="I225" i="41" l="1"/>
  <c r="C226" i="41" s="1"/>
  <c r="F225" i="41"/>
  <c r="G225" i="41" s="1"/>
  <c r="H226" i="41" l="1"/>
  <c r="E226" i="41"/>
  <c r="I226" i="41" l="1"/>
  <c r="C227" i="41" s="1"/>
  <c r="F226" i="41"/>
  <c r="G226" i="41" s="1"/>
  <c r="H227" i="41" l="1"/>
  <c r="E227" i="41"/>
  <c r="I227" i="41" l="1"/>
  <c r="C228" i="41" s="1"/>
  <c r="F227" i="41"/>
  <c r="G227" i="41" s="1"/>
  <c r="H228" i="41" l="1"/>
  <c r="E228" i="41"/>
  <c r="I228" i="41" l="1"/>
  <c r="C229" i="41" s="1"/>
  <c r="F228" i="41"/>
  <c r="G228" i="41" s="1"/>
  <c r="H229" i="41" l="1"/>
  <c r="E229" i="41"/>
  <c r="I229" i="41" l="1"/>
  <c r="C230" i="41" s="1"/>
  <c r="F229" i="41"/>
  <c r="G229" i="41" s="1"/>
  <c r="H230" i="41" l="1"/>
  <c r="E230" i="41"/>
  <c r="F230" i="41" l="1"/>
  <c r="G230" i="41" s="1"/>
  <c r="I230" i="41"/>
  <c r="C231" i="41" s="1"/>
  <c r="H231" i="41" l="1"/>
  <c r="E231" i="41"/>
  <c r="I231" i="41" l="1"/>
  <c r="C232" i="41" s="1"/>
  <c r="F231" i="41"/>
  <c r="G231" i="41" s="1"/>
  <c r="H232" i="41" l="1"/>
  <c r="E232" i="41"/>
  <c r="F232" i="41" l="1"/>
  <c r="G232" i="41" s="1"/>
  <c r="I232" i="41"/>
  <c r="C233" i="41" s="1"/>
  <c r="H233" i="41" l="1"/>
  <c r="E233" i="41"/>
  <c r="I233" i="41" l="1"/>
  <c r="C234" i="41" s="1"/>
  <c r="F233" i="41"/>
  <c r="G233" i="41" s="1"/>
  <c r="H234" i="41" l="1"/>
  <c r="E234" i="41"/>
  <c r="F234" i="41" l="1"/>
  <c r="G234" i="41" s="1"/>
  <c r="I234" i="41"/>
  <c r="C235" i="41" s="1"/>
  <c r="E235" i="41" l="1"/>
  <c r="H235" i="41"/>
  <c r="I235" i="41" l="1"/>
  <c r="C236" i="41" s="1"/>
  <c r="F235" i="41"/>
  <c r="G235" i="41" s="1"/>
  <c r="E236" i="41" l="1"/>
  <c r="H236" i="41"/>
  <c r="I236" i="41" l="1"/>
  <c r="C237" i="41" s="1"/>
  <c r="F236" i="41"/>
  <c r="G236" i="41" s="1"/>
  <c r="E237" i="41" l="1"/>
  <c r="H237" i="41"/>
  <c r="F237" i="41" l="1"/>
  <c r="G237" i="41" s="1"/>
  <c r="I237" i="41"/>
  <c r="C238" i="41" s="1"/>
  <c r="E238" i="41" l="1"/>
  <c r="H238" i="41"/>
  <c r="F238" i="41" l="1"/>
  <c r="G238" i="41" s="1"/>
  <c r="I238" i="41"/>
  <c r="C239" i="41" s="1"/>
  <c r="H239" i="41" l="1"/>
  <c r="E239" i="41"/>
  <c r="I239" i="41" l="1"/>
  <c r="C240" i="41" s="1"/>
  <c r="F239" i="41"/>
  <c r="G239" i="41" s="1"/>
  <c r="E240" i="41" l="1"/>
  <c r="H240" i="41"/>
  <c r="F240" i="41" l="1"/>
  <c r="G240" i="41" s="1"/>
  <c r="I240" i="41"/>
  <c r="C241" i="41" s="1"/>
  <c r="E241" i="41" l="1"/>
  <c r="H241" i="41"/>
  <c r="I241" i="41" l="1"/>
  <c r="C242" i="41" s="1"/>
  <c r="F241" i="41"/>
  <c r="G241" i="41" s="1"/>
  <c r="H242" i="41" l="1"/>
  <c r="E242" i="41"/>
  <c r="F242" i="41" l="1"/>
  <c r="G242" i="41" s="1"/>
  <c r="I242" i="41"/>
  <c r="C243" i="41" s="1"/>
  <c r="E243" i="41" l="1"/>
  <c r="H243" i="41"/>
  <c r="I243" i="41" l="1"/>
  <c r="C244" i="41" s="1"/>
  <c r="F243" i="41"/>
  <c r="G243" i="41" s="1"/>
  <c r="H244" i="41" l="1"/>
  <c r="E244" i="41"/>
  <c r="I244" i="41" l="1"/>
  <c r="C245" i="41" s="1"/>
  <c r="F244" i="41"/>
  <c r="G244" i="41" s="1"/>
  <c r="E245" i="41" l="1"/>
  <c r="H245" i="41"/>
  <c r="I245" i="41" l="1"/>
  <c r="C246" i="41" s="1"/>
  <c r="F245" i="41"/>
  <c r="G245" i="41" s="1"/>
  <c r="H246" i="41" l="1"/>
  <c r="E246" i="41"/>
  <c r="I246" i="41" l="1"/>
  <c r="C247" i="41" s="1"/>
  <c r="F246" i="41"/>
  <c r="G246" i="41" s="1"/>
  <c r="E247" i="41" l="1"/>
  <c r="H247" i="41"/>
  <c r="I247" i="41" l="1"/>
  <c r="C248" i="41" s="1"/>
  <c r="F247" i="41"/>
  <c r="G247" i="41" s="1"/>
  <c r="H248" i="41" l="1"/>
  <c r="E248" i="41"/>
  <c r="I248" i="41" l="1"/>
  <c r="C249" i="41" s="1"/>
  <c r="F248" i="41"/>
  <c r="G248" i="41" s="1"/>
  <c r="E249" i="41" l="1"/>
  <c r="H249" i="41"/>
  <c r="F249" i="41" l="1"/>
  <c r="G249" i="41" s="1"/>
  <c r="I249" i="41"/>
  <c r="C250" i="41" s="1"/>
  <c r="H250" i="41" l="1"/>
  <c r="E250" i="41"/>
  <c r="F250" i="41" l="1"/>
  <c r="G250" i="41" s="1"/>
  <c r="I250" i="41"/>
  <c r="C251" i="41" s="1"/>
  <c r="H251" i="41" l="1"/>
  <c r="E251" i="41"/>
  <c r="F251" i="41" l="1"/>
  <c r="G251" i="41" s="1"/>
  <c r="I251" i="41"/>
  <c r="C252" i="41" s="1"/>
  <c r="E252" i="41" l="1"/>
  <c r="H252" i="41"/>
  <c r="I252" i="41" l="1"/>
  <c r="C253" i="41" s="1"/>
  <c r="F252" i="41"/>
  <c r="G252" i="41" s="1"/>
  <c r="E253" i="41" l="1"/>
  <c r="H253" i="41"/>
  <c r="I253" i="41" l="1"/>
  <c r="C254" i="41" s="1"/>
  <c r="F253" i="41"/>
  <c r="G253" i="41" s="1"/>
  <c r="E254" i="41" l="1"/>
  <c r="H254" i="41"/>
  <c r="F254" i="41" l="1"/>
  <c r="G254" i="41" s="1"/>
  <c r="I254" i="41"/>
  <c r="C255" i="41" s="1"/>
  <c r="H255" i="41" l="1"/>
  <c r="E255" i="41"/>
  <c r="F255" i="41" l="1"/>
  <c r="G255" i="41" s="1"/>
  <c r="I255" i="41"/>
  <c r="C256" i="41" s="1"/>
  <c r="E256" i="41" l="1"/>
  <c r="H256" i="41"/>
  <c r="F256" i="41" l="1"/>
  <c r="G256" i="41" s="1"/>
  <c r="I256" i="41"/>
  <c r="C257" i="41" s="1"/>
  <c r="H257" i="41" l="1"/>
  <c r="E257" i="41"/>
  <c r="F257" i="41" l="1"/>
  <c r="G257" i="41" s="1"/>
  <c r="I257" i="41"/>
  <c r="C258" i="41" s="1"/>
  <c r="H258" i="41" l="1"/>
  <c r="E258" i="41"/>
  <c r="F258" i="41" l="1"/>
  <c r="G258" i="41" s="1"/>
  <c r="I258" i="41"/>
  <c r="C259" i="41" s="1"/>
  <c r="H259" i="41" l="1"/>
  <c r="E259" i="41"/>
  <c r="I259" i="41" l="1"/>
  <c r="C260" i="41" s="1"/>
  <c r="F259" i="41"/>
  <c r="G259" i="41" s="1"/>
  <c r="E260" i="41" l="1"/>
  <c r="H260" i="41"/>
  <c r="I260" i="41" l="1"/>
  <c r="C261" i="41" s="1"/>
  <c r="F260" i="41"/>
  <c r="G260" i="41" s="1"/>
  <c r="H261" i="41" l="1"/>
  <c r="E261" i="41"/>
  <c r="F261" i="41" l="1"/>
  <c r="G261" i="41" s="1"/>
  <c r="I261" i="41"/>
  <c r="C262" i="41" s="1"/>
  <c r="H262" i="41" l="1"/>
  <c r="E262" i="41"/>
  <c r="F262" i="41" l="1"/>
  <c r="G262" i="41" s="1"/>
  <c r="I262" i="41"/>
  <c r="C263" i="41" s="1"/>
  <c r="E263" i="41" l="1"/>
  <c r="H263" i="41"/>
  <c r="I263" i="41" l="1"/>
  <c r="C264" i="41" s="1"/>
  <c r="F263" i="41"/>
  <c r="G263" i="41" s="1"/>
  <c r="E264" i="41" l="1"/>
  <c r="H264" i="41"/>
  <c r="I264" i="41" l="1"/>
  <c r="C265" i="41" s="1"/>
  <c r="F264" i="41"/>
  <c r="G264" i="41" s="1"/>
  <c r="H265" i="41" l="1"/>
  <c r="E265" i="41"/>
  <c r="I265" i="41" l="1"/>
  <c r="C266" i="41" s="1"/>
  <c r="F265" i="41"/>
  <c r="G265" i="41" s="1"/>
  <c r="H266" i="41" l="1"/>
  <c r="E266" i="41"/>
  <c r="I266" i="41" l="1"/>
  <c r="C267" i="41" s="1"/>
  <c r="F266" i="41"/>
  <c r="G266" i="41" s="1"/>
  <c r="H267" i="41" l="1"/>
  <c r="E267" i="41"/>
  <c r="F267" i="41" l="1"/>
  <c r="G267" i="41" s="1"/>
  <c r="I267" i="41"/>
  <c r="C268" i="41" s="1"/>
  <c r="E268" i="41" l="1"/>
  <c r="H268" i="41"/>
  <c r="I268" i="41" l="1"/>
  <c r="C269" i="41" s="1"/>
  <c r="F268" i="41"/>
  <c r="G268" i="41" s="1"/>
  <c r="H269" i="41" l="1"/>
  <c r="E269" i="41"/>
  <c r="F269" i="41" l="1"/>
  <c r="G269" i="41" s="1"/>
  <c r="I269" i="41"/>
  <c r="C270" i="41" s="1"/>
  <c r="E270" i="41" l="1"/>
  <c r="H270" i="41"/>
  <c r="F270" i="41" l="1"/>
  <c r="G270" i="41" s="1"/>
  <c r="I270" i="41"/>
  <c r="C271" i="41" s="1"/>
  <c r="H271" i="41" l="1"/>
  <c r="E271" i="41"/>
  <c r="F271" i="41" l="1"/>
  <c r="G271" i="41" s="1"/>
  <c r="I271" i="41"/>
  <c r="C272" i="41" s="1"/>
  <c r="E272" i="41" l="1"/>
  <c r="H272" i="41"/>
  <c r="I272" i="41" l="1"/>
  <c r="C273" i="41" s="1"/>
  <c r="F272" i="41"/>
  <c r="G272" i="41" s="1"/>
  <c r="E273" i="41" l="1"/>
  <c r="H273" i="41"/>
  <c r="F273" i="41" l="1"/>
  <c r="G273" i="41" s="1"/>
  <c r="I273" i="41"/>
  <c r="C274" i="41" s="1"/>
  <c r="H274" i="41" l="1"/>
  <c r="E274" i="41"/>
  <c r="F274" i="41" l="1"/>
  <c r="G274" i="41" s="1"/>
  <c r="I274" i="41"/>
  <c r="C275" i="41" s="1"/>
  <c r="E275" i="41" l="1"/>
  <c r="H275" i="41"/>
  <c r="F275" i="41" l="1"/>
  <c r="G275" i="41" s="1"/>
  <c r="I275" i="41"/>
  <c r="C276" i="41" s="1"/>
  <c r="E276" i="41" l="1"/>
  <c r="H276" i="41"/>
  <c r="I276" i="41" l="1"/>
  <c r="C277" i="41" s="1"/>
  <c r="F276" i="41"/>
  <c r="G276" i="41" s="1"/>
  <c r="E277" i="41" l="1"/>
  <c r="H277" i="41"/>
  <c r="I277" i="41" l="1"/>
  <c r="C278" i="41" s="1"/>
  <c r="F277" i="41"/>
  <c r="G277" i="41" s="1"/>
  <c r="H278" i="41" l="1"/>
  <c r="E278" i="41"/>
  <c r="F278" i="41" l="1"/>
  <c r="G278" i="41" s="1"/>
  <c r="I278" i="41"/>
  <c r="C279" i="41" s="1"/>
  <c r="H279" i="41" l="1"/>
  <c r="E279" i="41"/>
  <c r="I279" i="41" l="1"/>
  <c r="C280" i="41" s="1"/>
  <c r="F279" i="41"/>
  <c r="G279" i="41" s="1"/>
  <c r="E280" i="41" l="1"/>
  <c r="H280" i="41"/>
  <c r="I280" i="41" l="1"/>
  <c r="C281" i="41" s="1"/>
  <c r="F280" i="41"/>
  <c r="G280" i="41" s="1"/>
  <c r="H281" i="41" l="1"/>
  <c r="E281" i="41"/>
  <c r="F281" i="41" l="1"/>
  <c r="G281" i="41" s="1"/>
  <c r="I281" i="41"/>
  <c r="C282" i="41" s="1"/>
  <c r="E282" i="41" l="1"/>
  <c r="H282" i="41"/>
  <c r="F282" i="41" l="1"/>
  <c r="G282" i="41" s="1"/>
  <c r="I282" i="41"/>
  <c r="C283" i="41" s="1"/>
  <c r="H283" i="41" l="1"/>
  <c r="E283" i="41"/>
  <c r="F283" i="41" l="1"/>
  <c r="G283" i="41" s="1"/>
  <c r="I283" i="41"/>
  <c r="C284" i="41" s="1"/>
  <c r="H284" i="41" l="1"/>
  <c r="E284" i="41"/>
  <c r="F284" i="41" l="1"/>
  <c r="G284" i="41" s="1"/>
  <c r="I284" i="41"/>
  <c r="C285" i="41" s="1"/>
  <c r="H285" i="41" l="1"/>
  <c r="E285" i="41"/>
  <c r="F285" i="41" l="1"/>
  <c r="G285" i="41" s="1"/>
  <c r="I285" i="41"/>
  <c r="C286" i="41" s="1"/>
  <c r="H286" i="41" l="1"/>
  <c r="E286" i="41"/>
  <c r="F286" i="41" l="1"/>
  <c r="G286" i="41" s="1"/>
  <c r="I286" i="41"/>
  <c r="C287" i="41" s="1"/>
  <c r="E287" i="41" l="1"/>
  <c r="H287" i="41"/>
  <c r="F287" i="41" l="1"/>
  <c r="G287" i="41" s="1"/>
  <c r="I287" i="41"/>
  <c r="C288" i="41" s="1"/>
  <c r="H288" i="41" l="1"/>
  <c r="E288" i="41"/>
  <c r="I288" i="41" l="1"/>
  <c r="C289" i="41" s="1"/>
  <c r="F288" i="41"/>
  <c r="G288" i="41" s="1"/>
  <c r="H289" i="41" l="1"/>
  <c r="E289" i="41"/>
  <c r="I289" i="41" l="1"/>
  <c r="C290" i="41" s="1"/>
  <c r="F289" i="41"/>
  <c r="G289" i="41" s="1"/>
  <c r="E290" i="41" l="1"/>
  <c r="H290" i="41"/>
  <c r="I290" i="41" l="1"/>
  <c r="C291" i="41" s="1"/>
  <c r="F290" i="41"/>
  <c r="G290" i="41" s="1"/>
  <c r="E291" i="41" l="1"/>
  <c r="H291" i="41"/>
  <c r="I291" i="41" l="1"/>
  <c r="C292" i="41" s="1"/>
  <c r="F291" i="41"/>
  <c r="G291" i="41" s="1"/>
  <c r="G292" i="41" s="1"/>
  <c r="H292" i="41" l="1"/>
  <c r="E292" i="41"/>
  <c r="I292" i="41" l="1"/>
  <c r="C293" i="41" s="1"/>
  <c r="F292" i="41"/>
  <c r="E293" i="41" l="1"/>
  <c r="H293" i="41"/>
  <c r="F293" i="41" l="1"/>
  <c r="G293" i="41" s="1"/>
  <c r="I293" i="41"/>
  <c r="C294" i="41" s="1"/>
  <c r="E294" i="41" l="1"/>
  <c r="H294" i="41"/>
  <c r="I294" i="41" l="1"/>
  <c r="C295" i="41" s="1"/>
  <c r="F294" i="41"/>
  <c r="G294" i="41" s="1"/>
  <c r="H295" i="41" l="1"/>
  <c r="E295" i="41"/>
  <c r="I295" i="41" l="1"/>
  <c r="C296" i="41" s="1"/>
  <c r="F295" i="41"/>
  <c r="G295" i="41" s="1"/>
  <c r="H296" i="41" l="1"/>
  <c r="E296" i="41"/>
  <c r="F296" i="41" l="1"/>
  <c r="G296" i="41" s="1"/>
  <c r="I296" i="41"/>
  <c r="C297" i="41" s="1"/>
  <c r="H297" i="41" l="1"/>
  <c r="E297" i="41"/>
  <c r="I297" i="41" l="1"/>
  <c r="C298" i="41" s="1"/>
  <c r="F297" i="41"/>
  <c r="G297" i="41" s="1"/>
  <c r="H298" i="41" l="1"/>
  <c r="E298" i="41"/>
  <c r="F298" i="41" l="1"/>
  <c r="G298" i="41" s="1"/>
  <c r="I298" i="41"/>
  <c r="C299" i="41" s="1"/>
  <c r="H299" i="41" l="1"/>
  <c r="E299" i="41"/>
  <c r="F299" i="41" l="1"/>
  <c r="G299" i="41" s="1"/>
  <c r="I299" i="41"/>
  <c r="C300" i="41" s="1"/>
  <c r="E300" i="41" l="1"/>
  <c r="H300" i="41"/>
  <c r="I300" i="41" l="1"/>
  <c r="C301" i="41" s="1"/>
  <c r="F300" i="41"/>
  <c r="G300" i="41" s="1"/>
  <c r="E301" i="41" l="1"/>
  <c r="H301" i="41"/>
  <c r="F301" i="41" l="1"/>
  <c r="G301" i="41" s="1"/>
  <c r="I301" i="41"/>
  <c r="C302" i="41" s="1"/>
  <c r="H302" i="41" l="1"/>
  <c r="E302" i="41"/>
  <c r="F302" i="41" l="1"/>
  <c r="G302" i="41" s="1"/>
  <c r="I302" i="41"/>
  <c r="C303" i="41" s="1"/>
  <c r="E303" i="41" l="1"/>
  <c r="H303" i="41"/>
  <c r="F303" i="41" l="1"/>
  <c r="G303" i="41" s="1"/>
  <c r="I303" i="41"/>
  <c r="C304" i="41" s="1"/>
  <c r="H304" i="41" l="1"/>
  <c r="E304" i="41"/>
  <c r="I304" i="41" l="1"/>
  <c r="C305" i="41" s="1"/>
  <c r="F304" i="41"/>
  <c r="G304" i="41" s="1"/>
  <c r="E305" i="41" l="1"/>
  <c r="H305" i="41"/>
  <c r="I305" i="41" l="1"/>
  <c r="C306" i="41" s="1"/>
  <c r="F305" i="41"/>
  <c r="G305" i="41" s="1"/>
  <c r="E306" i="41" l="1"/>
  <c r="H306" i="41"/>
  <c r="I306" i="41" l="1"/>
  <c r="C307" i="41" s="1"/>
  <c r="F306" i="41"/>
  <c r="G306" i="41" s="1"/>
  <c r="E307" i="41" l="1"/>
  <c r="H307" i="41"/>
  <c r="F307" i="41" l="1"/>
  <c r="G307" i="41" s="1"/>
  <c r="I307" i="41"/>
  <c r="C308" i="41" s="1"/>
  <c r="H308" i="41" l="1"/>
  <c r="E308" i="41"/>
  <c r="F308" i="41" l="1"/>
  <c r="G308" i="41" s="1"/>
  <c r="I308" i="41"/>
  <c r="C309" i="41" s="1"/>
  <c r="E309" i="41" l="1"/>
  <c r="H309" i="41"/>
  <c r="F309" i="41" l="1"/>
  <c r="G309" i="41" s="1"/>
  <c r="I309" i="41"/>
  <c r="C310" i="41" s="1"/>
  <c r="E310" i="41" l="1"/>
  <c r="H310" i="41"/>
  <c r="F310" i="41" l="1"/>
  <c r="G310" i="41" s="1"/>
  <c r="I310" i="41"/>
  <c r="C311" i="41" s="1"/>
  <c r="E311" i="41" l="1"/>
  <c r="H311" i="41"/>
  <c r="I311" i="41" l="1"/>
  <c r="C312" i="41" s="1"/>
  <c r="F311" i="41"/>
  <c r="G311" i="41" s="1"/>
  <c r="E312" i="41" l="1"/>
  <c r="H312" i="41"/>
  <c r="I312" i="41" l="1"/>
  <c r="C313" i="41" s="1"/>
  <c r="F312" i="41"/>
  <c r="G312" i="41" s="1"/>
  <c r="E313" i="41" l="1"/>
  <c r="H313" i="41"/>
  <c r="I313" i="41" l="1"/>
  <c r="C314" i="41" s="1"/>
  <c r="F313" i="41"/>
  <c r="G313" i="41" s="1"/>
  <c r="H314" i="41" l="1"/>
  <c r="E314" i="41"/>
  <c r="I314" i="41" l="1"/>
  <c r="C315" i="41" s="1"/>
  <c r="F314" i="41"/>
  <c r="G314" i="41" s="1"/>
  <c r="E315" i="41" l="1"/>
  <c r="H315" i="41"/>
  <c r="F315" i="41" l="1"/>
  <c r="G315" i="41" s="1"/>
  <c r="I315" i="41"/>
  <c r="C316" i="41" s="1"/>
  <c r="H316" i="41" l="1"/>
  <c r="E316" i="41"/>
  <c r="I316" i="41" l="1"/>
  <c r="C317" i="41" s="1"/>
  <c r="F316" i="41"/>
  <c r="G316" i="41" s="1"/>
  <c r="H317" i="41" l="1"/>
  <c r="E317" i="41"/>
  <c r="F317" i="41" l="1"/>
  <c r="G317" i="41" s="1"/>
  <c r="I317" i="41"/>
  <c r="C318" i="41" s="1"/>
  <c r="E318" i="41" l="1"/>
  <c r="H318" i="41"/>
  <c r="F318" i="41" l="1"/>
  <c r="G318" i="41" s="1"/>
  <c r="I318" i="41"/>
  <c r="C319" i="41" s="1"/>
  <c r="E319" i="41" l="1"/>
  <c r="H319" i="41"/>
  <c r="I319" i="41" l="1"/>
  <c r="C320" i="41" s="1"/>
  <c r="F319" i="41"/>
  <c r="G319" i="41" s="1"/>
  <c r="H320" i="41" l="1"/>
  <c r="E320" i="41"/>
  <c r="F320" i="41" l="1"/>
  <c r="G320" i="41" s="1"/>
  <c r="I320" i="41"/>
  <c r="C321" i="41" s="1"/>
  <c r="E321" i="41" l="1"/>
  <c r="H321" i="41"/>
  <c r="I321" i="41" l="1"/>
  <c r="C322" i="41" s="1"/>
  <c r="F321" i="41"/>
  <c r="G321" i="41" s="1"/>
  <c r="H322" i="41" l="1"/>
  <c r="E322" i="41"/>
  <c r="I322" i="41" l="1"/>
  <c r="C323" i="41" s="1"/>
  <c r="F322" i="41"/>
  <c r="G322" i="41" s="1"/>
  <c r="E323" i="41" l="1"/>
  <c r="H323" i="41"/>
  <c r="F323" i="41" l="1"/>
  <c r="G323" i="41" s="1"/>
  <c r="I323" i="41"/>
  <c r="C324" i="41" s="1"/>
  <c r="E324" i="41" l="1"/>
  <c r="H324" i="41"/>
  <c r="I324" i="41" l="1"/>
  <c r="C325" i="41" s="1"/>
  <c r="F324" i="41"/>
  <c r="G324" i="41" s="1"/>
  <c r="H325" i="41" l="1"/>
  <c r="E325" i="41"/>
  <c r="I325" i="41" l="1"/>
  <c r="C326" i="41" s="1"/>
  <c r="F325" i="41"/>
  <c r="G325" i="41" s="1"/>
  <c r="H326" i="41" l="1"/>
  <c r="E326" i="41"/>
  <c r="F326" i="41" l="1"/>
  <c r="G326" i="41" s="1"/>
  <c r="I326" i="41"/>
  <c r="C327" i="41" s="1"/>
  <c r="E327" i="41" l="1"/>
  <c r="H327" i="41"/>
  <c r="I327" i="41" l="1"/>
  <c r="C328" i="41" s="1"/>
  <c r="F327" i="41"/>
  <c r="G327" i="41" s="1"/>
  <c r="E328" i="41" l="1"/>
  <c r="H328" i="41"/>
  <c r="F328" i="41" l="1"/>
  <c r="G328" i="41" s="1"/>
  <c r="I328" i="41"/>
  <c r="C329" i="41" s="1"/>
  <c r="E329" i="41" l="1"/>
  <c r="H329" i="41"/>
  <c r="I329" i="41" l="1"/>
  <c r="C330" i="41" s="1"/>
  <c r="F329" i="41"/>
  <c r="G329" i="41" s="1"/>
  <c r="H330" i="41" l="1"/>
  <c r="E330" i="41"/>
  <c r="I330" i="41" l="1"/>
  <c r="C331" i="41" s="1"/>
  <c r="F330" i="41"/>
  <c r="G330" i="41" s="1"/>
  <c r="E331" i="41" l="1"/>
  <c r="H331" i="41"/>
  <c r="I331" i="41" l="1"/>
  <c r="C332" i="41" s="1"/>
  <c r="F331" i="41"/>
  <c r="G331" i="41" s="1"/>
  <c r="H332" i="41" l="1"/>
  <c r="E332" i="41"/>
  <c r="F332" i="41" l="1"/>
  <c r="G332" i="41" s="1"/>
  <c r="I332" i="41"/>
  <c r="C333" i="41" s="1"/>
  <c r="E333" i="41" l="1"/>
  <c r="H333" i="41"/>
  <c r="I333" i="41" l="1"/>
  <c r="C334" i="41" s="1"/>
  <c r="F333" i="41"/>
  <c r="G333" i="41" s="1"/>
  <c r="E334" i="41" l="1"/>
  <c r="H334" i="41"/>
  <c r="I334" i="41" l="1"/>
  <c r="C335" i="41" s="1"/>
  <c r="F334" i="41"/>
  <c r="G334" i="41" s="1"/>
  <c r="E335" i="41" l="1"/>
  <c r="H335" i="41"/>
  <c r="I335" i="41" l="1"/>
  <c r="C336" i="41" s="1"/>
  <c r="F335" i="41"/>
  <c r="G335" i="41" s="1"/>
  <c r="E336" i="41" l="1"/>
  <c r="H336" i="41"/>
  <c r="F336" i="41" l="1"/>
  <c r="G336" i="41" s="1"/>
  <c r="I336" i="41"/>
  <c r="C337" i="41" s="1"/>
  <c r="E337" i="41" l="1"/>
  <c r="H337" i="41"/>
  <c r="I337" i="41" l="1"/>
  <c r="C338" i="41" s="1"/>
  <c r="F337" i="41"/>
  <c r="G337" i="41" s="1"/>
  <c r="H338" i="41" l="1"/>
  <c r="E338" i="41"/>
  <c r="F338" i="41" l="1"/>
  <c r="G338" i="41" s="1"/>
  <c r="I338" i="41"/>
  <c r="C339" i="41" s="1"/>
  <c r="H339" i="41" l="1"/>
  <c r="E339" i="41"/>
  <c r="F339" i="41" l="1"/>
  <c r="G339" i="41" s="1"/>
  <c r="I339" i="41"/>
  <c r="C340" i="41" s="1"/>
  <c r="E340" i="41" l="1"/>
  <c r="H340" i="41"/>
  <c r="I340" i="41" l="1"/>
  <c r="C341" i="41" s="1"/>
  <c r="F340" i="41"/>
  <c r="G340" i="41" s="1"/>
  <c r="E341" i="41" l="1"/>
  <c r="H341" i="41"/>
  <c r="I341" i="41" l="1"/>
  <c r="C342" i="41" s="1"/>
  <c r="F341" i="41"/>
  <c r="G341" i="41" s="1"/>
  <c r="H342" i="41" l="1"/>
  <c r="E342" i="41"/>
  <c r="I342" i="41" l="1"/>
  <c r="C343" i="41" s="1"/>
  <c r="F342" i="41"/>
  <c r="G342" i="41" s="1"/>
  <c r="H343" i="41" l="1"/>
  <c r="E343" i="41"/>
  <c r="F343" i="41" l="1"/>
  <c r="G343" i="41" s="1"/>
  <c r="I343" i="41"/>
  <c r="C344" i="41" s="1"/>
  <c r="E344" i="41" l="1"/>
  <c r="H344" i="41"/>
  <c r="F344" i="41" l="1"/>
  <c r="G344" i="41" s="1"/>
  <c r="I344" i="41"/>
  <c r="C345" i="41" s="1"/>
  <c r="H345" i="41" l="1"/>
  <c r="E345" i="41"/>
  <c r="F345" i="41" l="1"/>
  <c r="G345" i="41" s="1"/>
  <c r="I345" i="41"/>
  <c r="C346" i="41" s="1"/>
  <c r="H346" i="41" l="1"/>
  <c r="E346" i="41"/>
  <c r="F346" i="41" l="1"/>
  <c r="G346" i="41" s="1"/>
  <c r="I346" i="41"/>
  <c r="C347" i="41" s="1"/>
  <c r="H347" i="41" l="1"/>
  <c r="E347" i="41"/>
  <c r="I347" i="41" l="1"/>
  <c r="C348" i="41" s="1"/>
  <c r="F347" i="41"/>
  <c r="G347" i="41" s="1"/>
  <c r="E348" i="41" l="1"/>
  <c r="H348" i="41"/>
  <c r="F348" i="41" l="1"/>
  <c r="G348" i="41" s="1"/>
  <c r="I348" i="41"/>
  <c r="C349" i="41" s="1"/>
  <c r="E349" i="41" l="1"/>
  <c r="H349" i="41"/>
  <c r="I349" i="41" l="1"/>
  <c r="C350" i="41" s="1"/>
  <c r="F349" i="41"/>
  <c r="G349" i="41" s="1"/>
  <c r="E350" i="41" l="1"/>
  <c r="H350" i="41"/>
  <c r="I350" i="41" l="1"/>
  <c r="C351" i="41" s="1"/>
  <c r="F350" i="41"/>
  <c r="G350" i="41" s="1"/>
  <c r="H351" i="41" l="1"/>
  <c r="E351" i="41"/>
  <c r="F351" i="41" l="1"/>
  <c r="G351" i="41" s="1"/>
  <c r="I351" i="41"/>
  <c r="C352" i="41" s="1"/>
  <c r="E352" i="41" l="1"/>
  <c r="H352" i="41"/>
  <c r="F352" i="41" l="1"/>
  <c r="G352" i="41" s="1"/>
  <c r="I352" i="41"/>
  <c r="C353" i="41" s="1"/>
  <c r="H353" i="41" l="1"/>
  <c r="E353" i="41"/>
  <c r="F353" i="41" l="1"/>
  <c r="G353" i="41" s="1"/>
  <c r="I353" i="41"/>
  <c r="C354" i="41" s="1"/>
  <c r="H354" i="41" l="1"/>
  <c r="E354" i="41"/>
  <c r="F354" i="41" l="1"/>
  <c r="G354" i="41" s="1"/>
  <c r="I354" i="41"/>
  <c r="C355" i="41" s="1"/>
  <c r="H355" i="41" l="1"/>
  <c r="E355" i="41"/>
  <c r="F355" i="41" l="1"/>
  <c r="G355" i="41" s="1"/>
  <c r="I355" i="41"/>
  <c r="C356" i="41" s="1"/>
  <c r="E356" i="41" l="1"/>
  <c r="H356" i="41"/>
  <c r="I356" i="41" l="1"/>
  <c r="C357" i="41" s="1"/>
  <c r="F356" i="41"/>
  <c r="G356" i="41" s="1"/>
  <c r="E357" i="41" l="1"/>
  <c r="H357" i="41"/>
  <c r="I357" i="41" l="1"/>
  <c r="C358" i="41" s="1"/>
  <c r="F357" i="41"/>
  <c r="G357" i="41" s="1"/>
  <c r="H358" i="41" l="1"/>
  <c r="E358" i="41"/>
  <c r="I358" i="41" l="1"/>
  <c r="C359" i="41" s="1"/>
  <c r="F358" i="41"/>
  <c r="G358" i="41" s="1"/>
  <c r="E359" i="41" l="1"/>
  <c r="H359" i="41"/>
  <c r="I359" i="41" l="1"/>
  <c r="C360" i="41" s="1"/>
  <c r="F359" i="41"/>
  <c r="G359" i="41" s="1"/>
  <c r="E360" i="41" l="1"/>
  <c r="H360" i="41"/>
  <c r="I360" i="41" l="1"/>
  <c r="C361" i="41" s="1"/>
  <c r="F360" i="41"/>
  <c r="G360" i="41" s="1"/>
  <c r="H361" i="41" l="1"/>
  <c r="E361" i="41"/>
  <c r="F361" i="41" l="1"/>
  <c r="G361" i="41" s="1"/>
  <c r="I361" i="41"/>
  <c r="C362" i="41" s="1"/>
  <c r="H362" i="41" l="1"/>
  <c r="E362" i="41"/>
  <c r="I362" i="41" l="1"/>
  <c r="C363" i="41" s="1"/>
  <c r="F362" i="41"/>
  <c r="G362" i="41" s="1"/>
  <c r="E363" i="41" l="1"/>
  <c r="H363" i="41"/>
  <c r="F363" i="41" l="1"/>
  <c r="G363" i="41" s="1"/>
  <c r="I363" i="41"/>
  <c r="C364" i="41" s="1"/>
  <c r="E364" i="41" l="1"/>
  <c r="H364" i="41"/>
  <c r="I364" i="41" l="1"/>
  <c r="C365" i="41" s="1"/>
  <c r="F364" i="41"/>
  <c r="G364" i="41" s="1"/>
  <c r="E365" i="41" l="1"/>
  <c r="H365" i="41"/>
  <c r="F365" i="41" l="1"/>
  <c r="G365" i="41" s="1"/>
  <c r="I365" i="41"/>
  <c r="C366" i="41" s="1"/>
  <c r="E366" i="41" l="1"/>
  <c r="H366" i="41"/>
  <c r="F366" i="41" l="1"/>
  <c r="G366" i="41" s="1"/>
  <c r="I366" i="41"/>
  <c r="C367" i="41" s="1"/>
  <c r="E367" i="41" l="1"/>
  <c r="H367" i="41"/>
  <c r="F367" i="41" l="1"/>
  <c r="G367" i="41" s="1"/>
  <c r="I367" i="41"/>
  <c r="C368" i="41" s="1"/>
  <c r="H368" i="41" l="1"/>
  <c r="E368" i="41"/>
  <c r="I368" i="41" l="1"/>
  <c r="C369" i="41" s="1"/>
  <c r="F368" i="41"/>
  <c r="G368" i="41" s="1"/>
  <c r="E369" i="41" l="1"/>
  <c r="H369" i="41"/>
  <c r="F369" i="41" l="1"/>
  <c r="G369" i="41" s="1"/>
  <c r="I369" i="41"/>
  <c r="C370" i="41" s="1"/>
  <c r="H370" i="41" l="1"/>
  <c r="E370" i="41"/>
  <c r="I370" i="41" l="1"/>
  <c r="C371" i="41" s="1"/>
  <c r="F370" i="41"/>
  <c r="G370" i="41" s="1"/>
  <c r="H371" i="41" l="1"/>
  <c r="E371" i="41"/>
  <c r="F371" i="41" l="1"/>
  <c r="G371" i="41" s="1"/>
  <c r="I371" i="41"/>
  <c r="C372" i="41" s="1"/>
  <c r="E372" i="41" l="1"/>
  <c r="H372" i="41"/>
  <c r="I372" i="41" l="1"/>
  <c r="C373" i="41" s="1"/>
  <c r="F372" i="41"/>
  <c r="G372" i="41" s="1"/>
  <c r="H373" i="41" l="1"/>
  <c r="E373" i="41"/>
  <c r="I373" i="41" l="1"/>
  <c r="C374" i="41" s="1"/>
  <c r="F373" i="41"/>
  <c r="G373" i="41" s="1"/>
  <c r="H374" i="41" l="1"/>
  <c r="E374" i="41"/>
  <c r="I374" i="41" l="1"/>
  <c r="C375" i="41" s="1"/>
  <c r="F374" i="41"/>
  <c r="G374" i="41" s="1"/>
  <c r="H375" i="41" l="1"/>
  <c r="E375" i="41"/>
  <c r="F375" i="41" l="1"/>
  <c r="G375" i="41" s="1"/>
  <c r="I375" i="41"/>
  <c r="C376" i="41" s="1"/>
  <c r="E376" i="41" l="1"/>
  <c r="H376" i="41"/>
  <c r="I376" i="41" l="1"/>
  <c r="C377" i="41" s="1"/>
  <c r="F376" i="41"/>
  <c r="G376" i="41" s="1"/>
  <c r="H377" i="41" l="1"/>
  <c r="E377" i="41"/>
  <c r="F377" i="41" l="1"/>
  <c r="G377" i="41" s="1"/>
  <c r="I377" i="41"/>
  <c r="C378" i="41" s="1"/>
  <c r="H378" i="41" l="1"/>
  <c r="E378" i="41"/>
  <c r="I378" i="41" l="1"/>
  <c r="C379" i="41" s="1"/>
  <c r="F378" i="41"/>
  <c r="G378" i="41" s="1"/>
  <c r="H379" i="41" l="1"/>
  <c r="E379" i="41"/>
  <c r="I379" i="41" l="1"/>
  <c r="C380" i="41" s="1"/>
  <c r="F379" i="41"/>
  <c r="G379" i="41" s="1"/>
  <c r="E380" i="41" l="1"/>
  <c r="H380" i="41"/>
  <c r="I380" i="41" l="1"/>
  <c r="C381" i="41" s="1"/>
  <c r="F380" i="41"/>
  <c r="G380" i="41" s="1"/>
  <c r="H381" i="41" l="1"/>
  <c r="E381" i="41"/>
  <c r="F381" i="41" l="1"/>
  <c r="G381" i="41" s="1"/>
  <c r="I381" i="41"/>
  <c r="C382" i="41" s="1"/>
  <c r="E382" i="41" l="1"/>
  <c r="H382" i="41"/>
  <c r="F382" i="41" l="1"/>
  <c r="G382" i="41" s="1"/>
  <c r="I382" i="41"/>
  <c r="C383" i="41" s="1"/>
  <c r="H383" i="41" l="1"/>
  <c r="E383" i="41"/>
  <c r="F383" i="41" l="1"/>
  <c r="G383" i="41" s="1"/>
  <c r="I383" i="41"/>
  <c r="C384" i="41" s="1"/>
  <c r="E384" i="41" l="1"/>
  <c r="H384" i="41"/>
  <c r="H18" i="41"/>
  <c r="F384" i="41" l="1"/>
  <c r="G384" i="41" s="1"/>
  <c r="I384" i="41"/>
  <c r="H16" i="41" s="1"/>
  <c r="DK8" i="39"/>
  <c r="DH11" i="39"/>
  <c r="DI11" i="39" s="1"/>
  <c r="DH10" i="39"/>
  <c r="DI10" i="39" s="1"/>
  <c r="DH17" i="39"/>
  <c r="DI17" i="39" s="1"/>
  <c r="DH108" i="39"/>
  <c r="DK108" i="39" s="1"/>
  <c r="DH115" i="39"/>
  <c r="DK115" i="39" s="1"/>
  <c r="DH13" i="39"/>
  <c r="DI13" i="39" s="1"/>
  <c r="DH64" i="39"/>
  <c r="DI64" i="39" s="1"/>
  <c r="DH36" i="39"/>
  <c r="DI36" i="39" s="1"/>
  <c r="DH85" i="39"/>
  <c r="DI85" i="39" s="1"/>
  <c r="DH132" i="39"/>
  <c r="DI132" i="39" s="1"/>
  <c r="DH50" i="39"/>
  <c r="DI50" i="39" s="1"/>
  <c r="DH21" i="39"/>
  <c r="DK21" i="39" s="1"/>
  <c r="DH139" i="39"/>
  <c r="DI139" i="39" s="1"/>
  <c r="DH80" i="39"/>
  <c r="DK80" i="39" s="1"/>
  <c r="DH25" i="39"/>
  <c r="DI25" i="39" s="1"/>
  <c r="DH123" i="39"/>
  <c r="DK123" i="39" s="1"/>
  <c r="DH39" i="39"/>
  <c r="DI39" i="39" s="1"/>
  <c r="DH34" i="39"/>
  <c r="DI34" i="39" s="1"/>
  <c r="DH110" i="39"/>
  <c r="DK110" i="39" s="1"/>
  <c r="DH68" i="39"/>
  <c r="DI68" i="39" s="1"/>
  <c r="DH38" i="39"/>
  <c r="DI38" i="39" s="1"/>
  <c r="DH48" i="39"/>
  <c r="DI48" i="39" s="1"/>
  <c r="DH55" i="39"/>
  <c r="DK55" i="39" s="1"/>
  <c r="DH23" i="39"/>
  <c r="DI23" i="39" s="1"/>
  <c r="DH43" i="39"/>
  <c r="DI43" i="39" s="1"/>
  <c r="DH47" i="39"/>
  <c r="DI47" i="39" s="1"/>
  <c r="DH124" i="39"/>
  <c r="DI124" i="39" s="1"/>
  <c r="DH32" i="39"/>
  <c r="DI32" i="39" s="1"/>
  <c r="DH86" i="39"/>
  <c r="DI86" i="39" s="1"/>
  <c r="DH134" i="39"/>
  <c r="DI134" i="39" s="1"/>
  <c r="DH99" i="39"/>
  <c r="DI99" i="39" s="1"/>
  <c r="DH121" i="39"/>
  <c r="DI121" i="39" s="1"/>
  <c r="DH12" i="39"/>
  <c r="DI12" i="39" s="1"/>
  <c r="DH9" i="39"/>
  <c r="DK9" i="39" s="1"/>
  <c r="DH154" i="39"/>
  <c r="DI154" i="39" s="1"/>
  <c r="DH114" i="39"/>
  <c r="DK114" i="39" s="1"/>
  <c r="DH71" i="39"/>
  <c r="DI71" i="39" s="1"/>
  <c r="DH126" i="39"/>
  <c r="DH63" i="39"/>
  <c r="DI63" i="39" s="1"/>
  <c r="DH78" i="39"/>
  <c r="DI78" i="39" s="1"/>
  <c r="DH81" i="39"/>
  <c r="DI81" i="39" s="1"/>
  <c r="DH28" i="39"/>
  <c r="DI28" i="39" s="1"/>
  <c r="DH69" i="39"/>
  <c r="DI69" i="39" s="1"/>
  <c r="DH22" i="39"/>
  <c r="DI22" i="39" s="1"/>
  <c r="DH159" i="39"/>
  <c r="DI159" i="39" s="1"/>
  <c r="DH147" i="39"/>
  <c r="DI147" i="39" s="1"/>
  <c r="DH96" i="39"/>
  <c r="DI96" i="39" s="1"/>
  <c r="DH24" i="39"/>
  <c r="DI24" i="39" s="1"/>
  <c r="DH83" i="39"/>
  <c r="DI83" i="39" s="1"/>
  <c r="DH31" i="39"/>
  <c r="DI31" i="39" s="1"/>
  <c r="DH61" i="39"/>
  <c r="DI61" i="39" s="1"/>
  <c r="DH45" i="39"/>
  <c r="DI45" i="39" s="1"/>
  <c r="DH51" i="39"/>
  <c r="DI51" i="39" s="1"/>
  <c r="DH112" i="39"/>
  <c r="DI112" i="39" s="1"/>
  <c r="DH171" i="39"/>
  <c r="DI171" i="39" s="1"/>
  <c r="DH117" i="39"/>
  <c r="DI117" i="39" s="1"/>
  <c r="DH135" i="39"/>
  <c r="DI135" i="39" s="1"/>
  <c r="DH93" i="39"/>
  <c r="DI93" i="39" s="1"/>
  <c r="DH136" i="39"/>
  <c r="DI136" i="39" s="1"/>
  <c r="DH52" i="39"/>
  <c r="DI52" i="39" s="1"/>
  <c r="DH53" i="39"/>
  <c r="DI53" i="39" s="1"/>
  <c r="DH161" i="39"/>
  <c r="DI161" i="39" s="1"/>
  <c r="DH19" i="39"/>
  <c r="DI19" i="39" s="1"/>
  <c r="DH56" i="39"/>
  <c r="DI56" i="39" s="1"/>
  <c r="DH40" i="39"/>
  <c r="DI40" i="39" s="1"/>
  <c r="DH91" i="39"/>
  <c r="DI91" i="39" s="1"/>
  <c r="DH104" i="39"/>
  <c r="DI104" i="39" s="1"/>
  <c r="DH102" i="39"/>
  <c r="DI102" i="39" s="1"/>
  <c r="DH141" i="39"/>
  <c r="DI141" i="39" s="1"/>
  <c r="DH158" i="39"/>
  <c r="DI158" i="39" s="1"/>
  <c r="DH181" i="39"/>
  <c r="DI181" i="39" s="1"/>
  <c r="DH58" i="39"/>
  <c r="DI58" i="39" s="1"/>
  <c r="DH33" i="39"/>
  <c r="DI33" i="39" s="1"/>
  <c r="DH116" i="39"/>
  <c r="DI116" i="39" s="1"/>
  <c r="DH142" i="39"/>
  <c r="DI142" i="39" s="1"/>
  <c r="DH75" i="39"/>
  <c r="DI75" i="39" s="1"/>
  <c r="DH105" i="39"/>
  <c r="DI105" i="39" s="1"/>
  <c r="DH27" i="39"/>
  <c r="DI27" i="39" s="1"/>
  <c r="DH44" i="39"/>
  <c r="DI44" i="39" s="1"/>
  <c r="DH172" i="39"/>
  <c r="DI172" i="39" s="1"/>
  <c r="DH60" i="39"/>
  <c r="DI60" i="39" s="1"/>
  <c r="DH143" i="39"/>
  <c r="DI143" i="39" s="1"/>
  <c r="DH140" i="39"/>
  <c r="DI140" i="39" s="1"/>
  <c r="DH77" i="39"/>
  <c r="DI77" i="39" s="1"/>
  <c r="DH20" i="39"/>
  <c r="DI20" i="39" s="1"/>
  <c r="DH87" i="39"/>
  <c r="DI87" i="39" s="1"/>
  <c r="DH144" i="39"/>
  <c r="DI144" i="39" s="1"/>
  <c r="DH94" i="39"/>
  <c r="DI94" i="39" s="1"/>
  <c r="DH92" i="39"/>
  <c r="DI92" i="39" s="1"/>
  <c r="DH192" i="39"/>
  <c r="DI192" i="39" s="1"/>
  <c r="DH210" i="39"/>
  <c r="DI210" i="39" s="1"/>
  <c r="DH72" i="39"/>
  <c r="DI72" i="39" s="1"/>
  <c r="DH65" i="39"/>
  <c r="DI65" i="39" s="1"/>
  <c r="DH137" i="39"/>
  <c r="DI137" i="39" s="1"/>
  <c r="DH70" i="39"/>
  <c r="DI70" i="39" s="1"/>
  <c r="DH157" i="39"/>
  <c r="DI157" i="39" s="1"/>
  <c r="DH73" i="39"/>
  <c r="DI73" i="39" s="1"/>
  <c r="DH100" i="39"/>
  <c r="DI100" i="39" s="1"/>
  <c r="DH153" i="39"/>
  <c r="DI153" i="39" s="1"/>
  <c r="DH199" i="39"/>
  <c r="DI199" i="39" s="1"/>
  <c r="DH128" i="39"/>
  <c r="DI128" i="39" s="1"/>
  <c r="DH103" i="39"/>
  <c r="DI103" i="39" s="1"/>
  <c r="DH89" i="39"/>
  <c r="DH59" i="39"/>
  <c r="DI59" i="39" s="1"/>
  <c r="DH90" i="39"/>
  <c r="DI90" i="39" s="1"/>
  <c r="DH49" i="39"/>
  <c r="DI49" i="39" s="1"/>
  <c r="DH74" i="39"/>
  <c r="DH54" i="39"/>
  <c r="DI54" i="39" s="1"/>
  <c r="DH155" i="39"/>
  <c r="DI155" i="39" s="1"/>
  <c r="DH30" i="39"/>
  <c r="DI30" i="39" s="1"/>
  <c r="DH188" i="39"/>
  <c r="DH101" i="39"/>
  <c r="DK101" i="39" s="1"/>
  <c r="DH84" i="39"/>
  <c r="DI84" i="39" s="1"/>
  <c r="DH127" i="39"/>
  <c r="DI127" i="39" s="1"/>
  <c r="DH138" i="39"/>
  <c r="DH162" i="39"/>
  <c r="DI162" i="39" s="1"/>
  <c r="DH82" i="39"/>
  <c r="DH26" i="39"/>
  <c r="DI26" i="39" s="1"/>
  <c r="DH130" i="39"/>
  <c r="DH122" i="39"/>
  <c r="DI122" i="39" s="1"/>
  <c r="DH146" i="39"/>
  <c r="DI146" i="39" s="1"/>
  <c r="DH156" i="39"/>
  <c r="DH174" i="39"/>
  <c r="DI174" i="39" s="1"/>
  <c r="DH214" i="39"/>
  <c r="DI214" i="39" s="1"/>
  <c r="DH109" i="39"/>
  <c r="DI109" i="39" s="1"/>
  <c r="DH202" i="39"/>
  <c r="DI202" i="39" s="1"/>
  <c r="DH170" i="39"/>
  <c r="DI170" i="39" s="1"/>
  <c r="DH198" i="39"/>
  <c r="DI198" i="39" s="1"/>
  <c r="DH213" i="39"/>
  <c r="DH145" i="39"/>
  <c r="DI145" i="39" s="1"/>
  <c r="DH88" i="39"/>
  <c r="DI88" i="39" s="1"/>
  <c r="DH41" i="39"/>
  <c r="DI41" i="39" s="1"/>
  <c r="DH66" i="39"/>
  <c r="DI66" i="39" s="1"/>
  <c r="DH168" i="39"/>
  <c r="DI168" i="39" s="1"/>
  <c r="DH173" i="39"/>
  <c r="DI173" i="39" s="1"/>
  <c r="DH190" i="39"/>
  <c r="DI190" i="39" s="1"/>
  <c r="DH111" i="39"/>
  <c r="DI111" i="39" s="1"/>
  <c r="DH118" i="39"/>
  <c r="DI118" i="39" s="1"/>
  <c r="DH182" i="39"/>
  <c r="DI182" i="39" s="1"/>
  <c r="DH120" i="39"/>
  <c r="DI120" i="39" s="1"/>
  <c r="DH189" i="39"/>
  <c r="DI189" i="39" s="1"/>
  <c r="DH203" i="39"/>
  <c r="DI203" i="39" s="1"/>
  <c r="DH79" i="39"/>
  <c r="DI79" i="39" s="1"/>
  <c r="DH57" i="39"/>
  <c r="DI57" i="39" s="1"/>
  <c r="DH95" i="39"/>
  <c r="DI95" i="39" s="1"/>
  <c r="DH166" i="39"/>
  <c r="DI166" i="39" s="1"/>
  <c r="DH205" i="39"/>
  <c r="DH209" i="39"/>
  <c r="DI209" i="39" s="1"/>
  <c r="DH196" i="39"/>
  <c r="DI196" i="39" s="1"/>
  <c r="DH211" i="39"/>
  <c r="DI211" i="39" s="1"/>
  <c r="DH175" i="39"/>
  <c r="DI175" i="39" s="1"/>
  <c r="DH178" i="39"/>
  <c r="DI178" i="39" s="1"/>
  <c r="DH37" i="39"/>
  <c r="DI37" i="39" s="1"/>
  <c r="DH62" i="39"/>
  <c r="DI62" i="39" s="1"/>
  <c r="DH191" i="39"/>
  <c r="DI191" i="39" s="1"/>
  <c r="DH67" i="39"/>
  <c r="DH200" i="39"/>
  <c r="DI200" i="39" s="1"/>
  <c r="DH187" i="39"/>
  <c r="DI187" i="39" s="1"/>
  <c r="DH42" i="39"/>
  <c r="DI42" i="39" s="1"/>
  <c r="DH160" i="39"/>
  <c r="DI160" i="39" s="1"/>
  <c r="DH107" i="39"/>
  <c r="DI107" i="39" s="1"/>
  <c r="DH208" i="39"/>
  <c r="DI208" i="39" s="1"/>
  <c r="DH169" i="39"/>
  <c r="DI169" i="39" s="1"/>
  <c r="DH150" i="39"/>
  <c r="DI150" i="39" s="1"/>
  <c r="DH76" i="39"/>
  <c r="DI76" i="39" s="1"/>
  <c r="DH133" i="39"/>
  <c r="DI133" i="39" s="1"/>
  <c r="DH98" i="39"/>
  <c r="DI98" i="39" s="1"/>
  <c r="DH35" i="39"/>
  <c r="DI35" i="39" s="1"/>
  <c r="DH106" i="39"/>
  <c r="DI106" i="39" s="1"/>
  <c r="DH148" i="39"/>
  <c r="DH179" i="39"/>
  <c r="DI179" i="39" s="1"/>
  <c r="DH176" i="39"/>
  <c r="DI176" i="39" s="1"/>
  <c r="DH194" i="39"/>
  <c r="DI194" i="39" s="1"/>
  <c r="DH113" i="39"/>
  <c r="DI113" i="39" s="1"/>
  <c r="DH212" i="39"/>
  <c r="DI212" i="39" s="1"/>
  <c r="DH185" i="39"/>
  <c r="DI185" i="39" s="1"/>
  <c r="DH204" i="39"/>
  <c r="DI204" i="39" s="1"/>
  <c r="DH18" i="39"/>
  <c r="DH16" i="39"/>
  <c r="DI16" i="39" s="1"/>
  <c r="DH215" i="39"/>
  <c r="DI215" i="39" s="1"/>
  <c r="DH151" i="39"/>
  <c r="DI151" i="39" s="1"/>
  <c r="DH180" i="39"/>
  <c r="DH165" i="39"/>
  <c r="DI165" i="39" s="1"/>
  <c r="DH163" i="39"/>
  <c r="DI163" i="39" s="1"/>
  <c r="DH197" i="39"/>
  <c r="DI197" i="39" s="1"/>
  <c r="DH201" i="39"/>
  <c r="DH177" i="39"/>
  <c r="DI177" i="39" s="1"/>
  <c r="DH131" i="39"/>
  <c r="DI131" i="39" s="1"/>
  <c r="DH184" i="39"/>
  <c r="DH149" i="39"/>
  <c r="DH193" i="39"/>
  <c r="DI193" i="39" s="1"/>
  <c r="DH186" i="39"/>
  <c r="DH206" i="39"/>
  <c r="DH167" i="39"/>
  <c r="DH195" i="39"/>
  <c r="DI195" i="39" s="1"/>
  <c r="DH216" i="39"/>
  <c r="DH46" i="39"/>
  <c r="DI46" i="39" s="1"/>
  <c r="DH119" i="39"/>
  <c r="DI119" i="39" s="1"/>
  <c r="DH125" i="39"/>
  <c r="DI125" i="39" s="1"/>
  <c r="DH29" i="39"/>
  <c r="DI29" i="39" s="1"/>
  <c r="DH183" i="39"/>
  <c r="DI183" i="39" s="1"/>
  <c r="DH14" i="39"/>
  <c r="DI14" i="39" s="1"/>
  <c r="DH152" i="39"/>
  <c r="DI152" i="39" s="1"/>
  <c r="DH97" i="39"/>
  <c r="DI97" i="39" s="1"/>
  <c r="DH164" i="39"/>
  <c r="DI164" i="39" s="1"/>
  <c r="DH129" i="39"/>
  <c r="DI129" i="39" s="1"/>
  <c r="DH207" i="39"/>
  <c r="DI207" i="39" s="1"/>
  <c r="DH15" i="39"/>
  <c r="DI15" i="39" s="1"/>
  <c r="DK214" i="39" l="1"/>
  <c r="DL214" i="39" s="1"/>
  <c r="DK165" i="39"/>
  <c r="DL165" i="39" s="1"/>
  <c r="DK57" i="39"/>
  <c r="DL57" i="39" s="1"/>
  <c r="DK111" i="39"/>
  <c r="DL111" i="39" s="1"/>
  <c r="DK174" i="39"/>
  <c r="DL174" i="39" s="1"/>
  <c r="DK70" i="39"/>
  <c r="DL70" i="39" s="1"/>
  <c r="DK32" i="39"/>
  <c r="DL32" i="39" s="1"/>
  <c r="DL110" i="39"/>
  <c r="DL101" i="39"/>
  <c r="FZ8" i="39"/>
  <c r="DL123" i="39"/>
  <c r="DL55" i="39"/>
  <c r="DL8" i="39"/>
  <c r="DL80" i="39"/>
  <c r="DL9" i="39"/>
  <c r="DL114" i="39"/>
  <c r="DL115" i="39"/>
  <c r="DL21" i="39"/>
  <c r="DL108" i="39"/>
  <c r="DK93" i="39"/>
  <c r="DK47" i="39"/>
  <c r="DK210" i="39"/>
  <c r="DK53" i="39"/>
  <c r="DK159" i="39"/>
  <c r="DK19" i="39"/>
  <c r="DK37" i="39"/>
  <c r="DK211" i="39"/>
  <c r="DK20" i="39"/>
  <c r="DK29" i="39"/>
  <c r="DK208" i="39"/>
  <c r="DK116" i="39"/>
  <c r="DK104" i="39"/>
  <c r="DK161" i="39"/>
  <c r="DK83" i="39"/>
  <c r="DK86" i="39"/>
  <c r="DK100" i="39"/>
  <c r="DK172" i="39"/>
  <c r="DK152" i="39"/>
  <c r="DK42" i="39"/>
  <c r="DK41" i="39"/>
  <c r="DK192" i="39"/>
  <c r="DK77" i="39"/>
  <c r="DK56" i="39"/>
  <c r="DK147" i="39"/>
  <c r="DK78" i="39"/>
  <c r="DK195" i="39"/>
  <c r="DK66" i="39"/>
  <c r="DK144" i="39"/>
  <c r="DK51" i="39"/>
  <c r="DK169" i="39"/>
  <c r="DK125" i="39"/>
  <c r="DK121" i="39"/>
  <c r="DK117" i="39"/>
  <c r="DK17" i="39"/>
  <c r="DK209" i="39"/>
  <c r="DK94" i="39"/>
  <c r="DK105" i="39"/>
  <c r="DK85" i="39"/>
  <c r="DK189" i="39"/>
  <c r="DK168" i="39"/>
  <c r="DK127" i="39"/>
  <c r="DK103" i="39"/>
  <c r="DK157" i="39"/>
  <c r="DK72" i="39"/>
  <c r="DK28" i="39"/>
  <c r="DK139" i="39"/>
  <c r="DK64" i="39"/>
  <c r="DK106" i="39"/>
  <c r="DK107" i="39"/>
  <c r="DK200" i="39"/>
  <c r="DK190" i="39"/>
  <c r="DK170" i="39"/>
  <c r="DK122" i="39"/>
  <c r="DK58" i="39"/>
  <c r="DK31" i="39"/>
  <c r="DK99" i="39"/>
  <c r="DK16" i="39"/>
  <c r="DK185" i="39"/>
  <c r="DK35" i="39"/>
  <c r="DK150" i="39"/>
  <c r="DK166" i="39"/>
  <c r="DK79" i="39"/>
  <c r="DK120" i="39"/>
  <c r="DK145" i="39"/>
  <c r="DK202" i="39"/>
  <c r="DK49" i="39"/>
  <c r="DK142" i="39"/>
  <c r="DK181" i="39"/>
  <c r="DK136" i="39"/>
  <c r="DK112" i="39"/>
  <c r="DK81" i="39"/>
  <c r="DK134" i="39"/>
  <c r="DK15" i="39"/>
  <c r="DK193" i="39"/>
  <c r="DK176" i="39"/>
  <c r="DK191" i="39"/>
  <c r="DK178" i="39"/>
  <c r="DK196" i="39"/>
  <c r="DK173" i="39"/>
  <c r="DK140" i="39"/>
  <c r="DK44" i="39"/>
  <c r="DK91" i="39"/>
  <c r="DK183" i="39"/>
  <c r="DK204" i="39"/>
  <c r="DK212" i="39"/>
  <c r="DK179" i="39"/>
  <c r="DK133" i="39"/>
  <c r="DK62" i="39"/>
  <c r="DK175" i="39"/>
  <c r="DK203" i="39"/>
  <c r="DK198" i="39"/>
  <c r="DK146" i="39"/>
  <c r="DK30" i="39"/>
  <c r="DK65" i="39"/>
  <c r="DK143" i="39"/>
  <c r="DK141" i="39"/>
  <c r="DK24" i="39"/>
  <c r="DI149" i="39"/>
  <c r="DK149" i="39"/>
  <c r="DI167" i="39"/>
  <c r="DK167" i="39"/>
  <c r="DI186" i="39"/>
  <c r="DK186" i="39"/>
  <c r="DI216" i="39"/>
  <c r="DK216" i="39"/>
  <c r="DI205" i="39"/>
  <c r="DK205" i="39"/>
  <c r="DK164" i="39"/>
  <c r="DK14" i="39"/>
  <c r="DK119" i="39"/>
  <c r="DK177" i="39"/>
  <c r="DI67" i="39"/>
  <c r="DK67" i="39"/>
  <c r="DI184" i="39"/>
  <c r="DK184" i="39"/>
  <c r="DI206" i="39"/>
  <c r="DK206" i="39"/>
  <c r="DI201" i="39"/>
  <c r="DK201" i="39"/>
  <c r="DI138" i="39"/>
  <c r="DK138" i="39"/>
  <c r="DI18" i="39"/>
  <c r="DK18" i="39"/>
  <c r="DL18" i="39" s="1"/>
  <c r="DK129" i="39"/>
  <c r="DI148" i="39"/>
  <c r="DK148" i="39"/>
  <c r="DK207" i="39"/>
  <c r="DK97" i="39"/>
  <c r="DK46" i="39"/>
  <c r="DI180" i="39"/>
  <c r="DK180" i="39"/>
  <c r="DI213" i="39"/>
  <c r="DK213" i="39"/>
  <c r="DI82" i="39"/>
  <c r="DK82" i="39"/>
  <c r="DI188" i="39"/>
  <c r="DK188" i="39"/>
  <c r="DK118" i="39"/>
  <c r="DI130" i="39"/>
  <c r="DK130" i="39"/>
  <c r="DI74" i="39"/>
  <c r="DK74" i="39"/>
  <c r="DK131" i="39"/>
  <c r="DK163" i="39"/>
  <c r="DK215" i="39"/>
  <c r="DK187" i="39"/>
  <c r="DK95" i="39"/>
  <c r="DK109" i="39"/>
  <c r="DI156" i="39"/>
  <c r="DK156" i="39"/>
  <c r="DI89" i="39"/>
  <c r="DK89" i="39"/>
  <c r="DK194" i="39"/>
  <c r="DK98" i="39"/>
  <c r="DK76" i="39"/>
  <c r="DK182" i="39"/>
  <c r="DK197" i="39"/>
  <c r="DK151" i="39"/>
  <c r="DK160" i="39"/>
  <c r="DK88" i="39"/>
  <c r="DK26" i="39"/>
  <c r="DK113" i="39"/>
  <c r="DK137" i="39"/>
  <c r="DK87" i="39"/>
  <c r="DK27" i="39"/>
  <c r="DK75" i="39"/>
  <c r="DK33" i="39"/>
  <c r="DK40" i="39"/>
  <c r="DK171" i="39"/>
  <c r="DK45" i="39"/>
  <c r="DK22" i="39"/>
  <c r="DI126" i="39"/>
  <c r="DK126" i="39"/>
  <c r="DK153" i="39"/>
  <c r="DI101" i="39"/>
  <c r="DK92" i="39"/>
  <c r="DK60" i="39"/>
  <c r="DK102" i="39"/>
  <c r="DK52" i="39"/>
  <c r="DK96" i="39"/>
  <c r="DK63" i="39"/>
  <c r="DK162" i="39"/>
  <c r="DK54" i="39"/>
  <c r="DK59" i="39"/>
  <c r="DK199" i="39"/>
  <c r="DK73" i="39"/>
  <c r="DK158" i="39"/>
  <c r="DK135" i="39"/>
  <c r="DK84" i="39"/>
  <c r="DK155" i="39"/>
  <c r="DK90" i="39"/>
  <c r="DK128" i="39"/>
  <c r="DK61" i="39"/>
  <c r="DK69" i="39"/>
  <c r="DK71" i="39"/>
  <c r="DK154" i="39"/>
  <c r="DK23" i="39"/>
  <c r="DK48" i="39"/>
  <c r="DK68" i="39"/>
  <c r="DK34" i="39"/>
  <c r="DK25" i="39"/>
  <c r="DK11" i="39"/>
  <c r="DI108" i="39"/>
  <c r="DI123" i="39"/>
  <c r="DK124" i="39"/>
  <c r="DK43" i="39"/>
  <c r="DK36" i="39"/>
  <c r="DK10" i="39"/>
  <c r="DL10" i="39" s="1"/>
  <c r="DI55" i="39"/>
  <c r="DK12" i="39"/>
  <c r="DI21" i="39"/>
  <c r="DI110" i="39"/>
  <c r="DK132" i="39"/>
  <c r="DI9" i="39"/>
  <c r="DI114" i="39"/>
  <c r="DI8" i="39"/>
  <c r="DI115" i="39"/>
  <c r="DK38" i="39"/>
  <c r="DK39" i="39"/>
  <c r="DK50" i="39"/>
  <c r="DI80" i="39"/>
  <c r="DK13" i="39"/>
  <c r="R214" i="19" l="1"/>
  <c r="R114" i="19"/>
  <c r="R55" i="19"/>
  <c r="CS9" i="39"/>
  <c r="R9" i="19"/>
  <c r="R123" i="19"/>
  <c r="R174" i="19"/>
  <c r="R70" i="19"/>
  <c r="R111" i="19"/>
  <c r="R80" i="19"/>
  <c r="R108" i="19"/>
  <c r="R21" i="19"/>
  <c r="R57" i="19"/>
  <c r="R115" i="19"/>
  <c r="R165" i="19"/>
  <c r="R101" i="19"/>
  <c r="R32" i="19"/>
  <c r="CS8" i="39"/>
  <c r="R8" i="19"/>
  <c r="R110" i="19"/>
  <c r="DL34" i="39"/>
  <c r="DL162" i="39"/>
  <c r="R162" i="19" s="1"/>
  <c r="DL102" i="39"/>
  <c r="DL171" i="39"/>
  <c r="DL89" i="39"/>
  <c r="DL187" i="39"/>
  <c r="DL74" i="39"/>
  <c r="DL148" i="39"/>
  <c r="DL67" i="39"/>
  <c r="R67" i="19" s="1"/>
  <c r="DL65" i="39"/>
  <c r="DL133" i="39"/>
  <c r="DL81" i="39"/>
  <c r="DL120" i="39"/>
  <c r="DL31" i="39"/>
  <c r="R31" i="19" s="1"/>
  <c r="DL64" i="39"/>
  <c r="DL189" i="39"/>
  <c r="DL117" i="39"/>
  <c r="DL78" i="39"/>
  <c r="DL172" i="39"/>
  <c r="DL29" i="39"/>
  <c r="DL47" i="39"/>
  <c r="DL69" i="39"/>
  <c r="DL160" i="39"/>
  <c r="DL207" i="39"/>
  <c r="DL216" i="39"/>
  <c r="DL173" i="39"/>
  <c r="DL13" i="39"/>
  <c r="DL36" i="39"/>
  <c r="DL68" i="39"/>
  <c r="DL61" i="39"/>
  <c r="DL60" i="39"/>
  <c r="DL40" i="39"/>
  <c r="DL151" i="39"/>
  <c r="DL215" i="39"/>
  <c r="DL167" i="39"/>
  <c r="DL30" i="39"/>
  <c r="DL179" i="39"/>
  <c r="DL196" i="39"/>
  <c r="DL112" i="39"/>
  <c r="DL79" i="39"/>
  <c r="R79" i="19" s="1"/>
  <c r="DL58" i="39"/>
  <c r="DL139" i="39"/>
  <c r="DL121" i="39"/>
  <c r="DL147" i="39"/>
  <c r="DL100" i="39"/>
  <c r="DL20" i="39"/>
  <c r="DL93" i="39"/>
  <c r="DL132" i="39"/>
  <c r="DL128" i="39"/>
  <c r="DL92" i="39"/>
  <c r="DL129" i="39"/>
  <c r="DL136" i="39"/>
  <c r="DL50" i="39"/>
  <c r="DL124" i="39"/>
  <c r="R124" i="19" s="1"/>
  <c r="DL23" i="39"/>
  <c r="DL90" i="39"/>
  <c r="DL158" i="39"/>
  <c r="DL75" i="39"/>
  <c r="DL182" i="39"/>
  <c r="R182" i="19" s="1"/>
  <c r="DL131" i="39"/>
  <c r="DL82" i="39"/>
  <c r="DL201" i="39"/>
  <c r="DL119" i="39"/>
  <c r="DL149" i="39"/>
  <c r="DL198" i="39"/>
  <c r="DL204" i="39"/>
  <c r="DL191" i="39"/>
  <c r="R191" i="19" s="1"/>
  <c r="DL181" i="39"/>
  <c r="DL150" i="39"/>
  <c r="DL170" i="39"/>
  <c r="DL72" i="39"/>
  <c r="DL85" i="39"/>
  <c r="DL169" i="39"/>
  <c r="DL77" i="39"/>
  <c r="DL83" i="39"/>
  <c r="DL37" i="39"/>
  <c r="DL33" i="39"/>
  <c r="DL154" i="39"/>
  <c r="R154" i="19" s="1"/>
  <c r="DL155" i="39"/>
  <c r="DL73" i="39"/>
  <c r="DL153" i="39"/>
  <c r="DL27" i="39"/>
  <c r="DL76" i="39"/>
  <c r="R76" i="19" s="1"/>
  <c r="DL156" i="39"/>
  <c r="DL118" i="39"/>
  <c r="DL180" i="39"/>
  <c r="DL184" i="39"/>
  <c r="R184" i="19" s="1"/>
  <c r="DL14" i="39"/>
  <c r="R14" i="19" s="1"/>
  <c r="DL205" i="39"/>
  <c r="DL203" i="39"/>
  <c r="DL183" i="39"/>
  <c r="R183" i="19" s="1"/>
  <c r="DL176" i="39"/>
  <c r="DL142" i="39"/>
  <c r="DL35" i="39"/>
  <c r="DL190" i="39"/>
  <c r="DL157" i="39"/>
  <c r="DL105" i="39"/>
  <c r="DL51" i="39"/>
  <c r="DL192" i="39"/>
  <c r="DL161" i="39"/>
  <c r="DL19" i="39"/>
  <c r="DL48" i="39"/>
  <c r="DL163" i="39"/>
  <c r="DL177" i="39"/>
  <c r="DL212" i="39"/>
  <c r="DL28" i="39"/>
  <c r="DL39" i="39"/>
  <c r="DL38" i="39"/>
  <c r="R38" i="19" s="1"/>
  <c r="DL12" i="39"/>
  <c r="CS12" i="39" s="1"/>
  <c r="DL71" i="39"/>
  <c r="DL84" i="39"/>
  <c r="DL199" i="39"/>
  <c r="DL63" i="39"/>
  <c r="DL87" i="39"/>
  <c r="DL113" i="39"/>
  <c r="R113" i="19" s="1"/>
  <c r="DL98" i="39"/>
  <c r="DL138" i="39"/>
  <c r="DL206" i="39"/>
  <c r="R206" i="19" s="1"/>
  <c r="DL164" i="39"/>
  <c r="DL24" i="39"/>
  <c r="DL91" i="39"/>
  <c r="DL193" i="39"/>
  <c r="DL49" i="39"/>
  <c r="DL185" i="39"/>
  <c r="DL200" i="39"/>
  <c r="DL103" i="39"/>
  <c r="DL94" i="39"/>
  <c r="DL144" i="39"/>
  <c r="DL41" i="39"/>
  <c r="DL104" i="39"/>
  <c r="DL159" i="39"/>
  <c r="DL135" i="39"/>
  <c r="DL197" i="39"/>
  <c r="DL130" i="39"/>
  <c r="DL178" i="39"/>
  <c r="DL122" i="39"/>
  <c r="DL125" i="39"/>
  <c r="DL11" i="39"/>
  <c r="R11" i="19" s="1"/>
  <c r="DL59" i="39"/>
  <c r="R59" i="19" s="1"/>
  <c r="DL96" i="39"/>
  <c r="DL22" i="39"/>
  <c r="R22" i="19" s="1"/>
  <c r="DL137" i="39"/>
  <c r="DL26" i="39"/>
  <c r="DL194" i="39"/>
  <c r="DL109" i="39"/>
  <c r="CS109" i="39" s="1"/>
  <c r="DL213" i="39"/>
  <c r="DL46" i="39"/>
  <c r="R46" i="19" s="1"/>
  <c r="DL141" i="39"/>
  <c r="DL175" i="39"/>
  <c r="DL44" i="39"/>
  <c r="DL15" i="39"/>
  <c r="DL202" i="39"/>
  <c r="DL16" i="39"/>
  <c r="DL107" i="39"/>
  <c r="DL127" i="39"/>
  <c r="DL209" i="39"/>
  <c r="DL66" i="39"/>
  <c r="DL42" i="39"/>
  <c r="DL116" i="39"/>
  <c r="DL53" i="39"/>
  <c r="DL43" i="39"/>
  <c r="DL146" i="39"/>
  <c r="DL166" i="39"/>
  <c r="DL56" i="39"/>
  <c r="R56" i="19" s="1"/>
  <c r="DL86" i="39"/>
  <c r="DL211" i="39"/>
  <c r="R10" i="19"/>
  <c r="DL25" i="39"/>
  <c r="DL54" i="39"/>
  <c r="R54" i="19" s="1"/>
  <c r="DL52" i="39"/>
  <c r="DL126" i="39"/>
  <c r="CS126" i="39" s="1"/>
  <c r="DL45" i="39"/>
  <c r="R45" i="19" s="1"/>
  <c r="DL88" i="39"/>
  <c r="DL95" i="39"/>
  <c r="DL188" i="39"/>
  <c r="CS188" i="39" s="1"/>
  <c r="DL97" i="39"/>
  <c r="DL186" i="39"/>
  <c r="R186" i="19" s="1"/>
  <c r="DL143" i="39"/>
  <c r="DL62" i="39"/>
  <c r="DL140" i="39"/>
  <c r="DL134" i="39"/>
  <c r="DL145" i="39"/>
  <c r="DL99" i="39"/>
  <c r="DL106" i="39"/>
  <c r="DL168" i="39"/>
  <c r="DL17" i="39"/>
  <c r="DL195" i="39"/>
  <c r="DL152" i="39"/>
  <c r="DL208" i="39"/>
  <c r="DL210" i="39"/>
  <c r="R117" i="19"/>
  <c r="R216" i="19"/>
  <c r="CS216" i="39"/>
  <c r="R128" i="19"/>
  <c r="R7" i="19"/>
  <c r="CS7" i="39"/>
  <c r="GO7" i="39" s="1"/>
  <c r="HK7" i="39" s="1"/>
  <c r="R160" i="19"/>
  <c r="R74" i="19"/>
  <c r="CS206" i="39"/>
  <c r="R149" i="19"/>
  <c r="R61" i="19"/>
  <c r="R60" i="19"/>
  <c r="R151" i="19"/>
  <c r="R89" i="19"/>
  <c r="R177" i="19"/>
  <c r="S9" i="19" l="1"/>
  <c r="GO9" i="39"/>
  <c r="HK9" i="39" s="1"/>
  <c r="S126" i="19"/>
  <c r="GO126" i="39"/>
  <c r="HK126" i="39" s="1"/>
  <c r="S188" i="19"/>
  <c r="GO188" i="39"/>
  <c r="HK188" i="39" s="1"/>
  <c r="S216" i="19"/>
  <c r="GO216" i="39"/>
  <c r="HK216" i="39" s="1"/>
  <c r="S206" i="19"/>
  <c r="GO206" i="39"/>
  <c r="HK206" i="39" s="1"/>
  <c r="S12" i="19"/>
  <c r="GO12" i="39"/>
  <c r="HK12" i="39" s="1"/>
  <c r="S109" i="19"/>
  <c r="GO109" i="39"/>
  <c r="HK109" i="39" s="1"/>
  <c r="S8" i="19"/>
  <c r="GO8" i="39"/>
  <c r="HK8" i="39" s="1"/>
  <c r="CS11" i="39"/>
  <c r="R68" i="19"/>
  <c r="R75" i="19"/>
  <c r="R98" i="19"/>
  <c r="R82" i="19"/>
  <c r="R96" i="19"/>
  <c r="R156" i="19"/>
  <c r="CS10" i="39"/>
  <c r="R197" i="19"/>
  <c r="R12" i="19"/>
  <c r="R138" i="19"/>
  <c r="R109" i="19"/>
  <c r="R95" i="19"/>
  <c r="R88" i="19"/>
  <c r="R92" i="19"/>
  <c r="R167" i="19"/>
  <c r="R27" i="19"/>
  <c r="R52" i="19"/>
  <c r="R13" i="19"/>
  <c r="R131" i="19"/>
  <c r="R126" i="19"/>
  <c r="R36" i="19"/>
  <c r="R171" i="19"/>
  <c r="R102" i="19"/>
  <c r="R34" i="19"/>
  <c r="R148" i="19"/>
  <c r="R99" i="19"/>
  <c r="R116" i="19"/>
  <c r="CS116" i="39"/>
  <c r="R15" i="19"/>
  <c r="R26" i="19"/>
  <c r="R178" i="19"/>
  <c r="R94" i="19"/>
  <c r="R164" i="19"/>
  <c r="R84" i="19"/>
  <c r="R163" i="19"/>
  <c r="CS163" i="39"/>
  <c r="R190" i="19"/>
  <c r="R155" i="19"/>
  <c r="R72" i="19"/>
  <c r="R119" i="19"/>
  <c r="R90" i="19"/>
  <c r="R132" i="19"/>
  <c r="R40" i="19"/>
  <c r="R189" i="19"/>
  <c r="R207" i="19"/>
  <c r="R210" i="19"/>
  <c r="R145" i="19"/>
  <c r="R211" i="19"/>
  <c r="R42" i="19"/>
  <c r="R44" i="19"/>
  <c r="R137" i="19"/>
  <c r="R130" i="19"/>
  <c r="R103" i="19"/>
  <c r="R71" i="19"/>
  <c r="R48" i="19"/>
  <c r="R35" i="19"/>
  <c r="R180" i="19"/>
  <c r="CS180" i="39"/>
  <c r="CS170" i="39"/>
  <c r="R170" i="19"/>
  <c r="CS201" i="39"/>
  <c r="R201" i="19"/>
  <c r="R23" i="19"/>
  <c r="R93" i="19"/>
  <c r="R112" i="19"/>
  <c r="R64" i="19"/>
  <c r="R86" i="19"/>
  <c r="CS200" i="39"/>
  <c r="R200" i="19"/>
  <c r="R142" i="19"/>
  <c r="R20" i="19"/>
  <c r="R196" i="19"/>
  <c r="R69" i="19"/>
  <c r="R208" i="19"/>
  <c r="R175" i="19"/>
  <c r="R63" i="19"/>
  <c r="R152" i="19"/>
  <c r="R140" i="19"/>
  <c r="R209" i="19"/>
  <c r="R141" i="19"/>
  <c r="R135" i="19"/>
  <c r="R185" i="19"/>
  <c r="R161" i="19"/>
  <c r="R176" i="19"/>
  <c r="R37" i="19"/>
  <c r="CS181" i="39"/>
  <c r="R181" i="19"/>
  <c r="R50" i="19"/>
  <c r="R100" i="19"/>
  <c r="R179" i="19"/>
  <c r="R47" i="19"/>
  <c r="R120" i="19"/>
  <c r="R187" i="19"/>
  <c r="R19" i="19"/>
  <c r="R150" i="19"/>
  <c r="R43" i="19"/>
  <c r="R118" i="19"/>
  <c r="R195" i="19"/>
  <c r="R62" i="19"/>
  <c r="R166" i="19"/>
  <c r="R127" i="19"/>
  <c r="R159" i="19"/>
  <c r="R49" i="19"/>
  <c r="R39" i="19"/>
  <c r="R192" i="19"/>
  <c r="R83" i="19"/>
  <c r="R136" i="19"/>
  <c r="R147" i="19"/>
  <c r="R30" i="19"/>
  <c r="R29" i="19"/>
  <c r="R81" i="19"/>
  <c r="R134" i="19"/>
  <c r="R66" i="19"/>
  <c r="R33" i="19"/>
  <c r="R18" i="19"/>
  <c r="E28" i="44" s="1"/>
  <c r="R17" i="19"/>
  <c r="R143" i="19"/>
  <c r="R146" i="19"/>
  <c r="R107" i="19"/>
  <c r="R213" i="19"/>
  <c r="R104" i="19"/>
  <c r="R193" i="19"/>
  <c r="R87" i="19"/>
  <c r="R28" i="19"/>
  <c r="R51" i="19"/>
  <c r="R203" i="19"/>
  <c r="CS203" i="39"/>
  <c r="R77" i="19"/>
  <c r="R204" i="19"/>
  <c r="R129" i="19"/>
  <c r="R121" i="19"/>
  <c r="R172" i="19"/>
  <c r="R133" i="19"/>
  <c r="R168" i="19"/>
  <c r="R41" i="19"/>
  <c r="R91" i="19"/>
  <c r="R212" i="19"/>
  <c r="R105" i="19"/>
  <c r="CS205" i="39"/>
  <c r="R205" i="19"/>
  <c r="R153" i="19"/>
  <c r="R169" i="19"/>
  <c r="R198" i="19"/>
  <c r="CS198" i="39"/>
  <c r="R139" i="19"/>
  <c r="R215" i="19"/>
  <c r="R173" i="19"/>
  <c r="R78" i="19"/>
  <c r="R65" i="19"/>
  <c r="R16" i="19"/>
  <c r="R125" i="19"/>
  <c r="R188" i="19"/>
  <c r="R106" i="19"/>
  <c r="R97" i="19"/>
  <c r="R25" i="19"/>
  <c r="R53" i="19"/>
  <c r="R202" i="19"/>
  <c r="CS202" i="39"/>
  <c r="R194" i="19"/>
  <c r="R122" i="19"/>
  <c r="R144" i="19"/>
  <c r="R24" i="19"/>
  <c r="R199" i="19"/>
  <c r="CS199" i="39"/>
  <c r="R157" i="19"/>
  <c r="R73" i="19"/>
  <c r="R85" i="19"/>
  <c r="R158" i="19"/>
  <c r="R58" i="19"/>
  <c r="S7" i="19"/>
  <c r="N55" i="44" l="1"/>
  <c r="N57" i="44"/>
  <c r="M57" i="44" s="1"/>
  <c r="N63" i="44"/>
  <c r="M63" i="44" s="1"/>
  <c r="N49" i="44"/>
  <c r="M49" i="44" s="1"/>
  <c r="N50" i="44"/>
  <c r="M50" i="44" s="1"/>
  <c r="N62" i="44"/>
  <c r="M62" i="44" s="1"/>
  <c r="N47" i="44"/>
  <c r="K47" i="44" s="1"/>
  <c r="N60" i="44"/>
  <c r="K60" i="44" s="1"/>
  <c r="N56" i="44"/>
  <c r="M56" i="44" s="1"/>
  <c r="N46" i="44"/>
  <c r="M46" i="44" s="1"/>
  <c r="N58" i="44"/>
  <c r="M58" i="44" s="1"/>
  <c r="N53" i="44"/>
  <c r="M53" i="44" s="1"/>
  <c r="X17" i="44"/>
  <c r="AA19" i="44" s="1"/>
  <c r="M64" i="44" s="1"/>
  <c r="N59" i="44"/>
  <c r="M59" i="44" s="1"/>
  <c r="N54" i="44"/>
  <c r="K54" i="44" s="1"/>
  <c r="N51" i="44"/>
  <c r="K51" i="44" s="1"/>
  <c r="N48" i="44"/>
  <c r="M48" i="44" s="1"/>
  <c r="N61" i="44"/>
  <c r="K61" i="44" s="1"/>
  <c r="N52" i="44"/>
  <c r="M52" i="44" s="1"/>
  <c r="K55" i="44"/>
  <c r="M55" i="44"/>
  <c r="E28" i="5"/>
  <c r="F39" i="4" s="1"/>
  <c r="S202" i="19"/>
  <c r="GO202" i="39"/>
  <c r="HK202" i="39" s="1"/>
  <c r="S203" i="19"/>
  <c r="GO203" i="39"/>
  <c r="HK203" i="39" s="1"/>
  <c r="S163" i="19"/>
  <c r="GO163" i="39"/>
  <c r="HK163" i="39" s="1"/>
  <c r="S205" i="19"/>
  <c r="GO205" i="39"/>
  <c r="HK205" i="39" s="1"/>
  <c r="S198" i="19"/>
  <c r="GO198" i="39"/>
  <c r="HK198" i="39" s="1"/>
  <c r="S11" i="19"/>
  <c r="GO11" i="39"/>
  <c r="HK11" i="39" s="1"/>
  <c r="S201" i="19"/>
  <c r="GO201" i="39"/>
  <c r="HK201" i="39" s="1"/>
  <c r="S10" i="19"/>
  <c r="GO10" i="39"/>
  <c r="HK10" i="39" s="1"/>
  <c r="S200" i="19"/>
  <c r="GO200" i="39"/>
  <c r="HK200" i="39" s="1"/>
  <c r="S170" i="19"/>
  <c r="GO170" i="39"/>
  <c r="HK170" i="39" s="1"/>
  <c r="S199" i="19"/>
  <c r="GO199" i="39"/>
  <c r="HK199" i="39" s="1"/>
  <c r="S181" i="19"/>
  <c r="GO181" i="39"/>
  <c r="HK181" i="39" s="1"/>
  <c r="S180" i="19"/>
  <c r="GO180" i="39"/>
  <c r="HK180" i="39" s="1"/>
  <c r="S116" i="19"/>
  <c r="GO116" i="39"/>
  <c r="HK116" i="39" s="1"/>
  <c r="K57" i="44" l="1"/>
  <c r="M61" i="44"/>
  <c r="K63" i="44"/>
  <c r="M54" i="44"/>
  <c r="K49" i="44"/>
  <c r="K50" i="44"/>
  <c r="K59" i="44"/>
  <c r="K48" i="44"/>
  <c r="M51" i="44"/>
  <c r="K53" i="44"/>
  <c r="K58" i="44"/>
  <c r="K56" i="44"/>
  <c r="K52" i="44"/>
  <c r="M47" i="44"/>
  <c r="K46" i="44"/>
  <c r="M60" i="44"/>
  <c r="K62" i="44"/>
  <c r="N47" i="5"/>
  <c r="M47" i="5" s="1"/>
  <c r="E29" i="24"/>
  <c r="N54" i="24" s="1"/>
  <c r="K54" i="24" s="1"/>
  <c r="E15" i="34"/>
  <c r="E16" i="34" s="1"/>
  <c r="R1" i="6"/>
  <c r="L19" i="6" s="1"/>
  <c r="E28" i="20"/>
  <c r="N52" i="20" s="1"/>
  <c r="K52" i="20" s="1"/>
  <c r="E15" i="9"/>
  <c r="E16" i="9" s="1"/>
  <c r="U1" i="7"/>
  <c r="O20" i="7" s="1"/>
  <c r="N55" i="5"/>
  <c r="K55" i="5" s="1"/>
  <c r="N53" i="5"/>
  <c r="K53" i="5" s="1"/>
  <c r="N54" i="5"/>
  <c r="K54" i="5" s="1"/>
  <c r="N58" i="5"/>
  <c r="K58" i="5" s="1"/>
  <c r="N52" i="5"/>
  <c r="M52" i="5" s="1"/>
  <c r="N63" i="5"/>
  <c r="K63" i="5" s="1"/>
  <c r="E16" i="8"/>
  <c r="E17" i="8" s="1"/>
  <c r="X17" i="5"/>
  <c r="AA19" i="5" s="1"/>
  <c r="M64" i="5" s="1"/>
  <c r="M57" i="10" s="1"/>
  <c r="M56" i="10" s="1"/>
  <c r="N57" i="5"/>
  <c r="K57" i="5" s="1"/>
  <c r="N60" i="5"/>
  <c r="M60" i="5" s="1"/>
  <c r="N59" i="5"/>
  <c r="K59" i="5" s="1"/>
  <c r="N56" i="5"/>
  <c r="M56" i="5" s="1"/>
  <c r="N50" i="5"/>
  <c r="K50" i="5" s="1"/>
  <c r="N62" i="5"/>
  <c r="M62" i="5" s="1"/>
  <c r="N61" i="5"/>
  <c r="K61" i="5" s="1"/>
  <c r="N49" i="5"/>
  <c r="M49" i="5" s="1"/>
  <c r="N46" i="5"/>
  <c r="K46" i="5" s="1"/>
  <c r="N51" i="5"/>
  <c r="M51" i="5" s="1"/>
  <c r="N48" i="5"/>
  <c r="K48" i="5" s="1"/>
  <c r="M59" i="5" l="1"/>
  <c r="K47" i="5"/>
  <c r="M58" i="5"/>
  <c r="M55" i="5"/>
  <c r="M50" i="5"/>
  <c r="N63" i="24"/>
  <c r="M63" i="24" s="1"/>
  <c r="K51" i="5"/>
  <c r="M63" i="5"/>
  <c r="N55" i="24"/>
  <c r="M55" i="24" s="1"/>
  <c r="N56" i="24"/>
  <c r="K56" i="24" s="1"/>
  <c r="X17" i="24"/>
  <c r="AA19" i="24" s="1"/>
  <c r="M64" i="24" s="1"/>
  <c r="M61" i="24" s="1"/>
  <c r="M54" i="24"/>
  <c r="N48" i="24"/>
  <c r="M48" i="24" s="1"/>
  <c r="N51" i="24"/>
  <c r="M51" i="24" s="1"/>
  <c r="N56" i="20"/>
  <c r="K56" i="20" s="1"/>
  <c r="N54" i="20"/>
  <c r="K54" i="20" s="1"/>
  <c r="M52" i="20"/>
  <c r="N55" i="20"/>
  <c r="K55" i="20" s="1"/>
  <c r="N53" i="20"/>
  <c r="K53" i="20" s="1"/>
  <c r="N51" i="20"/>
  <c r="K51" i="20" s="1"/>
  <c r="K52" i="5"/>
  <c r="M48" i="5"/>
  <c r="K60" i="5"/>
  <c r="M54" i="5"/>
  <c r="N62" i="24"/>
  <c r="K62" i="24" s="1"/>
  <c r="N59" i="24"/>
  <c r="K59" i="24" s="1"/>
  <c r="N58" i="24"/>
  <c r="K58" i="24" s="1"/>
  <c r="N53" i="24"/>
  <c r="M53" i="24" s="1"/>
  <c r="N50" i="24"/>
  <c r="M50" i="24" s="1"/>
  <c r="M46" i="5"/>
  <c r="M53" i="5"/>
  <c r="M57" i="5"/>
  <c r="N57" i="24"/>
  <c r="M57" i="24" s="1"/>
  <c r="N52" i="24"/>
  <c r="K52" i="24" s="1"/>
  <c r="N60" i="24"/>
  <c r="M60" i="24" s="1"/>
  <c r="K56" i="5"/>
  <c r="M61" i="5"/>
  <c r="K62" i="5"/>
  <c r="K49" i="5"/>
  <c r="N50" i="20"/>
  <c r="K50" i="20" s="1"/>
  <c r="N49" i="20"/>
  <c r="K49" i="20" s="1"/>
  <c r="N48" i="20"/>
  <c r="M48" i="20" s="1"/>
  <c r="N49" i="24"/>
  <c r="K49" i="24" s="1"/>
  <c r="N47" i="24"/>
  <c r="K47" i="24" s="1"/>
  <c r="N46" i="24"/>
  <c r="K46" i="24" s="1"/>
  <c r="N47" i="20"/>
  <c r="M47" i="20" s="1"/>
  <c r="N46" i="20"/>
  <c r="K46" i="20" s="1"/>
  <c r="K60" i="24" l="1"/>
  <c r="K55" i="24"/>
  <c r="K63" i="24"/>
  <c r="M54" i="20"/>
  <c r="M56" i="24"/>
  <c r="K53" i="24"/>
  <c r="M62" i="24"/>
  <c r="M55" i="20"/>
  <c r="K51" i="24"/>
  <c r="K48" i="24"/>
  <c r="M51" i="20"/>
  <c r="M56" i="20"/>
  <c r="M58" i="24"/>
  <c r="K48" i="20"/>
  <c r="K50" i="24"/>
  <c r="M53" i="20"/>
  <c r="M52" i="24"/>
  <c r="K57" i="24"/>
  <c r="M59" i="24"/>
  <c r="M49" i="20"/>
  <c r="M50" i="20"/>
  <c r="M49" i="24"/>
  <c r="M46" i="20"/>
  <c r="K47" i="20"/>
  <c r="M46" i="24"/>
  <c r="M47" i="24"/>
  <c r="DE210" i="39" l="1"/>
  <c r="DE159" i="39"/>
  <c r="CH67" i="39"/>
  <c r="CH82" i="39"/>
  <c r="CI82" i="39" s="1"/>
  <c r="DE178" i="39"/>
  <c r="DE153" i="39"/>
  <c r="DE142" i="39"/>
  <c r="DE120" i="39"/>
  <c r="DE136" i="39"/>
  <c r="DE134" i="39"/>
  <c r="DE114" i="39"/>
  <c r="DE111" i="39"/>
  <c r="CH41" i="39"/>
  <c r="CI41" i="39" s="1"/>
  <c r="CE217" i="39"/>
  <c r="CH65" i="39"/>
  <c r="CI65" i="39" s="1"/>
  <c r="CH94" i="39"/>
  <c r="CI94" i="39" s="1"/>
  <c r="CH45" i="39"/>
  <c r="CI45" i="39" s="1"/>
  <c r="CH40" i="39"/>
  <c r="CI40" i="39" s="1"/>
  <c r="DE130" i="39"/>
  <c r="DE135" i="39"/>
  <c r="CI14" i="39"/>
  <c r="CH37" i="39"/>
  <c r="CI37" i="39" s="1"/>
  <c r="CH89" i="39"/>
  <c r="CI89" i="39" s="1"/>
  <c r="DE124" i="39"/>
  <c r="CH58" i="39"/>
  <c r="CI58" i="39" s="1"/>
  <c r="CH68" i="39"/>
  <c r="CI68" i="39" s="1"/>
  <c r="DE169" i="39"/>
  <c r="CH95" i="39"/>
  <c r="CI95" i="39" s="1"/>
  <c r="DE213" i="39"/>
  <c r="CH36" i="39"/>
  <c r="CI36" i="39" s="1"/>
  <c r="DE139" i="39"/>
  <c r="DE108" i="39"/>
  <c r="DE175" i="39"/>
  <c r="DE121" i="39"/>
  <c r="DE172" i="39"/>
  <c r="CH39" i="39"/>
  <c r="CI39" i="39" s="1"/>
  <c r="CH24" i="39"/>
  <c r="CI24" i="39" s="1"/>
  <c r="DE165" i="39"/>
  <c r="CH43" i="39"/>
  <c r="CI43" i="39" s="1"/>
  <c r="DE141" i="39"/>
  <c r="DE149" i="39"/>
  <c r="CH62" i="39"/>
  <c r="CI62" i="39" s="1"/>
  <c r="DE137" i="39"/>
  <c r="CH102" i="39"/>
  <c r="CI102" i="39" s="1"/>
  <c r="DE144" i="39"/>
  <c r="CH26" i="39"/>
  <c r="CI26" i="39" s="1"/>
  <c r="CH53" i="39"/>
  <c r="CI53" i="39" s="1"/>
  <c r="CH20" i="39"/>
  <c r="CI20" i="39" s="1"/>
  <c r="DE196" i="39"/>
  <c r="DE187" i="39"/>
  <c r="DE132" i="39"/>
  <c r="CH93" i="39"/>
  <c r="CI93" i="39" s="1"/>
  <c r="DE215" i="39"/>
  <c r="DE212" i="39"/>
  <c r="DE211" i="39"/>
  <c r="DE115" i="39"/>
  <c r="DE184" i="39"/>
  <c r="DE157" i="39"/>
  <c r="DE156" i="39"/>
  <c r="CI67" i="39" l="1"/>
  <c r="CK67" i="39" s="1"/>
  <c r="DE158" i="39"/>
  <c r="CH23" i="39"/>
  <c r="CI23" i="39" s="1"/>
  <c r="CH88" i="39"/>
  <c r="CI88" i="39" s="1"/>
  <c r="H88" i="19" s="1"/>
  <c r="DE131" i="39"/>
  <c r="CH35" i="39"/>
  <c r="CI35" i="39" s="1"/>
  <c r="DE146" i="39"/>
  <c r="CH33" i="39"/>
  <c r="CI33" i="39" s="1"/>
  <c r="CH63" i="39"/>
  <c r="CI63" i="39" s="1"/>
  <c r="CH28" i="39"/>
  <c r="CI28" i="39" s="1"/>
  <c r="DS28" i="39" s="1"/>
  <c r="CH76" i="39"/>
  <c r="CI76" i="39" s="1"/>
  <c r="H76" i="19" s="1"/>
  <c r="DE162" i="39"/>
  <c r="CH86" i="39"/>
  <c r="CI86" i="39" s="1"/>
  <c r="CL86" i="39" s="1"/>
  <c r="CH85" i="39"/>
  <c r="CI85" i="39" s="1"/>
  <c r="DE133" i="39"/>
  <c r="CH55" i="39"/>
  <c r="CI55" i="39" s="1"/>
  <c r="CH123" i="39"/>
  <c r="CI123" i="39" s="1"/>
  <c r="DE119" i="39"/>
  <c r="CH19" i="39"/>
  <c r="CI19" i="39" s="1"/>
  <c r="DS19" i="39" s="1"/>
  <c r="DE214" i="39"/>
  <c r="CH87" i="39"/>
  <c r="CI87" i="39" s="1"/>
  <c r="H87" i="19" s="1"/>
  <c r="DE160" i="39"/>
  <c r="DE189" i="39"/>
  <c r="CH90" i="39"/>
  <c r="CI90" i="39" s="1"/>
  <c r="CH44" i="39"/>
  <c r="CI44" i="39" s="1"/>
  <c r="DE208" i="39"/>
  <c r="CH18" i="39"/>
  <c r="CI18" i="39" s="1"/>
  <c r="CH66" i="39"/>
  <c r="CI66" i="39" s="1"/>
  <c r="CL66" i="39" s="1"/>
  <c r="CH17" i="39"/>
  <c r="CI17" i="39" s="1"/>
  <c r="CH56" i="39"/>
  <c r="CI56" i="39" s="1"/>
  <c r="DE186" i="39"/>
  <c r="CH42" i="39"/>
  <c r="CI42" i="39" s="1"/>
  <c r="DE168" i="39"/>
  <c r="CH47" i="39"/>
  <c r="CI47" i="39" s="1"/>
  <c r="DS47" i="39" s="1"/>
  <c r="DE207" i="39"/>
  <c r="CH92" i="39"/>
  <c r="CI92" i="39" s="1"/>
  <c r="CK92" i="39" s="1"/>
  <c r="DE204" i="39"/>
  <c r="DE176" i="39"/>
  <c r="CH30" i="39"/>
  <c r="CI30" i="39" s="1"/>
  <c r="DE174" i="39"/>
  <c r="CH151" i="39"/>
  <c r="CI151" i="39" s="1"/>
  <c r="DE151" i="39"/>
  <c r="CH51" i="39"/>
  <c r="CI51" i="39" s="1"/>
  <c r="CH148" i="39"/>
  <c r="CI148" i="39" s="1"/>
  <c r="DE148" i="39"/>
  <c r="DE143" i="39"/>
  <c r="DE150" i="39"/>
  <c r="CH209" i="39"/>
  <c r="CI209" i="39" s="1"/>
  <c r="DE209" i="39"/>
  <c r="CH115" i="39"/>
  <c r="CI115" i="39" s="1"/>
  <c r="CH211" i="39"/>
  <c r="CI211" i="39" s="1"/>
  <c r="CH136" i="39"/>
  <c r="CI136" i="39" s="1"/>
  <c r="CH135" i="39"/>
  <c r="CI135" i="39" s="1"/>
  <c r="CH141" i="39"/>
  <c r="CI141" i="39" s="1"/>
  <c r="CH133" i="39"/>
  <c r="CI133" i="39" s="1"/>
  <c r="CH172" i="39"/>
  <c r="CI172" i="39" s="1"/>
  <c r="CH131" i="39"/>
  <c r="CI131" i="39" s="1"/>
  <c r="CH214" i="39"/>
  <c r="CI214" i="39" s="1"/>
  <c r="CH159" i="39"/>
  <c r="CI159" i="39" s="1"/>
  <c r="CH157" i="39"/>
  <c r="CI157" i="39" s="1"/>
  <c r="CH144" i="39"/>
  <c r="CI144" i="39" s="1"/>
  <c r="CH121" i="39"/>
  <c r="CI121" i="39" s="1"/>
  <c r="CH139" i="39"/>
  <c r="CI139" i="39" s="1"/>
  <c r="CH169" i="39"/>
  <c r="CI169" i="39" s="1"/>
  <c r="CH158" i="39"/>
  <c r="CI158" i="39" s="1"/>
  <c r="CH153" i="39"/>
  <c r="CI153" i="39" s="1"/>
  <c r="CH149" i="39"/>
  <c r="CI149" i="39" s="1"/>
  <c r="CH162" i="39"/>
  <c r="CI162" i="39" s="1"/>
  <c r="CH212" i="39"/>
  <c r="CI212" i="39" s="1"/>
  <c r="CH132" i="39"/>
  <c r="CI132" i="39" s="1"/>
  <c r="CH175" i="39"/>
  <c r="CI175" i="39" s="1"/>
  <c r="CH213" i="39"/>
  <c r="CI213" i="39" s="1"/>
  <c r="CH184" i="39"/>
  <c r="CI184" i="39" s="1"/>
  <c r="CH215" i="39"/>
  <c r="CI215" i="39" s="1"/>
  <c r="CH187" i="39"/>
  <c r="CI187" i="39" s="1"/>
  <c r="CH165" i="39"/>
  <c r="CI165" i="39" s="1"/>
  <c r="CH108" i="39"/>
  <c r="CI108" i="39" s="1"/>
  <c r="CH189" i="39"/>
  <c r="CI189" i="39" s="1"/>
  <c r="CH114" i="39"/>
  <c r="CI114" i="39" s="1"/>
  <c r="CH210" i="39"/>
  <c r="CI210" i="39" s="1"/>
  <c r="CH120" i="39"/>
  <c r="CI120" i="39" s="1"/>
  <c r="CH178" i="39"/>
  <c r="CI178" i="39" s="1"/>
  <c r="CH146" i="39"/>
  <c r="CI146" i="39" s="1"/>
  <c r="CH156" i="39"/>
  <c r="CI156" i="39" s="1"/>
  <c r="CH196" i="39"/>
  <c r="CI196" i="39" s="1"/>
  <c r="CH130" i="39"/>
  <c r="CI130" i="39" s="1"/>
  <c r="CH134" i="39"/>
  <c r="CI134" i="39" s="1"/>
  <c r="CH142" i="39"/>
  <c r="CI142" i="39" s="1"/>
  <c r="CH124" i="39"/>
  <c r="CI124" i="39" s="1"/>
  <c r="CH208" i="39"/>
  <c r="CI208" i="39" s="1"/>
  <c r="CH137" i="39"/>
  <c r="CI137" i="39" s="1"/>
  <c r="CH119" i="39"/>
  <c r="CI119" i="39" s="1"/>
  <c r="CH111" i="39"/>
  <c r="CI111" i="39" s="1"/>
  <c r="DE112" i="39"/>
  <c r="DE129" i="39"/>
  <c r="DE183" i="39"/>
  <c r="DE117" i="39"/>
  <c r="CH64" i="39"/>
  <c r="CI64" i="39" s="1"/>
  <c r="DE118" i="39"/>
  <c r="DE190" i="39"/>
  <c r="CH50" i="39"/>
  <c r="CI50" i="39" s="1"/>
  <c r="DE164" i="39"/>
  <c r="DE177" i="39"/>
  <c r="DE197" i="39"/>
  <c r="CH29" i="39"/>
  <c r="CI29" i="39" s="1"/>
  <c r="DE182" i="39"/>
  <c r="DE192" i="39"/>
  <c r="DE152" i="39"/>
  <c r="DE191" i="39"/>
  <c r="DE147" i="39"/>
  <c r="CH107" i="39"/>
  <c r="CI107" i="39" s="1"/>
  <c r="CH97" i="39"/>
  <c r="CI97" i="39" s="1"/>
  <c r="CH75" i="39"/>
  <c r="CI75" i="39" s="1"/>
  <c r="CH74" i="39"/>
  <c r="CI74" i="39" s="1"/>
  <c r="CH31" i="39"/>
  <c r="CI31" i="39" s="1"/>
  <c r="DE77" i="39"/>
  <c r="CH77" i="39"/>
  <c r="CI77" i="39" s="1"/>
  <c r="H62" i="19"/>
  <c r="DS62" i="39"/>
  <c r="CL62" i="39"/>
  <c r="CK62" i="39"/>
  <c r="CK95" i="39"/>
  <c r="DS95" i="39"/>
  <c r="H95" i="19"/>
  <c r="CL95" i="39"/>
  <c r="CL26" i="39"/>
  <c r="H26" i="19"/>
  <c r="DS26" i="39"/>
  <c r="CK26" i="39"/>
  <c r="CL14" i="39"/>
  <c r="H14" i="19"/>
  <c r="CK14" i="39"/>
  <c r="DS14" i="39"/>
  <c r="DS24" i="39"/>
  <c r="CL24" i="39"/>
  <c r="CK24" i="39"/>
  <c r="H24" i="19"/>
  <c r="CK37" i="39"/>
  <c r="DS37" i="39"/>
  <c r="H37" i="19"/>
  <c r="CL37" i="39"/>
  <c r="H45" i="19"/>
  <c r="CK45" i="39"/>
  <c r="DS45" i="39"/>
  <c r="CL45" i="39"/>
  <c r="CL41" i="39"/>
  <c r="DS41" i="39"/>
  <c r="H41" i="19"/>
  <c r="CK41" i="39"/>
  <c r="H66" i="19"/>
  <c r="DS66" i="39"/>
  <c r="H39" i="19"/>
  <c r="CL39" i="39"/>
  <c r="DS39" i="39"/>
  <c r="CK39" i="39"/>
  <c r="CH100" i="39"/>
  <c r="CI100" i="39" s="1"/>
  <c r="CL102" i="39"/>
  <c r="DS102" i="39"/>
  <c r="CK102" i="39"/>
  <c r="H102" i="19"/>
  <c r="DS67" i="39"/>
  <c r="CL20" i="39"/>
  <c r="H20" i="19"/>
  <c r="DS20" i="39"/>
  <c r="CK20" i="39"/>
  <c r="DE79" i="39"/>
  <c r="CH79" i="39"/>
  <c r="CK36" i="39"/>
  <c r="CL36" i="39"/>
  <c r="H36" i="19"/>
  <c r="DS36" i="39"/>
  <c r="CL68" i="39"/>
  <c r="CK68" i="39"/>
  <c r="DS68" i="39"/>
  <c r="H68" i="19"/>
  <c r="CK89" i="39"/>
  <c r="CL89" i="39"/>
  <c r="DS89" i="39"/>
  <c r="H89" i="19"/>
  <c r="H65" i="19"/>
  <c r="CL65" i="39"/>
  <c r="CK65" i="39"/>
  <c r="DS65" i="39"/>
  <c r="H93" i="19"/>
  <c r="CK93" i="39"/>
  <c r="DS93" i="39"/>
  <c r="CL93" i="39"/>
  <c r="H53" i="19"/>
  <c r="CK53" i="39"/>
  <c r="DS53" i="39"/>
  <c r="CL53" i="39"/>
  <c r="CL58" i="39"/>
  <c r="CK58" i="39"/>
  <c r="DS58" i="39"/>
  <c r="H58" i="19"/>
  <c r="CK82" i="39"/>
  <c r="DS82" i="39"/>
  <c r="H82" i="19"/>
  <c r="CL82" i="39"/>
  <c r="DS43" i="39"/>
  <c r="H43" i="19"/>
  <c r="CL43" i="39"/>
  <c r="CK43" i="39"/>
  <c r="DS23" i="39"/>
  <c r="H23" i="19"/>
  <c r="CL40" i="39"/>
  <c r="DS40" i="39"/>
  <c r="H40" i="19"/>
  <c r="CK40" i="39"/>
  <c r="CK94" i="39"/>
  <c r="H94" i="19"/>
  <c r="DS94" i="39"/>
  <c r="CL94" i="39"/>
  <c r="CI13" i="39"/>
  <c r="DE30" i="39"/>
  <c r="CH69" i="39"/>
  <c r="CI69" i="39" s="1"/>
  <c r="HR40" i="39"/>
  <c r="DE40" i="39"/>
  <c r="HR68" i="39"/>
  <c r="DE68" i="39"/>
  <c r="HR88" i="39"/>
  <c r="DE88" i="39"/>
  <c r="HR58" i="39"/>
  <c r="DE58" i="39"/>
  <c r="CH81" i="39"/>
  <c r="CI81" i="39" s="1"/>
  <c r="HR45" i="39"/>
  <c r="DE45" i="39"/>
  <c r="HR41" i="39"/>
  <c r="DE41" i="39"/>
  <c r="HR67" i="39"/>
  <c r="DE67" i="39"/>
  <c r="DE92" i="39"/>
  <c r="HR62" i="39"/>
  <c r="DE62" i="39"/>
  <c r="DE90" i="39"/>
  <c r="DE87" i="39"/>
  <c r="DE86" i="39"/>
  <c r="HR36" i="39"/>
  <c r="DE36" i="39"/>
  <c r="HR102" i="39"/>
  <c r="DE102" i="39"/>
  <c r="CH27" i="39"/>
  <c r="CI27" i="39" s="1"/>
  <c r="HR14" i="39"/>
  <c r="DE14" i="39"/>
  <c r="HR24" i="39"/>
  <c r="DE24" i="39"/>
  <c r="CH38" i="39"/>
  <c r="CI38" i="39" s="1"/>
  <c r="HR89" i="39"/>
  <c r="DE89" i="39"/>
  <c r="CH84" i="39"/>
  <c r="CI84" i="39" s="1"/>
  <c r="CH105" i="39"/>
  <c r="CI105" i="39" s="1"/>
  <c r="HR82" i="39"/>
  <c r="DE82" i="39"/>
  <c r="HR94" i="39"/>
  <c r="DE94" i="39"/>
  <c r="HR43" i="39"/>
  <c r="DE43" i="39"/>
  <c r="CH99" i="39"/>
  <c r="CI99" i="39" s="1"/>
  <c r="HR93" i="39"/>
  <c r="DE93" i="39"/>
  <c r="HR20" i="39"/>
  <c r="DE20" i="39"/>
  <c r="HR39" i="39"/>
  <c r="DE39" i="39"/>
  <c r="DE23" i="39"/>
  <c r="CI57" i="39"/>
  <c r="CH70" i="39"/>
  <c r="CI70" i="39" s="1"/>
  <c r="HR37" i="39"/>
  <c r="DE37" i="39"/>
  <c r="CH80" i="39"/>
  <c r="CI80" i="39" s="1"/>
  <c r="HR53" i="39"/>
  <c r="DE53" i="39"/>
  <c r="CH25" i="39"/>
  <c r="CI25" i="39" s="1"/>
  <c r="HR95" i="39"/>
  <c r="DE95" i="39"/>
  <c r="HR18" i="39"/>
  <c r="CH103" i="39"/>
  <c r="CI103" i="39" s="1"/>
  <c r="HR65" i="39"/>
  <c r="DE65" i="39"/>
  <c r="HR66" i="39"/>
  <c r="DE66" i="39"/>
  <c r="CH104" i="39"/>
  <c r="CI104" i="39" s="1"/>
  <c r="CH71" i="39"/>
  <c r="CI71" i="39" s="1"/>
  <c r="DE28" i="39"/>
  <c r="HR26" i="39"/>
  <c r="DE26" i="39"/>
  <c r="DE19" i="39"/>
  <c r="DE47" i="39"/>
  <c r="CH96" i="39"/>
  <c r="CI96" i="39" s="1"/>
  <c r="CH32" i="39"/>
  <c r="CI32" i="39" s="1"/>
  <c r="CH60" i="39"/>
  <c r="CI60" i="39" s="1"/>
  <c r="CH72" i="39"/>
  <c r="CI72" i="39" s="1"/>
  <c r="CH61" i="39"/>
  <c r="CI61" i="39" s="1"/>
  <c r="CH22" i="39"/>
  <c r="CI22" i="39" s="1"/>
  <c r="CH78" i="39"/>
  <c r="CI78" i="39" s="1"/>
  <c r="CH59" i="39"/>
  <c r="CI59" i="39" s="1"/>
  <c r="CH34" i="39"/>
  <c r="CI34" i="39" s="1"/>
  <c r="CH48" i="39"/>
  <c r="CI48" i="39" s="1"/>
  <c r="CH49" i="39"/>
  <c r="CI49" i="39" s="1"/>
  <c r="DE154" i="39"/>
  <c r="DE125" i="39"/>
  <c r="DE128" i="39"/>
  <c r="DE145" i="39"/>
  <c r="DE140" i="39"/>
  <c r="CH101" i="39"/>
  <c r="CI101" i="39" s="1"/>
  <c r="DE122" i="39"/>
  <c r="DE98" i="39"/>
  <c r="DE193" i="39"/>
  <c r="CH21" i="39"/>
  <c r="CI21" i="39" s="1"/>
  <c r="CH106" i="39"/>
  <c r="CI106" i="39" s="1"/>
  <c r="CH83" i="39"/>
  <c r="CI83" i="39" s="1"/>
  <c r="DE166" i="39"/>
  <c r="DE127" i="39"/>
  <c r="CH54" i="39"/>
  <c r="CI54" i="39" s="1"/>
  <c r="CH73" i="39"/>
  <c r="CI73" i="39" s="1"/>
  <c r="DE185" i="39"/>
  <c r="DE161" i="39"/>
  <c r="DE173" i="39"/>
  <c r="DE155" i="39"/>
  <c r="CH52" i="39"/>
  <c r="CI52" i="39" s="1"/>
  <c r="DE179" i="39"/>
  <c r="DE113" i="39"/>
  <c r="CF217" i="39"/>
  <c r="DE171" i="39"/>
  <c r="CH16" i="39"/>
  <c r="CI16" i="39" s="1"/>
  <c r="DE138" i="39"/>
  <c r="CH46" i="39"/>
  <c r="CI46" i="39" s="1"/>
  <c r="DE194" i="39"/>
  <c r="CH15" i="39"/>
  <c r="CI15" i="39" s="1"/>
  <c r="DE167" i="39"/>
  <c r="DE195" i="39"/>
  <c r="DE110" i="39"/>
  <c r="DS88" i="39" l="1"/>
  <c r="CK88" i="39"/>
  <c r="CL88" i="39"/>
  <c r="CK66" i="39"/>
  <c r="H92" i="19"/>
  <c r="CL92" i="39"/>
  <c r="CM92" i="39" s="1"/>
  <c r="DS92" i="39"/>
  <c r="DU92" i="39" s="1"/>
  <c r="HR92" i="39"/>
  <c r="H67" i="19"/>
  <c r="J67" i="19" s="1"/>
  <c r="CL67" i="39"/>
  <c r="L67" i="19" s="1"/>
  <c r="AD67" i="19" s="1"/>
  <c r="HR86" i="39"/>
  <c r="CK97" i="39"/>
  <c r="CK209" i="39"/>
  <c r="CL42" i="39"/>
  <c r="CL90" i="39"/>
  <c r="DS55" i="39"/>
  <c r="DW55" i="39" s="1"/>
  <c r="H33" i="19"/>
  <c r="J33" i="19" s="1"/>
  <c r="CK107" i="39"/>
  <c r="H30" i="19"/>
  <c r="AE30" i="19" s="1"/>
  <c r="AG30" i="19" s="1"/>
  <c r="CL56" i="39"/>
  <c r="CL85" i="39"/>
  <c r="H35" i="19"/>
  <c r="AE35" i="19" s="1"/>
  <c r="AG35" i="19" s="1"/>
  <c r="CK50" i="39"/>
  <c r="CK17" i="39"/>
  <c r="DS87" i="39"/>
  <c r="DU87" i="39" s="1"/>
  <c r="DS86" i="39"/>
  <c r="DU86" i="39" s="1"/>
  <c r="DS148" i="39"/>
  <c r="DW148" i="39" s="1"/>
  <c r="H31" i="19"/>
  <c r="J31" i="19" s="1"/>
  <c r="CL51" i="39"/>
  <c r="CK18" i="39"/>
  <c r="CL19" i="39"/>
  <c r="CK76" i="39"/>
  <c r="CK23" i="39"/>
  <c r="CK74" i="39"/>
  <c r="CK64" i="39"/>
  <c r="CL47" i="39"/>
  <c r="CL28" i="39"/>
  <c r="CK13" i="39"/>
  <c r="H75" i="19"/>
  <c r="AE75" i="19" s="1"/>
  <c r="AG75" i="19" s="1"/>
  <c r="H29" i="19"/>
  <c r="J29" i="19" s="1"/>
  <c r="CK151" i="39"/>
  <c r="H44" i="19"/>
  <c r="J44" i="19" s="1"/>
  <c r="CL63" i="39"/>
  <c r="CL107" i="39"/>
  <c r="HR28" i="39"/>
  <c r="H28" i="19"/>
  <c r="J28" i="19" s="1"/>
  <c r="CK28" i="39"/>
  <c r="HR47" i="39"/>
  <c r="CK47" i="39"/>
  <c r="H47" i="19"/>
  <c r="AE47" i="19" s="1"/>
  <c r="AG47" i="19" s="1"/>
  <c r="CK30" i="39"/>
  <c r="CL30" i="39"/>
  <c r="DS107" i="39"/>
  <c r="DW107" i="39" s="1"/>
  <c r="HR30" i="39"/>
  <c r="DS30" i="39"/>
  <c r="DW30" i="39" s="1"/>
  <c r="CL17" i="39"/>
  <c r="CK87" i="39"/>
  <c r="CK86" i="39"/>
  <c r="L86" i="19" s="1"/>
  <c r="AD86" i="19" s="1"/>
  <c r="HR87" i="39"/>
  <c r="DS17" i="39"/>
  <c r="DU17" i="39" s="1"/>
  <c r="H86" i="19"/>
  <c r="J86" i="19" s="1"/>
  <c r="J95" i="19"/>
  <c r="AE95" i="19"/>
  <c r="AG95" i="19" s="1"/>
  <c r="J53" i="19"/>
  <c r="AE53" i="19"/>
  <c r="AG53" i="19" s="1"/>
  <c r="J41" i="19"/>
  <c r="AE41" i="19"/>
  <c r="AG41" i="19" s="1"/>
  <c r="J82" i="19"/>
  <c r="AE82" i="19"/>
  <c r="AG82" i="19" s="1"/>
  <c r="J65" i="19"/>
  <c r="AE65" i="19"/>
  <c r="AG65" i="19" s="1"/>
  <c r="J14" i="19"/>
  <c r="AE14" i="19"/>
  <c r="AG14" i="19" s="1"/>
  <c r="J26" i="19"/>
  <c r="AE26" i="19"/>
  <c r="AG26" i="19" s="1"/>
  <c r="J43" i="19"/>
  <c r="AE43" i="19"/>
  <c r="AG43" i="19" s="1"/>
  <c r="J89" i="19"/>
  <c r="AE89" i="19"/>
  <c r="AG89" i="19" s="1"/>
  <c r="J20" i="19"/>
  <c r="AE20" i="19"/>
  <c r="AG20" i="19" s="1"/>
  <c r="J92" i="19"/>
  <c r="AE92" i="19"/>
  <c r="AG92" i="19" s="1"/>
  <c r="J39" i="19"/>
  <c r="AE39" i="19"/>
  <c r="AG39" i="19" s="1"/>
  <c r="J62" i="19"/>
  <c r="AE62" i="19"/>
  <c r="AG62" i="19" s="1"/>
  <c r="J94" i="19"/>
  <c r="AE94" i="19"/>
  <c r="AG94" i="19" s="1"/>
  <c r="J40" i="19"/>
  <c r="AE40" i="19"/>
  <c r="AG40" i="19" s="1"/>
  <c r="J93" i="19"/>
  <c r="AE93" i="19"/>
  <c r="AG93" i="19" s="1"/>
  <c r="J36" i="19"/>
  <c r="AE36" i="19"/>
  <c r="AG36" i="19" s="1"/>
  <c r="J87" i="19"/>
  <c r="AE87" i="19"/>
  <c r="AG87" i="19" s="1"/>
  <c r="J24" i="19"/>
  <c r="AE24" i="19"/>
  <c r="AG24" i="19" s="1"/>
  <c r="J37" i="19"/>
  <c r="AE37" i="19"/>
  <c r="AG37" i="19" s="1"/>
  <c r="J58" i="19"/>
  <c r="AE58" i="19"/>
  <c r="AG58" i="19" s="1"/>
  <c r="J76" i="19"/>
  <c r="AE76" i="19"/>
  <c r="AG76" i="19" s="1"/>
  <c r="J23" i="19"/>
  <c r="AE23" i="19"/>
  <c r="AG23" i="19" s="1"/>
  <c r="J68" i="19"/>
  <c r="AE68" i="19"/>
  <c r="AG68" i="19" s="1"/>
  <c r="J102" i="19"/>
  <c r="AE102" i="19"/>
  <c r="AG102" i="19" s="1"/>
  <c r="J66" i="19"/>
  <c r="AE66" i="19"/>
  <c r="AG66" i="19" s="1"/>
  <c r="J45" i="19"/>
  <c r="AE45" i="19"/>
  <c r="AG45" i="19" s="1"/>
  <c r="J88" i="19"/>
  <c r="AE88" i="19"/>
  <c r="AG88" i="19" s="1"/>
  <c r="CL35" i="39"/>
  <c r="HR19" i="39"/>
  <c r="HR23" i="39"/>
  <c r="CL23" i="39"/>
  <c r="H18" i="19"/>
  <c r="DS44" i="39"/>
  <c r="DU44" i="39" s="1"/>
  <c r="CL97" i="39"/>
  <c r="HR33" i="39"/>
  <c r="CL209" i="39"/>
  <c r="HR74" i="39"/>
  <c r="DS209" i="39"/>
  <c r="DU209" i="39" s="1"/>
  <c r="CL64" i="39"/>
  <c r="H209" i="19"/>
  <c r="H90" i="19"/>
  <c r="CK33" i="39"/>
  <c r="DE63" i="39"/>
  <c r="DS35" i="39"/>
  <c r="DU35" i="39" s="1"/>
  <c r="CH176" i="39"/>
  <c r="CI176" i="39" s="1"/>
  <c r="DE35" i="39"/>
  <c r="CK35" i="39"/>
  <c r="HR35" i="39"/>
  <c r="CH186" i="39"/>
  <c r="CI186" i="39" s="1"/>
  <c r="HR63" i="39"/>
  <c r="CK44" i="39"/>
  <c r="H63" i="19"/>
  <c r="DS63" i="39"/>
  <c r="DU63" i="39" s="1"/>
  <c r="CK63" i="39"/>
  <c r="CM63" i="39" s="1"/>
  <c r="HR209" i="39"/>
  <c r="DS123" i="39"/>
  <c r="DU123" i="39" s="1"/>
  <c r="H123" i="19"/>
  <c r="DE74" i="39"/>
  <c r="DE33" i="39"/>
  <c r="CL33" i="39"/>
  <c r="H64" i="19"/>
  <c r="AE64" i="19" s="1"/>
  <c r="AG64" i="19" s="1"/>
  <c r="CK90" i="39"/>
  <c r="DE55" i="39"/>
  <c r="HR90" i="39"/>
  <c r="DE64" i="39"/>
  <c r="DS33" i="39"/>
  <c r="DW33" i="39" s="1"/>
  <c r="DS64" i="39"/>
  <c r="DU64" i="39" s="1"/>
  <c r="DS90" i="39"/>
  <c r="DW90" i="39" s="1"/>
  <c r="HR55" i="39"/>
  <c r="HR64" i="39"/>
  <c r="CL55" i="39"/>
  <c r="L93" i="19"/>
  <c r="AD93" i="19" s="1"/>
  <c r="H55" i="19"/>
  <c r="DE123" i="39"/>
  <c r="DS74" i="39"/>
  <c r="DW74" i="39" s="1"/>
  <c r="CK55" i="39"/>
  <c r="CK31" i="39"/>
  <c r="H42" i="19"/>
  <c r="CL74" i="39"/>
  <c r="CM37" i="39"/>
  <c r="DE85" i="39"/>
  <c r="H19" i="19"/>
  <c r="CL76" i="39"/>
  <c r="DS56" i="39"/>
  <c r="DW56" i="39" s="1"/>
  <c r="CL18" i="39"/>
  <c r="HR85" i="39"/>
  <c r="CK19" i="39"/>
  <c r="DS76" i="39"/>
  <c r="DU76" i="39" s="1"/>
  <c r="L62" i="19"/>
  <c r="AD62" i="19" s="1"/>
  <c r="CK85" i="39"/>
  <c r="DE76" i="39"/>
  <c r="H85" i="19"/>
  <c r="CL123" i="39"/>
  <c r="HR76" i="39"/>
  <c r="DS85" i="39"/>
  <c r="DW85" i="39" s="1"/>
  <c r="H97" i="19"/>
  <c r="CK123" i="39"/>
  <c r="HR123" i="39"/>
  <c r="DE97" i="39"/>
  <c r="H74" i="19"/>
  <c r="DS97" i="39"/>
  <c r="DU97" i="39" s="1"/>
  <c r="CH207" i="39"/>
  <c r="CI207" i="39" s="1"/>
  <c r="DE18" i="39"/>
  <c r="HR97" i="39"/>
  <c r="DS18" i="39"/>
  <c r="DU18" i="39" s="1"/>
  <c r="H51" i="19"/>
  <c r="CM36" i="39"/>
  <c r="H107" i="19"/>
  <c r="CL87" i="39"/>
  <c r="CL44" i="39"/>
  <c r="H56" i="19"/>
  <c r="CL151" i="39"/>
  <c r="H17" i="19"/>
  <c r="CK56" i="39"/>
  <c r="H151" i="19"/>
  <c r="CH204" i="39"/>
  <c r="CI204" i="39" s="1"/>
  <c r="CH160" i="39"/>
  <c r="CI160" i="39" s="1"/>
  <c r="DE31" i="39"/>
  <c r="HR56" i="39"/>
  <c r="DE17" i="39"/>
  <c r="DE44" i="39"/>
  <c r="DE107" i="39"/>
  <c r="CL31" i="39"/>
  <c r="DE56" i="39"/>
  <c r="HR31" i="39"/>
  <c r="DE100" i="39"/>
  <c r="HR17" i="39"/>
  <c r="HR44" i="39"/>
  <c r="HR107" i="39"/>
  <c r="DE51" i="39"/>
  <c r="DS31" i="39"/>
  <c r="DU31" i="39" s="1"/>
  <c r="CH168" i="39"/>
  <c r="CI168" i="39" s="1"/>
  <c r="H148" i="19"/>
  <c r="HR100" i="39"/>
  <c r="CK148" i="39"/>
  <c r="DS42" i="39"/>
  <c r="DW42" i="39" s="1"/>
  <c r="L58" i="19"/>
  <c r="AD58" i="19" s="1"/>
  <c r="DS151" i="39"/>
  <c r="DW151" i="39" s="1"/>
  <c r="CL148" i="39"/>
  <c r="HR148" i="39"/>
  <c r="DE50" i="39"/>
  <c r="CH174" i="39"/>
  <c r="CI174" i="39" s="1"/>
  <c r="DE42" i="39"/>
  <c r="HR50" i="39"/>
  <c r="H50" i="19"/>
  <c r="CH143" i="39"/>
  <c r="CI143" i="39" s="1"/>
  <c r="HR42" i="39"/>
  <c r="DS50" i="39"/>
  <c r="DW50" i="39" s="1"/>
  <c r="CH150" i="39"/>
  <c r="CI150" i="39" s="1"/>
  <c r="CK42" i="39"/>
  <c r="CM20" i="39"/>
  <c r="CL50" i="39"/>
  <c r="HR151" i="39"/>
  <c r="HR169" i="39"/>
  <c r="HR214" i="39"/>
  <c r="CM45" i="39"/>
  <c r="HR124" i="39"/>
  <c r="HR213" i="39"/>
  <c r="HR114" i="39"/>
  <c r="HR51" i="39"/>
  <c r="CK51" i="39"/>
  <c r="HR119" i="39"/>
  <c r="HR196" i="39"/>
  <c r="HR212" i="39"/>
  <c r="HR133" i="39"/>
  <c r="L82" i="19"/>
  <c r="DS51" i="39"/>
  <c r="DW51" i="39" s="1"/>
  <c r="L14" i="19"/>
  <c r="AD14" i="19" s="1"/>
  <c r="DS75" i="39"/>
  <c r="DW75" i="39" s="1"/>
  <c r="DE75" i="39"/>
  <c r="CK75" i="39"/>
  <c r="CL29" i="39"/>
  <c r="HR146" i="39"/>
  <c r="HR149" i="39"/>
  <c r="HR75" i="39"/>
  <c r="DE29" i="39"/>
  <c r="CL75" i="39"/>
  <c r="DS29" i="39"/>
  <c r="DU29" i="39" s="1"/>
  <c r="CH91" i="39"/>
  <c r="CI91" i="39" s="1"/>
  <c r="DE91" i="39"/>
  <c r="HR134" i="39"/>
  <c r="HR108" i="39"/>
  <c r="HR215" i="39"/>
  <c r="HR121" i="39"/>
  <c r="HR157" i="39"/>
  <c r="HR131" i="39"/>
  <c r="HR29" i="39"/>
  <c r="CM89" i="39"/>
  <c r="CK29" i="39"/>
  <c r="CM62" i="39"/>
  <c r="HR137" i="39"/>
  <c r="HR120" i="39"/>
  <c r="HR153" i="39"/>
  <c r="HR159" i="39"/>
  <c r="CH113" i="39"/>
  <c r="CI113" i="39" s="1"/>
  <c r="CH193" i="39"/>
  <c r="CI193" i="39" s="1"/>
  <c r="CM58" i="39"/>
  <c r="CH177" i="39"/>
  <c r="CI177" i="39" s="1"/>
  <c r="CH183" i="39"/>
  <c r="CI183" i="39" s="1"/>
  <c r="DS208" i="39"/>
  <c r="H208" i="19"/>
  <c r="CL208" i="39"/>
  <c r="CK208" i="39"/>
  <c r="DS130" i="39"/>
  <c r="CL130" i="39"/>
  <c r="CK130" i="39"/>
  <c r="H130" i="19"/>
  <c r="H184" i="19"/>
  <c r="DS184" i="39"/>
  <c r="CL184" i="39"/>
  <c r="CK184" i="39"/>
  <c r="H175" i="19"/>
  <c r="DS175" i="39"/>
  <c r="CL175" i="39"/>
  <c r="CK175" i="39"/>
  <c r="CK162" i="39"/>
  <c r="CL162" i="39"/>
  <c r="DS162" i="39"/>
  <c r="H162" i="19"/>
  <c r="CL158" i="39"/>
  <c r="H158" i="19"/>
  <c r="DS158" i="39"/>
  <c r="CK158" i="39"/>
  <c r="DS141" i="39"/>
  <c r="CK141" i="39"/>
  <c r="H141" i="19"/>
  <c r="CL141" i="39"/>
  <c r="CH179" i="39"/>
  <c r="CI179" i="39" s="1"/>
  <c r="CH98" i="39"/>
  <c r="CI98" i="39" s="1"/>
  <c r="CH154" i="39"/>
  <c r="CI154" i="39" s="1"/>
  <c r="CH147" i="39"/>
  <c r="CI147" i="39" s="1"/>
  <c r="CH164" i="39"/>
  <c r="CI164" i="39" s="1"/>
  <c r="CH129" i="39"/>
  <c r="CI129" i="39" s="1"/>
  <c r="HR208" i="39"/>
  <c r="HR130" i="39"/>
  <c r="CL178" i="39"/>
  <c r="CK178" i="39"/>
  <c r="DS178" i="39"/>
  <c r="H178" i="19"/>
  <c r="CL189" i="39"/>
  <c r="CK189" i="39"/>
  <c r="H189" i="19"/>
  <c r="DS189" i="39"/>
  <c r="HR184" i="39"/>
  <c r="HR175" i="39"/>
  <c r="HR162" i="39"/>
  <c r="HR158" i="39"/>
  <c r="CL159" i="39"/>
  <c r="DS159" i="39"/>
  <c r="CK159" i="39"/>
  <c r="H159" i="19"/>
  <c r="CL131" i="39"/>
  <c r="H131" i="19"/>
  <c r="DS131" i="39"/>
  <c r="CK131" i="39"/>
  <c r="HR141" i="39"/>
  <c r="DS135" i="39"/>
  <c r="CK135" i="39"/>
  <c r="CL135" i="39"/>
  <c r="H135" i="19"/>
  <c r="CH194" i="39"/>
  <c r="CI194" i="39" s="1"/>
  <c r="CH127" i="39"/>
  <c r="CI127" i="39" s="1"/>
  <c r="CH122" i="39"/>
  <c r="CI122" i="39" s="1"/>
  <c r="CM41" i="39"/>
  <c r="CH191" i="39"/>
  <c r="CI191" i="39" s="1"/>
  <c r="CH112" i="39"/>
  <c r="CI112" i="39" s="1"/>
  <c r="CK124" i="39"/>
  <c r="H124" i="19"/>
  <c r="DS124" i="39"/>
  <c r="CL124" i="39"/>
  <c r="HR178" i="39"/>
  <c r="HR189" i="39"/>
  <c r="CL213" i="39"/>
  <c r="H213" i="19"/>
  <c r="DS213" i="39"/>
  <c r="CK213" i="39"/>
  <c r="H149" i="19"/>
  <c r="DS149" i="39"/>
  <c r="CK149" i="39"/>
  <c r="CL149" i="39"/>
  <c r="CK169" i="39"/>
  <c r="H169" i="19"/>
  <c r="CL169" i="39"/>
  <c r="DS169" i="39"/>
  <c r="HR135" i="39"/>
  <c r="H211" i="19"/>
  <c r="DS211" i="39"/>
  <c r="CK211" i="39"/>
  <c r="CL211" i="39"/>
  <c r="CH155" i="39"/>
  <c r="CI155" i="39" s="1"/>
  <c r="CH166" i="39"/>
  <c r="CH152" i="39"/>
  <c r="CI152" i="39" s="1"/>
  <c r="CH190" i="39"/>
  <c r="CI190" i="39" s="1"/>
  <c r="CK196" i="39"/>
  <c r="H196" i="19"/>
  <c r="DS196" i="39"/>
  <c r="CL196" i="39"/>
  <c r="H120" i="19"/>
  <c r="CK120" i="39"/>
  <c r="DS120" i="39"/>
  <c r="CL120" i="39"/>
  <c r="CK108" i="39"/>
  <c r="H108" i="19"/>
  <c r="DS108" i="39"/>
  <c r="CL108" i="39"/>
  <c r="CK136" i="39"/>
  <c r="H136" i="19"/>
  <c r="DS136" i="39"/>
  <c r="CL136" i="39"/>
  <c r="HR211" i="39"/>
  <c r="CH167" i="39"/>
  <c r="CI167" i="39" s="1"/>
  <c r="CH110" i="39"/>
  <c r="CI110" i="39" s="1"/>
  <c r="CH138" i="39"/>
  <c r="CI138" i="39" s="1"/>
  <c r="CH173" i="39"/>
  <c r="CI173" i="39" s="1"/>
  <c r="CH140" i="39"/>
  <c r="CI140" i="39" s="1"/>
  <c r="CM102" i="39"/>
  <c r="CH192" i="39"/>
  <c r="CI192" i="39" s="1"/>
  <c r="CH118" i="39"/>
  <c r="CI118" i="39" s="1"/>
  <c r="H142" i="19"/>
  <c r="DS142" i="39"/>
  <c r="CK142" i="39"/>
  <c r="CL142" i="39"/>
  <c r="H187" i="19"/>
  <c r="CL187" i="39"/>
  <c r="DS187" i="39"/>
  <c r="CK187" i="39"/>
  <c r="CL132" i="39"/>
  <c r="H132" i="19"/>
  <c r="DS132" i="39"/>
  <c r="CK132" i="39"/>
  <c r="CL139" i="39"/>
  <c r="H139" i="19"/>
  <c r="DS139" i="39"/>
  <c r="CK139" i="39"/>
  <c r="CK172" i="39"/>
  <c r="H172" i="19"/>
  <c r="DS172" i="39"/>
  <c r="CL172" i="39"/>
  <c r="HR136" i="39"/>
  <c r="CH161" i="39"/>
  <c r="CI161" i="39" s="1"/>
  <c r="CH145" i="39"/>
  <c r="CI145" i="39" s="1"/>
  <c r="CH182" i="39"/>
  <c r="CI182" i="39" s="1"/>
  <c r="H111" i="19"/>
  <c r="CL111" i="39"/>
  <c r="CK111" i="39"/>
  <c r="DS111" i="39"/>
  <c r="HR142" i="39"/>
  <c r="DS156" i="39"/>
  <c r="CK156" i="39"/>
  <c r="H156" i="19"/>
  <c r="CL156" i="39"/>
  <c r="CK210" i="39"/>
  <c r="CL210" i="39"/>
  <c r="H210" i="19"/>
  <c r="DS210" i="39"/>
  <c r="DS165" i="39"/>
  <c r="CK165" i="39"/>
  <c r="H165" i="19"/>
  <c r="AE165" i="19" s="1"/>
  <c r="AG165" i="19" s="1"/>
  <c r="CL165" i="39"/>
  <c r="HR187" i="39"/>
  <c r="HR132" i="39"/>
  <c r="HR139" i="39"/>
  <c r="CK144" i="39"/>
  <c r="DS144" i="39"/>
  <c r="H144" i="19"/>
  <c r="CL144" i="39"/>
  <c r="HR172" i="39"/>
  <c r="CH195" i="39"/>
  <c r="CI195" i="39" s="1"/>
  <c r="CH171" i="39"/>
  <c r="CI171" i="39" s="1"/>
  <c r="CH128" i="39"/>
  <c r="CI128" i="39" s="1"/>
  <c r="CH117" i="39"/>
  <c r="CI117" i="39" s="1"/>
  <c r="HR111" i="39"/>
  <c r="CK137" i="39"/>
  <c r="DS137" i="39"/>
  <c r="H137" i="19"/>
  <c r="CL137" i="39"/>
  <c r="CK134" i="39"/>
  <c r="CL134" i="39"/>
  <c r="DS134" i="39"/>
  <c r="H134" i="19"/>
  <c r="HR156" i="39"/>
  <c r="HR210" i="39"/>
  <c r="HR165" i="39"/>
  <c r="CK215" i="39"/>
  <c r="H215" i="19"/>
  <c r="CL215" i="39"/>
  <c r="DS215" i="39"/>
  <c r="H212" i="19"/>
  <c r="CL212" i="39"/>
  <c r="CK212" i="39"/>
  <c r="DS212" i="39"/>
  <c r="CL153" i="39"/>
  <c r="H153" i="19"/>
  <c r="CK153" i="39"/>
  <c r="DS153" i="39"/>
  <c r="CK121" i="39"/>
  <c r="H121" i="19"/>
  <c r="CL121" i="39"/>
  <c r="DS121" i="39"/>
  <c r="HR144" i="39"/>
  <c r="CL133" i="39"/>
  <c r="DS133" i="39"/>
  <c r="CK133" i="39"/>
  <c r="H133" i="19"/>
  <c r="DS115" i="39"/>
  <c r="CK115" i="39"/>
  <c r="CL115" i="39"/>
  <c r="H115" i="19"/>
  <c r="CH185" i="39"/>
  <c r="CI185" i="39" s="1"/>
  <c r="CH125" i="39"/>
  <c r="CI125" i="39" s="1"/>
  <c r="CH197" i="39"/>
  <c r="CI197" i="39" s="1"/>
  <c r="CK119" i="39"/>
  <c r="DS119" i="39"/>
  <c r="H119" i="19"/>
  <c r="CL119" i="39"/>
  <c r="H146" i="19"/>
  <c r="CL146" i="39"/>
  <c r="CK146" i="39"/>
  <c r="DS146" i="39"/>
  <c r="CL114" i="39"/>
  <c r="CK114" i="39"/>
  <c r="H114" i="19"/>
  <c r="DS114" i="39"/>
  <c r="CL157" i="39"/>
  <c r="DS157" i="39"/>
  <c r="CK157" i="39"/>
  <c r="H157" i="19"/>
  <c r="DS214" i="39"/>
  <c r="CK214" i="39"/>
  <c r="CL214" i="39"/>
  <c r="H214" i="19"/>
  <c r="HR115" i="39"/>
  <c r="CM94" i="39"/>
  <c r="L39" i="19"/>
  <c r="AD39" i="19" s="1"/>
  <c r="L53" i="19"/>
  <c r="AD53" i="19" s="1"/>
  <c r="CM68" i="39"/>
  <c r="L66" i="19"/>
  <c r="AD66" i="19" s="1"/>
  <c r="HR77" i="39"/>
  <c r="CM53" i="39"/>
  <c r="CM40" i="39"/>
  <c r="CM14" i="39"/>
  <c r="CL104" i="39"/>
  <c r="H104" i="19"/>
  <c r="CK104" i="39"/>
  <c r="DS104" i="39"/>
  <c r="CK21" i="39"/>
  <c r="DS21" i="39"/>
  <c r="H21" i="19"/>
  <c r="CL21" i="39"/>
  <c r="CK59" i="39"/>
  <c r="CL59" i="39"/>
  <c r="H59" i="19"/>
  <c r="DS59" i="39"/>
  <c r="H70" i="19"/>
  <c r="CL70" i="39"/>
  <c r="CK70" i="39"/>
  <c r="DS70" i="39"/>
  <c r="DW40" i="39"/>
  <c r="DU40" i="39"/>
  <c r="L43" i="19"/>
  <c r="AD43" i="19" s="1"/>
  <c r="L65" i="19"/>
  <c r="AD65" i="19" s="1"/>
  <c r="L68" i="19"/>
  <c r="AD68" i="19" s="1"/>
  <c r="DU67" i="39"/>
  <c r="DW67" i="39"/>
  <c r="DW102" i="39"/>
  <c r="DU102" i="39"/>
  <c r="CM66" i="39"/>
  <c r="DU41" i="39"/>
  <c r="DW41" i="39"/>
  <c r="L24" i="19"/>
  <c r="AD24" i="19" s="1"/>
  <c r="L26" i="19"/>
  <c r="AD26" i="19" s="1"/>
  <c r="DW47" i="39"/>
  <c r="DU47" i="39"/>
  <c r="DS103" i="39"/>
  <c r="CK103" i="39"/>
  <c r="CL103" i="39"/>
  <c r="H103" i="19"/>
  <c r="CK73" i="39"/>
  <c r="DS73" i="39"/>
  <c r="CL73" i="39"/>
  <c r="H73" i="19"/>
  <c r="CK78" i="39"/>
  <c r="DS78" i="39"/>
  <c r="H78" i="19"/>
  <c r="CL78" i="39"/>
  <c r="DS32" i="39"/>
  <c r="CK32" i="39"/>
  <c r="CL32" i="39"/>
  <c r="H32" i="19"/>
  <c r="DS99" i="39"/>
  <c r="CL99" i="39"/>
  <c r="H99" i="19"/>
  <c r="CK99" i="39"/>
  <c r="DS84" i="39"/>
  <c r="CK84" i="39"/>
  <c r="CL84" i="39"/>
  <c r="H84" i="19"/>
  <c r="DU94" i="39"/>
  <c r="DW94" i="39"/>
  <c r="L20" i="19"/>
  <c r="AD20" i="19" s="1"/>
  <c r="DW24" i="39"/>
  <c r="DU24" i="39"/>
  <c r="DW95" i="39"/>
  <c r="DU95" i="39"/>
  <c r="DS60" i="39"/>
  <c r="CK60" i="39"/>
  <c r="CL60" i="39"/>
  <c r="H60" i="19"/>
  <c r="DW82" i="39"/>
  <c r="DU82" i="39"/>
  <c r="CL15" i="39"/>
  <c r="CK15" i="39"/>
  <c r="H15" i="19"/>
  <c r="DS15" i="39"/>
  <c r="H54" i="19"/>
  <c r="DS54" i="39"/>
  <c r="CK54" i="39"/>
  <c r="CL54" i="39"/>
  <c r="DS22" i="39"/>
  <c r="CL22" i="39"/>
  <c r="CK22" i="39"/>
  <c r="H22" i="19"/>
  <c r="DS96" i="39"/>
  <c r="H96" i="19"/>
  <c r="CK96" i="39"/>
  <c r="CL96" i="39"/>
  <c r="H71" i="19"/>
  <c r="CK71" i="39"/>
  <c r="CL71" i="39"/>
  <c r="DS71" i="39"/>
  <c r="H80" i="19"/>
  <c r="CK80" i="39"/>
  <c r="DS80" i="39"/>
  <c r="CL80" i="39"/>
  <c r="DU43" i="39"/>
  <c r="DW43" i="39"/>
  <c r="DU36" i="39"/>
  <c r="DW36" i="39"/>
  <c r="DW20" i="39"/>
  <c r="DU20" i="39"/>
  <c r="DW19" i="39"/>
  <c r="DU19" i="39"/>
  <c r="DU66" i="39"/>
  <c r="DW66" i="39"/>
  <c r="L95" i="19"/>
  <c r="AD95" i="19" s="1"/>
  <c r="CL27" i="39"/>
  <c r="DS27" i="39"/>
  <c r="H27" i="19"/>
  <c r="CK27" i="39"/>
  <c r="L94" i="19"/>
  <c r="AD94" i="19" s="1"/>
  <c r="DW53" i="39"/>
  <c r="DU53" i="39"/>
  <c r="L92" i="19"/>
  <c r="AD92" i="19" s="1"/>
  <c r="H100" i="19"/>
  <c r="CK100" i="39"/>
  <c r="CL100" i="39"/>
  <c r="DS100" i="39"/>
  <c r="CM39" i="39"/>
  <c r="DW37" i="39"/>
  <c r="DU37" i="39"/>
  <c r="DW14" i="39"/>
  <c r="DU14" i="39"/>
  <c r="DU62" i="39"/>
  <c r="DW62" i="39"/>
  <c r="DS105" i="39"/>
  <c r="H105" i="19"/>
  <c r="CK105" i="39"/>
  <c r="CL105" i="39"/>
  <c r="DW26" i="39"/>
  <c r="DU26" i="39"/>
  <c r="DS49" i="39"/>
  <c r="H49" i="19"/>
  <c r="CK49" i="39"/>
  <c r="CL49" i="39"/>
  <c r="CL46" i="39"/>
  <c r="CK46" i="39"/>
  <c r="DS46" i="39"/>
  <c r="H46" i="19"/>
  <c r="DS101" i="39"/>
  <c r="H101" i="19"/>
  <c r="CK101" i="39"/>
  <c r="CL101" i="39"/>
  <c r="CK48" i="39"/>
  <c r="DS48" i="39"/>
  <c r="H48" i="19"/>
  <c r="CL48" i="39"/>
  <c r="CL72" i="39"/>
  <c r="CK72" i="39"/>
  <c r="H72" i="19"/>
  <c r="DS72" i="39"/>
  <c r="DU28" i="39"/>
  <c r="DW28" i="39"/>
  <c r="DU58" i="39"/>
  <c r="DW58" i="39"/>
  <c r="DW89" i="39"/>
  <c r="DU89" i="39"/>
  <c r="L37" i="19"/>
  <c r="AD37" i="19" s="1"/>
  <c r="DW93" i="39"/>
  <c r="DU93" i="39"/>
  <c r="CK61" i="39"/>
  <c r="CL61" i="39"/>
  <c r="DS61" i="39"/>
  <c r="H61" i="19"/>
  <c r="DS83" i="39"/>
  <c r="CK83" i="39"/>
  <c r="H83" i="19"/>
  <c r="CL83" i="39"/>
  <c r="DS34" i="39"/>
  <c r="H34" i="19"/>
  <c r="CL34" i="39"/>
  <c r="CK34" i="39"/>
  <c r="CK25" i="39"/>
  <c r="H25" i="19"/>
  <c r="DS25" i="39"/>
  <c r="CL25" i="39"/>
  <c r="CL69" i="39"/>
  <c r="DS69" i="39"/>
  <c r="H69" i="19"/>
  <c r="CK69" i="39"/>
  <c r="L40" i="19"/>
  <c r="AD40" i="19" s="1"/>
  <c r="DW23" i="39"/>
  <c r="DU23" i="39"/>
  <c r="CM82" i="39"/>
  <c r="CM65" i="39"/>
  <c r="L36" i="19"/>
  <c r="AD36" i="19" s="1"/>
  <c r="DU39" i="39"/>
  <c r="DW39" i="39"/>
  <c r="L41" i="19"/>
  <c r="AD41" i="19" s="1"/>
  <c r="DU45" i="39"/>
  <c r="DW45" i="39"/>
  <c r="CM24" i="39"/>
  <c r="DU88" i="39"/>
  <c r="DW88" i="39"/>
  <c r="DS77" i="39"/>
  <c r="H77" i="19"/>
  <c r="CK77" i="39"/>
  <c r="CL77" i="39"/>
  <c r="DS57" i="39"/>
  <c r="H57" i="19"/>
  <c r="CK57" i="39"/>
  <c r="CL57" i="39"/>
  <c r="H52" i="19"/>
  <c r="DS52" i="39"/>
  <c r="CK52" i="39"/>
  <c r="CL52" i="39"/>
  <c r="CK16" i="39"/>
  <c r="DS16" i="39"/>
  <c r="CL16" i="39"/>
  <c r="H16" i="19"/>
  <c r="DS106" i="39"/>
  <c r="CK106" i="39"/>
  <c r="CL106" i="39"/>
  <c r="H106" i="19"/>
  <c r="DS38" i="39"/>
  <c r="CK38" i="39"/>
  <c r="CL38" i="39"/>
  <c r="H38" i="19"/>
  <c r="CK81" i="39"/>
  <c r="H81" i="19"/>
  <c r="DS81" i="39"/>
  <c r="CL81" i="39"/>
  <c r="CM43" i="39"/>
  <c r="CM93" i="39"/>
  <c r="DW65" i="39"/>
  <c r="DU65" i="39"/>
  <c r="L89" i="19"/>
  <c r="AD89" i="19" s="1"/>
  <c r="DW68" i="39"/>
  <c r="DU68" i="39"/>
  <c r="CI79" i="39"/>
  <c r="HR79" i="39"/>
  <c r="DU107" i="39"/>
  <c r="L102" i="19"/>
  <c r="AD102" i="19" s="1"/>
  <c r="L45" i="19"/>
  <c r="AD45" i="19" s="1"/>
  <c r="CM26" i="39"/>
  <c r="CM95" i="39"/>
  <c r="CL13" i="39"/>
  <c r="H13" i="19"/>
  <c r="DS13" i="39"/>
  <c r="HR13" i="39"/>
  <c r="HR60" i="39"/>
  <c r="DE60" i="39"/>
  <c r="HR99" i="39"/>
  <c r="DE99" i="39"/>
  <c r="HR84" i="39"/>
  <c r="DE84" i="39"/>
  <c r="HR15" i="39"/>
  <c r="DE15" i="39"/>
  <c r="HR54" i="39"/>
  <c r="DE54" i="39"/>
  <c r="HR22" i="39"/>
  <c r="DE22" i="39"/>
  <c r="HR96" i="39"/>
  <c r="DE96" i="39"/>
  <c r="HR71" i="39"/>
  <c r="DE71" i="39"/>
  <c r="HR80" i="39"/>
  <c r="DE80" i="39"/>
  <c r="HR32" i="39"/>
  <c r="DE32" i="39"/>
  <c r="HR104" i="39"/>
  <c r="DE104" i="39"/>
  <c r="DE27" i="39"/>
  <c r="HR27" i="39"/>
  <c r="HR78" i="39"/>
  <c r="DE78" i="39"/>
  <c r="HR49" i="39"/>
  <c r="DE49" i="39"/>
  <c r="HR57" i="39"/>
  <c r="DE57" i="39"/>
  <c r="HR105" i="39"/>
  <c r="DE105" i="39"/>
  <c r="HR73" i="39"/>
  <c r="DE73" i="39"/>
  <c r="HR101" i="39"/>
  <c r="DE101" i="39"/>
  <c r="HR72" i="39"/>
  <c r="DE72" i="39"/>
  <c r="HR83" i="39"/>
  <c r="DE83" i="39"/>
  <c r="HR34" i="39"/>
  <c r="DE34" i="39"/>
  <c r="HR25" i="39"/>
  <c r="DE25" i="39"/>
  <c r="HR69" i="39"/>
  <c r="DE69" i="39"/>
  <c r="HR103" i="39"/>
  <c r="DE103" i="39"/>
  <c r="CG217" i="39"/>
  <c r="HR106" i="39"/>
  <c r="DE106" i="39"/>
  <c r="DE38" i="39"/>
  <c r="HR38" i="39"/>
  <c r="HR81" i="39"/>
  <c r="DE81" i="39"/>
  <c r="HR52" i="39"/>
  <c r="DE52" i="39"/>
  <c r="HR61" i="39"/>
  <c r="DE61" i="39"/>
  <c r="HR46" i="39"/>
  <c r="DE46" i="39"/>
  <c r="HR48" i="39"/>
  <c r="DE48" i="39"/>
  <c r="HR16" i="39"/>
  <c r="DE16" i="39"/>
  <c r="HR21" i="39"/>
  <c r="DE21" i="39"/>
  <c r="HR59" i="39"/>
  <c r="DE59" i="39"/>
  <c r="HR70" i="39"/>
  <c r="DE70" i="39"/>
  <c r="CM56" i="39" l="1"/>
  <c r="L18" i="19"/>
  <c r="AD18" i="19" s="1"/>
  <c r="L88" i="19"/>
  <c r="AD88" i="19" s="1"/>
  <c r="CM88" i="39"/>
  <c r="DW87" i="39"/>
  <c r="CM67" i="39"/>
  <c r="CZ67" i="39" s="1"/>
  <c r="Y67" i="19" s="1"/>
  <c r="J35" i="19"/>
  <c r="DW92" i="39"/>
  <c r="DW17" i="39"/>
  <c r="L64" i="19"/>
  <c r="AD64" i="19" s="1"/>
  <c r="L30" i="19"/>
  <c r="AD30" i="19" s="1"/>
  <c r="CM30" i="39"/>
  <c r="DA30" i="39" s="1"/>
  <c r="Z30" i="19" s="1"/>
  <c r="L97" i="19"/>
  <c r="AD97" i="19" s="1"/>
  <c r="L42" i="19"/>
  <c r="AD42" i="19" s="1"/>
  <c r="CM209" i="39"/>
  <c r="CZ209" i="39" s="1"/>
  <c r="Y209" i="19" s="1"/>
  <c r="DU148" i="39"/>
  <c r="AE31" i="19"/>
  <c r="AG31" i="19" s="1"/>
  <c r="CM90" i="39"/>
  <c r="CO90" i="39" s="1"/>
  <c r="CQ90" i="39" s="1"/>
  <c r="L28" i="19"/>
  <c r="AD28" i="19" s="1"/>
  <c r="AE86" i="19"/>
  <c r="AG86" i="19" s="1"/>
  <c r="L17" i="19"/>
  <c r="AD17" i="19" s="1"/>
  <c r="CM51" i="39"/>
  <c r="CU51" i="39" s="1"/>
  <c r="CY51" i="39" s="1"/>
  <c r="CM85" i="39"/>
  <c r="DA85" i="39" s="1"/>
  <c r="Z85" i="19" s="1"/>
  <c r="AE67" i="19"/>
  <c r="AG67" i="19" s="1"/>
  <c r="DU30" i="39"/>
  <c r="CM28" i="39"/>
  <c r="DC28" i="39" s="1"/>
  <c r="AB28" i="19" s="1"/>
  <c r="CM50" i="39"/>
  <c r="CO50" i="39" s="1"/>
  <c r="M82" i="19"/>
  <c r="J75" i="19"/>
  <c r="L107" i="19"/>
  <c r="AD107" i="19" s="1"/>
  <c r="L47" i="19"/>
  <c r="AD47" i="19" s="1"/>
  <c r="CM31" i="39"/>
  <c r="CZ31" i="39" s="1"/>
  <c r="Y31" i="19" s="1"/>
  <c r="CM76" i="39"/>
  <c r="GI76" i="39" s="1"/>
  <c r="GW76" i="39" s="1"/>
  <c r="HE76" i="39" s="1"/>
  <c r="HF76" i="39" s="1"/>
  <c r="DU55" i="39"/>
  <c r="CM47" i="39"/>
  <c r="CZ47" i="39" s="1"/>
  <c r="Y47" i="19" s="1"/>
  <c r="CM151" i="39"/>
  <c r="CZ151" i="39" s="1"/>
  <c r="Y151" i="19" s="1"/>
  <c r="CM19" i="39"/>
  <c r="CZ19" i="39" s="1"/>
  <c r="Y19" i="19" s="1"/>
  <c r="J30" i="19"/>
  <c r="AE33" i="19"/>
  <c r="AG33" i="19" s="1"/>
  <c r="L23" i="19"/>
  <c r="AD23" i="19" s="1"/>
  <c r="CM107" i="39"/>
  <c r="CZ107" i="39" s="1"/>
  <c r="Y107" i="19" s="1"/>
  <c r="CM74" i="39"/>
  <c r="CZ74" i="39" s="1"/>
  <c r="Y74" i="19" s="1"/>
  <c r="DW86" i="39"/>
  <c r="AE44" i="19"/>
  <c r="AG44" i="19" s="1"/>
  <c r="J47" i="19"/>
  <c r="AE29" i="19"/>
  <c r="AG29" i="19" s="1"/>
  <c r="GI45" i="39"/>
  <c r="GW45" i="39" s="1"/>
  <c r="HE45" i="39" s="1"/>
  <c r="HF45" i="39" s="1"/>
  <c r="DS150" i="39"/>
  <c r="DW150" i="39" s="1"/>
  <c r="CK160" i="39"/>
  <c r="CL207" i="39"/>
  <c r="H168" i="19"/>
  <c r="J168" i="19" s="1"/>
  <c r="CK204" i="39"/>
  <c r="H176" i="19"/>
  <c r="AE176" i="19" s="1"/>
  <c r="AG176" i="19" s="1"/>
  <c r="CU36" i="39"/>
  <c r="GQ36" i="39" s="1"/>
  <c r="DS174" i="39"/>
  <c r="DU174" i="39" s="1"/>
  <c r="CK143" i="39"/>
  <c r="CU56" i="39"/>
  <c r="GQ56" i="39" s="1"/>
  <c r="CU53" i="39"/>
  <c r="GQ53" i="39" s="1"/>
  <c r="DS186" i="39"/>
  <c r="DW186" i="39" s="1"/>
  <c r="CU20" i="39"/>
  <c r="GQ20" i="39" s="1"/>
  <c r="AE28" i="19"/>
  <c r="AG28" i="19" s="1"/>
  <c r="L85" i="19"/>
  <c r="AD85" i="19" s="1"/>
  <c r="CM17" i="39"/>
  <c r="CU17" i="39" s="1"/>
  <c r="CX17" i="39" s="1"/>
  <c r="M62" i="19"/>
  <c r="GI20" i="39"/>
  <c r="GW20" i="39" s="1"/>
  <c r="HE20" i="39" s="1"/>
  <c r="HF20" i="39" s="1"/>
  <c r="CM86" i="39"/>
  <c r="DB86" i="39" s="1"/>
  <c r="AA86" i="19" s="1"/>
  <c r="DW18" i="39"/>
  <c r="CM87" i="39"/>
  <c r="GI87" i="39" s="1"/>
  <c r="GW87" i="39" s="1"/>
  <c r="HE87" i="39" s="1"/>
  <c r="HG87" i="39" s="1"/>
  <c r="CM23" i="39"/>
  <c r="CO23" i="39" s="1"/>
  <c r="CI166" i="39"/>
  <c r="CI222" i="39" s="1"/>
  <c r="CH217" i="39"/>
  <c r="DS176" i="39"/>
  <c r="DW176" i="39" s="1"/>
  <c r="H204" i="19"/>
  <c r="J204" i="19" s="1"/>
  <c r="J49" i="19"/>
  <c r="AE49" i="19"/>
  <c r="AG49" i="19" s="1"/>
  <c r="J72" i="19"/>
  <c r="AE72" i="19"/>
  <c r="AG72" i="19" s="1"/>
  <c r="J96" i="19"/>
  <c r="AE96" i="19"/>
  <c r="AG96" i="19" s="1"/>
  <c r="J60" i="19"/>
  <c r="AE60" i="19"/>
  <c r="AG60" i="19" s="1"/>
  <c r="J103" i="19"/>
  <c r="AE103" i="19"/>
  <c r="AG103" i="19" s="1"/>
  <c r="J111" i="19"/>
  <c r="AE111" i="19"/>
  <c r="AG111" i="19" s="1"/>
  <c r="J142" i="19"/>
  <c r="AE142" i="19"/>
  <c r="AG142" i="19" s="1"/>
  <c r="J108" i="19"/>
  <c r="AE108" i="19"/>
  <c r="AG108" i="19" s="1"/>
  <c r="J196" i="19"/>
  <c r="AE196" i="19"/>
  <c r="AG196" i="19" s="1"/>
  <c r="J178" i="19"/>
  <c r="AE178" i="19"/>
  <c r="AG178" i="19" s="1"/>
  <c r="J130" i="19"/>
  <c r="AE130" i="19"/>
  <c r="AG130" i="19" s="1"/>
  <c r="J107" i="19"/>
  <c r="AE107" i="19"/>
  <c r="AG107" i="19" s="1"/>
  <c r="J156" i="19"/>
  <c r="AE156" i="19"/>
  <c r="AG156" i="19" s="1"/>
  <c r="J63" i="19"/>
  <c r="AE63" i="19"/>
  <c r="AG63" i="19" s="1"/>
  <c r="J57" i="19"/>
  <c r="AE57" i="19"/>
  <c r="AG57" i="19" s="1"/>
  <c r="J83" i="19"/>
  <c r="AE83" i="19"/>
  <c r="AG83" i="19" s="1"/>
  <c r="J22" i="19"/>
  <c r="AE22" i="19"/>
  <c r="AG22" i="19" s="1"/>
  <c r="J104" i="19"/>
  <c r="AE104" i="19"/>
  <c r="AG104" i="19" s="1"/>
  <c r="J133" i="19"/>
  <c r="AE133" i="19"/>
  <c r="AG133" i="19" s="1"/>
  <c r="J212" i="19"/>
  <c r="AE212" i="19"/>
  <c r="AG212" i="19" s="1"/>
  <c r="J134" i="19"/>
  <c r="AE134" i="19"/>
  <c r="AG134" i="19" s="1"/>
  <c r="J144" i="19"/>
  <c r="AE144" i="19"/>
  <c r="AG144" i="19" s="1"/>
  <c r="J149" i="19"/>
  <c r="AE149" i="19"/>
  <c r="AG149" i="19" s="1"/>
  <c r="J131" i="19"/>
  <c r="AE131" i="19"/>
  <c r="AG131" i="19" s="1"/>
  <c r="J158" i="19"/>
  <c r="AE158" i="19"/>
  <c r="AG158" i="19" s="1"/>
  <c r="J50" i="19"/>
  <c r="AE50" i="19"/>
  <c r="AG50" i="19" s="1"/>
  <c r="J51" i="19"/>
  <c r="AE51" i="19"/>
  <c r="AG51" i="19" s="1"/>
  <c r="J78" i="19"/>
  <c r="AE78" i="19"/>
  <c r="AG78" i="19" s="1"/>
  <c r="J74" i="19"/>
  <c r="AE74" i="19"/>
  <c r="AG74" i="19" s="1"/>
  <c r="J106" i="19"/>
  <c r="AE106" i="19"/>
  <c r="AG106" i="19" s="1"/>
  <c r="J25" i="19"/>
  <c r="AE25" i="19"/>
  <c r="AG25" i="19" s="1"/>
  <c r="J46" i="19"/>
  <c r="AE46" i="19"/>
  <c r="AG46" i="19" s="1"/>
  <c r="J15" i="19"/>
  <c r="AE15" i="19"/>
  <c r="AG15" i="19" s="1"/>
  <c r="J139" i="19"/>
  <c r="AE139" i="19"/>
  <c r="AG139" i="19" s="1"/>
  <c r="J124" i="19"/>
  <c r="AE124" i="19"/>
  <c r="AG124" i="19" s="1"/>
  <c r="J135" i="19"/>
  <c r="AE135" i="19"/>
  <c r="AG135" i="19" s="1"/>
  <c r="J175" i="19"/>
  <c r="AE175" i="19"/>
  <c r="AG175" i="19" s="1"/>
  <c r="J17" i="19"/>
  <c r="AE17" i="19"/>
  <c r="AG17" i="19" s="1"/>
  <c r="J19" i="19"/>
  <c r="AE19" i="19"/>
  <c r="AG19" i="19" s="1"/>
  <c r="J101" i="19"/>
  <c r="AE101" i="19"/>
  <c r="AG101" i="19" s="1"/>
  <c r="J59" i="19"/>
  <c r="AE59" i="19"/>
  <c r="AG59" i="19" s="1"/>
  <c r="J157" i="19"/>
  <c r="AE157" i="19"/>
  <c r="AG157" i="19" s="1"/>
  <c r="J121" i="19"/>
  <c r="AE121" i="19"/>
  <c r="AG121" i="19" s="1"/>
  <c r="J211" i="19"/>
  <c r="AE211" i="19"/>
  <c r="AG211" i="19" s="1"/>
  <c r="J151" i="19"/>
  <c r="AE151" i="19"/>
  <c r="AG151" i="19" s="1"/>
  <c r="J85" i="19"/>
  <c r="AE85" i="19"/>
  <c r="AG85" i="19" s="1"/>
  <c r="J48" i="19"/>
  <c r="AE48" i="19"/>
  <c r="AG48" i="19" s="1"/>
  <c r="J84" i="19"/>
  <c r="AE84" i="19"/>
  <c r="AG84" i="19" s="1"/>
  <c r="J32" i="19"/>
  <c r="AE32" i="19"/>
  <c r="AG32" i="19" s="1"/>
  <c r="J73" i="19"/>
  <c r="AE73" i="19"/>
  <c r="AG73" i="19" s="1"/>
  <c r="J146" i="19"/>
  <c r="AE146" i="19"/>
  <c r="AG146" i="19" s="1"/>
  <c r="J115" i="19"/>
  <c r="AE115" i="19"/>
  <c r="AG115" i="19" s="1"/>
  <c r="J187" i="19"/>
  <c r="AE187" i="19"/>
  <c r="AG187" i="19" s="1"/>
  <c r="J136" i="19"/>
  <c r="AE136" i="19"/>
  <c r="AG136" i="19" s="1"/>
  <c r="J159" i="19"/>
  <c r="AE159" i="19"/>
  <c r="AG159" i="19" s="1"/>
  <c r="J162" i="19"/>
  <c r="AE162" i="19"/>
  <c r="AG162" i="19" s="1"/>
  <c r="J55" i="19"/>
  <c r="AE55" i="19"/>
  <c r="AG55" i="19" s="1"/>
  <c r="J123" i="19"/>
  <c r="AE123" i="19"/>
  <c r="AG123" i="19" s="1"/>
  <c r="J90" i="19"/>
  <c r="AE90" i="19"/>
  <c r="AG90" i="19" s="1"/>
  <c r="J80" i="19"/>
  <c r="AE80" i="19"/>
  <c r="AG80" i="19" s="1"/>
  <c r="J99" i="19"/>
  <c r="AE99" i="19"/>
  <c r="AG99" i="19" s="1"/>
  <c r="J81" i="19"/>
  <c r="AE81" i="19"/>
  <c r="AG81" i="19" s="1"/>
  <c r="J61" i="19"/>
  <c r="AE61" i="19"/>
  <c r="AG61" i="19" s="1"/>
  <c r="J71" i="19"/>
  <c r="AE71" i="19"/>
  <c r="AG71" i="19" s="1"/>
  <c r="J21" i="19"/>
  <c r="AE21" i="19"/>
  <c r="AG21" i="19" s="1"/>
  <c r="J214" i="19"/>
  <c r="AE214" i="19"/>
  <c r="AG214" i="19" s="1"/>
  <c r="J153" i="19"/>
  <c r="AE153" i="19"/>
  <c r="AG153" i="19" s="1"/>
  <c r="J215" i="19"/>
  <c r="AE215" i="19"/>
  <c r="AG215" i="19" s="1"/>
  <c r="J210" i="19"/>
  <c r="AE210" i="19"/>
  <c r="AG210" i="19" s="1"/>
  <c r="J120" i="19"/>
  <c r="AE120" i="19"/>
  <c r="AG120" i="19" s="1"/>
  <c r="J169" i="19"/>
  <c r="AE169" i="19"/>
  <c r="AG169" i="19" s="1"/>
  <c r="J213" i="19"/>
  <c r="AE213" i="19"/>
  <c r="AG213" i="19" s="1"/>
  <c r="J189" i="19"/>
  <c r="AE189" i="19"/>
  <c r="AG189" i="19" s="1"/>
  <c r="J141" i="19"/>
  <c r="AE141" i="19"/>
  <c r="AG141" i="19" s="1"/>
  <c r="J56" i="19"/>
  <c r="AE56" i="19"/>
  <c r="AG56" i="19" s="1"/>
  <c r="J97" i="19"/>
  <c r="AE97" i="19"/>
  <c r="AG97" i="19" s="1"/>
  <c r="J209" i="19"/>
  <c r="AE209" i="19"/>
  <c r="AG209" i="19" s="1"/>
  <c r="J18" i="19"/>
  <c r="M18" i="19" s="1"/>
  <c r="AE18" i="19"/>
  <c r="AG18" i="19" s="1"/>
  <c r="J13" i="19"/>
  <c r="AE13" i="19"/>
  <c r="AG13" i="19" s="1"/>
  <c r="J54" i="19"/>
  <c r="AE54" i="19"/>
  <c r="AG54" i="19" s="1"/>
  <c r="J52" i="19"/>
  <c r="AE52" i="19"/>
  <c r="AG52" i="19" s="1"/>
  <c r="J77" i="19"/>
  <c r="AE77" i="19"/>
  <c r="AG77" i="19" s="1"/>
  <c r="J69" i="19"/>
  <c r="AE69" i="19"/>
  <c r="AG69" i="19" s="1"/>
  <c r="J100" i="19"/>
  <c r="AE100" i="19"/>
  <c r="AG100" i="19" s="1"/>
  <c r="J27" i="19"/>
  <c r="AE27" i="19"/>
  <c r="AG27" i="19" s="1"/>
  <c r="J114" i="19"/>
  <c r="AE114" i="19"/>
  <c r="AG114" i="19" s="1"/>
  <c r="J119" i="19"/>
  <c r="AE119" i="19"/>
  <c r="AG119" i="19" s="1"/>
  <c r="J208" i="19"/>
  <c r="AE208" i="19"/>
  <c r="AG208" i="19" s="1"/>
  <c r="J148" i="19"/>
  <c r="AE148" i="19"/>
  <c r="AG148" i="19" s="1"/>
  <c r="CM35" i="39"/>
  <c r="J38" i="19"/>
  <c r="AE38" i="19"/>
  <c r="AG38" i="19" s="1"/>
  <c r="J16" i="19"/>
  <c r="AE16" i="19"/>
  <c r="AG16" i="19" s="1"/>
  <c r="J34" i="19"/>
  <c r="AE34" i="19"/>
  <c r="AG34" i="19" s="1"/>
  <c r="J105" i="19"/>
  <c r="AE105" i="19"/>
  <c r="AG105" i="19" s="1"/>
  <c r="J70" i="19"/>
  <c r="AE70" i="19"/>
  <c r="AG70" i="19" s="1"/>
  <c r="J137" i="19"/>
  <c r="AE137" i="19"/>
  <c r="AG137" i="19" s="1"/>
  <c r="J172" i="19"/>
  <c r="AE172" i="19"/>
  <c r="AG172" i="19" s="1"/>
  <c r="J132" i="19"/>
  <c r="AE132" i="19"/>
  <c r="AG132" i="19" s="1"/>
  <c r="J184" i="19"/>
  <c r="AE184" i="19"/>
  <c r="AG184" i="19" s="1"/>
  <c r="J42" i="19"/>
  <c r="AE42" i="19"/>
  <c r="AG42" i="19" s="1"/>
  <c r="CM97" i="39"/>
  <c r="L148" i="19"/>
  <c r="AD148" i="19" s="1"/>
  <c r="DS143" i="39"/>
  <c r="DW143" i="39" s="1"/>
  <c r="DU56" i="39"/>
  <c r="CO36" i="39"/>
  <c r="CQ36" i="39" s="1"/>
  <c r="GI36" i="39"/>
  <c r="GW36" i="39" s="1"/>
  <c r="HE36" i="39" s="1"/>
  <c r="HI36" i="39" s="1"/>
  <c r="H143" i="19"/>
  <c r="CL143" i="39"/>
  <c r="DU151" i="39"/>
  <c r="HR143" i="39"/>
  <c r="DU33" i="39"/>
  <c r="L209" i="19"/>
  <c r="AD209" i="19" s="1"/>
  <c r="DW64" i="39"/>
  <c r="DU74" i="39"/>
  <c r="L76" i="19"/>
  <c r="AD76" i="19" s="1"/>
  <c r="L33" i="19"/>
  <c r="M33" i="19" s="1"/>
  <c r="DW76" i="39"/>
  <c r="DW29" i="39"/>
  <c r="L55" i="19"/>
  <c r="AD55" i="19" s="1"/>
  <c r="DW44" i="39"/>
  <c r="M40" i="19"/>
  <c r="CM123" i="39"/>
  <c r="CM55" i="39"/>
  <c r="DU75" i="39"/>
  <c r="L51" i="19"/>
  <c r="AD51" i="19" s="1"/>
  <c r="L63" i="19"/>
  <c r="AD63" i="19" s="1"/>
  <c r="L90" i="19"/>
  <c r="AD90" i="19" s="1"/>
  <c r="M14" i="19"/>
  <c r="M68" i="19"/>
  <c r="L31" i="19"/>
  <c r="M31" i="19" s="1"/>
  <c r="CO63" i="39"/>
  <c r="GK63" i="39" s="1"/>
  <c r="GY63" i="39" s="1"/>
  <c r="CU63" i="39"/>
  <c r="GQ63" i="39" s="1"/>
  <c r="GI63" i="39"/>
  <c r="GW63" i="39" s="1"/>
  <c r="HE63" i="39" s="1"/>
  <c r="HF63" i="39" s="1"/>
  <c r="DU50" i="39"/>
  <c r="L35" i="19"/>
  <c r="AD35" i="19" s="1"/>
  <c r="DW31" i="39"/>
  <c r="DW63" i="39"/>
  <c r="DW97" i="39"/>
  <c r="CM18" i="39"/>
  <c r="DW209" i="39"/>
  <c r="CK207" i="39"/>
  <c r="CM64" i="39"/>
  <c r="J64" i="19"/>
  <c r="F15" i="38"/>
  <c r="F17" i="38" s="1"/>
  <c r="F15" i="37"/>
  <c r="F17" i="37" s="1"/>
  <c r="CZ65" i="39"/>
  <c r="Y65" i="19" s="1"/>
  <c r="DA65" i="39"/>
  <c r="Z65" i="19" s="1"/>
  <c r="DB65" i="39"/>
  <c r="AA65" i="19" s="1"/>
  <c r="DC65" i="39"/>
  <c r="AB65" i="19" s="1"/>
  <c r="GI62" i="39"/>
  <c r="GW62" i="39" s="1"/>
  <c r="HE62" i="39" s="1"/>
  <c r="HI62" i="39" s="1"/>
  <c r="CZ62" i="39"/>
  <c r="Y62" i="19" s="1"/>
  <c r="DA62" i="39"/>
  <c r="Z62" i="19" s="1"/>
  <c r="DB62" i="39"/>
  <c r="AA62" i="19" s="1"/>
  <c r="DC62" i="39"/>
  <c r="AB62" i="19" s="1"/>
  <c r="CU68" i="39"/>
  <c r="CW68" i="39" s="1"/>
  <c r="CZ68" i="39"/>
  <c r="Y68" i="19" s="1"/>
  <c r="DA68" i="39"/>
  <c r="Z68" i="19" s="1"/>
  <c r="DB68" i="39"/>
  <c r="AA68" i="19" s="1"/>
  <c r="DC68" i="39"/>
  <c r="AB68" i="19" s="1"/>
  <c r="GI41" i="39"/>
  <c r="GW41" i="39" s="1"/>
  <c r="HE41" i="39" s="1"/>
  <c r="HI41" i="39" s="1"/>
  <c r="CZ41" i="39"/>
  <c r="Y41" i="19" s="1"/>
  <c r="DA41" i="39"/>
  <c r="Z41" i="19" s="1"/>
  <c r="DB41" i="39"/>
  <c r="AA41" i="19" s="1"/>
  <c r="DC41" i="39"/>
  <c r="AB41" i="19" s="1"/>
  <c r="GI58" i="39"/>
  <c r="GW58" i="39" s="1"/>
  <c r="HE58" i="39" s="1"/>
  <c r="HG58" i="39" s="1"/>
  <c r="CZ58" i="39"/>
  <c r="DA58" i="39"/>
  <c r="DB58" i="39"/>
  <c r="DC58" i="39"/>
  <c r="CO67" i="39"/>
  <c r="GK67" i="39" s="1"/>
  <c r="GY67" i="39" s="1"/>
  <c r="DA67" i="39"/>
  <c r="Z67" i="19" s="1"/>
  <c r="DB67" i="39"/>
  <c r="AA67" i="19" s="1"/>
  <c r="DC67" i="39"/>
  <c r="AB67" i="19" s="1"/>
  <c r="CZ24" i="39"/>
  <c r="Y24" i="19" s="1"/>
  <c r="DA24" i="39"/>
  <c r="Z24" i="19" s="1"/>
  <c r="DB24" i="39"/>
  <c r="AA24" i="19" s="1"/>
  <c r="DC24" i="39"/>
  <c r="AB24" i="19" s="1"/>
  <c r="CZ82" i="39"/>
  <c r="Y82" i="19" s="1"/>
  <c r="DA82" i="39"/>
  <c r="Z82" i="19" s="1"/>
  <c r="DB82" i="39"/>
  <c r="AA82" i="19" s="1"/>
  <c r="DC82" i="39"/>
  <c r="AB82" i="19" s="1"/>
  <c r="GI40" i="39"/>
  <c r="GW40" i="39" s="1"/>
  <c r="HE40" i="39" s="1"/>
  <c r="HI40" i="39" s="1"/>
  <c r="CZ40" i="39"/>
  <c r="Y40" i="19" s="1"/>
  <c r="DA40" i="39"/>
  <c r="Z40" i="19" s="1"/>
  <c r="DB40" i="39"/>
  <c r="AA40" i="19" s="1"/>
  <c r="DC40" i="39"/>
  <c r="AB40" i="19" s="1"/>
  <c r="CU92" i="39"/>
  <c r="GQ92" i="39" s="1"/>
  <c r="CZ92" i="39"/>
  <c r="Y92" i="19" s="1"/>
  <c r="DA92" i="39"/>
  <c r="Z92" i="19" s="1"/>
  <c r="DB92" i="39"/>
  <c r="AA92" i="19" s="1"/>
  <c r="DC92" i="39"/>
  <c r="AB92" i="19" s="1"/>
  <c r="CZ95" i="39"/>
  <c r="Y95" i="19" s="1"/>
  <c r="DC95" i="39"/>
  <c r="AB95" i="19" s="1"/>
  <c r="DB95" i="39"/>
  <c r="AA95" i="19" s="1"/>
  <c r="DA95" i="39"/>
  <c r="Z95" i="19" s="1"/>
  <c r="CZ39" i="39"/>
  <c r="Y39" i="19" s="1"/>
  <c r="DA39" i="39"/>
  <c r="Z39" i="19" s="1"/>
  <c r="DB39" i="39"/>
  <c r="AA39" i="19" s="1"/>
  <c r="DC39" i="39"/>
  <c r="AB39" i="19" s="1"/>
  <c r="GI102" i="39"/>
  <c r="GW102" i="39" s="1"/>
  <c r="HE102" i="39" s="1"/>
  <c r="HG102" i="39" s="1"/>
  <c r="CZ102" i="39"/>
  <c r="Y102" i="19" s="1"/>
  <c r="DA102" i="39"/>
  <c r="Z102" i="19" s="1"/>
  <c r="DB102" i="39"/>
  <c r="AA102" i="19" s="1"/>
  <c r="DC102" i="39"/>
  <c r="AB102" i="19" s="1"/>
  <c r="GI89" i="39"/>
  <c r="GW89" i="39" s="1"/>
  <c r="HE89" i="39" s="1"/>
  <c r="HH89" i="39" s="1"/>
  <c r="CZ89" i="39"/>
  <c r="Y89" i="19" s="1"/>
  <c r="DA89" i="39"/>
  <c r="Z89" i="19" s="1"/>
  <c r="DB89" i="39"/>
  <c r="AA89" i="19" s="1"/>
  <c r="DC89" i="39"/>
  <c r="AB89" i="19" s="1"/>
  <c r="CZ36" i="39"/>
  <c r="Y36" i="19" s="1"/>
  <c r="DA36" i="39"/>
  <c r="Z36" i="19" s="1"/>
  <c r="DB36" i="39"/>
  <c r="AA36" i="19" s="1"/>
  <c r="DC36" i="39"/>
  <c r="AB36" i="19" s="1"/>
  <c r="CZ26" i="39"/>
  <c r="Y26" i="19" s="1"/>
  <c r="DA26" i="39"/>
  <c r="Z26" i="19" s="1"/>
  <c r="DB26" i="39"/>
  <c r="AA26" i="19" s="1"/>
  <c r="DC26" i="39"/>
  <c r="AB26" i="19" s="1"/>
  <c r="CZ93" i="39"/>
  <c r="Y93" i="19" s="1"/>
  <c r="DA93" i="39"/>
  <c r="Z93" i="19" s="1"/>
  <c r="DB93" i="39"/>
  <c r="AA93" i="19" s="1"/>
  <c r="DC93" i="39"/>
  <c r="AB93" i="19" s="1"/>
  <c r="CZ66" i="39"/>
  <c r="Y66" i="19" s="1"/>
  <c r="DA66" i="39"/>
  <c r="Z66" i="19" s="1"/>
  <c r="DB66" i="39"/>
  <c r="AA66" i="19" s="1"/>
  <c r="DC66" i="39"/>
  <c r="AB66" i="19" s="1"/>
  <c r="CO53" i="39"/>
  <c r="GK53" i="39" s="1"/>
  <c r="GY53" i="39" s="1"/>
  <c r="CZ53" i="39"/>
  <c r="Y53" i="19" s="1"/>
  <c r="DB53" i="39"/>
  <c r="AA53" i="19" s="1"/>
  <c r="DC53" i="39"/>
  <c r="AB53" i="19" s="1"/>
  <c r="DA53" i="39"/>
  <c r="Z53" i="19" s="1"/>
  <c r="J165" i="19"/>
  <c r="F15" i="5"/>
  <c r="F15" i="44" s="1"/>
  <c r="CU45" i="39"/>
  <c r="CW45" i="39" s="1"/>
  <c r="CZ45" i="39"/>
  <c r="Y45" i="19" s="1"/>
  <c r="DA45" i="39"/>
  <c r="Z45" i="19" s="1"/>
  <c r="DB45" i="39"/>
  <c r="AA45" i="19" s="1"/>
  <c r="DC45" i="39"/>
  <c r="AB45" i="19" s="1"/>
  <c r="CO56" i="39"/>
  <c r="GK56" i="39" s="1"/>
  <c r="GY56" i="39" s="1"/>
  <c r="CZ56" i="39"/>
  <c r="Y56" i="19" s="1"/>
  <c r="DA56" i="39"/>
  <c r="Z56" i="19" s="1"/>
  <c r="DB56" i="39"/>
  <c r="AA56" i="19" s="1"/>
  <c r="DC56" i="39"/>
  <c r="AB56" i="19" s="1"/>
  <c r="CZ88" i="39"/>
  <c r="Y88" i="19" s="1"/>
  <c r="DA88" i="39"/>
  <c r="Z88" i="19" s="1"/>
  <c r="DB88" i="39"/>
  <c r="AA88" i="19" s="1"/>
  <c r="DC88" i="39"/>
  <c r="AB88" i="19" s="1"/>
  <c r="CU94" i="39"/>
  <c r="GQ94" i="39" s="1"/>
  <c r="CZ94" i="39"/>
  <c r="Y94" i="19" s="1"/>
  <c r="DA94" i="39"/>
  <c r="Z94" i="19" s="1"/>
  <c r="DB94" i="39"/>
  <c r="AA94" i="19" s="1"/>
  <c r="DC94" i="39"/>
  <c r="AB94" i="19" s="1"/>
  <c r="CO20" i="39"/>
  <c r="O20" i="19" s="1"/>
  <c r="CZ20" i="39"/>
  <c r="Y20" i="19" s="1"/>
  <c r="DA20" i="39"/>
  <c r="Z20" i="19" s="1"/>
  <c r="DB20" i="39"/>
  <c r="AA20" i="19" s="1"/>
  <c r="DC20" i="39"/>
  <c r="AB20" i="19" s="1"/>
  <c r="CZ43" i="39"/>
  <c r="Y43" i="19" s="1"/>
  <c r="DA43" i="39"/>
  <c r="Z43" i="19" s="1"/>
  <c r="DB43" i="39"/>
  <c r="AA43" i="19" s="1"/>
  <c r="DC43" i="39"/>
  <c r="AB43" i="19" s="1"/>
  <c r="CU14" i="39"/>
  <c r="T14" i="19" s="1"/>
  <c r="CZ14" i="39"/>
  <c r="Y14" i="19" s="1"/>
  <c r="DA14" i="39"/>
  <c r="Z14" i="19" s="1"/>
  <c r="DB14" i="39"/>
  <c r="AA14" i="19" s="1"/>
  <c r="DC14" i="39"/>
  <c r="AB14" i="19" s="1"/>
  <c r="CZ63" i="39"/>
  <c r="Y63" i="19" s="1"/>
  <c r="DC63" i="39"/>
  <c r="AB63" i="19" s="1"/>
  <c r="DA63" i="39"/>
  <c r="Z63" i="19" s="1"/>
  <c r="DB63" i="39"/>
  <c r="AA63" i="19" s="1"/>
  <c r="GI37" i="39"/>
  <c r="GW37" i="39" s="1"/>
  <c r="HE37" i="39" s="1"/>
  <c r="HI37" i="39" s="1"/>
  <c r="CZ37" i="39"/>
  <c r="Y37" i="19" s="1"/>
  <c r="DB37" i="39"/>
  <c r="AA37" i="19" s="1"/>
  <c r="DC37" i="39"/>
  <c r="AB37" i="19" s="1"/>
  <c r="DA37" i="39"/>
  <c r="Z37" i="19" s="1"/>
  <c r="CO58" i="39"/>
  <c r="O58" i="19" s="1"/>
  <c r="CU58" i="39"/>
  <c r="CV58" i="39" s="1"/>
  <c r="CM33" i="39"/>
  <c r="M58" i="19"/>
  <c r="GI53" i="39"/>
  <c r="GW53" i="39" s="1"/>
  <c r="HE53" i="39" s="1"/>
  <c r="HG53" i="39" s="1"/>
  <c r="M88" i="19"/>
  <c r="GI56" i="39"/>
  <c r="GW56" i="39" s="1"/>
  <c r="HE56" i="39" s="1"/>
  <c r="HI56" i="39" s="1"/>
  <c r="CK176" i="39"/>
  <c r="CL176" i="39"/>
  <c r="HR176" i="39"/>
  <c r="L50" i="19"/>
  <c r="AD50" i="19" s="1"/>
  <c r="H207" i="19"/>
  <c r="DS207" i="39"/>
  <c r="DU207" i="39" s="1"/>
  <c r="DU90" i="39"/>
  <c r="L56" i="19"/>
  <c r="AD56" i="19" s="1"/>
  <c r="HR207" i="39"/>
  <c r="DU42" i="39"/>
  <c r="DW35" i="39"/>
  <c r="CM44" i="39"/>
  <c r="L214" i="19"/>
  <c r="AD214" i="19" s="1"/>
  <c r="CO92" i="39"/>
  <c r="GK92" i="39" s="1"/>
  <c r="GY92" i="39" s="1"/>
  <c r="L123" i="19"/>
  <c r="AD123" i="19" s="1"/>
  <c r="AD82" i="19"/>
  <c r="GI94" i="39"/>
  <c r="GW94" i="39" s="1"/>
  <c r="HE94" i="39" s="1"/>
  <c r="HG94" i="39" s="1"/>
  <c r="L74" i="19"/>
  <c r="AD74" i="19" s="1"/>
  <c r="CU89" i="39"/>
  <c r="CY89" i="39" s="1"/>
  <c r="DW123" i="39"/>
  <c r="CO89" i="39"/>
  <c r="GK89" i="39" s="1"/>
  <c r="GY89" i="39" s="1"/>
  <c r="HR91" i="39"/>
  <c r="M93" i="19"/>
  <c r="CL150" i="39"/>
  <c r="H186" i="19"/>
  <c r="CL186" i="39"/>
  <c r="HR186" i="39"/>
  <c r="CK186" i="39"/>
  <c r="M66" i="19"/>
  <c r="CM42" i="39"/>
  <c r="CL174" i="39"/>
  <c r="CO102" i="39"/>
  <c r="O102" i="19" s="1"/>
  <c r="CK174" i="39"/>
  <c r="CU102" i="39"/>
  <c r="T102" i="19" s="1"/>
  <c r="H174" i="19"/>
  <c r="CU37" i="39"/>
  <c r="GQ37" i="39" s="1"/>
  <c r="HR174" i="39"/>
  <c r="CO37" i="39"/>
  <c r="GK37" i="39" s="1"/>
  <c r="GY37" i="39" s="1"/>
  <c r="CM169" i="39"/>
  <c r="CM148" i="39"/>
  <c r="L139" i="19"/>
  <c r="AD139" i="19" s="1"/>
  <c r="CM77" i="39"/>
  <c r="H150" i="19"/>
  <c r="L44" i="19"/>
  <c r="AD44" i="19" s="1"/>
  <c r="M26" i="19"/>
  <c r="DS160" i="39"/>
  <c r="DU160" i="39" s="1"/>
  <c r="CU67" i="39"/>
  <c r="GQ67" i="39" s="1"/>
  <c r="H160" i="19"/>
  <c r="DU85" i="39"/>
  <c r="GI67" i="39"/>
  <c r="GW67" i="39" s="1"/>
  <c r="HE67" i="39" s="1"/>
  <c r="HG67" i="39" s="1"/>
  <c r="CL160" i="39"/>
  <c r="HR160" i="39"/>
  <c r="L19" i="19"/>
  <c r="AD19" i="19" s="1"/>
  <c r="CK150" i="39"/>
  <c r="CM134" i="39"/>
  <c r="CM146" i="39"/>
  <c r="L172" i="19"/>
  <c r="AD172" i="19" s="1"/>
  <c r="CM29" i="39"/>
  <c r="CM106" i="39"/>
  <c r="CM153" i="39"/>
  <c r="CM135" i="39"/>
  <c r="CM75" i="39"/>
  <c r="L27" i="19"/>
  <c r="AD27" i="19" s="1"/>
  <c r="L87" i="19"/>
  <c r="M87" i="19" s="1"/>
  <c r="CL168" i="39"/>
  <c r="M41" i="19"/>
  <c r="L101" i="19"/>
  <c r="AD101" i="19" s="1"/>
  <c r="L105" i="19"/>
  <c r="AD105" i="19" s="1"/>
  <c r="L121" i="19"/>
  <c r="AD121" i="19" s="1"/>
  <c r="L136" i="19"/>
  <c r="AD136" i="19" s="1"/>
  <c r="CK168" i="39"/>
  <c r="CM120" i="39"/>
  <c r="CM73" i="39"/>
  <c r="M24" i="19"/>
  <c r="CO62" i="39"/>
  <c r="GK62" i="39" s="1"/>
  <c r="GY62" i="39" s="1"/>
  <c r="HR204" i="39"/>
  <c r="CL204" i="39"/>
  <c r="CM108" i="39"/>
  <c r="L213" i="19"/>
  <c r="AD213" i="19" s="1"/>
  <c r="CM124" i="39"/>
  <c r="L151" i="19"/>
  <c r="AD151" i="19" s="1"/>
  <c r="CU62" i="39"/>
  <c r="GQ62" i="39" s="1"/>
  <c r="CO68" i="39"/>
  <c r="CQ68" i="39" s="1"/>
  <c r="DS204" i="39"/>
  <c r="DW204" i="39" s="1"/>
  <c r="HR168" i="39"/>
  <c r="DS168" i="39"/>
  <c r="DW168" i="39" s="1"/>
  <c r="GI68" i="39"/>
  <c r="GW68" i="39" s="1"/>
  <c r="HE68" i="39" s="1"/>
  <c r="HG68" i="39" s="1"/>
  <c r="HR145" i="39"/>
  <c r="CM210" i="39"/>
  <c r="HR150" i="39"/>
  <c r="CM13" i="39"/>
  <c r="L57" i="19"/>
  <c r="AD57" i="19" s="1"/>
  <c r="L96" i="19"/>
  <c r="AD96" i="19" s="1"/>
  <c r="L54" i="19"/>
  <c r="AD54" i="19" s="1"/>
  <c r="CO40" i="39"/>
  <c r="GK40" i="39" s="1"/>
  <c r="GY40" i="39" s="1"/>
  <c r="L104" i="19"/>
  <c r="AD104" i="19" s="1"/>
  <c r="CO45" i="39"/>
  <c r="GK45" i="39" s="1"/>
  <c r="GY45" i="39" s="1"/>
  <c r="CM212" i="39"/>
  <c r="CU41" i="39"/>
  <c r="CV41" i="39" s="1"/>
  <c r="L134" i="19"/>
  <c r="AD134" i="19" s="1"/>
  <c r="CM111" i="39"/>
  <c r="CM48" i="39"/>
  <c r="CO41" i="39"/>
  <c r="O41" i="19" s="1"/>
  <c r="CM156" i="39"/>
  <c r="GI14" i="39"/>
  <c r="GW14" i="39" s="1"/>
  <c r="HE14" i="39" s="1"/>
  <c r="HG14" i="39" s="1"/>
  <c r="CO14" i="39"/>
  <c r="CQ14" i="39" s="1"/>
  <c r="L149" i="19"/>
  <c r="AD149" i="19" s="1"/>
  <c r="CM101" i="39"/>
  <c r="L157" i="19"/>
  <c r="AD157" i="19" s="1"/>
  <c r="L178" i="19"/>
  <c r="AD178" i="19" s="1"/>
  <c r="L69" i="19"/>
  <c r="AD69" i="19" s="1"/>
  <c r="L34" i="19"/>
  <c r="AD34" i="19" s="1"/>
  <c r="HR185" i="39"/>
  <c r="L184" i="19"/>
  <c r="AD184" i="19" s="1"/>
  <c r="L187" i="19"/>
  <c r="AD187" i="19" s="1"/>
  <c r="CM162" i="39"/>
  <c r="CM136" i="39"/>
  <c r="CM196" i="39"/>
  <c r="CM158" i="39"/>
  <c r="CM121" i="39"/>
  <c r="L75" i="19"/>
  <c r="CM72" i="39"/>
  <c r="CU40" i="39"/>
  <c r="GQ40" i="39" s="1"/>
  <c r="HR167" i="39"/>
  <c r="HR190" i="39"/>
  <c r="CM130" i="39"/>
  <c r="HR183" i="39"/>
  <c r="CM184" i="39"/>
  <c r="L61" i="19"/>
  <c r="AD61" i="19" s="1"/>
  <c r="CM142" i="39"/>
  <c r="CM159" i="39"/>
  <c r="L210" i="19"/>
  <c r="AD210" i="19" s="1"/>
  <c r="L196" i="19"/>
  <c r="AD196" i="19" s="1"/>
  <c r="CM131" i="39"/>
  <c r="HR138" i="39"/>
  <c r="CM211" i="39"/>
  <c r="HR127" i="39"/>
  <c r="DU51" i="39"/>
  <c r="HR166" i="39"/>
  <c r="HR112" i="39"/>
  <c r="HR129" i="39"/>
  <c r="HR154" i="39"/>
  <c r="M53" i="19"/>
  <c r="CM114" i="39"/>
  <c r="L115" i="19"/>
  <c r="AD115" i="19" s="1"/>
  <c r="CM133" i="39"/>
  <c r="HR117" i="39"/>
  <c r="L48" i="19"/>
  <c r="AD48" i="19" s="1"/>
  <c r="L215" i="19"/>
  <c r="AD215" i="19" s="1"/>
  <c r="CM144" i="39"/>
  <c r="CM132" i="39"/>
  <c r="HR192" i="39"/>
  <c r="HR197" i="39"/>
  <c r="L169" i="19"/>
  <c r="AD169" i="19" s="1"/>
  <c r="HR147" i="39"/>
  <c r="HR179" i="39"/>
  <c r="CM49" i="39"/>
  <c r="M20" i="19"/>
  <c r="HR171" i="39"/>
  <c r="L124" i="19"/>
  <c r="AD124" i="19" s="1"/>
  <c r="L175" i="19"/>
  <c r="AD175" i="19" s="1"/>
  <c r="L165" i="19"/>
  <c r="L29" i="19"/>
  <c r="L137" i="19"/>
  <c r="AD137" i="19" s="1"/>
  <c r="HR140" i="39"/>
  <c r="L189" i="19"/>
  <c r="AD189" i="19" s="1"/>
  <c r="L141" i="19"/>
  <c r="AD141" i="19" s="1"/>
  <c r="DW214" i="39"/>
  <c r="DU214" i="39"/>
  <c r="CM38" i="39"/>
  <c r="M43" i="19"/>
  <c r="M39" i="19"/>
  <c r="GI92" i="39"/>
  <c r="GW92" i="39" s="1"/>
  <c r="HE92" i="39" s="1"/>
  <c r="HG92" i="39" s="1"/>
  <c r="L114" i="19"/>
  <c r="AD114" i="19" s="1"/>
  <c r="DS185" i="39"/>
  <c r="CK185" i="39"/>
  <c r="H185" i="19"/>
  <c r="CL185" i="39"/>
  <c r="L153" i="19"/>
  <c r="AD153" i="19" s="1"/>
  <c r="CK117" i="39"/>
  <c r="CL117" i="39"/>
  <c r="H117" i="19"/>
  <c r="DS117" i="39"/>
  <c r="DW144" i="39"/>
  <c r="DU144" i="39"/>
  <c r="CL145" i="39"/>
  <c r="CK145" i="39"/>
  <c r="H145" i="19"/>
  <c r="DS145" i="39"/>
  <c r="CM139" i="39"/>
  <c r="DS192" i="39"/>
  <c r="CL192" i="39"/>
  <c r="H192" i="19"/>
  <c r="CK192" i="39"/>
  <c r="H138" i="19"/>
  <c r="CL138" i="39"/>
  <c r="DS138" i="39"/>
  <c r="CK138" i="39"/>
  <c r="H190" i="19"/>
  <c r="CK190" i="39"/>
  <c r="CL190" i="39"/>
  <c r="DS190" i="39"/>
  <c r="CM213" i="39"/>
  <c r="CK112" i="39"/>
  <c r="H112" i="19"/>
  <c r="CL112" i="39"/>
  <c r="DS112" i="39"/>
  <c r="L159" i="19"/>
  <c r="CK154" i="39"/>
  <c r="H154" i="19"/>
  <c r="CL154" i="39"/>
  <c r="DS154" i="39"/>
  <c r="DU158" i="39"/>
  <c r="DW158" i="39"/>
  <c r="CM175" i="39"/>
  <c r="DW184" i="39"/>
  <c r="DU184" i="39"/>
  <c r="L208" i="19"/>
  <c r="AD208" i="19" s="1"/>
  <c r="M65" i="19"/>
  <c r="L144" i="19"/>
  <c r="AD144" i="19" s="1"/>
  <c r="DW136" i="39"/>
  <c r="DU136" i="39"/>
  <c r="DU108" i="39"/>
  <c r="DW108" i="39"/>
  <c r="CK194" i="39"/>
  <c r="CL194" i="39"/>
  <c r="H194" i="19"/>
  <c r="DS194" i="39"/>
  <c r="DW159" i="39"/>
  <c r="DU159" i="39"/>
  <c r="DW178" i="39"/>
  <c r="DU178" i="39"/>
  <c r="CL164" i="39"/>
  <c r="H164" i="19"/>
  <c r="CK164" i="39"/>
  <c r="DS164" i="39"/>
  <c r="CK193" i="39"/>
  <c r="DS193" i="39"/>
  <c r="CL193" i="39"/>
  <c r="H193" i="19"/>
  <c r="CM214" i="39"/>
  <c r="DU157" i="39"/>
  <c r="DW157" i="39"/>
  <c r="DU119" i="39"/>
  <c r="DW119" i="39"/>
  <c r="CM115" i="39"/>
  <c r="DU121" i="39"/>
  <c r="DW121" i="39"/>
  <c r="CM137" i="39"/>
  <c r="CL128" i="39"/>
  <c r="DS128" i="39"/>
  <c r="H128" i="19"/>
  <c r="CK128" i="39"/>
  <c r="DW111" i="39"/>
  <c r="DU111" i="39"/>
  <c r="DS161" i="39"/>
  <c r="CK161" i="39"/>
  <c r="CL161" i="39"/>
  <c r="H161" i="19"/>
  <c r="CM172" i="39"/>
  <c r="DW139" i="39"/>
  <c r="DU139" i="39"/>
  <c r="CK110" i="39"/>
  <c r="CL110" i="39"/>
  <c r="H110" i="19"/>
  <c r="DS110" i="39"/>
  <c r="H152" i="19"/>
  <c r="DS152" i="39"/>
  <c r="CK152" i="39"/>
  <c r="CL152" i="39"/>
  <c r="L211" i="19"/>
  <c r="AD211" i="19" s="1"/>
  <c r="DW213" i="39"/>
  <c r="DU213" i="39"/>
  <c r="H191" i="19"/>
  <c r="DS191" i="39"/>
  <c r="CK191" i="39"/>
  <c r="CL191" i="39"/>
  <c r="HR194" i="39"/>
  <c r="L131" i="19"/>
  <c r="AD131" i="19" s="1"/>
  <c r="CM189" i="39"/>
  <c r="HR164" i="39"/>
  <c r="H98" i="19"/>
  <c r="CK98" i="39"/>
  <c r="DS98" i="39"/>
  <c r="CL98" i="39"/>
  <c r="DW141" i="39"/>
  <c r="DU141" i="39"/>
  <c r="HR193" i="39"/>
  <c r="DU114" i="39"/>
  <c r="DW114" i="39"/>
  <c r="DU215" i="39"/>
  <c r="DW215" i="39"/>
  <c r="L16" i="19"/>
  <c r="AD16" i="19" s="1"/>
  <c r="L77" i="19"/>
  <c r="AD77" i="19" s="1"/>
  <c r="L100" i="19"/>
  <c r="AD100" i="19" s="1"/>
  <c r="CM71" i="39"/>
  <c r="CM22" i="39"/>
  <c r="CO94" i="39"/>
  <c r="GK94" i="39" s="1"/>
  <c r="GY94" i="39" s="1"/>
  <c r="DW146" i="39"/>
  <c r="DU146" i="39"/>
  <c r="L119" i="19"/>
  <c r="AD119" i="19" s="1"/>
  <c r="HR128" i="39"/>
  <c r="DW165" i="39"/>
  <c r="DU165" i="39"/>
  <c r="L111" i="19"/>
  <c r="AD111" i="19" s="1"/>
  <c r="HR161" i="39"/>
  <c r="L132" i="19"/>
  <c r="AD132" i="19" s="1"/>
  <c r="L142" i="19"/>
  <c r="AD142" i="19" s="1"/>
  <c r="HR110" i="39"/>
  <c r="L108" i="19"/>
  <c r="AD108" i="19" s="1"/>
  <c r="DU196" i="39"/>
  <c r="DW196" i="39"/>
  <c r="HR152" i="39"/>
  <c r="DW211" i="39"/>
  <c r="DU211" i="39"/>
  <c r="CM149" i="39"/>
  <c r="DU124" i="39"/>
  <c r="DW124" i="39"/>
  <c r="HR191" i="39"/>
  <c r="DU131" i="39"/>
  <c r="DW131" i="39"/>
  <c r="DW189" i="39"/>
  <c r="DU189" i="39"/>
  <c r="H147" i="19"/>
  <c r="DS147" i="39"/>
  <c r="CK147" i="39"/>
  <c r="CL147" i="39"/>
  <c r="HR98" i="39"/>
  <c r="DU175" i="39"/>
  <c r="DW175" i="39"/>
  <c r="DW208" i="39"/>
  <c r="DU208" i="39"/>
  <c r="H113" i="19"/>
  <c r="CK113" i="39"/>
  <c r="DS113" i="39"/>
  <c r="CL113" i="39"/>
  <c r="CK125" i="39"/>
  <c r="CL125" i="39"/>
  <c r="H125" i="19"/>
  <c r="DS125" i="39"/>
  <c r="CL195" i="39"/>
  <c r="CK195" i="39"/>
  <c r="DS195" i="39"/>
  <c r="H195" i="19"/>
  <c r="CK182" i="39"/>
  <c r="H182" i="19"/>
  <c r="CL182" i="39"/>
  <c r="DS182" i="39"/>
  <c r="CM52" i="39"/>
  <c r="L25" i="19"/>
  <c r="AD25" i="19" s="1"/>
  <c r="CM83" i="39"/>
  <c r="L146" i="19"/>
  <c r="AD146" i="19" s="1"/>
  <c r="H197" i="19"/>
  <c r="CL197" i="39"/>
  <c r="DS197" i="39"/>
  <c r="CK197" i="39"/>
  <c r="L133" i="19"/>
  <c r="AD133" i="19" s="1"/>
  <c r="DU212" i="39"/>
  <c r="DW212" i="39"/>
  <c r="DS171" i="39"/>
  <c r="CK171" i="39"/>
  <c r="H171" i="19"/>
  <c r="CL171" i="39"/>
  <c r="L156" i="19"/>
  <c r="AD156" i="19" s="1"/>
  <c r="DW172" i="39"/>
  <c r="DU172" i="39"/>
  <c r="DU132" i="39"/>
  <c r="DW132" i="39"/>
  <c r="CM187" i="39"/>
  <c r="DU142" i="39"/>
  <c r="DW142" i="39"/>
  <c r="CK140" i="39"/>
  <c r="CL140" i="39"/>
  <c r="DS140" i="39"/>
  <c r="H140" i="19"/>
  <c r="CL167" i="39"/>
  <c r="H167" i="19"/>
  <c r="DS167" i="39"/>
  <c r="CK167" i="39"/>
  <c r="CK179" i="39"/>
  <c r="CL179" i="39"/>
  <c r="H179" i="19"/>
  <c r="DS179" i="39"/>
  <c r="L130" i="19"/>
  <c r="AD130" i="19" s="1"/>
  <c r="CL183" i="39"/>
  <c r="H183" i="19"/>
  <c r="DS183" i="39"/>
  <c r="CK183" i="39"/>
  <c r="HR113" i="39"/>
  <c r="DW187" i="39"/>
  <c r="DU187" i="39"/>
  <c r="CK118" i="39"/>
  <c r="H118" i="19"/>
  <c r="CL118" i="39"/>
  <c r="DS118" i="39"/>
  <c r="DS173" i="39"/>
  <c r="CL173" i="39"/>
  <c r="H173" i="19"/>
  <c r="CK173" i="39"/>
  <c r="CM34" i="39"/>
  <c r="L46" i="19"/>
  <c r="AD46" i="19" s="1"/>
  <c r="L70" i="19"/>
  <c r="AD70" i="19" s="1"/>
  <c r="DW133" i="39"/>
  <c r="DU133" i="39"/>
  <c r="L212" i="19"/>
  <c r="AD212" i="19" s="1"/>
  <c r="CM215" i="39"/>
  <c r="DW137" i="39"/>
  <c r="DU137" i="39"/>
  <c r="DU210" i="39"/>
  <c r="DW210" i="39"/>
  <c r="DW156" i="39"/>
  <c r="DU156" i="39"/>
  <c r="DS122" i="39"/>
  <c r="H122" i="19"/>
  <c r="CL122" i="39"/>
  <c r="CK122" i="39"/>
  <c r="DW162" i="39"/>
  <c r="DU162" i="39"/>
  <c r="CK155" i="39"/>
  <c r="CL155" i="39"/>
  <c r="H155" i="19"/>
  <c r="DS155" i="39"/>
  <c r="DW149" i="39"/>
  <c r="DU149" i="39"/>
  <c r="HR122" i="39"/>
  <c r="L135" i="19"/>
  <c r="AD135" i="19" s="1"/>
  <c r="CM141" i="39"/>
  <c r="DW130" i="39"/>
  <c r="DU130" i="39"/>
  <c r="CL177" i="39"/>
  <c r="H177" i="19"/>
  <c r="CK177" i="39"/>
  <c r="DS177" i="39"/>
  <c r="DW115" i="39"/>
  <c r="DU115" i="39"/>
  <c r="DW120" i="39"/>
  <c r="DU120" i="39"/>
  <c r="CM105" i="39"/>
  <c r="L80" i="19"/>
  <c r="AD80" i="19" s="1"/>
  <c r="CM32" i="39"/>
  <c r="CM157" i="39"/>
  <c r="CM119" i="39"/>
  <c r="HR125" i="39"/>
  <c r="DW153" i="39"/>
  <c r="DU153" i="39"/>
  <c r="DW134" i="39"/>
  <c r="DU134" i="39"/>
  <c r="HR195" i="39"/>
  <c r="CM165" i="39"/>
  <c r="HR182" i="39"/>
  <c r="HR118" i="39"/>
  <c r="HR173" i="39"/>
  <c r="L120" i="19"/>
  <c r="AD120" i="19" s="1"/>
  <c r="DS91" i="39"/>
  <c r="H91" i="19"/>
  <c r="CK91" i="39"/>
  <c r="CL91" i="39"/>
  <c r="HR155" i="39"/>
  <c r="DW169" i="39"/>
  <c r="DU169" i="39"/>
  <c r="CL127" i="39"/>
  <c r="CK127" i="39"/>
  <c r="DS127" i="39"/>
  <c r="H127" i="19"/>
  <c r="DU135" i="39"/>
  <c r="DW135" i="39"/>
  <c r="CM178" i="39"/>
  <c r="H129" i="19"/>
  <c r="CK129" i="39"/>
  <c r="DS129" i="39"/>
  <c r="CL129" i="39"/>
  <c r="L158" i="19"/>
  <c r="AD158" i="19" s="1"/>
  <c r="L162" i="19"/>
  <c r="AD162" i="19" s="1"/>
  <c r="CM208" i="39"/>
  <c r="HR177" i="39"/>
  <c r="L81" i="19"/>
  <c r="AD81" i="19" s="1"/>
  <c r="CM54" i="39"/>
  <c r="L103" i="19"/>
  <c r="AD103" i="19" s="1"/>
  <c r="CM21" i="39"/>
  <c r="L84" i="19"/>
  <c r="AD84" i="19" s="1"/>
  <c r="L32" i="19"/>
  <c r="AD32" i="19" s="1"/>
  <c r="L22" i="19"/>
  <c r="AD22" i="19" s="1"/>
  <c r="CM60" i="39"/>
  <c r="L99" i="19"/>
  <c r="AD99" i="19" s="1"/>
  <c r="L78" i="19"/>
  <c r="AD78" i="19" s="1"/>
  <c r="L59" i="19"/>
  <c r="AD59" i="19" s="1"/>
  <c r="CM27" i="39"/>
  <c r="L15" i="19"/>
  <c r="AD15" i="19" s="1"/>
  <c r="GI26" i="39"/>
  <c r="GW26" i="39" s="1"/>
  <c r="HE26" i="39" s="1"/>
  <c r="CO26" i="39"/>
  <c r="CU26" i="39"/>
  <c r="GI93" i="39"/>
  <c r="GW93" i="39" s="1"/>
  <c r="HE93" i="39" s="1"/>
  <c r="CO93" i="39"/>
  <c r="CU93" i="39"/>
  <c r="DU106" i="39"/>
  <c r="DW106" i="39"/>
  <c r="DW52" i="39"/>
  <c r="DU52" i="39"/>
  <c r="DW77" i="39"/>
  <c r="DU77" i="39"/>
  <c r="GI24" i="39"/>
  <c r="GW24" i="39" s="1"/>
  <c r="HE24" i="39" s="1"/>
  <c r="CU24" i="39"/>
  <c r="CO24" i="39"/>
  <c r="CM25" i="39"/>
  <c r="DU72" i="39"/>
  <c r="DW72" i="39"/>
  <c r="DU46" i="39"/>
  <c r="DW46" i="39"/>
  <c r="DU105" i="39"/>
  <c r="DW105" i="39"/>
  <c r="DW22" i="39"/>
  <c r="DU22" i="39"/>
  <c r="DU78" i="39"/>
  <c r="DW78" i="39"/>
  <c r="DU70" i="39"/>
  <c r="DW70" i="39"/>
  <c r="CL79" i="39"/>
  <c r="DS79" i="39"/>
  <c r="H79" i="19"/>
  <c r="CK79" i="39"/>
  <c r="DW34" i="39"/>
  <c r="DU34" i="39"/>
  <c r="DU61" i="39"/>
  <c r="DW61" i="39"/>
  <c r="M36" i="19"/>
  <c r="DU27" i="39"/>
  <c r="DW27" i="39"/>
  <c r="CM103" i="39"/>
  <c r="M45" i="19"/>
  <c r="CM81" i="39"/>
  <c r="L38" i="19"/>
  <c r="AD38" i="19" s="1"/>
  <c r="CM16" i="39"/>
  <c r="DW25" i="39"/>
  <c r="DU25" i="39"/>
  <c r="L72" i="19"/>
  <c r="AD72" i="19" s="1"/>
  <c r="M92" i="19"/>
  <c r="M94" i="19"/>
  <c r="L60" i="19"/>
  <c r="AD60" i="19" s="1"/>
  <c r="M67" i="19"/>
  <c r="DW84" i="39"/>
  <c r="DU84" i="39"/>
  <c r="DU38" i="39"/>
  <c r="DW38" i="39"/>
  <c r="DU16" i="39"/>
  <c r="DW16" i="39"/>
  <c r="DW57" i="39"/>
  <c r="DU57" i="39"/>
  <c r="M102" i="19"/>
  <c r="CM69" i="39"/>
  <c r="CU88" i="39"/>
  <c r="CO88" i="39"/>
  <c r="GI88" i="39"/>
  <c r="GW88" i="39" s="1"/>
  <c r="HE88" i="39" s="1"/>
  <c r="GI39" i="39"/>
  <c r="GW39" i="39" s="1"/>
  <c r="HE39" i="39" s="1"/>
  <c r="CU39" i="39"/>
  <c r="CO39" i="39"/>
  <c r="M37" i="19"/>
  <c r="DU71" i="39"/>
  <c r="DW71" i="39"/>
  <c r="DU96" i="39"/>
  <c r="DW96" i="39"/>
  <c r="M95" i="19"/>
  <c r="DW60" i="39"/>
  <c r="DU60" i="39"/>
  <c r="CM99" i="39"/>
  <c r="M86" i="19"/>
  <c r="DU81" i="39"/>
  <c r="DW81" i="39"/>
  <c r="GI82" i="39"/>
  <c r="GW82" i="39" s="1"/>
  <c r="HE82" i="39" s="1"/>
  <c r="CU82" i="39"/>
  <c r="CO82" i="39"/>
  <c r="DU54" i="39"/>
  <c r="DW54" i="39"/>
  <c r="DW32" i="39"/>
  <c r="DU32" i="39"/>
  <c r="DW59" i="39"/>
  <c r="DU59" i="39"/>
  <c r="DU21" i="39"/>
  <c r="DW21" i="39"/>
  <c r="CO43" i="39"/>
  <c r="GI43" i="39"/>
  <c r="GW43" i="39" s="1"/>
  <c r="HE43" i="39" s="1"/>
  <c r="CU43" i="39"/>
  <c r="L83" i="19"/>
  <c r="AD83" i="19" s="1"/>
  <c r="DU101" i="39"/>
  <c r="DW101" i="39"/>
  <c r="L49" i="19"/>
  <c r="AD49" i="19" s="1"/>
  <c r="M89" i="19"/>
  <c r="CM80" i="39"/>
  <c r="L71" i="19"/>
  <c r="AD71" i="19" s="1"/>
  <c r="CM78" i="39"/>
  <c r="DU73" i="39"/>
  <c r="DW73" i="39"/>
  <c r="DU103" i="39"/>
  <c r="DW103" i="39"/>
  <c r="L21" i="19"/>
  <c r="AD21" i="19" s="1"/>
  <c r="GI65" i="39"/>
  <c r="GW65" i="39" s="1"/>
  <c r="HE65" i="39" s="1"/>
  <c r="CU65" i="39"/>
  <c r="CO65" i="39"/>
  <c r="DW69" i="39"/>
  <c r="DU69" i="39"/>
  <c r="DU83" i="39"/>
  <c r="DW83" i="39"/>
  <c r="CM46" i="39"/>
  <c r="CM100" i="39"/>
  <c r="CM15" i="39"/>
  <c r="CM84" i="39"/>
  <c r="L73" i="19"/>
  <c r="AD73" i="19" s="1"/>
  <c r="CM59" i="39"/>
  <c r="CM104" i="39"/>
  <c r="GI95" i="39"/>
  <c r="GW95" i="39" s="1"/>
  <c r="HE95" i="39" s="1"/>
  <c r="CU95" i="39"/>
  <c r="CO95" i="39"/>
  <c r="L106" i="19"/>
  <c r="AD106" i="19" s="1"/>
  <c r="L52" i="19"/>
  <c r="AD52" i="19" s="1"/>
  <c r="CM57" i="39"/>
  <c r="CM61" i="39"/>
  <c r="DW48" i="39"/>
  <c r="DU48" i="39"/>
  <c r="DW49" i="39"/>
  <c r="DU49" i="39"/>
  <c r="DU100" i="39"/>
  <c r="DW100" i="39"/>
  <c r="DW80" i="39"/>
  <c r="DU80" i="39"/>
  <c r="CM96" i="39"/>
  <c r="DW15" i="39"/>
  <c r="DU15" i="39"/>
  <c r="DW99" i="39"/>
  <c r="DU99" i="39"/>
  <c r="GI66" i="39"/>
  <c r="GW66" i="39" s="1"/>
  <c r="HE66" i="39" s="1"/>
  <c r="CO66" i="39"/>
  <c r="CU66" i="39"/>
  <c r="CM70" i="39"/>
  <c r="DW104" i="39"/>
  <c r="DU104" i="39"/>
  <c r="DU13" i="39"/>
  <c r="DW13" i="39"/>
  <c r="L13" i="19"/>
  <c r="AD13" i="19" s="1"/>
  <c r="H166" i="19" l="1"/>
  <c r="DC76" i="39"/>
  <c r="AB76" i="19" s="1"/>
  <c r="DS166" i="39"/>
  <c r="CZ30" i="39"/>
  <c r="Y30" i="19" s="1"/>
  <c r="GI85" i="39"/>
  <c r="GW85" i="39" s="1"/>
  <c r="HE85" i="39" s="1"/>
  <c r="CO30" i="39"/>
  <c r="GK30" i="39" s="1"/>
  <c r="GY30" i="39" s="1"/>
  <c r="DC30" i="39"/>
  <c r="AB30" i="19" s="1"/>
  <c r="CU30" i="39"/>
  <c r="CW30" i="39" s="1"/>
  <c r="DB30" i="39"/>
  <c r="AA30" i="19" s="1"/>
  <c r="GI30" i="39"/>
  <c r="GW30" i="39" s="1"/>
  <c r="HE30" i="39" s="1"/>
  <c r="HH30" i="39" s="1"/>
  <c r="M64" i="19"/>
  <c r="M30" i="19"/>
  <c r="CU47" i="39"/>
  <c r="T47" i="19" s="1"/>
  <c r="CU50" i="39"/>
  <c r="GQ50" i="39" s="1"/>
  <c r="CO209" i="39"/>
  <c r="CQ209" i="39" s="1"/>
  <c r="CU209" i="39"/>
  <c r="O36" i="19"/>
  <c r="CU85" i="39"/>
  <c r="T85" i="19" s="1"/>
  <c r="CU90" i="39"/>
  <c r="CY90" i="39" s="1"/>
  <c r="X90" i="19" s="1"/>
  <c r="L204" i="19"/>
  <c r="HH20" i="39"/>
  <c r="GK36" i="39"/>
  <c r="GY36" i="39" s="1"/>
  <c r="DB85" i="39"/>
  <c r="AA85" i="19" s="1"/>
  <c r="GI209" i="39"/>
  <c r="GW209" i="39" s="1"/>
  <c r="HE209" i="39" s="1"/>
  <c r="HF209" i="39" s="1"/>
  <c r="CZ90" i="39"/>
  <c r="Y90" i="19" s="1"/>
  <c r="CZ85" i="39"/>
  <c r="Y85" i="19" s="1"/>
  <c r="M97" i="19"/>
  <c r="DA47" i="39"/>
  <c r="Z47" i="19" s="1"/>
  <c r="M42" i="19"/>
  <c r="HI20" i="39"/>
  <c r="DB90" i="39"/>
  <c r="AA90" i="19" s="1"/>
  <c r="M28" i="19"/>
  <c r="DA90" i="39"/>
  <c r="Z90" i="19" s="1"/>
  <c r="HG20" i="39"/>
  <c r="DC50" i="39"/>
  <c r="AB50" i="19" s="1"/>
  <c r="DB50" i="39"/>
  <c r="AA50" i="19" s="1"/>
  <c r="DC209" i="39"/>
  <c r="AB209" i="19" s="1"/>
  <c r="DA50" i="39"/>
  <c r="Z50" i="19" s="1"/>
  <c r="GI90" i="39"/>
  <c r="GW90" i="39" s="1"/>
  <c r="HE90" i="39" s="1"/>
  <c r="HG90" i="39" s="1"/>
  <c r="DB209" i="39"/>
  <c r="AA209" i="19" s="1"/>
  <c r="CZ50" i="39"/>
  <c r="Y50" i="19" s="1"/>
  <c r="DA209" i="39"/>
  <c r="Z209" i="19" s="1"/>
  <c r="GI50" i="39"/>
  <c r="GW50" i="39" s="1"/>
  <c r="HE50" i="39" s="1"/>
  <c r="HH50" i="39" s="1"/>
  <c r="DC90" i="39"/>
  <c r="AB90" i="19" s="1"/>
  <c r="CQ50" i="39"/>
  <c r="GM50" i="39" s="1"/>
  <c r="HA50" i="39" s="1"/>
  <c r="HC50" i="39" s="1"/>
  <c r="GK50" i="39"/>
  <c r="GY50" i="39" s="1"/>
  <c r="T53" i="19"/>
  <c r="CW53" i="39"/>
  <c r="V53" i="19" s="1"/>
  <c r="CV53" i="39"/>
  <c r="U53" i="19" s="1"/>
  <c r="CX53" i="39"/>
  <c r="W53" i="19" s="1"/>
  <c r="CY53" i="39"/>
  <c r="X53" i="19" s="1"/>
  <c r="DA51" i="39"/>
  <c r="Z51" i="19" s="1"/>
  <c r="HG63" i="39"/>
  <c r="M17" i="19"/>
  <c r="CK166" i="39"/>
  <c r="DB47" i="39"/>
  <c r="AA47" i="19" s="1"/>
  <c r="GI47" i="39"/>
  <c r="GW47" i="39" s="1"/>
  <c r="HE47" i="39" s="1"/>
  <c r="HG47" i="39" s="1"/>
  <c r="CL166" i="39"/>
  <c r="CL217" i="39" s="1"/>
  <c r="DC47" i="39"/>
  <c r="AB47" i="19" s="1"/>
  <c r="CO47" i="39"/>
  <c r="GK47" i="39" s="1"/>
  <c r="GY47" i="39" s="1"/>
  <c r="CI217" i="39"/>
  <c r="CO151" i="39"/>
  <c r="O151" i="19" s="1"/>
  <c r="CU151" i="39"/>
  <c r="T151" i="19" s="1"/>
  <c r="CU19" i="39"/>
  <c r="T19" i="19" s="1"/>
  <c r="DC151" i="39"/>
  <c r="AB151" i="19" s="1"/>
  <c r="CW20" i="39"/>
  <c r="GS20" i="39" s="1"/>
  <c r="GI151" i="39"/>
  <c r="GW151" i="39" s="1"/>
  <c r="HE151" i="39" s="1"/>
  <c r="HI151" i="39" s="1"/>
  <c r="GI19" i="39"/>
  <c r="GW19" i="39" s="1"/>
  <c r="HE19" i="39" s="1"/>
  <c r="HI19" i="39" s="1"/>
  <c r="DB151" i="39"/>
  <c r="AA151" i="19" s="1"/>
  <c r="DU186" i="39"/>
  <c r="DW174" i="39"/>
  <c r="CM160" i="39"/>
  <c r="DA160" i="39" s="1"/>
  <c r="Z160" i="19" s="1"/>
  <c r="DA151" i="39"/>
  <c r="Z151" i="19" s="1"/>
  <c r="DC85" i="39"/>
  <c r="AB85" i="19" s="1"/>
  <c r="CO85" i="39"/>
  <c r="CQ85" i="39" s="1"/>
  <c r="M85" i="19"/>
  <c r="AE168" i="19"/>
  <c r="AG168" i="19" s="1"/>
  <c r="CZ51" i="39"/>
  <c r="Y51" i="19" s="1"/>
  <c r="DB76" i="39"/>
  <c r="AA76" i="19" s="1"/>
  <c r="DA76" i="39"/>
  <c r="Z76" i="19" s="1"/>
  <c r="CZ76" i="39"/>
  <c r="Y76" i="19" s="1"/>
  <c r="DC107" i="39"/>
  <c r="AB107" i="19" s="1"/>
  <c r="CU107" i="39"/>
  <c r="GQ107" i="39" s="1"/>
  <c r="HH63" i="39"/>
  <c r="CU76" i="39"/>
  <c r="CX76" i="39" s="1"/>
  <c r="W76" i="19" s="1"/>
  <c r="DB107" i="39"/>
  <c r="AA107" i="19" s="1"/>
  <c r="GI51" i="39"/>
  <c r="GW51" i="39" s="1"/>
  <c r="HE51" i="39" s="1"/>
  <c r="HF51" i="39" s="1"/>
  <c r="CO107" i="39"/>
  <c r="O107" i="19" s="1"/>
  <c r="HI63" i="39"/>
  <c r="CO76" i="39"/>
  <c r="O76" i="19" s="1"/>
  <c r="DC51" i="39"/>
  <c r="AB51" i="19" s="1"/>
  <c r="DA107" i="39"/>
  <c r="Z107" i="19" s="1"/>
  <c r="CO51" i="39"/>
  <c r="GK51" i="39" s="1"/>
  <c r="GY51" i="39" s="1"/>
  <c r="GI107" i="39"/>
  <c r="GW107" i="39" s="1"/>
  <c r="HE107" i="39" s="1"/>
  <c r="HF107" i="39" s="1"/>
  <c r="DB51" i="39"/>
  <c r="AA51" i="19" s="1"/>
  <c r="M107" i="19"/>
  <c r="L207" i="19"/>
  <c r="AD207" i="19" s="1"/>
  <c r="DU176" i="39"/>
  <c r="CO28" i="39"/>
  <c r="CQ28" i="39" s="1"/>
  <c r="GM28" i="39" s="1"/>
  <c r="HA28" i="39" s="1"/>
  <c r="HC28" i="39" s="1"/>
  <c r="CM207" i="39"/>
  <c r="CZ207" i="39" s="1"/>
  <c r="Y207" i="19" s="1"/>
  <c r="CV56" i="39"/>
  <c r="U56" i="19" s="1"/>
  <c r="CX56" i="39"/>
  <c r="W56" i="19" s="1"/>
  <c r="T56" i="19"/>
  <c r="DB28" i="39"/>
  <c r="AA28" i="19" s="1"/>
  <c r="CY56" i="39"/>
  <c r="X56" i="19" s="1"/>
  <c r="DC74" i="39"/>
  <c r="AB74" i="19" s="1"/>
  <c r="CW56" i="39"/>
  <c r="GS56" i="39" s="1"/>
  <c r="CO74" i="39"/>
  <c r="GK74" i="39" s="1"/>
  <c r="GY74" i="39" s="1"/>
  <c r="CU74" i="39"/>
  <c r="GQ74" i="39" s="1"/>
  <c r="GI74" i="39"/>
  <c r="GW74" i="39" s="1"/>
  <c r="HE74" i="39" s="1"/>
  <c r="HI74" i="39" s="1"/>
  <c r="DA28" i="39"/>
  <c r="Z28" i="19" s="1"/>
  <c r="DB74" i="39"/>
  <c r="AA74" i="19" s="1"/>
  <c r="GI17" i="39"/>
  <c r="GW17" i="39" s="1"/>
  <c r="HE17" i="39" s="1"/>
  <c r="HH17" i="39" s="1"/>
  <c r="CZ28" i="39"/>
  <c r="Y28" i="19" s="1"/>
  <c r="DA74" i="39"/>
  <c r="Z74" i="19" s="1"/>
  <c r="GI28" i="39"/>
  <c r="GW28" i="39" s="1"/>
  <c r="HE28" i="39" s="1"/>
  <c r="HI28" i="39" s="1"/>
  <c r="DC17" i="39"/>
  <c r="AB17" i="19" s="1"/>
  <c r="CU28" i="39"/>
  <c r="GQ28" i="39" s="1"/>
  <c r="DB17" i="39"/>
  <c r="AA17" i="19" s="1"/>
  <c r="CO17" i="39"/>
  <c r="CQ17" i="39" s="1"/>
  <c r="CS17" i="39" s="1"/>
  <c r="DA17" i="39"/>
  <c r="Z17" i="19" s="1"/>
  <c r="CZ17" i="39"/>
  <c r="Y17" i="19" s="1"/>
  <c r="L143" i="19"/>
  <c r="AD143" i="19" s="1"/>
  <c r="GI31" i="39"/>
  <c r="GW31" i="39" s="1"/>
  <c r="HE31" i="39" s="1"/>
  <c r="HH31" i="39" s="1"/>
  <c r="CO31" i="39"/>
  <c r="CQ31" i="39" s="1"/>
  <c r="Q31" i="19" s="1"/>
  <c r="M23" i="19"/>
  <c r="C1" i="44"/>
  <c r="A251" i="44"/>
  <c r="DA31" i="39"/>
  <c r="Z31" i="19" s="1"/>
  <c r="DB31" i="39"/>
  <c r="AA31" i="19" s="1"/>
  <c r="DC31" i="39"/>
  <c r="AB31" i="19" s="1"/>
  <c r="CU31" i="39"/>
  <c r="CX31" i="39" s="1"/>
  <c r="W31" i="19" s="1"/>
  <c r="M47" i="19"/>
  <c r="T20" i="19"/>
  <c r="CV20" i="39"/>
  <c r="GR20" i="39" s="1"/>
  <c r="CO19" i="39"/>
  <c r="GK19" i="39" s="1"/>
  <c r="GY19" i="39" s="1"/>
  <c r="CX20" i="39"/>
  <c r="W20" i="19" s="1"/>
  <c r="CY20" i="39"/>
  <c r="X20" i="19" s="1"/>
  <c r="CZ86" i="39"/>
  <c r="Y86" i="19" s="1"/>
  <c r="DC19" i="39"/>
  <c r="AB19" i="19" s="1"/>
  <c r="DB19" i="39"/>
  <c r="AA19" i="19" s="1"/>
  <c r="HI45" i="39"/>
  <c r="HH45" i="39"/>
  <c r="O50" i="19"/>
  <c r="DA19" i="39"/>
  <c r="Z19" i="19" s="1"/>
  <c r="HG45" i="39"/>
  <c r="J176" i="19"/>
  <c r="DA86" i="39"/>
  <c r="Z86" i="19" s="1"/>
  <c r="CU86" i="39"/>
  <c r="CW86" i="39" s="1"/>
  <c r="GS86" i="39" s="1"/>
  <c r="GI86" i="39"/>
  <c r="GW86" i="39" s="1"/>
  <c r="HE86" i="39" s="1"/>
  <c r="HF86" i="39" s="1"/>
  <c r="CO86" i="39"/>
  <c r="GK86" i="39" s="1"/>
  <c r="GY86" i="39" s="1"/>
  <c r="DC86" i="39"/>
  <c r="AB86" i="19" s="1"/>
  <c r="CY36" i="39"/>
  <c r="GU36" i="39" s="1"/>
  <c r="CX36" i="39"/>
  <c r="W36" i="19" s="1"/>
  <c r="T36" i="19"/>
  <c r="CW36" i="39"/>
  <c r="GS36" i="39" s="1"/>
  <c r="DU150" i="39"/>
  <c r="CV36" i="39"/>
  <c r="U36" i="19" s="1"/>
  <c r="CU72" i="39"/>
  <c r="CY72" i="39" s="1"/>
  <c r="CU111" i="39"/>
  <c r="CV111" i="39" s="1"/>
  <c r="CU124" i="39"/>
  <c r="CY124" i="39" s="1"/>
  <c r="CU64" i="39"/>
  <c r="CY64" i="39" s="1"/>
  <c r="X64" i="19" s="1"/>
  <c r="GI52" i="39"/>
  <c r="GW52" i="39" s="1"/>
  <c r="HE52" i="39" s="1"/>
  <c r="HG52" i="39" s="1"/>
  <c r="GI42" i="39"/>
  <c r="GW42" i="39" s="1"/>
  <c r="HE42" i="39" s="1"/>
  <c r="HF42" i="39" s="1"/>
  <c r="CU211" i="39"/>
  <c r="T211" i="19" s="1"/>
  <c r="GI184" i="39"/>
  <c r="GW184" i="39" s="1"/>
  <c r="HE184" i="39" s="1"/>
  <c r="HF184" i="39" s="1"/>
  <c r="DC18" i="39"/>
  <c r="AB18" i="19" s="1"/>
  <c r="CO77" i="39"/>
  <c r="GK77" i="39" s="1"/>
  <c r="GY77" i="39" s="1"/>
  <c r="GI33" i="39"/>
  <c r="GW33" i="39" s="1"/>
  <c r="HE33" i="39" s="1"/>
  <c r="HI33" i="39" s="1"/>
  <c r="CZ55" i="39"/>
  <c r="Y55" i="19" s="1"/>
  <c r="DB35" i="39"/>
  <c r="AA35" i="19" s="1"/>
  <c r="CU212" i="39"/>
  <c r="CY212" i="39" s="1"/>
  <c r="CO13" i="39"/>
  <c r="CQ13" i="39" s="1"/>
  <c r="DC97" i="39"/>
  <c r="AB97" i="19" s="1"/>
  <c r="DC23" i="39"/>
  <c r="AB23" i="19" s="1"/>
  <c r="GI105" i="39"/>
  <c r="GW105" i="39" s="1"/>
  <c r="HE105" i="39" s="1"/>
  <c r="HG105" i="39" s="1"/>
  <c r="CU153" i="39"/>
  <c r="GQ153" i="39" s="1"/>
  <c r="CU148" i="39"/>
  <c r="CY148" i="39" s="1"/>
  <c r="GU148" i="39" s="1"/>
  <c r="CO87" i="39"/>
  <c r="GK87" i="39" s="1"/>
  <c r="GY87" i="39" s="1"/>
  <c r="CU101" i="39"/>
  <c r="T101" i="19" s="1"/>
  <c r="CU73" i="39"/>
  <c r="CV73" i="39" s="1"/>
  <c r="GI106" i="39"/>
  <c r="GW106" i="39" s="1"/>
  <c r="HE106" i="39" s="1"/>
  <c r="HF106" i="39" s="1"/>
  <c r="CO169" i="39"/>
  <c r="O169" i="19" s="1"/>
  <c r="CO44" i="39"/>
  <c r="CQ44" i="39" s="1"/>
  <c r="Q44" i="19" s="1"/>
  <c r="CU123" i="39"/>
  <c r="GQ123" i="39" s="1"/>
  <c r="AE204" i="19"/>
  <c r="AG204" i="19" s="1"/>
  <c r="CX68" i="39"/>
  <c r="GT68" i="39" s="1"/>
  <c r="CU87" i="39"/>
  <c r="GQ87" i="39" s="1"/>
  <c r="DA23" i="39"/>
  <c r="Z23" i="19" s="1"/>
  <c r="DC87" i="39"/>
  <c r="AB87" i="19" s="1"/>
  <c r="DB87" i="39"/>
  <c r="AA87" i="19" s="1"/>
  <c r="HG36" i="39"/>
  <c r="DA87" i="39"/>
  <c r="Z87" i="19" s="1"/>
  <c r="CZ87" i="39"/>
  <c r="Y87" i="19" s="1"/>
  <c r="DB23" i="39"/>
  <c r="AA23" i="19" s="1"/>
  <c r="CZ23" i="39"/>
  <c r="Y23" i="19" s="1"/>
  <c r="CU23" i="39"/>
  <c r="CW23" i="39" s="1"/>
  <c r="GI23" i="39"/>
  <c r="GW23" i="39" s="1"/>
  <c r="HE23" i="39" s="1"/>
  <c r="HI23" i="39" s="1"/>
  <c r="DB97" i="39"/>
  <c r="AA97" i="19" s="1"/>
  <c r="CO97" i="39"/>
  <c r="GK97" i="39" s="1"/>
  <c r="GY97" i="39" s="1"/>
  <c r="HH36" i="39"/>
  <c r="M148" i="19"/>
  <c r="HF36" i="39"/>
  <c r="M63" i="19"/>
  <c r="DU143" i="39"/>
  <c r="CZ35" i="39"/>
  <c r="Y35" i="19" s="1"/>
  <c r="DA35" i="39"/>
  <c r="Z35" i="19" s="1"/>
  <c r="CU35" i="39"/>
  <c r="GQ35" i="39" s="1"/>
  <c r="CO35" i="39"/>
  <c r="O35" i="19" s="1"/>
  <c r="GI35" i="39"/>
  <c r="GW35" i="39" s="1"/>
  <c r="HE35" i="39" s="1"/>
  <c r="HG35" i="39" s="1"/>
  <c r="DC35" i="39"/>
  <c r="AB35" i="19" s="1"/>
  <c r="GI97" i="39"/>
  <c r="GW97" i="39" s="1"/>
  <c r="HE97" i="39" s="1"/>
  <c r="HG97" i="39" s="1"/>
  <c r="DA97" i="39"/>
  <c r="Z97" i="19" s="1"/>
  <c r="CZ97" i="39"/>
  <c r="Y97" i="19" s="1"/>
  <c r="CU97" i="39"/>
  <c r="CV97" i="39" s="1"/>
  <c r="J122" i="19"/>
  <c r="AE122" i="19"/>
  <c r="AG122" i="19" s="1"/>
  <c r="J161" i="19"/>
  <c r="AE161" i="19"/>
  <c r="AG161" i="19" s="1"/>
  <c r="J155" i="19"/>
  <c r="AE155" i="19"/>
  <c r="AG155" i="19" s="1"/>
  <c r="J173" i="19"/>
  <c r="AE173" i="19"/>
  <c r="AG173" i="19" s="1"/>
  <c r="J179" i="19"/>
  <c r="AE179" i="19"/>
  <c r="AG179" i="19" s="1"/>
  <c r="J195" i="19"/>
  <c r="AE195" i="19"/>
  <c r="AG195" i="19" s="1"/>
  <c r="J98" i="19"/>
  <c r="AE98" i="19"/>
  <c r="AG98" i="19" s="1"/>
  <c r="J191" i="19"/>
  <c r="AE191" i="19"/>
  <c r="AG191" i="19" s="1"/>
  <c r="J145" i="19"/>
  <c r="AE145" i="19"/>
  <c r="AG145" i="19" s="1"/>
  <c r="J150" i="19"/>
  <c r="AE150" i="19"/>
  <c r="AG150" i="19" s="1"/>
  <c r="J127" i="19"/>
  <c r="AE127" i="19"/>
  <c r="AG127" i="19" s="1"/>
  <c r="J110" i="19"/>
  <c r="AE110" i="19"/>
  <c r="AG110" i="19" s="1"/>
  <c r="J194" i="19"/>
  <c r="AE194" i="19"/>
  <c r="AG194" i="19" s="1"/>
  <c r="J138" i="19"/>
  <c r="AE138" i="19"/>
  <c r="AG138" i="19" s="1"/>
  <c r="J186" i="19"/>
  <c r="AE186" i="19"/>
  <c r="AG186" i="19" s="1"/>
  <c r="J91" i="19"/>
  <c r="AE91" i="19"/>
  <c r="AG91" i="19" s="1"/>
  <c r="J167" i="19"/>
  <c r="AE167" i="19"/>
  <c r="AG167" i="19" s="1"/>
  <c r="J164" i="19"/>
  <c r="AE164" i="19"/>
  <c r="AG164" i="19" s="1"/>
  <c r="J154" i="19"/>
  <c r="AE154" i="19"/>
  <c r="AG154" i="19" s="1"/>
  <c r="J160" i="19"/>
  <c r="AE160" i="19"/>
  <c r="AG160" i="19" s="1"/>
  <c r="J207" i="19"/>
  <c r="AE207" i="19"/>
  <c r="AG207" i="19" s="1"/>
  <c r="J171" i="19"/>
  <c r="AE171" i="19"/>
  <c r="AG171" i="19" s="1"/>
  <c r="J113" i="19"/>
  <c r="AE113" i="19"/>
  <c r="AG113" i="19" s="1"/>
  <c r="J192" i="19"/>
  <c r="AE192" i="19"/>
  <c r="AG192" i="19" s="1"/>
  <c r="J185" i="19"/>
  <c r="AE185" i="19"/>
  <c r="AG185" i="19" s="1"/>
  <c r="J143" i="19"/>
  <c r="AE143" i="19"/>
  <c r="AG143" i="19" s="1"/>
  <c r="J79" i="19"/>
  <c r="AE79" i="19"/>
  <c r="AG79" i="19" s="1"/>
  <c r="J183" i="19"/>
  <c r="AE183" i="19"/>
  <c r="AG183" i="19" s="1"/>
  <c r="J166" i="19"/>
  <c r="AE166" i="19"/>
  <c r="AG166" i="19" s="1"/>
  <c r="J140" i="19"/>
  <c r="AE140" i="19"/>
  <c r="AG140" i="19" s="1"/>
  <c r="J197" i="19"/>
  <c r="AE197" i="19"/>
  <c r="AG197" i="19" s="1"/>
  <c r="J147" i="19"/>
  <c r="AE147" i="19"/>
  <c r="AG147" i="19" s="1"/>
  <c r="J193" i="19"/>
  <c r="AE193" i="19"/>
  <c r="AG193" i="19" s="1"/>
  <c r="J174" i="19"/>
  <c r="AE174" i="19"/>
  <c r="AG174" i="19" s="1"/>
  <c r="J112" i="19"/>
  <c r="AE112" i="19"/>
  <c r="AG112" i="19" s="1"/>
  <c r="J129" i="19"/>
  <c r="AE129" i="19"/>
  <c r="AG129" i="19" s="1"/>
  <c r="J118" i="19"/>
  <c r="AE118" i="19"/>
  <c r="AG118" i="19" s="1"/>
  <c r="J125" i="19"/>
  <c r="AE125" i="19"/>
  <c r="AG125" i="19" s="1"/>
  <c r="J190" i="19"/>
  <c r="AE190" i="19"/>
  <c r="AG190" i="19" s="1"/>
  <c r="J152" i="19"/>
  <c r="AE152" i="19"/>
  <c r="AG152" i="19" s="1"/>
  <c r="J177" i="19"/>
  <c r="AE177" i="19"/>
  <c r="AG177" i="19" s="1"/>
  <c r="J182" i="19"/>
  <c r="AE182" i="19"/>
  <c r="AG182" i="19" s="1"/>
  <c r="J128" i="19"/>
  <c r="AE128" i="19"/>
  <c r="AG128" i="19" s="1"/>
  <c r="J117" i="19"/>
  <c r="AE117" i="19"/>
  <c r="AG117" i="19" s="1"/>
  <c r="M76" i="19"/>
  <c r="CO42" i="39"/>
  <c r="GK42" i="39" s="1"/>
  <c r="GY42" i="39" s="1"/>
  <c r="CM143" i="39"/>
  <c r="DC143" i="39" s="1"/>
  <c r="AB143" i="19" s="1"/>
  <c r="CV14" i="39"/>
  <c r="GR14" i="39" s="1"/>
  <c r="CX14" i="39"/>
  <c r="GT14" i="39" s="1"/>
  <c r="HH41" i="39"/>
  <c r="GQ45" i="39"/>
  <c r="CX94" i="39"/>
  <c r="GT94" i="39" s="1"/>
  <c r="HH94" i="39"/>
  <c r="HI89" i="39"/>
  <c r="HF37" i="39"/>
  <c r="CW63" i="39"/>
  <c r="V63" i="19" s="1"/>
  <c r="CY63" i="39"/>
  <c r="GU63" i="39" s="1"/>
  <c r="HG40" i="39"/>
  <c r="M209" i="19"/>
  <c r="M81" i="19"/>
  <c r="HF62" i="39"/>
  <c r="HG62" i="39"/>
  <c r="M55" i="19"/>
  <c r="AD33" i="19"/>
  <c r="CQ20" i="39"/>
  <c r="GM20" i="39" s="1"/>
  <c r="HA20" i="39" s="1"/>
  <c r="HC20" i="39" s="1"/>
  <c r="HF40" i="39"/>
  <c r="M25" i="19"/>
  <c r="HH40" i="39"/>
  <c r="GI55" i="39"/>
  <c r="GW55" i="39" s="1"/>
  <c r="HE55" i="39" s="1"/>
  <c r="HI55" i="39" s="1"/>
  <c r="DC55" i="39"/>
  <c r="AB55" i="19" s="1"/>
  <c r="CO55" i="39"/>
  <c r="GK55" i="39" s="1"/>
  <c r="GY55" i="39" s="1"/>
  <c r="DB55" i="39"/>
  <c r="AA55" i="19" s="1"/>
  <c r="CU55" i="39"/>
  <c r="CY55" i="39" s="1"/>
  <c r="DA55" i="39"/>
  <c r="Z55" i="19" s="1"/>
  <c r="GK20" i="39"/>
  <c r="GY20" i="39" s="1"/>
  <c r="GK68" i="39"/>
  <c r="GY68" i="39" s="1"/>
  <c r="O68" i="19"/>
  <c r="CQ58" i="39"/>
  <c r="GM58" i="39" s="1"/>
  <c r="HA58" i="39" s="1"/>
  <c r="HC58" i="39" s="1"/>
  <c r="CO64" i="39"/>
  <c r="O64" i="19" s="1"/>
  <c r="DC123" i="39"/>
  <c r="AB123" i="19" s="1"/>
  <c r="CW51" i="39"/>
  <c r="GS51" i="39" s="1"/>
  <c r="HH68" i="39"/>
  <c r="T45" i="19"/>
  <c r="GK58" i="39"/>
  <c r="GY58" i="39" s="1"/>
  <c r="DB123" i="39"/>
  <c r="AA123" i="19" s="1"/>
  <c r="CX45" i="39"/>
  <c r="W45" i="19" s="1"/>
  <c r="HF89" i="39"/>
  <c r="CY45" i="39"/>
  <c r="GU45" i="39" s="1"/>
  <c r="HG89" i="39"/>
  <c r="CV45" i="39"/>
  <c r="U45" i="19" s="1"/>
  <c r="T37" i="19"/>
  <c r="CU42" i="39"/>
  <c r="CV42" i="39" s="1"/>
  <c r="HF41" i="39"/>
  <c r="HG41" i="39"/>
  <c r="O14" i="19"/>
  <c r="CW41" i="39"/>
  <c r="V41" i="19" s="1"/>
  <c r="CV92" i="39"/>
  <c r="GR92" i="39" s="1"/>
  <c r="CY14" i="39"/>
  <c r="GU14" i="39" s="1"/>
  <c r="T17" i="19"/>
  <c r="CO123" i="39"/>
  <c r="O123" i="19" s="1"/>
  <c r="DA123" i="39"/>
  <c r="Z123" i="19" s="1"/>
  <c r="GQ17" i="39"/>
  <c r="GI123" i="39"/>
  <c r="GW123" i="39" s="1"/>
  <c r="HE123" i="39" s="1"/>
  <c r="HF123" i="39" s="1"/>
  <c r="CZ123" i="39"/>
  <c r="Y123" i="19" s="1"/>
  <c r="GQ51" i="39"/>
  <c r="T92" i="19"/>
  <c r="CW102" i="39"/>
  <c r="GS102" i="39" s="1"/>
  <c r="CW14" i="39"/>
  <c r="V14" i="19" s="1"/>
  <c r="CW92" i="39"/>
  <c r="GS92" i="39" s="1"/>
  <c r="CQ94" i="39"/>
  <c r="Q94" i="19" s="1"/>
  <c r="GQ14" i="39"/>
  <c r="T51" i="19"/>
  <c r="CY92" i="39"/>
  <c r="X92" i="19" s="1"/>
  <c r="HF102" i="39"/>
  <c r="CV51" i="39"/>
  <c r="GR51" i="39" s="1"/>
  <c r="CO184" i="39"/>
  <c r="CQ184" i="39" s="1"/>
  <c r="M35" i="19"/>
  <c r="CX92" i="39"/>
  <c r="W92" i="19" s="1"/>
  <c r="CX51" i="39"/>
  <c r="GT51" i="39" s="1"/>
  <c r="HH62" i="39"/>
  <c r="CX41" i="39"/>
  <c r="W41" i="19" s="1"/>
  <c r="GQ41" i="39"/>
  <c r="CY68" i="39"/>
  <c r="X68" i="19" s="1"/>
  <c r="GQ68" i="39"/>
  <c r="CQ56" i="39"/>
  <c r="GM56" i="39" s="1"/>
  <c r="HA56" i="39" s="1"/>
  <c r="HC56" i="39" s="1"/>
  <c r="CV68" i="39"/>
  <c r="U68" i="19" s="1"/>
  <c r="O56" i="19"/>
  <c r="O67" i="19"/>
  <c r="T41" i="19"/>
  <c r="HF94" i="39"/>
  <c r="CQ67" i="39"/>
  <c r="GM67" i="39" s="1"/>
  <c r="HA67" i="39" s="1"/>
  <c r="HC67" i="39" s="1"/>
  <c r="CQ102" i="39"/>
  <c r="GM102" i="39" s="1"/>
  <c r="HA102" i="39" s="1"/>
  <c r="HC102" i="39" s="1"/>
  <c r="AD31" i="19"/>
  <c r="CO212" i="39"/>
  <c r="GK212" i="39" s="1"/>
  <c r="GY212" i="39" s="1"/>
  <c r="T68" i="19"/>
  <c r="HI94" i="39"/>
  <c r="GQ58" i="39"/>
  <c r="O37" i="19"/>
  <c r="GK102" i="39"/>
  <c r="GY102" i="39" s="1"/>
  <c r="GK14" i="39"/>
  <c r="GY14" i="39" s="1"/>
  <c r="CY41" i="39"/>
  <c r="GU41" i="39" s="1"/>
  <c r="O94" i="19"/>
  <c r="L176" i="19"/>
  <c r="AD176" i="19" s="1"/>
  <c r="CX63" i="39"/>
  <c r="W63" i="19" s="1"/>
  <c r="CV63" i="39"/>
  <c r="GR63" i="39" s="1"/>
  <c r="T63" i="19"/>
  <c r="M51" i="19"/>
  <c r="CU184" i="39"/>
  <c r="T184" i="19" s="1"/>
  <c r="CV37" i="39"/>
  <c r="GR37" i="39" s="1"/>
  <c r="M57" i="19"/>
  <c r="DU168" i="39"/>
  <c r="CW37" i="39"/>
  <c r="V37" i="19" s="1"/>
  <c r="DW160" i="39"/>
  <c r="DC64" i="39"/>
  <c r="AB64" i="19" s="1"/>
  <c r="CX37" i="39"/>
  <c r="W37" i="19" s="1"/>
  <c r="DB64" i="39"/>
  <c r="AA64" i="19" s="1"/>
  <c r="CY37" i="39"/>
  <c r="GU37" i="39" s="1"/>
  <c r="GI64" i="39"/>
  <c r="GW64" i="39" s="1"/>
  <c r="HE64" i="39" s="1"/>
  <c r="HG64" i="39" s="1"/>
  <c r="DA64" i="39"/>
  <c r="Z64" i="19" s="1"/>
  <c r="DA18" i="39"/>
  <c r="Z18" i="19" s="1"/>
  <c r="M90" i="19"/>
  <c r="CZ64" i="39"/>
  <c r="Y64" i="19" s="1"/>
  <c r="CM150" i="39"/>
  <c r="M16" i="19"/>
  <c r="CV102" i="39"/>
  <c r="U102" i="19" s="1"/>
  <c r="O89" i="19"/>
  <c r="CY102" i="39"/>
  <c r="X102" i="19" s="1"/>
  <c r="CQ89" i="39"/>
  <c r="CS89" i="39" s="1"/>
  <c r="M50" i="19"/>
  <c r="GQ102" i="39"/>
  <c r="M105" i="19"/>
  <c r="CX102" i="39"/>
  <c r="W102" i="19" s="1"/>
  <c r="HI87" i="39"/>
  <c r="GI153" i="39"/>
  <c r="GW153" i="39" s="1"/>
  <c r="HE153" i="39" s="1"/>
  <c r="HG153" i="39" s="1"/>
  <c r="DW207" i="39"/>
  <c r="M136" i="19"/>
  <c r="HI68" i="39"/>
  <c r="CW17" i="39"/>
  <c r="GS17" i="39" s="1"/>
  <c r="DB18" i="39"/>
  <c r="AA18" i="19" s="1"/>
  <c r="HF56" i="39"/>
  <c r="O53" i="19"/>
  <c r="CW58" i="39"/>
  <c r="GS58" i="39" s="1"/>
  <c r="CQ37" i="39"/>
  <c r="GM37" i="39" s="1"/>
  <c r="HA37" i="39" s="1"/>
  <c r="HC37" i="39" s="1"/>
  <c r="HG76" i="39"/>
  <c r="CQ63" i="39"/>
  <c r="Q63" i="19" s="1"/>
  <c r="CZ18" i="39"/>
  <c r="Y18" i="19" s="1"/>
  <c r="HG56" i="39"/>
  <c r="CQ53" i="39"/>
  <c r="GM53" i="39" s="1"/>
  <c r="HA53" i="39" s="1"/>
  <c r="HC53" i="39" s="1"/>
  <c r="CX58" i="39"/>
  <c r="W58" i="19" s="1"/>
  <c r="HH76" i="39"/>
  <c r="O63" i="19"/>
  <c r="HH14" i="39"/>
  <c r="M172" i="19"/>
  <c r="HH56" i="39"/>
  <c r="O40" i="19"/>
  <c r="HH102" i="39"/>
  <c r="HH37" i="39"/>
  <c r="CY58" i="39"/>
  <c r="X58" i="19" s="1"/>
  <c r="HI76" i="39"/>
  <c r="CY17" i="39"/>
  <c r="X17" i="19" s="1"/>
  <c r="M74" i="19"/>
  <c r="HF68" i="39"/>
  <c r="HI102" i="39"/>
  <c r="HG37" i="39"/>
  <c r="T58" i="19"/>
  <c r="CV17" i="39"/>
  <c r="GR17" i="39" s="1"/>
  <c r="M214" i="19"/>
  <c r="HH58" i="39"/>
  <c r="T94" i="19"/>
  <c r="M139" i="19"/>
  <c r="M19" i="19"/>
  <c r="CV94" i="39"/>
  <c r="GR94" i="39" s="1"/>
  <c r="CW94" i="39"/>
  <c r="V94" i="19" s="1"/>
  <c r="CM204" i="39"/>
  <c r="CY94" i="39"/>
  <c r="X94" i="19" s="1"/>
  <c r="M149" i="19"/>
  <c r="HF58" i="39"/>
  <c r="HI58" i="39"/>
  <c r="CU18" i="39"/>
  <c r="CO18" i="39"/>
  <c r="GI18" i="39"/>
  <c r="GW18" i="39" s="1"/>
  <c r="HE18" i="39" s="1"/>
  <c r="M34" i="19"/>
  <c r="CO148" i="39"/>
  <c r="CQ148" i="39" s="1"/>
  <c r="GM148" i="39" s="1"/>
  <c r="HA148" i="39" s="1"/>
  <c r="HC148" i="39" s="1"/>
  <c r="CO153" i="39"/>
  <c r="GK153" i="39" s="1"/>
  <c r="GY153" i="39" s="1"/>
  <c r="A114" i="37"/>
  <c r="F22" i="37"/>
  <c r="A114" i="38"/>
  <c r="F22" i="38"/>
  <c r="CO124" i="39"/>
  <c r="CQ124" i="39" s="1"/>
  <c r="GI124" i="39"/>
  <c r="GW124" i="39" s="1"/>
  <c r="HE124" i="39" s="1"/>
  <c r="HH124" i="39" s="1"/>
  <c r="GI44" i="39"/>
  <c r="GW44" i="39" s="1"/>
  <c r="HE44" i="39" s="1"/>
  <c r="HH44" i="39" s="1"/>
  <c r="CM176" i="39"/>
  <c r="M184" i="19"/>
  <c r="L150" i="19"/>
  <c r="AD150" i="19" s="1"/>
  <c r="CZ70" i="39"/>
  <c r="Y70" i="19" s="1"/>
  <c r="DA70" i="39"/>
  <c r="Z70" i="19" s="1"/>
  <c r="DB70" i="39"/>
  <c r="AA70" i="19" s="1"/>
  <c r="DC70" i="39"/>
  <c r="AB70" i="19" s="1"/>
  <c r="CZ25" i="39"/>
  <c r="Y25" i="19" s="1"/>
  <c r="DC25" i="39"/>
  <c r="AB25" i="19" s="1"/>
  <c r="DA25" i="39"/>
  <c r="Z25" i="19" s="1"/>
  <c r="DB25" i="39"/>
  <c r="AA25" i="19" s="1"/>
  <c r="DB208" i="39"/>
  <c r="AA208" i="19" s="1"/>
  <c r="DA208" i="39"/>
  <c r="Z208" i="19" s="1"/>
  <c r="DC208" i="39"/>
  <c r="AB208" i="19" s="1"/>
  <c r="CZ208" i="39"/>
  <c r="Y208" i="19" s="1"/>
  <c r="CZ213" i="39"/>
  <c r="Y213" i="19" s="1"/>
  <c r="DA213" i="39"/>
  <c r="Z213" i="19" s="1"/>
  <c r="DB213" i="39"/>
  <c r="AA213" i="19" s="1"/>
  <c r="DC213" i="39"/>
  <c r="AB213" i="19" s="1"/>
  <c r="GI196" i="39"/>
  <c r="GW196" i="39" s="1"/>
  <c r="HE196" i="39" s="1"/>
  <c r="HF196" i="39" s="1"/>
  <c r="DB196" i="39"/>
  <c r="AA196" i="19" s="1"/>
  <c r="DC196" i="39"/>
  <c r="AB196" i="19" s="1"/>
  <c r="DA196" i="39"/>
  <c r="Z196" i="19" s="1"/>
  <c r="CZ196" i="39"/>
  <c r="Y196" i="19" s="1"/>
  <c r="CO106" i="39"/>
  <c r="O106" i="19" s="1"/>
  <c r="CZ106" i="39"/>
  <c r="Y106" i="19" s="1"/>
  <c r="DA106" i="39"/>
  <c r="Z106" i="19" s="1"/>
  <c r="DB106" i="39"/>
  <c r="AA106" i="19" s="1"/>
  <c r="DC106" i="39"/>
  <c r="AB106" i="19" s="1"/>
  <c r="L186" i="19"/>
  <c r="CO33" i="39"/>
  <c r="CZ61" i="39"/>
  <c r="Y61" i="19" s="1"/>
  <c r="DA61" i="39"/>
  <c r="Z61" i="19" s="1"/>
  <c r="DB61" i="39"/>
  <c r="AA61" i="19" s="1"/>
  <c r="DC61" i="39"/>
  <c r="AB61" i="19" s="1"/>
  <c r="CZ100" i="39"/>
  <c r="Y100" i="19" s="1"/>
  <c r="DA100" i="39"/>
  <c r="Z100" i="19" s="1"/>
  <c r="DB100" i="39"/>
  <c r="AA100" i="19" s="1"/>
  <c r="DC100" i="39"/>
  <c r="AB100" i="19" s="1"/>
  <c r="GI54" i="39"/>
  <c r="GW54" i="39" s="1"/>
  <c r="HE54" i="39" s="1"/>
  <c r="HH54" i="39" s="1"/>
  <c r="CZ54" i="39"/>
  <c r="Y54" i="19" s="1"/>
  <c r="DA54" i="39"/>
  <c r="Z54" i="19" s="1"/>
  <c r="DB54" i="39"/>
  <c r="AA54" i="19" s="1"/>
  <c r="DC54" i="39"/>
  <c r="AB54" i="19" s="1"/>
  <c r="AD165" i="19"/>
  <c r="F20" i="5"/>
  <c r="CU136" i="39"/>
  <c r="GQ136" i="39" s="1"/>
  <c r="CZ136" i="39"/>
  <c r="Y136" i="19" s="1"/>
  <c r="DA136" i="39"/>
  <c r="Z136" i="19" s="1"/>
  <c r="DB136" i="39"/>
  <c r="AA136" i="19" s="1"/>
  <c r="DC136" i="39"/>
  <c r="AB136" i="19" s="1"/>
  <c r="GI156" i="39"/>
  <c r="GW156" i="39" s="1"/>
  <c r="HE156" i="39" s="1"/>
  <c r="HI156" i="39" s="1"/>
  <c r="CZ156" i="39"/>
  <c r="Y156" i="19" s="1"/>
  <c r="DA156" i="39"/>
  <c r="Z156" i="19" s="1"/>
  <c r="DB156" i="39"/>
  <c r="AA156" i="19" s="1"/>
  <c r="DC156" i="39"/>
  <c r="AB156" i="19" s="1"/>
  <c r="CO29" i="39"/>
  <c r="CQ29" i="39" s="1"/>
  <c r="CZ29" i="39"/>
  <c r="Y29" i="19" s="1"/>
  <c r="DA29" i="39"/>
  <c r="Z29" i="19" s="1"/>
  <c r="DB29" i="39"/>
  <c r="AA29" i="19" s="1"/>
  <c r="DC29" i="39"/>
  <c r="AB29" i="19" s="1"/>
  <c r="GI169" i="39"/>
  <c r="GW169" i="39" s="1"/>
  <c r="HE169" i="39" s="1"/>
  <c r="HG169" i="39" s="1"/>
  <c r="CZ169" i="39"/>
  <c r="Y169" i="19" s="1"/>
  <c r="DA169" i="39"/>
  <c r="Z169" i="19" s="1"/>
  <c r="DB169" i="39"/>
  <c r="AA169" i="19" s="1"/>
  <c r="DC169" i="39"/>
  <c r="AB169" i="19" s="1"/>
  <c r="CZ96" i="39"/>
  <c r="Y96" i="19" s="1"/>
  <c r="DA96" i="39"/>
  <c r="Z96" i="19" s="1"/>
  <c r="DB96" i="39"/>
  <c r="AA96" i="19" s="1"/>
  <c r="DC96" i="39"/>
  <c r="AB96" i="19" s="1"/>
  <c r="CZ104" i="39"/>
  <c r="Y104" i="19" s="1"/>
  <c r="DA104" i="39"/>
  <c r="Z104" i="19" s="1"/>
  <c r="DB104" i="39"/>
  <c r="AA104" i="19" s="1"/>
  <c r="DC104" i="39"/>
  <c r="AB104" i="19" s="1"/>
  <c r="CZ99" i="39"/>
  <c r="Y99" i="19" s="1"/>
  <c r="DA99" i="39"/>
  <c r="Z99" i="19" s="1"/>
  <c r="DB99" i="39"/>
  <c r="AA99" i="19" s="1"/>
  <c r="DC99" i="39"/>
  <c r="AB99" i="19" s="1"/>
  <c r="CZ103" i="39"/>
  <c r="Y103" i="19" s="1"/>
  <c r="DA103" i="39"/>
  <c r="Z103" i="19" s="1"/>
  <c r="DB103" i="39"/>
  <c r="AA103" i="19" s="1"/>
  <c r="DC103" i="39"/>
  <c r="AB103" i="19" s="1"/>
  <c r="CO32" i="39"/>
  <c r="O32" i="19" s="1"/>
  <c r="CZ32" i="39"/>
  <c r="Y32" i="19" s="1"/>
  <c r="DA32" i="39"/>
  <c r="Z32" i="19" s="1"/>
  <c r="DB32" i="39"/>
  <c r="AA32" i="19" s="1"/>
  <c r="DC32" i="39"/>
  <c r="AB32" i="19" s="1"/>
  <c r="CZ189" i="39"/>
  <c r="Y189" i="19" s="1"/>
  <c r="DA189" i="39"/>
  <c r="Z189" i="19" s="1"/>
  <c r="DB189" i="39"/>
  <c r="AA189" i="19" s="1"/>
  <c r="DC189" i="39"/>
  <c r="AB189" i="19" s="1"/>
  <c r="CZ137" i="39"/>
  <c r="Y137" i="19" s="1"/>
  <c r="DA137" i="39"/>
  <c r="Z137" i="19" s="1"/>
  <c r="DB137" i="39"/>
  <c r="AA137" i="19" s="1"/>
  <c r="DC137" i="39"/>
  <c r="AB137" i="19" s="1"/>
  <c r="DB214" i="39"/>
  <c r="AA214" i="19" s="1"/>
  <c r="DC214" i="39"/>
  <c r="AB214" i="19" s="1"/>
  <c r="DA214" i="39"/>
  <c r="Z214" i="19" s="1"/>
  <c r="CZ214" i="39"/>
  <c r="Y214" i="19" s="1"/>
  <c r="CU133" i="39"/>
  <c r="GQ133" i="39" s="1"/>
  <c r="CZ133" i="39"/>
  <c r="Y133" i="19" s="1"/>
  <c r="DA133" i="39"/>
  <c r="Z133" i="19" s="1"/>
  <c r="DB133" i="39"/>
  <c r="AA133" i="19" s="1"/>
  <c r="DC133" i="39"/>
  <c r="AB133" i="19" s="1"/>
  <c r="GI159" i="39"/>
  <c r="GW159" i="39" s="1"/>
  <c r="HE159" i="39" s="1"/>
  <c r="HG159" i="39" s="1"/>
  <c r="CZ159" i="39"/>
  <c r="Y159" i="19" s="1"/>
  <c r="DA159" i="39"/>
  <c r="Z159" i="19" s="1"/>
  <c r="DC159" i="39"/>
  <c r="AB159" i="19" s="1"/>
  <c r="DB159" i="39"/>
  <c r="AA159" i="19" s="1"/>
  <c r="CU162" i="39"/>
  <c r="GQ162" i="39" s="1"/>
  <c r="CZ162" i="39"/>
  <c r="Y162" i="19" s="1"/>
  <c r="DA162" i="39"/>
  <c r="Z162" i="19" s="1"/>
  <c r="DB162" i="39"/>
  <c r="AA162" i="19" s="1"/>
  <c r="DC162" i="39"/>
  <c r="AB162" i="19" s="1"/>
  <c r="GI120" i="39"/>
  <c r="GW120" i="39" s="1"/>
  <c r="HE120" i="39" s="1"/>
  <c r="HG120" i="39" s="1"/>
  <c r="CZ120" i="39"/>
  <c r="Y120" i="19" s="1"/>
  <c r="DA120" i="39"/>
  <c r="Z120" i="19" s="1"/>
  <c r="DB120" i="39"/>
  <c r="AA120" i="19" s="1"/>
  <c r="DC120" i="39"/>
  <c r="AB120" i="19" s="1"/>
  <c r="CZ59" i="39"/>
  <c r="Y59" i="19" s="1"/>
  <c r="DA59" i="39"/>
  <c r="Z59" i="19" s="1"/>
  <c r="DB59" i="39"/>
  <c r="AA59" i="19" s="1"/>
  <c r="DC59" i="39"/>
  <c r="AB59" i="19" s="1"/>
  <c r="CZ80" i="39"/>
  <c r="Y80" i="19" s="1"/>
  <c r="DA80" i="39"/>
  <c r="Z80" i="19" s="1"/>
  <c r="DB80" i="39"/>
  <c r="AA80" i="19" s="1"/>
  <c r="DC80" i="39"/>
  <c r="AB80" i="19" s="1"/>
  <c r="CO60" i="39"/>
  <c r="GK60" i="39" s="1"/>
  <c r="GY60" i="39" s="1"/>
  <c r="CZ60" i="39"/>
  <c r="Y60" i="19" s="1"/>
  <c r="DA60" i="39"/>
  <c r="Z60" i="19" s="1"/>
  <c r="DB60" i="39"/>
  <c r="AA60" i="19" s="1"/>
  <c r="DC60" i="39"/>
  <c r="AB60" i="19" s="1"/>
  <c r="CZ187" i="39"/>
  <c r="Y187" i="19" s="1"/>
  <c r="DA187" i="39"/>
  <c r="Z187" i="19" s="1"/>
  <c r="DB187" i="39"/>
  <c r="AA187" i="19" s="1"/>
  <c r="DC187" i="39"/>
  <c r="AB187" i="19" s="1"/>
  <c r="CO83" i="39"/>
  <c r="GK83" i="39" s="1"/>
  <c r="GY83" i="39" s="1"/>
  <c r="CZ83" i="39"/>
  <c r="Y83" i="19" s="1"/>
  <c r="DA83" i="39"/>
  <c r="Z83" i="19" s="1"/>
  <c r="DB83" i="39"/>
  <c r="AA83" i="19" s="1"/>
  <c r="DC83" i="39"/>
  <c r="AB83" i="19" s="1"/>
  <c r="CU38" i="39"/>
  <c r="GQ38" i="39" s="1"/>
  <c r="CZ38" i="39"/>
  <c r="Y38" i="19" s="1"/>
  <c r="DA38" i="39"/>
  <c r="Z38" i="19" s="1"/>
  <c r="DB38" i="39"/>
  <c r="AA38" i="19" s="1"/>
  <c r="DC38" i="39"/>
  <c r="AB38" i="19" s="1"/>
  <c r="GI142" i="39"/>
  <c r="GW142" i="39" s="1"/>
  <c r="HE142" i="39" s="1"/>
  <c r="HF142" i="39" s="1"/>
  <c r="CZ142" i="39"/>
  <c r="Y142" i="19" s="1"/>
  <c r="DA142" i="39"/>
  <c r="Z142" i="19" s="1"/>
  <c r="DB142" i="39"/>
  <c r="AA142" i="19" s="1"/>
  <c r="DC142" i="39"/>
  <c r="AB142" i="19" s="1"/>
  <c r="GI72" i="39"/>
  <c r="GW72" i="39" s="1"/>
  <c r="HE72" i="39" s="1"/>
  <c r="HF72" i="39" s="1"/>
  <c r="CZ72" i="39"/>
  <c r="Y72" i="19" s="1"/>
  <c r="DA72" i="39"/>
  <c r="Z72" i="19" s="1"/>
  <c r="DB72" i="39"/>
  <c r="AA72" i="19" s="1"/>
  <c r="DC72" i="39"/>
  <c r="AB72" i="19" s="1"/>
  <c r="GI101" i="39"/>
  <c r="GW101" i="39" s="1"/>
  <c r="HE101" i="39" s="1"/>
  <c r="HI101" i="39" s="1"/>
  <c r="CZ101" i="39"/>
  <c r="Y101" i="19" s="1"/>
  <c r="DB101" i="39"/>
  <c r="AA101" i="19" s="1"/>
  <c r="DC101" i="39"/>
  <c r="AB101" i="19" s="1"/>
  <c r="DA101" i="39"/>
  <c r="Z101" i="19" s="1"/>
  <c r="GI212" i="39"/>
  <c r="GW212" i="39" s="1"/>
  <c r="HE212" i="39" s="1"/>
  <c r="HG212" i="39" s="1"/>
  <c r="DB212" i="39"/>
  <c r="AA212" i="19" s="1"/>
  <c r="DC212" i="39"/>
  <c r="AB212" i="19" s="1"/>
  <c r="CZ212" i="39"/>
  <c r="Y212" i="19" s="1"/>
  <c r="DA212" i="39"/>
  <c r="Z212" i="19" s="1"/>
  <c r="CU146" i="39"/>
  <c r="CX146" i="39" s="1"/>
  <c r="CZ146" i="39"/>
  <c r="Y146" i="19" s="1"/>
  <c r="DA146" i="39"/>
  <c r="Z146" i="19" s="1"/>
  <c r="DB146" i="39"/>
  <c r="AA146" i="19" s="1"/>
  <c r="DC146" i="39"/>
  <c r="AB146" i="19" s="1"/>
  <c r="CZ57" i="39"/>
  <c r="Y57" i="19" s="1"/>
  <c r="DC57" i="39"/>
  <c r="AB57" i="19" s="1"/>
  <c r="DA57" i="39"/>
  <c r="Z57" i="19" s="1"/>
  <c r="DB57" i="39"/>
  <c r="AA57" i="19" s="1"/>
  <c r="CZ84" i="39"/>
  <c r="Y84" i="19" s="1"/>
  <c r="DA84" i="39"/>
  <c r="Z84" i="19" s="1"/>
  <c r="DB84" i="39"/>
  <c r="AA84" i="19" s="1"/>
  <c r="DC84" i="39"/>
  <c r="AB84" i="19" s="1"/>
  <c r="CO105" i="39"/>
  <c r="GK105" i="39" s="1"/>
  <c r="GY105" i="39" s="1"/>
  <c r="CZ105" i="39"/>
  <c r="Y105" i="19" s="1"/>
  <c r="DC105" i="39"/>
  <c r="AB105" i="19" s="1"/>
  <c r="DA105" i="39"/>
  <c r="Z105" i="19" s="1"/>
  <c r="DB105" i="39"/>
  <c r="AA105" i="19" s="1"/>
  <c r="DC175" i="39"/>
  <c r="AB175" i="19" s="1"/>
  <c r="CZ175" i="39"/>
  <c r="Y175" i="19" s="1"/>
  <c r="DA175" i="39"/>
  <c r="Z175" i="19" s="1"/>
  <c r="DB175" i="39"/>
  <c r="AA175" i="19" s="1"/>
  <c r="CO132" i="39"/>
  <c r="CQ132" i="39" s="1"/>
  <c r="CZ132" i="39"/>
  <c r="Y132" i="19" s="1"/>
  <c r="DA132" i="39"/>
  <c r="Z132" i="19" s="1"/>
  <c r="DB132" i="39"/>
  <c r="AA132" i="19" s="1"/>
  <c r="DC132" i="39"/>
  <c r="AB132" i="19" s="1"/>
  <c r="CU114" i="39"/>
  <c r="CV114" i="39" s="1"/>
  <c r="CZ114" i="39"/>
  <c r="Y114" i="19" s="1"/>
  <c r="DA114" i="39"/>
  <c r="Z114" i="19" s="1"/>
  <c r="DB114" i="39"/>
  <c r="AA114" i="19" s="1"/>
  <c r="DC114" i="39"/>
  <c r="AB114" i="19" s="1"/>
  <c r="CO48" i="39"/>
  <c r="CQ48" i="39" s="1"/>
  <c r="CZ48" i="39"/>
  <c r="Y48" i="19" s="1"/>
  <c r="DA48" i="39"/>
  <c r="Z48" i="19" s="1"/>
  <c r="DB48" i="39"/>
  <c r="AA48" i="19" s="1"/>
  <c r="DC48" i="39"/>
  <c r="AB48" i="19" s="1"/>
  <c r="GI13" i="39"/>
  <c r="GW13" i="39" s="1"/>
  <c r="HE13" i="39" s="1"/>
  <c r="HI13" i="39" s="1"/>
  <c r="CZ13" i="39"/>
  <c r="Y13" i="19" s="1"/>
  <c r="DA13" i="39"/>
  <c r="Z13" i="19" s="1"/>
  <c r="DB13" i="39"/>
  <c r="AA13" i="19" s="1"/>
  <c r="DC13" i="39"/>
  <c r="AB13" i="19" s="1"/>
  <c r="CZ124" i="39"/>
  <c r="Y124" i="19" s="1"/>
  <c r="DA124" i="39"/>
  <c r="Z124" i="19" s="1"/>
  <c r="DB124" i="39"/>
  <c r="AA124" i="19" s="1"/>
  <c r="DC124" i="39"/>
  <c r="AB124" i="19" s="1"/>
  <c r="GI134" i="39"/>
  <c r="GW134" i="39" s="1"/>
  <c r="HE134" i="39" s="1"/>
  <c r="HH134" i="39" s="1"/>
  <c r="CZ134" i="39"/>
  <c r="Y134" i="19" s="1"/>
  <c r="DA134" i="39"/>
  <c r="Z134" i="19" s="1"/>
  <c r="DB134" i="39"/>
  <c r="AA134" i="19" s="1"/>
  <c r="DC134" i="39"/>
  <c r="AB134" i="19" s="1"/>
  <c r="CZ42" i="39"/>
  <c r="Y42" i="19" s="1"/>
  <c r="DA42" i="39"/>
  <c r="Z42" i="19" s="1"/>
  <c r="DB42" i="39"/>
  <c r="AA42" i="19" s="1"/>
  <c r="DC42" i="39"/>
  <c r="AB42" i="19" s="1"/>
  <c r="CU44" i="39"/>
  <c r="CZ44" i="39"/>
  <c r="Y44" i="19" s="1"/>
  <c r="DA44" i="39"/>
  <c r="Z44" i="19" s="1"/>
  <c r="DB44" i="39"/>
  <c r="AA44" i="19" s="1"/>
  <c r="DC44" i="39"/>
  <c r="AB44" i="19" s="1"/>
  <c r="AB58" i="19"/>
  <c r="CZ15" i="39"/>
  <c r="Y15" i="19" s="1"/>
  <c r="DA15" i="39"/>
  <c r="Z15" i="19" s="1"/>
  <c r="DC15" i="39"/>
  <c r="AB15" i="19" s="1"/>
  <c r="DB15" i="39"/>
  <c r="AA15" i="19" s="1"/>
  <c r="CZ46" i="39"/>
  <c r="Y46" i="19" s="1"/>
  <c r="DA46" i="39"/>
  <c r="Z46" i="19" s="1"/>
  <c r="DB46" i="39"/>
  <c r="AA46" i="19" s="1"/>
  <c r="DC46" i="39"/>
  <c r="AB46" i="19" s="1"/>
  <c r="CZ78" i="39"/>
  <c r="Y78" i="19" s="1"/>
  <c r="DA78" i="39"/>
  <c r="Z78" i="19" s="1"/>
  <c r="DB78" i="39"/>
  <c r="AA78" i="19" s="1"/>
  <c r="DC78" i="39"/>
  <c r="AB78" i="19" s="1"/>
  <c r="CZ69" i="39"/>
  <c r="Y69" i="19" s="1"/>
  <c r="DB69" i="39"/>
  <c r="AA69" i="19" s="1"/>
  <c r="DC69" i="39"/>
  <c r="AB69" i="19" s="1"/>
  <c r="DA69" i="39"/>
  <c r="Z69" i="19" s="1"/>
  <c r="CZ16" i="39"/>
  <c r="Y16" i="19" s="1"/>
  <c r="DA16" i="39"/>
  <c r="Z16" i="19" s="1"/>
  <c r="DB16" i="39"/>
  <c r="AA16" i="19" s="1"/>
  <c r="DC16" i="39"/>
  <c r="AB16" i="19" s="1"/>
  <c r="CO34" i="39"/>
  <c r="GK34" i="39" s="1"/>
  <c r="GY34" i="39" s="1"/>
  <c r="CZ34" i="39"/>
  <c r="Y34" i="19" s="1"/>
  <c r="DA34" i="39"/>
  <c r="Z34" i="19" s="1"/>
  <c r="DB34" i="39"/>
  <c r="AA34" i="19" s="1"/>
  <c r="DC34" i="39"/>
  <c r="AB34" i="19" s="1"/>
  <c r="CO52" i="39"/>
  <c r="O52" i="19" s="1"/>
  <c r="CZ52" i="39"/>
  <c r="Y52" i="19" s="1"/>
  <c r="DA52" i="39"/>
  <c r="Z52" i="19" s="1"/>
  <c r="DB52" i="39"/>
  <c r="AA52" i="19" s="1"/>
  <c r="DC52" i="39"/>
  <c r="AB52" i="19" s="1"/>
  <c r="CZ115" i="39"/>
  <c r="Y115" i="19" s="1"/>
  <c r="DA115" i="39"/>
  <c r="Z115" i="19" s="1"/>
  <c r="DB115" i="39"/>
  <c r="AA115" i="19" s="1"/>
  <c r="DC115" i="39"/>
  <c r="AB115" i="19" s="1"/>
  <c r="CO144" i="39"/>
  <c r="CQ144" i="39" s="1"/>
  <c r="CZ144" i="39"/>
  <c r="Y144" i="19" s="1"/>
  <c r="DA144" i="39"/>
  <c r="Z144" i="19" s="1"/>
  <c r="DB144" i="39"/>
  <c r="AA144" i="19" s="1"/>
  <c r="DC144" i="39"/>
  <c r="AB144" i="19" s="1"/>
  <c r="GI211" i="39"/>
  <c r="GW211" i="39" s="1"/>
  <c r="HE211" i="39" s="1"/>
  <c r="HI211" i="39" s="1"/>
  <c r="CZ211" i="39"/>
  <c r="Y211" i="19" s="1"/>
  <c r="DA211" i="39"/>
  <c r="Z211" i="19" s="1"/>
  <c r="DB211" i="39"/>
  <c r="AA211" i="19" s="1"/>
  <c r="DC211" i="39"/>
  <c r="AB211" i="19" s="1"/>
  <c r="DB184" i="39"/>
  <c r="AA184" i="19" s="1"/>
  <c r="DC184" i="39"/>
  <c r="AB184" i="19" s="1"/>
  <c r="CZ184" i="39"/>
  <c r="Y184" i="19" s="1"/>
  <c r="DA184" i="39"/>
  <c r="Z184" i="19" s="1"/>
  <c r="GI111" i="39"/>
  <c r="GW111" i="39" s="1"/>
  <c r="HE111" i="39" s="1"/>
  <c r="HH111" i="39" s="1"/>
  <c r="CZ111" i="39"/>
  <c r="Y111" i="19" s="1"/>
  <c r="DC111" i="39"/>
  <c r="AB111" i="19" s="1"/>
  <c r="DB111" i="39"/>
  <c r="AA111" i="19" s="1"/>
  <c r="DA111" i="39"/>
  <c r="Z111" i="19" s="1"/>
  <c r="CO75" i="39"/>
  <c r="O75" i="19" s="1"/>
  <c r="CZ75" i="39"/>
  <c r="Y75" i="19" s="1"/>
  <c r="DA75" i="39"/>
  <c r="Z75" i="19" s="1"/>
  <c r="DB75" i="39"/>
  <c r="AA75" i="19" s="1"/>
  <c r="DC75" i="39"/>
  <c r="AB75" i="19" s="1"/>
  <c r="CU77" i="39"/>
  <c r="CX77" i="39" s="1"/>
  <c r="CZ77" i="39"/>
  <c r="Y77" i="19" s="1"/>
  <c r="DA77" i="39"/>
  <c r="Z77" i="19" s="1"/>
  <c r="DB77" i="39"/>
  <c r="AA77" i="19" s="1"/>
  <c r="DC77" i="39"/>
  <c r="AB77" i="19" s="1"/>
  <c r="CU33" i="39"/>
  <c r="T33" i="19" s="1"/>
  <c r="CZ33" i="39"/>
  <c r="Y33" i="19" s="1"/>
  <c r="DA33" i="39"/>
  <c r="Z33" i="19" s="1"/>
  <c r="DB33" i="39"/>
  <c r="AA33" i="19" s="1"/>
  <c r="DC33" i="39"/>
  <c r="AB33" i="19" s="1"/>
  <c r="AA58" i="19"/>
  <c r="CO27" i="39"/>
  <c r="CQ27" i="39" s="1"/>
  <c r="CZ27" i="39"/>
  <c r="Y27" i="19" s="1"/>
  <c r="DA27" i="39"/>
  <c r="Z27" i="19" s="1"/>
  <c r="DB27" i="39"/>
  <c r="AA27" i="19" s="1"/>
  <c r="DC27" i="39"/>
  <c r="AB27" i="19" s="1"/>
  <c r="DC119" i="39"/>
  <c r="AB119" i="19" s="1"/>
  <c r="CZ119" i="39"/>
  <c r="Y119" i="19" s="1"/>
  <c r="DA119" i="39"/>
  <c r="Z119" i="19" s="1"/>
  <c r="DB119" i="39"/>
  <c r="AA119" i="19" s="1"/>
  <c r="DA215" i="39"/>
  <c r="Z215" i="19" s="1"/>
  <c r="CZ215" i="39"/>
  <c r="Y215" i="19" s="1"/>
  <c r="DB215" i="39"/>
  <c r="AA215" i="19" s="1"/>
  <c r="DC215" i="39"/>
  <c r="AB215" i="19" s="1"/>
  <c r="CZ149" i="39"/>
  <c r="Y149" i="19" s="1"/>
  <c r="DA149" i="39"/>
  <c r="Z149" i="19" s="1"/>
  <c r="DB149" i="39"/>
  <c r="AA149" i="19" s="1"/>
  <c r="DC149" i="39"/>
  <c r="AB149" i="19" s="1"/>
  <c r="CO22" i="39"/>
  <c r="GK22" i="39" s="1"/>
  <c r="GY22" i="39" s="1"/>
  <c r="CZ22" i="39"/>
  <c r="Y22" i="19" s="1"/>
  <c r="DA22" i="39"/>
  <c r="Z22" i="19" s="1"/>
  <c r="DB22" i="39"/>
  <c r="AA22" i="19" s="1"/>
  <c r="DC22" i="39"/>
  <c r="AB22" i="19" s="1"/>
  <c r="GI49" i="39"/>
  <c r="GW49" i="39" s="1"/>
  <c r="HE49" i="39" s="1"/>
  <c r="HI49" i="39" s="1"/>
  <c r="CZ49" i="39"/>
  <c r="Y49" i="19" s="1"/>
  <c r="DA49" i="39"/>
  <c r="Z49" i="19" s="1"/>
  <c r="DB49" i="39"/>
  <c r="AA49" i="19" s="1"/>
  <c r="DC49" i="39"/>
  <c r="AB49" i="19" s="1"/>
  <c r="CU121" i="39"/>
  <c r="CX121" i="39" s="1"/>
  <c r="CZ121" i="39"/>
  <c r="Y121" i="19" s="1"/>
  <c r="DA121" i="39"/>
  <c r="Z121" i="19" s="1"/>
  <c r="DB121" i="39"/>
  <c r="AA121" i="19" s="1"/>
  <c r="DC121" i="39"/>
  <c r="AB121" i="19" s="1"/>
  <c r="CO210" i="39"/>
  <c r="GK210" i="39" s="1"/>
  <c r="GY210" i="39" s="1"/>
  <c r="DB210" i="39"/>
  <c r="AA210" i="19" s="1"/>
  <c r="DC210" i="39"/>
  <c r="AB210" i="19" s="1"/>
  <c r="DA210" i="39"/>
  <c r="Z210" i="19" s="1"/>
  <c r="CZ210" i="39"/>
  <c r="Y210" i="19" s="1"/>
  <c r="CO108" i="39"/>
  <c r="CQ108" i="39" s="1"/>
  <c r="CZ108" i="39"/>
  <c r="Y108" i="19" s="1"/>
  <c r="DA108" i="39"/>
  <c r="Z108" i="19" s="1"/>
  <c r="DB108" i="39"/>
  <c r="AA108" i="19" s="1"/>
  <c r="DC108" i="39"/>
  <c r="AB108" i="19" s="1"/>
  <c r="GI73" i="39"/>
  <c r="GW73" i="39" s="1"/>
  <c r="HE73" i="39" s="1"/>
  <c r="HG73" i="39" s="1"/>
  <c r="CZ73" i="39"/>
  <c r="Y73" i="19" s="1"/>
  <c r="DA73" i="39"/>
  <c r="Z73" i="19" s="1"/>
  <c r="DB73" i="39"/>
  <c r="AA73" i="19" s="1"/>
  <c r="DC73" i="39"/>
  <c r="AB73" i="19" s="1"/>
  <c r="GI135" i="39"/>
  <c r="GW135" i="39" s="1"/>
  <c r="HE135" i="39" s="1"/>
  <c r="HI135" i="39" s="1"/>
  <c r="CZ135" i="39"/>
  <c r="Y135" i="19" s="1"/>
  <c r="DA135" i="39"/>
  <c r="Z135" i="19" s="1"/>
  <c r="DB135" i="39"/>
  <c r="AA135" i="19" s="1"/>
  <c r="DC135" i="39"/>
  <c r="AB135" i="19" s="1"/>
  <c r="F15" i="20"/>
  <c r="F15" i="10"/>
  <c r="F15" i="36"/>
  <c r="F17" i="36" s="1"/>
  <c r="A114" i="36" s="1"/>
  <c r="F15" i="23"/>
  <c r="I27" i="25" s="1"/>
  <c r="F15" i="9"/>
  <c r="F15" i="6"/>
  <c r="F17" i="5"/>
  <c r="F17" i="44" s="1"/>
  <c r="E18" i="44" s="1"/>
  <c r="I27" i="26"/>
  <c r="F15" i="32"/>
  <c r="F17" i="32" s="1"/>
  <c r="A114" i="32" s="1"/>
  <c r="F15" i="34"/>
  <c r="F15" i="24"/>
  <c r="F16" i="7"/>
  <c r="A251" i="5"/>
  <c r="F16" i="8"/>
  <c r="C1" i="5"/>
  <c r="Z58" i="19"/>
  <c r="CZ81" i="39"/>
  <c r="Y81" i="19" s="1"/>
  <c r="DA81" i="39"/>
  <c r="Z81" i="19" s="1"/>
  <c r="DB81" i="39"/>
  <c r="AA81" i="19" s="1"/>
  <c r="DC81" i="39"/>
  <c r="AB81" i="19" s="1"/>
  <c r="CO21" i="39"/>
  <c r="GK21" i="39" s="1"/>
  <c r="GY21" i="39" s="1"/>
  <c r="CZ21" i="39"/>
  <c r="Y21" i="19" s="1"/>
  <c r="DB21" i="39"/>
  <c r="AA21" i="19" s="1"/>
  <c r="DC21" i="39"/>
  <c r="AB21" i="19" s="1"/>
  <c r="DA21" i="39"/>
  <c r="Z21" i="19" s="1"/>
  <c r="DB178" i="39"/>
  <c r="AA178" i="19" s="1"/>
  <c r="DC178" i="39"/>
  <c r="AB178" i="19" s="1"/>
  <c r="CZ178" i="39"/>
  <c r="Y178" i="19" s="1"/>
  <c r="DA178" i="39"/>
  <c r="Z178" i="19" s="1"/>
  <c r="CZ165" i="39"/>
  <c r="Y165" i="19" s="1"/>
  <c r="DA165" i="39"/>
  <c r="Z165" i="19" s="1"/>
  <c r="DB165" i="39"/>
  <c r="AA165" i="19" s="1"/>
  <c r="DC165" i="39"/>
  <c r="AB165" i="19" s="1"/>
  <c r="CZ157" i="39"/>
  <c r="Y157" i="19" s="1"/>
  <c r="DA157" i="39"/>
  <c r="Z157" i="19" s="1"/>
  <c r="DB157" i="39"/>
  <c r="AA157" i="19" s="1"/>
  <c r="DC157" i="39"/>
  <c r="AB157" i="19" s="1"/>
  <c r="CZ141" i="39"/>
  <c r="Y141" i="19" s="1"/>
  <c r="DA141" i="39"/>
  <c r="Z141" i="19" s="1"/>
  <c r="DB141" i="39"/>
  <c r="AA141" i="19" s="1"/>
  <c r="DC141" i="39"/>
  <c r="AB141" i="19" s="1"/>
  <c r="CO71" i="39"/>
  <c r="O71" i="19" s="1"/>
  <c r="CZ71" i="39"/>
  <c r="Y71" i="19" s="1"/>
  <c r="DA71" i="39"/>
  <c r="Z71" i="19" s="1"/>
  <c r="DB71" i="39"/>
  <c r="AA71" i="19" s="1"/>
  <c r="DC71" i="39"/>
  <c r="AB71" i="19" s="1"/>
  <c r="CZ172" i="39"/>
  <c r="Y172" i="19" s="1"/>
  <c r="DA172" i="39"/>
  <c r="Z172" i="19" s="1"/>
  <c r="DB172" i="39"/>
  <c r="AA172" i="19" s="1"/>
  <c r="DC172" i="39"/>
  <c r="AB172" i="19" s="1"/>
  <c r="DC139" i="39"/>
  <c r="AB139" i="19" s="1"/>
  <c r="CZ139" i="39"/>
  <c r="Y139" i="19" s="1"/>
  <c r="DA139" i="39"/>
  <c r="Z139" i="19" s="1"/>
  <c r="DB139" i="39"/>
  <c r="AA139" i="19" s="1"/>
  <c r="CO135" i="39"/>
  <c r="GK135" i="39" s="1"/>
  <c r="GY135" i="39" s="1"/>
  <c r="GI131" i="39"/>
  <c r="GW131" i="39" s="1"/>
  <c r="HE131" i="39" s="1"/>
  <c r="HG131" i="39" s="1"/>
  <c r="DC131" i="39"/>
  <c r="AB131" i="19" s="1"/>
  <c r="CZ131" i="39"/>
  <c r="Y131" i="19" s="1"/>
  <c r="DA131" i="39"/>
  <c r="Z131" i="19" s="1"/>
  <c r="DB131" i="39"/>
  <c r="AA131" i="19" s="1"/>
  <c r="GI130" i="39"/>
  <c r="GW130" i="39" s="1"/>
  <c r="HE130" i="39" s="1"/>
  <c r="HH130" i="39" s="1"/>
  <c r="CZ130" i="39"/>
  <c r="Y130" i="19" s="1"/>
  <c r="DA130" i="39"/>
  <c r="Z130" i="19" s="1"/>
  <c r="DB130" i="39"/>
  <c r="AA130" i="19" s="1"/>
  <c r="DC130" i="39"/>
  <c r="AB130" i="19" s="1"/>
  <c r="GI158" i="39"/>
  <c r="GW158" i="39" s="1"/>
  <c r="HE158" i="39" s="1"/>
  <c r="HG158" i="39" s="1"/>
  <c r="CZ158" i="39"/>
  <c r="Y158" i="19" s="1"/>
  <c r="DA158" i="39"/>
  <c r="Z158" i="19" s="1"/>
  <c r="DB158" i="39"/>
  <c r="AA158" i="19" s="1"/>
  <c r="DC158" i="39"/>
  <c r="AB158" i="19" s="1"/>
  <c r="CZ153" i="39"/>
  <c r="Y153" i="19" s="1"/>
  <c r="DA153" i="39"/>
  <c r="Z153" i="19" s="1"/>
  <c r="DB153" i="39"/>
  <c r="AA153" i="19" s="1"/>
  <c r="DC153" i="39"/>
  <c r="AB153" i="19" s="1"/>
  <c r="GI148" i="39"/>
  <c r="GW148" i="39" s="1"/>
  <c r="HE148" i="39" s="1"/>
  <c r="CZ148" i="39"/>
  <c r="Y148" i="19" s="1"/>
  <c r="DA148" i="39"/>
  <c r="Z148" i="19" s="1"/>
  <c r="DB148" i="39"/>
  <c r="AA148" i="19" s="1"/>
  <c r="DC148" i="39"/>
  <c r="AB148" i="19" s="1"/>
  <c r="Y58" i="19"/>
  <c r="CQ92" i="39"/>
  <c r="GM92" i="39" s="1"/>
  <c r="HA92" i="39" s="1"/>
  <c r="HC92" i="39" s="1"/>
  <c r="M210" i="19"/>
  <c r="O92" i="19"/>
  <c r="M70" i="19"/>
  <c r="CQ41" i="39"/>
  <c r="Q41" i="19" s="1"/>
  <c r="GQ89" i="39"/>
  <c r="CM186" i="39"/>
  <c r="M123" i="19"/>
  <c r="GK41" i="39"/>
  <c r="GY41" i="39" s="1"/>
  <c r="M56" i="19"/>
  <c r="HH53" i="39"/>
  <c r="HI67" i="39"/>
  <c r="CO159" i="39"/>
  <c r="O159" i="19" s="1"/>
  <c r="T40" i="19"/>
  <c r="HI53" i="39"/>
  <c r="GI27" i="39"/>
  <c r="GW27" i="39" s="1"/>
  <c r="HE27" i="39" s="1"/>
  <c r="HH27" i="39" s="1"/>
  <c r="HH67" i="39"/>
  <c r="HF53" i="39"/>
  <c r="HF67" i="39"/>
  <c r="GI29" i="39"/>
  <c r="GW29" i="39" s="1"/>
  <c r="HE29" i="39" s="1"/>
  <c r="HF29" i="39" s="1"/>
  <c r="CO133" i="39"/>
  <c r="CQ133" i="39" s="1"/>
  <c r="GI22" i="39"/>
  <c r="GW22" i="39" s="1"/>
  <c r="HE22" i="39" s="1"/>
  <c r="HI22" i="39" s="1"/>
  <c r="GI108" i="39"/>
  <c r="GW108" i="39" s="1"/>
  <c r="HE108" i="39" s="1"/>
  <c r="HG108" i="39" s="1"/>
  <c r="CW89" i="39"/>
  <c r="V89" i="19" s="1"/>
  <c r="T89" i="19"/>
  <c r="CV89" i="39"/>
  <c r="U89" i="19" s="1"/>
  <c r="CX89" i="39"/>
  <c r="W89" i="19" s="1"/>
  <c r="CO136" i="39"/>
  <c r="GK136" i="39" s="1"/>
  <c r="GY136" i="39" s="1"/>
  <c r="M157" i="19"/>
  <c r="CW40" i="39"/>
  <c r="GS40" i="39" s="1"/>
  <c r="CU159" i="39"/>
  <c r="GQ159" i="39" s="1"/>
  <c r="GI133" i="39"/>
  <c r="GW133" i="39" s="1"/>
  <c r="HE133" i="39" s="1"/>
  <c r="HH133" i="39" s="1"/>
  <c r="CV40" i="39"/>
  <c r="GR40" i="39" s="1"/>
  <c r="CX62" i="39"/>
  <c r="W62" i="19" s="1"/>
  <c r="CX40" i="39"/>
  <c r="W40" i="19" s="1"/>
  <c r="M175" i="19"/>
  <c r="CY40" i="39"/>
  <c r="X40" i="19" s="1"/>
  <c r="M189" i="19"/>
  <c r="CO162" i="39"/>
  <c r="O162" i="19" s="1"/>
  <c r="M46" i="19"/>
  <c r="GI162" i="39"/>
  <c r="GW162" i="39" s="1"/>
  <c r="HE162" i="39" s="1"/>
  <c r="HH162" i="39" s="1"/>
  <c r="CU27" i="39"/>
  <c r="T27" i="19" s="1"/>
  <c r="CU106" i="39"/>
  <c r="CV106" i="39" s="1"/>
  <c r="M84" i="19"/>
  <c r="M54" i="19"/>
  <c r="CU75" i="39"/>
  <c r="T75" i="19" s="1"/>
  <c r="T67" i="19"/>
  <c r="CW67" i="39"/>
  <c r="GS67" i="39" s="1"/>
  <c r="CU134" i="39"/>
  <c r="GQ134" i="39" s="1"/>
  <c r="CX67" i="39"/>
  <c r="W67" i="19" s="1"/>
  <c r="M144" i="19"/>
  <c r="CO134" i="39"/>
  <c r="CQ134" i="39" s="1"/>
  <c r="CY67" i="39"/>
  <c r="X67" i="19" s="1"/>
  <c r="GI75" i="39"/>
  <c r="GW75" i="39" s="1"/>
  <c r="HE75" i="39" s="1"/>
  <c r="HH75" i="39" s="1"/>
  <c r="CV67" i="39"/>
  <c r="U67" i="19" s="1"/>
  <c r="CM168" i="39"/>
  <c r="CM174" i="39"/>
  <c r="GI77" i="39"/>
  <c r="GW77" i="39" s="1"/>
  <c r="HE77" i="39" s="1"/>
  <c r="HG77" i="39" s="1"/>
  <c r="HI14" i="39"/>
  <c r="CO73" i="39"/>
  <c r="O73" i="19" s="1"/>
  <c r="GI136" i="39"/>
  <c r="GW136" i="39" s="1"/>
  <c r="HE136" i="39" s="1"/>
  <c r="HG136" i="39" s="1"/>
  <c r="CU108" i="39"/>
  <c r="GQ108" i="39" s="1"/>
  <c r="CU135" i="39"/>
  <c r="CV135" i="39" s="1"/>
  <c r="L174" i="19"/>
  <c r="CU34" i="39"/>
  <c r="T34" i="19" s="1"/>
  <c r="CO111" i="39"/>
  <c r="CQ111" i="39" s="1"/>
  <c r="GI121" i="39"/>
  <c r="GW121" i="39" s="1"/>
  <c r="HE121" i="39" s="1"/>
  <c r="HG121" i="39" s="1"/>
  <c r="CQ40" i="39"/>
  <c r="GM40" i="39" s="1"/>
  <c r="HA40" i="39" s="1"/>
  <c r="HC40" i="39" s="1"/>
  <c r="HH87" i="39"/>
  <c r="CU169" i="39"/>
  <c r="T169" i="19" s="1"/>
  <c r="M169" i="19"/>
  <c r="CO121" i="39"/>
  <c r="GK121" i="39" s="1"/>
  <c r="GY121" i="39" s="1"/>
  <c r="HF87" i="39"/>
  <c r="CU49" i="39"/>
  <c r="CY49" i="39" s="1"/>
  <c r="DU204" i="39"/>
  <c r="M208" i="19"/>
  <c r="M165" i="19"/>
  <c r="HF14" i="39"/>
  <c r="CO49" i="39"/>
  <c r="GK49" i="39" s="1"/>
  <c r="GY49" i="39" s="1"/>
  <c r="M141" i="19"/>
  <c r="M49" i="19"/>
  <c r="GI146" i="39"/>
  <c r="GW146" i="39" s="1"/>
  <c r="HE146" i="39" s="1"/>
  <c r="HH146" i="39" s="1"/>
  <c r="CO38" i="39"/>
  <c r="GK38" i="39" s="1"/>
  <c r="GY38" i="39" s="1"/>
  <c r="CO146" i="39"/>
  <c r="GK146" i="39" s="1"/>
  <c r="GY146" i="39" s="1"/>
  <c r="O62" i="19"/>
  <c r="GI38" i="39"/>
  <c r="GW38" i="39" s="1"/>
  <c r="HE38" i="39" s="1"/>
  <c r="HG38" i="39" s="1"/>
  <c r="CQ62" i="39"/>
  <c r="GM62" i="39" s="1"/>
  <c r="HA62" i="39" s="1"/>
  <c r="HC62" i="39" s="1"/>
  <c r="CU32" i="39"/>
  <c r="GQ32" i="39" s="1"/>
  <c r="GI32" i="39"/>
  <c r="GW32" i="39" s="1"/>
  <c r="HE32" i="39" s="1"/>
  <c r="HI32" i="39" s="1"/>
  <c r="M134" i="19"/>
  <c r="L168" i="19"/>
  <c r="AD168" i="19" s="1"/>
  <c r="M215" i="19"/>
  <c r="CU71" i="39"/>
  <c r="CX71" i="39" s="1"/>
  <c r="CU13" i="39"/>
  <c r="CW13" i="39" s="1"/>
  <c r="M27" i="19"/>
  <c r="GI71" i="39"/>
  <c r="GW71" i="39" s="1"/>
  <c r="HE71" i="39" s="1"/>
  <c r="HF71" i="39" s="1"/>
  <c r="CU210" i="39"/>
  <c r="T210" i="19" s="1"/>
  <c r="L160" i="19"/>
  <c r="AD160" i="19" s="1"/>
  <c r="M22" i="19"/>
  <c r="CU105" i="39"/>
  <c r="CW105" i="39" s="1"/>
  <c r="CU29" i="39"/>
  <c r="CV29" i="39" s="1"/>
  <c r="CO72" i="39"/>
  <c r="GK72" i="39" s="1"/>
  <c r="GY72" i="39" s="1"/>
  <c r="M131" i="19"/>
  <c r="CO142" i="39"/>
  <c r="GK142" i="39" s="1"/>
  <c r="GY142" i="39" s="1"/>
  <c r="M44" i="19"/>
  <c r="M132" i="19"/>
  <c r="CU196" i="39"/>
  <c r="CW196" i="39" s="1"/>
  <c r="CU142" i="39"/>
  <c r="CV142" i="39" s="1"/>
  <c r="M178" i="19"/>
  <c r="CU120" i="39"/>
  <c r="CW120" i="39" s="1"/>
  <c r="M142" i="19"/>
  <c r="O90" i="19"/>
  <c r="M196" i="19"/>
  <c r="M115" i="19"/>
  <c r="CO196" i="39"/>
  <c r="CQ196" i="39" s="1"/>
  <c r="M187" i="19"/>
  <c r="CO120" i="39"/>
  <c r="GK120" i="39" s="1"/>
  <c r="GY120" i="39" s="1"/>
  <c r="M124" i="19"/>
  <c r="M151" i="19"/>
  <c r="L164" i="19"/>
  <c r="AD164" i="19" s="1"/>
  <c r="GI60" i="39"/>
  <c r="GW60" i="39" s="1"/>
  <c r="HE60" i="39" s="1"/>
  <c r="HH60" i="39" s="1"/>
  <c r="M153" i="19"/>
  <c r="AD204" i="19"/>
  <c r="M204" i="19"/>
  <c r="GK90" i="39"/>
  <c r="GY90" i="39" s="1"/>
  <c r="CU22" i="39"/>
  <c r="GQ22" i="39" s="1"/>
  <c r="CU48" i="39"/>
  <c r="CY48" i="39" s="1"/>
  <c r="CV62" i="39"/>
  <c r="U62" i="19" s="1"/>
  <c r="M61" i="19"/>
  <c r="CU60" i="39"/>
  <c r="CX60" i="39" s="1"/>
  <c r="GI210" i="39"/>
  <c r="GW210" i="39" s="1"/>
  <c r="HE210" i="39" s="1"/>
  <c r="HI210" i="39" s="1"/>
  <c r="CM117" i="39"/>
  <c r="M77" i="19"/>
  <c r="M59" i="19"/>
  <c r="CO101" i="39"/>
  <c r="O101" i="19" s="1"/>
  <c r="CW62" i="39"/>
  <c r="GS62" i="39" s="1"/>
  <c r="CM197" i="39"/>
  <c r="GI34" i="39"/>
  <c r="GW34" i="39" s="1"/>
  <c r="HE34" i="39" s="1"/>
  <c r="HF34" i="39" s="1"/>
  <c r="T62" i="19"/>
  <c r="AD87" i="19"/>
  <c r="CY62" i="39"/>
  <c r="X62" i="19" s="1"/>
  <c r="GI83" i="39"/>
  <c r="GW83" i="39" s="1"/>
  <c r="HE83" i="39" s="1"/>
  <c r="HF83" i="39" s="1"/>
  <c r="M121" i="19"/>
  <c r="M80" i="19"/>
  <c r="CU83" i="39"/>
  <c r="GQ83" i="39" s="1"/>
  <c r="M111" i="19"/>
  <c r="CM167" i="39"/>
  <c r="L125" i="19"/>
  <c r="AD125" i="19" s="1"/>
  <c r="CM98" i="39"/>
  <c r="L152" i="19"/>
  <c r="AD152" i="19" s="1"/>
  <c r="CO131" i="39"/>
  <c r="O131" i="19" s="1"/>
  <c r="M101" i="19"/>
  <c r="M104" i="19"/>
  <c r="M213" i="19"/>
  <c r="DS217" i="39"/>
  <c r="GI48" i="39"/>
  <c r="GW48" i="39" s="1"/>
  <c r="HE48" i="39" s="1"/>
  <c r="HH48" i="39" s="1"/>
  <c r="HH92" i="39"/>
  <c r="CU52" i="39"/>
  <c r="CV52" i="39" s="1"/>
  <c r="CO158" i="39"/>
  <c r="CQ158" i="39" s="1"/>
  <c r="M146" i="19"/>
  <c r="CU131" i="39"/>
  <c r="CX131" i="39" s="1"/>
  <c r="M100" i="19"/>
  <c r="CM154" i="39"/>
  <c r="CO130" i="39"/>
  <c r="GK130" i="39" s="1"/>
  <c r="GY130" i="39" s="1"/>
  <c r="M69" i="19"/>
  <c r="M96" i="19"/>
  <c r="GI21" i="39"/>
  <c r="GW21" i="39" s="1"/>
  <c r="HE21" i="39" s="1"/>
  <c r="HF21" i="39" s="1"/>
  <c r="CM179" i="39"/>
  <c r="CU130" i="39"/>
  <c r="CV130" i="39" s="1"/>
  <c r="M48" i="19"/>
  <c r="O45" i="19"/>
  <c r="CU21" i="39"/>
  <c r="GQ21" i="39" s="1"/>
  <c r="CQ45" i="39"/>
  <c r="GM45" i="39" s="1"/>
  <c r="HA45" i="39" s="1"/>
  <c r="HC45" i="39" s="1"/>
  <c r="CU158" i="39"/>
  <c r="GQ158" i="39" s="1"/>
  <c r="L129" i="19"/>
  <c r="AD129" i="19" s="1"/>
  <c r="L197" i="19"/>
  <c r="AD197" i="19" s="1"/>
  <c r="CO211" i="39"/>
  <c r="O211" i="19" s="1"/>
  <c r="L155" i="19"/>
  <c r="AD155" i="19" s="1"/>
  <c r="CU156" i="39"/>
  <c r="CX156" i="39" s="1"/>
  <c r="GI144" i="39"/>
  <c r="GW144" i="39" s="1"/>
  <c r="HE144" i="39" s="1"/>
  <c r="HI144" i="39" s="1"/>
  <c r="M32" i="19"/>
  <c r="M15" i="19"/>
  <c r="L183" i="19"/>
  <c r="AD183" i="19" s="1"/>
  <c r="CM193" i="39"/>
  <c r="CO156" i="39"/>
  <c r="O156" i="19" s="1"/>
  <c r="CU144" i="39"/>
  <c r="CV144" i="39" s="1"/>
  <c r="M211" i="19"/>
  <c r="L110" i="19"/>
  <c r="AD110" i="19" s="1"/>
  <c r="L138" i="19"/>
  <c r="AD138" i="19" s="1"/>
  <c r="CM145" i="39"/>
  <c r="L147" i="19"/>
  <c r="AD147" i="19" s="1"/>
  <c r="CM91" i="39"/>
  <c r="AD75" i="19"/>
  <c r="M75" i="19"/>
  <c r="CM138" i="39"/>
  <c r="CM185" i="39"/>
  <c r="L177" i="19"/>
  <c r="AD177" i="19" s="1"/>
  <c r="CM192" i="39"/>
  <c r="CM195" i="39"/>
  <c r="L161" i="19"/>
  <c r="AD161" i="19" s="1"/>
  <c r="CM112" i="39"/>
  <c r="L127" i="19"/>
  <c r="AD127" i="19" s="1"/>
  <c r="CO54" i="39"/>
  <c r="O54" i="19" s="1"/>
  <c r="HI92" i="39"/>
  <c r="M137" i="19"/>
  <c r="L190" i="19"/>
  <c r="AD190" i="19" s="1"/>
  <c r="CU54" i="39"/>
  <c r="CV54" i="39" s="1"/>
  <c r="M71" i="19"/>
  <c r="M99" i="19"/>
  <c r="HF92" i="39"/>
  <c r="CM155" i="39"/>
  <c r="L113" i="19"/>
  <c r="AD113" i="19" s="1"/>
  <c r="L193" i="19"/>
  <c r="AD193" i="19" s="1"/>
  <c r="CM140" i="39"/>
  <c r="CM110" i="39"/>
  <c r="GI114" i="39"/>
  <c r="GW114" i="39" s="1"/>
  <c r="HE114" i="39" s="1"/>
  <c r="HH114" i="39" s="1"/>
  <c r="AD29" i="19"/>
  <c r="M29" i="19"/>
  <c r="M103" i="19"/>
  <c r="M114" i="19"/>
  <c r="L118" i="19"/>
  <c r="AD118" i="19" s="1"/>
  <c r="GI132" i="39"/>
  <c r="GW132" i="39" s="1"/>
  <c r="HE132" i="39" s="1"/>
  <c r="HG132" i="39" s="1"/>
  <c r="CO114" i="39"/>
  <c r="O114" i="19" s="1"/>
  <c r="M78" i="19"/>
  <c r="L173" i="19"/>
  <c r="AD173" i="19" s="1"/>
  <c r="CM171" i="39"/>
  <c r="CM182" i="39"/>
  <c r="CM147" i="39"/>
  <c r="L191" i="19"/>
  <c r="AD191" i="19" s="1"/>
  <c r="L128" i="19"/>
  <c r="AD128" i="19" s="1"/>
  <c r="CU132" i="39"/>
  <c r="CV132" i="39" s="1"/>
  <c r="L122" i="19"/>
  <c r="AD122" i="19" s="1"/>
  <c r="L98" i="19"/>
  <c r="AD98" i="19" s="1"/>
  <c r="CM190" i="39"/>
  <c r="CM79" i="39"/>
  <c r="DW118" i="39"/>
  <c r="DU118" i="39"/>
  <c r="DU197" i="39"/>
  <c r="DW197" i="39"/>
  <c r="M130" i="19"/>
  <c r="CO115" i="39"/>
  <c r="GI115" i="39"/>
  <c r="GW115" i="39" s="1"/>
  <c r="HE115" i="39" s="1"/>
  <c r="CU115" i="39"/>
  <c r="M159" i="19"/>
  <c r="AD159" i="19"/>
  <c r="DU190" i="39"/>
  <c r="DW190" i="39"/>
  <c r="CM129" i="39"/>
  <c r="CM127" i="39"/>
  <c r="M212" i="19"/>
  <c r="GI157" i="39"/>
  <c r="GW157" i="39" s="1"/>
  <c r="HE157" i="39" s="1"/>
  <c r="CU157" i="39"/>
  <c r="CO157" i="39"/>
  <c r="CM177" i="39"/>
  <c r="CM183" i="39"/>
  <c r="M162" i="19"/>
  <c r="DW166" i="39"/>
  <c r="DU166" i="39"/>
  <c r="L167" i="19"/>
  <c r="AD167" i="19" s="1"/>
  <c r="L140" i="19"/>
  <c r="AD140" i="19" s="1"/>
  <c r="DU195" i="39"/>
  <c r="DW195" i="39"/>
  <c r="CM113" i="39"/>
  <c r="CM191" i="39"/>
  <c r="CM152" i="39"/>
  <c r="DW161" i="39"/>
  <c r="DU161" i="39"/>
  <c r="DU128" i="39"/>
  <c r="DW128" i="39"/>
  <c r="CM164" i="39"/>
  <c r="L194" i="19"/>
  <c r="AD194" i="19" s="1"/>
  <c r="DW154" i="39"/>
  <c r="DU154" i="39"/>
  <c r="L192" i="19"/>
  <c r="AD192" i="19" s="1"/>
  <c r="GI139" i="39"/>
  <c r="GW139" i="39" s="1"/>
  <c r="HE139" i="39" s="1"/>
  <c r="CO139" i="39"/>
  <c r="CU139" i="39"/>
  <c r="L185" i="19"/>
  <c r="AD185" i="19" s="1"/>
  <c r="DW177" i="39"/>
  <c r="DU177" i="39"/>
  <c r="CM122" i="39"/>
  <c r="GI215" i="39"/>
  <c r="GW215" i="39" s="1"/>
  <c r="HE215" i="39" s="1"/>
  <c r="CU215" i="39"/>
  <c r="CO215" i="39"/>
  <c r="CM173" i="39"/>
  <c r="DU179" i="39"/>
  <c r="DW179" i="39"/>
  <c r="M135" i="19"/>
  <c r="DW167" i="39"/>
  <c r="DU167" i="39"/>
  <c r="L195" i="19"/>
  <c r="AD195" i="19" s="1"/>
  <c r="DU98" i="39"/>
  <c r="DW98" i="39"/>
  <c r="DW164" i="39"/>
  <c r="DU164" i="39"/>
  <c r="DW112" i="39"/>
  <c r="DU112" i="39"/>
  <c r="DW185" i="39"/>
  <c r="DU185" i="39"/>
  <c r="DW129" i="39"/>
  <c r="DU129" i="39"/>
  <c r="DW127" i="39"/>
  <c r="DU127" i="39"/>
  <c r="GI165" i="39"/>
  <c r="GW165" i="39" s="1"/>
  <c r="HE165" i="39" s="1"/>
  <c r="CO165" i="39"/>
  <c r="CU165" i="39"/>
  <c r="GI141" i="39"/>
  <c r="GW141" i="39" s="1"/>
  <c r="HE141" i="39" s="1"/>
  <c r="CO141" i="39"/>
  <c r="CU141" i="39"/>
  <c r="DU183" i="39"/>
  <c r="DW183" i="39"/>
  <c r="DW182" i="39"/>
  <c r="DU182" i="39"/>
  <c r="DU113" i="39"/>
  <c r="DW113" i="39"/>
  <c r="DU147" i="39"/>
  <c r="DW147" i="39"/>
  <c r="CU137" i="39"/>
  <c r="CO137" i="39"/>
  <c r="GI137" i="39"/>
  <c r="GW137" i="39" s="1"/>
  <c r="HE137" i="39" s="1"/>
  <c r="DU193" i="39"/>
  <c r="DW193" i="39"/>
  <c r="GI187" i="39"/>
  <c r="GW187" i="39" s="1"/>
  <c r="HE187" i="39" s="1"/>
  <c r="CU187" i="39"/>
  <c r="CO187" i="39"/>
  <c r="GQ209" i="39"/>
  <c r="CV209" i="39"/>
  <c r="CW209" i="39"/>
  <c r="CY209" i="39"/>
  <c r="T209" i="19"/>
  <c r="CX209" i="39"/>
  <c r="CM125" i="39"/>
  <c r="M133" i="19"/>
  <c r="DU191" i="39"/>
  <c r="DW191" i="39"/>
  <c r="DU152" i="39"/>
  <c r="DW152" i="39"/>
  <c r="DU110" i="39"/>
  <c r="DW110" i="39"/>
  <c r="GI172" i="39"/>
  <c r="GW172" i="39" s="1"/>
  <c r="HE172" i="39" s="1"/>
  <c r="CU172" i="39"/>
  <c r="CO172" i="39"/>
  <c r="M119" i="19"/>
  <c r="GI175" i="39"/>
  <c r="GW175" i="39" s="1"/>
  <c r="HE175" i="39" s="1"/>
  <c r="CU175" i="39"/>
  <c r="CO175" i="39"/>
  <c r="M120" i="19"/>
  <c r="DW192" i="39"/>
  <c r="DU192" i="39"/>
  <c r="DW117" i="39"/>
  <c r="DU117" i="39"/>
  <c r="L91" i="19"/>
  <c r="AD91" i="19" s="1"/>
  <c r="L179" i="19"/>
  <c r="AD179" i="19" s="1"/>
  <c r="L171" i="19"/>
  <c r="AD171" i="19" s="1"/>
  <c r="DU125" i="39"/>
  <c r="DW125" i="39"/>
  <c r="CM161" i="39"/>
  <c r="GI214" i="39"/>
  <c r="GW214" i="39" s="1"/>
  <c r="HE214" i="39" s="1"/>
  <c r="CO214" i="39"/>
  <c r="CU214" i="39"/>
  <c r="CM194" i="39"/>
  <c r="L154" i="19"/>
  <c r="AD154" i="19" s="1"/>
  <c r="L112" i="19"/>
  <c r="AD112" i="19" s="1"/>
  <c r="DW138" i="39"/>
  <c r="DU138" i="39"/>
  <c r="DU145" i="39"/>
  <c r="DW145" i="39"/>
  <c r="GI208" i="39"/>
  <c r="GW208" i="39" s="1"/>
  <c r="HE208" i="39" s="1"/>
  <c r="CU208" i="39"/>
  <c r="CO208" i="39"/>
  <c r="CO178" i="39"/>
  <c r="GI178" i="39"/>
  <c r="GW178" i="39" s="1"/>
  <c r="HE178" i="39" s="1"/>
  <c r="CU178" i="39"/>
  <c r="GI119" i="39"/>
  <c r="GW119" i="39" s="1"/>
  <c r="HE119" i="39" s="1"/>
  <c r="CO119" i="39"/>
  <c r="CU119" i="39"/>
  <c r="CW123" i="39"/>
  <c r="DU122" i="39"/>
  <c r="DW122" i="39"/>
  <c r="DW173" i="39"/>
  <c r="DU173" i="39"/>
  <c r="DW171" i="39"/>
  <c r="DU171" i="39"/>
  <c r="L182" i="19"/>
  <c r="AD182" i="19" s="1"/>
  <c r="GI149" i="39"/>
  <c r="GW149" i="39" s="1"/>
  <c r="HE149" i="39" s="1"/>
  <c r="CU149" i="39"/>
  <c r="CO149" i="39"/>
  <c r="M156" i="19"/>
  <c r="CO189" i="39"/>
  <c r="CU189" i="39"/>
  <c r="GI189" i="39"/>
  <c r="GW189" i="39" s="1"/>
  <c r="HE189" i="39" s="1"/>
  <c r="M108" i="19"/>
  <c r="CM128" i="39"/>
  <c r="DW194" i="39"/>
  <c r="DU194" i="39"/>
  <c r="CO213" i="39"/>
  <c r="CU213" i="39"/>
  <c r="GI213" i="39"/>
  <c r="GW213" i="39" s="1"/>
  <c r="HE213" i="39" s="1"/>
  <c r="DW91" i="39"/>
  <c r="DU91" i="39"/>
  <c r="DU155" i="39"/>
  <c r="DW155" i="39"/>
  <c r="CM118" i="39"/>
  <c r="DU140" i="39"/>
  <c r="DW140" i="39"/>
  <c r="M158" i="19"/>
  <c r="L145" i="19"/>
  <c r="AD145" i="19" s="1"/>
  <c r="L117" i="19"/>
  <c r="AD117" i="19" s="1"/>
  <c r="M83" i="19"/>
  <c r="M60" i="19"/>
  <c r="M21" i="19"/>
  <c r="HF105" i="39"/>
  <c r="HH105" i="39"/>
  <c r="V86" i="19"/>
  <c r="HG95" i="39"/>
  <c r="HF95" i="39"/>
  <c r="HH95" i="39"/>
  <c r="HI95" i="39"/>
  <c r="GM44" i="39"/>
  <c r="HA44" i="39" s="1"/>
  <c r="HC44" i="39" s="1"/>
  <c r="GM90" i="39"/>
  <c r="HA90" i="39" s="1"/>
  <c r="HC90" i="39" s="1"/>
  <c r="Q90" i="19"/>
  <c r="CS90" i="39"/>
  <c r="M73" i="19"/>
  <c r="GQ88" i="39"/>
  <c r="CY88" i="39"/>
  <c r="CX88" i="39"/>
  <c r="CV88" i="39"/>
  <c r="CW88" i="39"/>
  <c r="T88" i="19"/>
  <c r="GK93" i="39"/>
  <c r="GY93" i="39" s="1"/>
  <c r="O93" i="19"/>
  <c r="CQ93" i="39"/>
  <c r="HF85" i="39"/>
  <c r="HH85" i="39"/>
  <c r="HI85" i="39"/>
  <c r="HG85" i="39"/>
  <c r="M106" i="19"/>
  <c r="GK82" i="39"/>
  <c r="GY82" i="39" s="1"/>
  <c r="O82" i="19"/>
  <c r="CQ82" i="39"/>
  <c r="GI81" i="39"/>
  <c r="GW81" i="39" s="1"/>
  <c r="HE81" i="39" s="1"/>
  <c r="CU81" i="39"/>
  <c r="CO81" i="39"/>
  <c r="M72" i="19"/>
  <c r="HG93" i="39"/>
  <c r="HF93" i="39"/>
  <c r="HI93" i="39"/>
  <c r="HH93" i="39"/>
  <c r="HH66" i="39"/>
  <c r="HG66" i="39"/>
  <c r="HF66" i="39"/>
  <c r="HI66" i="39"/>
  <c r="CX95" i="39"/>
  <c r="CW95" i="39"/>
  <c r="CV95" i="39"/>
  <c r="GQ95" i="39"/>
  <c r="T95" i="19"/>
  <c r="CY95" i="39"/>
  <c r="GK88" i="39"/>
  <c r="GY88" i="39" s="1"/>
  <c r="O88" i="19"/>
  <c r="CQ88" i="39"/>
  <c r="GQ82" i="39"/>
  <c r="CV82" i="39"/>
  <c r="CY82" i="39"/>
  <c r="CX82" i="39"/>
  <c r="T82" i="19"/>
  <c r="CW82" i="39"/>
  <c r="CO99" i="39"/>
  <c r="CU99" i="39"/>
  <c r="GI99" i="39"/>
  <c r="GW99" i="39" s="1"/>
  <c r="HE99" i="39" s="1"/>
  <c r="GI103" i="39"/>
  <c r="GW103" i="39" s="1"/>
  <c r="HE103" i="39" s="1"/>
  <c r="CU103" i="39"/>
  <c r="CO103" i="39"/>
  <c r="GM14" i="39"/>
  <c r="HA14" i="39" s="1"/>
  <c r="HC14" i="39" s="1"/>
  <c r="Q14" i="19"/>
  <c r="CS14" i="39"/>
  <c r="X51" i="19"/>
  <c r="GU51" i="39"/>
  <c r="L79" i="19"/>
  <c r="AD79" i="19" s="1"/>
  <c r="CU16" i="39"/>
  <c r="CO16" i="39"/>
  <c r="GI16" i="39"/>
  <c r="GW16" i="39" s="1"/>
  <c r="HE16" i="39" s="1"/>
  <c r="GI57" i="39"/>
  <c r="GW57" i="39" s="1"/>
  <c r="HE57" i="39" s="1"/>
  <c r="CU57" i="39"/>
  <c r="CO57" i="39"/>
  <c r="CO46" i="39"/>
  <c r="GI46" i="39"/>
  <c r="GW46" i="39" s="1"/>
  <c r="HE46" i="39" s="1"/>
  <c r="CU46" i="39"/>
  <c r="GI80" i="39"/>
  <c r="GW80" i="39" s="1"/>
  <c r="HE80" i="39" s="1"/>
  <c r="CU80" i="39"/>
  <c r="CO80" i="39"/>
  <c r="X89" i="19"/>
  <c r="GU89" i="39"/>
  <c r="GM68" i="39"/>
  <c r="HA68" i="39" s="1"/>
  <c r="HC68" i="39" s="1"/>
  <c r="Q68" i="19"/>
  <c r="CS68" i="39"/>
  <c r="HH82" i="39"/>
  <c r="HF82" i="39"/>
  <c r="HI82" i="39"/>
  <c r="HG82" i="39"/>
  <c r="O39" i="19"/>
  <c r="GK39" i="39"/>
  <c r="GY39" i="39" s="1"/>
  <c r="CQ39" i="39"/>
  <c r="GI69" i="39"/>
  <c r="GW69" i="39" s="1"/>
  <c r="HE69" i="39" s="1"/>
  <c r="CO69" i="39"/>
  <c r="CU69" i="39"/>
  <c r="W17" i="19"/>
  <c r="GT17" i="39"/>
  <c r="CU25" i="39"/>
  <c r="GI25" i="39"/>
  <c r="GW25" i="39" s="1"/>
  <c r="HE25" i="39" s="1"/>
  <c r="CO25" i="39"/>
  <c r="HG65" i="39"/>
  <c r="HF65" i="39"/>
  <c r="HI65" i="39"/>
  <c r="HH65" i="39"/>
  <c r="CU78" i="39"/>
  <c r="CO78" i="39"/>
  <c r="GI78" i="39"/>
  <c r="GW78" i="39" s="1"/>
  <c r="HE78" i="39" s="1"/>
  <c r="GQ39" i="39"/>
  <c r="T39" i="19"/>
  <c r="CX39" i="39"/>
  <c r="CY39" i="39"/>
  <c r="CW39" i="39"/>
  <c r="CV39" i="39"/>
  <c r="DU79" i="39"/>
  <c r="DW79" i="39"/>
  <c r="GK24" i="39"/>
  <c r="GY24" i="39" s="1"/>
  <c r="O24" i="19"/>
  <c r="CQ24" i="39"/>
  <c r="GQ26" i="39"/>
  <c r="CV26" i="39"/>
  <c r="T26" i="19"/>
  <c r="CY26" i="39"/>
  <c r="CX26" i="39"/>
  <c r="CW26" i="39"/>
  <c r="GK43" i="39"/>
  <c r="GY43" i="39" s="1"/>
  <c r="CQ43" i="39"/>
  <c r="O43" i="19"/>
  <c r="CO96" i="39"/>
  <c r="CU96" i="39"/>
  <c r="GI96" i="39"/>
  <c r="GW96" i="39" s="1"/>
  <c r="HE96" i="39" s="1"/>
  <c r="V68" i="19"/>
  <c r="GS68" i="39"/>
  <c r="GI104" i="39"/>
  <c r="GW104" i="39" s="1"/>
  <c r="HE104" i="39" s="1"/>
  <c r="CU104" i="39"/>
  <c r="CO104" i="39"/>
  <c r="GI100" i="39"/>
  <c r="GW100" i="39" s="1"/>
  <c r="HE100" i="39" s="1"/>
  <c r="CO100" i="39"/>
  <c r="CU100" i="39"/>
  <c r="GK65" i="39"/>
  <c r="GY65" i="39" s="1"/>
  <c r="CQ65" i="39"/>
  <c r="O65" i="19"/>
  <c r="GQ43" i="39"/>
  <c r="CX43" i="39"/>
  <c r="CW43" i="39"/>
  <c r="CV43" i="39"/>
  <c r="T43" i="19"/>
  <c r="CY43" i="39"/>
  <c r="V45" i="19"/>
  <c r="GS45" i="39"/>
  <c r="GK23" i="39"/>
  <c r="GY23" i="39" s="1"/>
  <c r="CQ23" i="39"/>
  <c r="O23" i="19"/>
  <c r="HF39" i="39"/>
  <c r="HH39" i="39"/>
  <c r="HI39" i="39"/>
  <c r="HG39" i="39"/>
  <c r="M52" i="19"/>
  <c r="GQ24" i="39"/>
  <c r="CX24" i="39"/>
  <c r="CW24" i="39"/>
  <c r="CV24" i="39"/>
  <c r="CY24" i="39"/>
  <c r="T24" i="19"/>
  <c r="M38" i="19"/>
  <c r="GK26" i="39"/>
  <c r="GY26" i="39" s="1"/>
  <c r="O26" i="19"/>
  <c r="CQ26" i="39"/>
  <c r="GI84" i="39"/>
  <c r="GW84" i="39" s="1"/>
  <c r="HE84" i="39" s="1"/>
  <c r="CU84" i="39"/>
  <c r="CO84" i="39"/>
  <c r="Q36" i="19"/>
  <c r="GM36" i="39"/>
  <c r="HA36" i="39" s="1"/>
  <c r="HC36" i="39" s="1"/>
  <c r="CS36" i="39"/>
  <c r="GQ93" i="39"/>
  <c r="T93" i="19"/>
  <c r="CW93" i="39"/>
  <c r="CV93" i="39"/>
  <c r="CY93" i="39"/>
  <c r="CX93" i="39"/>
  <c r="GI70" i="39"/>
  <c r="GW70" i="39" s="1"/>
  <c r="HE70" i="39" s="1"/>
  <c r="CU70" i="39"/>
  <c r="CO70" i="39"/>
  <c r="CO15" i="39"/>
  <c r="GI15" i="39"/>
  <c r="GW15" i="39" s="1"/>
  <c r="HE15" i="39" s="1"/>
  <c r="CU15" i="39"/>
  <c r="GQ66" i="39"/>
  <c r="CW66" i="39"/>
  <c r="CV66" i="39"/>
  <c r="T66" i="19"/>
  <c r="CY66" i="39"/>
  <c r="CX66" i="39"/>
  <c r="U41" i="19"/>
  <c r="GR41" i="39"/>
  <c r="GK66" i="39"/>
  <c r="GY66" i="39" s="1"/>
  <c r="CQ66" i="39"/>
  <c r="O66" i="19"/>
  <c r="GI61" i="39"/>
  <c r="GW61" i="39" s="1"/>
  <c r="HE61" i="39" s="1"/>
  <c r="CU61" i="39"/>
  <c r="CO61" i="39"/>
  <c r="CQ95" i="39"/>
  <c r="GK95" i="39"/>
  <c r="GY95" i="39" s="1"/>
  <c r="O95" i="19"/>
  <c r="CO59" i="39"/>
  <c r="GI59" i="39"/>
  <c r="GW59" i="39" s="1"/>
  <c r="HE59" i="39" s="1"/>
  <c r="CU59" i="39"/>
  <c r="GQ65" i="39"/>
  <c r="CY65" i="39"/>
  <c r="CX65" i="39"/>
  <c r="T65" i="19"/>
  <c r="CW65" i="39"/>
  <c r="CV65" i="39"/>
  <c r="HF43" i="39"/>
  <c r="HH43" i="39"/>
  <c r="HI43" i="39"/>
  <c r="HG43" i="39"/>
  <c r="U58" i="19"/>
  <c r="GR58" i="39"/>
  <c r="HG88" i="39"/>
  <c r="HF88" i="39"/>
  <c r="HH88" i="39"/>
  <c r="HI88" i="39"/>
  <c r="HG24" i="39"/>
  <c r="HF24" i="39"/>
  <c r="HH24" i="39"/>
  <c r="HI24" i="39"/>
  <c r="HG26" i="39"/>
  <c r="HF26" i="39"/>
  <c r="HH26" i="39"/>
  <c r="HI26" i="39"/>
  <c r="M13" i="19"/>
  <c r="O13" i="19"/>
  <c r="GK13" i="39"/>
  <c r="GY13" i="39" s="1"/>
  <c r="O30" i="19" l="1"/>
  <c r="CQ30" i="39"/>
  <c r="HI107" i="39"/>
  <c r="CY30" i="39"/>
  <c r="CV30" i="39"/>
  <c r="T23" i="19"/>
  <c r="CX30" i="39"/>
  <c r="W30" i="19" s="1"/>
  <c r="T30" i="19"/>
  <c r="CX23" i="39"/>
  <c r="GT23" i="39" s="1"/>
  <c r="GQ30" i="39"/>
  <c r="HI30" i="39"/>
  <c r="HF30" i="39"/>
  <c r="HH86" i="39"/>
  <c r="HI105" i="39"/>
  <c r="CX47" i="39"/>
  <c r="W47" i="19" s="1"/>
  <c r="HF90" i="39"/>
  <c r="HI51" i="39"/>
  <c r="O209" i="19"/>
  <c r="GK209" i="39"/>
  <c r="GY209" i="39" s="1"/>
  <c r="GQ47" i="39"/>
  <c r="HG107" i="39"/>
  <c r="CY50" i="39"/>
  <c r="X50" i="19" s="1"/>
  <c r="CV50" i="39"/>
  <c r="GR50" i="39" s="1"/>
  <c r="HG30" i="39"/>
  <c r="CV47" i="39"/>
  <c r="U47" i="19" s="1"/>
  <c r="T50" i="19"/>
  <c r="CX50" i="39"/>
  <c r="W50" i="19" s="1"/>
  <c r="CW50" i="39"/>
  <c r="GS50" i="39" s="1"/>
  <c r="CW47" i="39"/>
  <c r="GS47" i="39" s="1"/>
  <c r="CY47" i="39"/>
  <c r="X47" i="19" s="1"/>
  <c r="CX85" i="39"/>
  <c r="W85" i="19" s="1"/>
  <c r="CX124" i="39"/>
  <c r="GT124" i="39" s="1"/>
  <c r="CV85" i="39"/>
  <c r="U85" i="19" s="1"/>
  <c r="T123" i="19"/>
  <c r="CW124" i="39"/>
  <c r="GS124" i="39" s="1"/>
  <c r="CV124" i="39"/>
  <c r="GR124" i="39" s="1"/>
  <c r="CY85" i="39"/>
  <c r="GU85" i="39" s="1"/>
  <c r="T124" i="19"/>
  <c r="CX123" i="39"/>
  <c r="GT123" i="39" s="1"/>
  <c r="GQ85" i="39"/>
  <c r="CY123" i="39"/>
  <c r="X123" i="19" s="1"/>
  <c r="GQ124" i="39"/>
  <c r="CW85" i="39"/>
  <c r="GS85" i="39" s="1"/>
  <c r="CV123" i="39"/>
  <c r="GR123" i="39" s="1"/>
  <c r="GU90" i="39"/>
  <c r="CS28" i="39"/>
  <c r="S28" i="19" s="1"/>
  <c r="HF50" i="39"/>
  <c r="GQ90" i="39"/>
  <c r="CW90" i="39"/>
  <c r="V90" i="19" s="1"/>
  <c r="CX90" i="39"/>
  <c r="W90" i="19" s="1"/>
  <c r="CV90" i="39"/>
  <c r="U90" i="19" s="1"/>
  <c r="GU53" i="39"/>
  <c r="T90" i="19"/>
  <c r="T31" i="19"/>
  <c r="CZ160" i="39"/>
  <c r="Y160" i="19" s="1"/>
  <c r="CW31" i="39"/>
  <c r="V31" i="19" s="1"/>
  <c r="O17" i="19"/>
  <c r="HG209" i="39"/>
  <c r="HH107" i="39"/>
  <c r="GK17" i="39"/>
  <c r="GY17" i="39" s="1"/>
  <c r="CU160" i="39"/>
  <c r="CV160" i="39" s="1"/>
  <c r="U160" i="19" s="1"/>
  <c r="CX28" i="39"/>
  <c r="GT28" i="39" s="1"/>
  <c r="X36" i="19"/>
  <c r="CY151" i="39"/>
  <c r="X151" i="19" s="1"/>
  <c r="HH90" i="39"/>
  <c r="CQ151" i="39"/>
  <c r="Q151" i="19" s="1"/>
  <c r="CO160" i="39"/>
  <c r="CQ160" i="39" s="1"/>
  <c r="Q160" i="19" s="1"/>
  <c r="HH47" i="39"/>
  <c r="HH209" i="39"/>
  <c r="CY31" i="39"/>
  <c r="X31" i="19" s="1"/>
  <c r="GQ31" i="39"/>
  <c r="Q28" i="19"/>
  <c r="CX107" i="39"/>
  <c r="GT107" i="39" s="1"/>
  <c r="GS53" i="39"/>
  <c r="HI209" i="39"/>
  <c r="CW28" i="39"/>
  <c r="V28" i="19" s="1"/>
  <c r="DB207" i="39"/>
  <c r="AA207" i="19" s="1"/>
  <c r="CX151" i="39"/>
  <c r="W151" i="19" s="1"/>
  <c r="GM17" i="39"/>
  <c r="HA17" i="39" s="1"/>
  <c r="HC17" i="39" s="1"/>
  <c r="V56" i="19"/>
  <c r="Q17" i="19"/>
  <c r="T107" i="19"/>
  <c r="O74" i="19"/>
  <c r="GQ19" i="39"/>
  <c r="O85" i="19"/>
  <c r="CW107" i="39"/>
  <c r="V107" i="19" s="1"/>
  <c r="GQ151" i="39"/>
  <c r="CY107" i="39"/>
  <c r="GU107" i="39" s="1"/>
  <c r="GR53" i="39"/>
  <c r="CY211" i="39"/>
  <c r="X211" i="19" s="1"/>
  <c r="GK85" i="39"/>
  <c r="GY85" i="39" s="1"/>
  <c r="GK28" i="39"/>
  <c r="GY28" i="39" s="1"/>
  <c r="CV107" i="39"/>
  <c r="GR107" i="39" s="1"/>
  <c r="CV211" i="39"/>
  <c r="U211" i="19" s="1"/>
  <c r="HG51" i="39"/>
  <c r="CX153" i="39"/>
  <c r="W153" i="19" s="1"/>
  <c r="HI90" i="39"/>
  <c r="CW151" i="39"/>
  <c r="V151" i="19" s="1"/>
  <c r="CV151" i="39"/>
  <c r="U151" i="19" s="1"/>
  <c r="CM166" i="39"/>
  <c r="DA166" i="39" s="1"/>
  <c r="O77" i="19"/>
  <c r="CY153" i="39"/>
  <c r="GU153" i="39" s="1"/>
  <c r="CY111" i="39"/>
  <c r="X111" i="19" s="1"/>
  <c r="GU56" i="39"/>
  <c r="CW111" i="39"/>
  <c r="V111" i="19" s="1"/>
  <c r="T111" i="19"/>
  <c r="HI50" i="39"/>
  <c r="CX111" i="39"/>
  <c r="W111" i="19" s="1"/>
  <c r="CV153" i="39"/>
  <c r="U153" i="19" s="1"/>
  <c r="GQ111" i="39"/>
  <c r="O44" i="19"/>
  <c r="HI47" i="39"/>
  <c r="HH28" i="39"/>
  <c r="CS50" i="39"/>
  <c r="GO50" i="39" s="1"/>
  <c r="HK50" i="39" s="1"/>
  <c r="CW153" i="39"/>
  <c r="V153" i="19" s="1"/>
  <c r="Q50" i="19"/>
  <c r="CS44" i="39"/>
  <c r="S44" i="19" s="1"/>
  <c r="T153" i="19"/>
  <c r="HF31" i="39"/>
  <c r="HG50" i="39"/>
  <c r="HH51" i="39"/>
  <c r="HF47" i="39"/>
  <c r="GK44" i="39"/>
  <c r="GY44" i="39" s="1"/>
  <c r="T212" i="19"/>
  <c r="CO207" i="39"/>
  <c r="CQ207" i="39" s="1"/>
  <c r="HG151" i="39"/>
  <c r="L166" i="19"/>
  <c r="AD166" i="19" s="1"/>
  <c r="HF151" i="39"/>
  <c r="HF28" i="39"/>
  <c r="HH151" i="39"/>
  <c r="HG17" i="39"/>
  <c r="HF74" i="39"/>
  <c r="HG19" i="39"/>
  <c r="GT53" i="39"/>
  <c r="HH19" i="39"/>
  <c r="CW87" i="39"/>
  <c r="V87" i="19" s="1"/>
  <c r="CK217" i="39"/>
  <c r="HH33" i="39"/>
  <c r="HF124" i="39"/>
  <c r="CQ107" i="39"/>
  <c r="Q107" i="19" s="1"/>
  <c r="CW73" i="39"/>
  <c r="V73" i="19" s="1"/>
  <c r="CV19" i="39"/>
  <c r="U19" i="19" s="1"/>
  <c r="GK151" i="39"/>
  <c r="GY151" i="39" s="1"/>
  <c r="HH74" i="39"/>
  <c r="HF19" i="39"/>
  <c r="GK107" i="39"/>
  <c r="GY107" i="39" s="1"/>
  <c r="CX73" i="39"/>
  <c r="W73" i="19" s="1"/>
  <c r="HG74" i="39"/>
  <c r="T28" i="19"/>
  <c r="GT31" i="39"/>
  <c r="CQ47" i="39"/>
  <c r="GM47" i="39" s="1"/>
  <c r="HA47" i="39" s="1"/>
  <c r="HC47" i="39" s="1"/>
  <c r="CU207" i="39"/>
  <c r="GQ207" i="39" s="1"/>
  <c r="HI17" i="39"/>
  <c r="CQ19" i="39"/>
  <c r="CS19" i="39" s="1"/>
  <c r="GO19" i="39" s="1"/>
  <c r="HF23" i="39"/>
  <c r="GT56" i="39"/>
  <c r="O47" i="19"/>
  <c r="GI207" i="39"/>
  <c r="GW207" i="39" s="1"/>
  <c r="HE207" i="39" s="1"/>
  <c r="HH207" i="39" s="1"/>
  <c r="HF17" i="39"/>
  <c r="HI31" i="39"/>
  <c r="CW101" i="39"/>
  <c r="V101" i="19" s="1"/>
  <c r="CQ74" i="39"/>
  <c r="GM74" i="39" s="1"/>
  <c r="HA74" i="39" s="1"/>
  <c r="HC74" i="39" s="1"/>
  <c r="DC207" i="39"/>
  <c r="AB207" i="19" s="1"/>
  <c r="GM31" i="39"/>
  <c r="HA31" i="39" s="1"/>
  <c r="HC31" i="39" s="1"/>
  <c r="V20" i="19"/>
  <c r="HH184" i="39"/>
  <c r="DA207" i="39"/>
  <c r="Z207" i="19" s="1"/>
  <c r="U20" i="19"/>
  <c r="CY19" i="39"/>
  <c r="GU19" i="39" s="1"/>
  <c r="CV31" i="39"/>
  <c r="U31" i="19" s="1"/>
  <c r="HG31" i="39"/>
  <c r="GI160" i="39"/>
  <c r="GW160" i="39" s="1"/>
  <c r="HE160" i="39" s="1"/>
  <c r="HH160" i="39" s="1"/>
  <c r="DC160" i="39"/>
  <c r="AB160" i="19" s="1"/>
  <c r="CQ77" i="39"/>
  <c r="Q77" i="19" s="1"/>
  <c r="CX19" i="39"/>
  <c r="GT19" i="39" s="1"/>
  <c r="DB160" i="39"/>
  <c r="AA160" i="19" s="1"/>
  <c r="CW19" i="39"/>
  <c r="GS19" i="39" s="1"/>
  <c r="GK76" i="39"/>
  <c r="GY76" i="39" s="1"/>
  <c r="O28" i="19"/>
  <c r="M207" i="19"/>
  <c r="CW74" i="39"/>
  <c r="V74" i="19" s="1"/>
  <c r="O86" i="19"/>
  <c r="O51" i="19"/>
  <c r="GR56" i="39"/>
  <c r="CX74" i="39"/>
  <c r="W74" i="19" s="1"/>
  <c r="CS31" i="39"/>
  <c r="S31" i="19" s="1"/>
  <c r="CV212" i="39"/>
  <c r="U212" i="19" s="1"/>
  <c r="GK31" i="39"/>
  <c r="GY31" i="39" s="1"/>
  <c r="T76" i="19"/>
  <c r="CX212" i="39"/>
  <c r="GT212" i="39" s="1"/>
  <c r="CY74" i="39"/>
  <c r="X74" i="19" s="1"/>
  <c r="CQ86" i="39"/>
  <c r="CS86" i="39" s="1"/>
  <c r="GO86" i="39" s="1"/>
  <c r="CY76" i="39"/>
  <c r="GU76" i="39" s="1"/>
  <c r="CW72" i="39"/>
  <c r="GS72" i="39" s="1"/>
  <c r="GT76" i="39"/>
  <c r="CQ169" i="39"/>
  <c r="GM169" i="39" s="1"/>
  <c r="HA169" i="39" s="1"/>
  <c r="HC169" i="39" s="1"/>
  <c r="O31" i="19"/>
  <c r="CQ76" i="39"/>
  <c r="GM76" i="39" s="1"/>
  <c r="HA76" i="39" s="1"/>
  <c r="HC76" i="39" s="1"/>
  <c r="CV74" i="39"/>
  <c r="U74" i="19" s="1"/>
  <c r="GQ76" i="39"/>
  <c r="CY101" i="39"/>
  <c r="GU101" i="39" s="1"/>
  <c r="T74" i="19"/>
  <c r="HG28" i="39"/>
  <c r="CW76" i="39"/>
  <c r="GS76" i="39" s="1"/>
  <c r="CQ51" i="39"/>
  <c r="GM51" i="39" s="1"/>
  <c r="HA51" i="39" s="1"/>
  <c r="HC51" i="39" s="1"/>
  <c r="CV101" i="39"/>
  <c r="U101" i="19" s="1"/>
  <c r="CV76" i="39"/>
  <c r="U76" i="19" s="1"/>
  <c r="M143" i="19"/>
  <c r="CY28" i="39"/>
  <c r="CV28" i="39"/>
  <c r="F21" i="6"/>
  <c r="I30" i="13" s="1"/>
  <c r="F20" i="44"/>
  <c r="F22" i="44" s="1"/>
  <c r="W68" i="19"/>
  <c r="O87" i="19"/>
  <c r="HH52" i="39"/>
  <c r="GT36" i="39"/>
  <c r="O19" i="19"/>
  <c r="CQ87" i="39"/>
  <c r="Q87" i="19" s="1"/>
  <c r="GK35" i="39"/>
  <c r="GY35" i="39" s="1"/>
  <c r="HI52" i="39"/>
  <c r="X148" i="19"/>
  <c r="GT20" i="39"/>
  <c r="HF52" i="39"/>
  <c r="W94" i="19"/>
  <c r="CV148" i="39"/>
  <c r="U148" i="19" s="1"/>
  <c r="V36" i="19"/>
  <c r="HF33" i="39"/>
  <c r="HG33" i="39"/>
  <c r="CY86" i="39"/>
  <c r="X86" i="19" s="1"/>
  <c r="CX87" i="39"/>
  <c r="GT87" i="39" s="1"/>
  <c r="HG86" i="39"/>
  <c r="HG106" i="39"/>
  <c r="CX211" i="39"/>
  <c r="W211" i="19" s="1"/>
  <c r="CW211" i="39"/>
  <c r="GS211" i="39" s="1"/>
  <c r="HH42" i="39"/>
  <c r="GQ211" i="39"/>
  <c r="HI86" i="39"/>
  <c r="CV86" i="39"/>
  <c r="U86" i="19" s="1"/>
  <c r="HG23" i="39"/>
  <c r="GQ86" i="39"/>
  <c r="GQ101" i="39"/>
  <c r="HI106" i="39"/>
  <c r="GQ212" i="39"/>
  <c r="CV23" i="39"/>
  <c r="U23" i="19" s="1"/>
  <c r="CY73" i="39"/>
  <c r="X73" i="19" s="1"/>
  <c r="HG42" i="39"/>
  <c r="GR36" i="39"/>
  <c r="CX86" i="39"/>
  <c r="W86" i="19" s="1"/>
  <c r="GQ73" i="39"/>
  <c r="CX101" i="39"/>
  <c r="W101" i="19" s="1"/>
  <c r="HH23" i="39"/>
  <c r="GU20" i="39"/>
  <c r="CY23" i="39"/>
  <c r="X23" i="19" s="1"/>
  <c r="T73" i="19"/>
  <c r="HI42" i="39"/>
  <c r="CW212" i="39"/>
  <c r="V212" i="19" s="1"/>
  <c r="T87" i="19"/>
  <c r="GQ23" i="39"/>
  <c r="CW34" i="39"/>
  <c r="V34" i="19" s="1"/>
  <c r="HG184" i="39"/>
  <c r="CY87" i="39"/>
  <c r="X87" i="19" s="1"/>
  <c r="CV87" i="39"/>
  <c r="U87" i="19" s="1"/>
  <c r="T86" i="19"/>
  <c r="CV72" i="39"/>
  <c r="GR72" i="39" s="1"/>
  <c r="GQ72" i="39"/>
  <c r="GK169" i="39"/>
  <c r="GY169" i="39" s="1"/>
  <c r="CX72" i="39"/>
  <c r="W72" i="19" s="1"/>
  <c r="T72" i="19"/>
  <c r="HH106" i="39"/>
  <c r="HI184" i="39"/>
  <c r="CU155" i="39"/>
  <c r="CX155" i="39" s="1"/>
  <c r="CO138" i="39"/>
  <c r="O138" i="19" s="1"/>
  <c r="GI204" i="39"/>
  <c r="GW204" i="39" s="1"/>
  <c r="HE204" i="39" s="1"/>
  <c r="HG204" i="39" s="1"/>
  <c r="T148" i="19"/>
  <c r="CZ176" i="39"/>
  <c r="Y176" i="19" s="1"/>
  <c r="CV64" i="39"/>
  <c r="U64" i="19" s="1"/>
  <c r="GI91" i="39"/>
  <c r="GW91" i="39" s="1"/>
  <c r="HE91" i="39" s="1"/>
  <c r="HH91" i="39" s="1"/>
  <c r="CW64" i="39"/>
  <c r="V64" i="19" s="1"/>
  <c r="T64" i="19"/>
  <c r="CX64" i="39"/>
  <c r="GT64" i="39" s="1"/>
  <c r="DC150" i="39"/>
  <c r="AB150" i="19" s="1"/>
  <c r="CW148" i="39"/>
  <c r="V148" i="19" s="1"/>
  <c r="CZ143" i="39"/>
  <c r="Y143" i="19" s="1"/>
  <c r="CO79" i="39"/>
  <c r="GK79" i="39" s="1"/>
  <c r="GY79" i="39" s="1"/>
  <c r="GQ148" i="39"/>
  <c r="GQ64" i="39"/>
  <c r="CX148" i="39"/>
  <c r="GT148" i="39" s="1"/>
  <c r="CX75" i="39"/>
  <c r="W75" i="19" s="1"/>
  <c r="GU68" i="39"/>
  <c r="GQ97" i="39"/>
  <c r="HG44" i="39"/>
  <c r="GK148" i="39"/>
  <c r="GY148" i="39" s="1"/>
  <c r="GQ33" i="39"/>
  <c r="CY35" i="39"/>
  <c r="X35" i="19" s="1"/>
  <c r="T35" i="19"/>
  <c r="GK123" i="39"/>
  <c r="GY123" i="39" s="1"/>
  <c r="CV35" i="39"/>
  <c r="U35" i="19" s="1"/>
  <c r="CW35" i="39"/>
  <c r="V35" i="19" s="1"/>
  <c r="CX35" i="39"/>
  <c r="W35" i="19" s="1"/>
  <c r="HI35" i="39"/>
  <c r="CQ35" i="39"/>
  <c r="GM35" i="39" s="1"/>
  <c r="HA35" i="39" s="1"/>
  <c r="HC35" i="39" s="1"/>
  <c r="O42" i="19"/>
  <c r="U94" i="19"/>
  <c r="GQ55" i="39"/>
  <c r="CW97" i="39"/>
  <c r="V97" i="19" s="1"/>
  <c r="T55" i="19"/>
  <c r="GK64" i="39"/>
  <c r="GY64" i="39" s="1"/>
  <c r="CX55" i="39"/>
  <c r="GT55" i="39" s="1"/>
  <c r="O97" i="19"/>
  <c r="T97" i="19"/>
  <c r="GT37" i="39"/>
  <c r="CW55" i="39"/>
  <c r="V55" i="19" s="1"/>
  <c r="GS89" i="39"/>
  <c r="CQ97" i="39"/>
  <c r="GM97" i="39" s="1"/>
  <c r="HA97" i="39" s="1"/>
  <c r="HC97" i="39" s="1"/>
  <c r="CY97" i="39"/>
  <c r="X97" i="19" s="1"/>
  <c r="HF135" i="39"/>
  <c r="M176" i="19"/>
  <c r="CV55" i="39"/>
  <c r="U55" i="19" s="1"/>
  <c r="CX97" i="39"/>
  <c r="GT97" i="39" s="1"/>
  <c r="HH135" i="39"/>
  <c r="HG135" i="39"/>
  <c r="CQ64" i="39"/>
  <c r="GM64" i="39" s="1"/>
  <c r="HA64" i="39" s="1"/>
  <c r="HC64" i="39" s="1"/>
  <c r="HI153" i="39"/>
  <c r="HF153" i="39"/>
  <c r="M186" i="19"/>
  <c r="GU94" i="39"/>
  <c r="CO143" i="39"/>
  <c r="GK143" i="39" s="1"/>
  <c r="GY143" i="39" s="1"/>
  <c r="HH97" i="39"/>
  <c r="CU143" i="39"/>
  <c r="CX143" i="39" s="1"/>
  <c r="HI97" i="39"/>
  <c r="T136" i="19"/>
  <c r="GI143" i="39"/>
  <c r="GW143" i="39" s="1"/>
  <c r="HE143" i="39" s="1"/>
  <c r="HG143" i="39" s="1"/>
  <c r="DB143" i="39"/>
  <c r="AA143" i="19" s="1"/>
  <c r="HF97" i="39"/>
  <c r="HH153" i="39"/>
  <c r="DA143" i="39"/>
  <c r="Z143" i="19" s="1"/>
  <c r="T146" i="19"/>
  <c r="HF35" i="39"/>
  <c r="CQ42" i="39"/>
  <c r="GM42" i="39" s="1"/>
  <c r="HA42" i="39" s="1"/>
  <c r="HC42" i="39" s="1"/>
  <c r="CX22" i="39"/>
  <c r="GT22" i="39" s="1"/>
  <c r="HH35" i="39"/>
  <c r="CV48" i="39"/>
  <c r="U48" i="19" s="1"/>
  <c r="GU102" i="39"/>
  <c r="U14" i="19"/>
  <c r="CS62" i="39"/>
  <c r="S62" i="19" s="1"/>
  <c r="GS63" i="39"/>
  <c r="Q62" i="19"/>
  <c r="GS41" i="39"/>
  <c r="CX48" i="39"/>
  <c r="GT48" i="39" s="1"/>
  <c r="V92" i="19"/>
  <c r="CQ38" i="39"/>
  <c r="GM38" i="39" s="1"/>
  <c r="HA38" i="39" s="1"/>
  <c r="HC38" i="39" s="1"/>
  <c r="HF146" i="39"/>
  <c r="W14" i="19"/>
  <c r="CY22" i="39"/>
  <c r="X22" i="19" s="1"/>
  <c r="CW22" i="39"/>
  <c r="V22" i="19" s="1"/>
  <c r="T22" i="19"/>
  <c r="CV22" i="39"/>
  <c r="U22" i="19" s="1"/>
  <c r="DC204" i="39"/>
  <c r="AB204" i="19" s="1"/>
  <c r="Q20" i="19"/>
  <c r="X14" i="19"/>
  <c r="O212" i="19"/>
  <c r="GQ184" i="39"/>
  <c r="CO204" i="39"/>
  <c r="O204" i="19" s="1"/>
  <c r="DB204" i="39"/>
  <c r="AA204" i="19" s="1"/>
  <c r="CY34" i="39"/>
  <c r="X34" i="19" s="1"/>
  <c r="HI169" i="39"/>
  <c r="CY184" i="39"/>
  <c r="X184" i="19" s="1"/>
  <c r="CX34" i="39"/>
  <c r="GT34" i="39" s="1"/>
  <c r="GK162" i="39"/>
  <c r="GY162" i="39" s="1"/>
  <c r="CV34" i="39"/>
  <c r="U34" i="19" s="1"/>
  <c r="CQ52" i="39"/>
  <c r="GM52" i="39" s="1"/>
  <c r="HA52" i="39" s="1"/>
  <c r="HC52" i="39" s="1"/>
  <c r="GU64" i="39"/>
  <c r="HF169" i="39"/>
  <c r="GK184" i="39"/>
  <c r="GY184" i="39" s="1"/>
  <c r="HH169" i="39"/>
  <c r="CW184" i="39"/>
  <c r="GS184" i="39" s="1"/>
  <c r="GT40" i="39"/>
  <c r="CY38" i="39"/>
  <c r="X38" i="19" s="1"/>
  <c r="CS58" i="39"/>
  <c r="GO58" i="39" s="1"/>
  <c r="HK58" i="39" s="1"/>
  <c r="GQ34" i="39"/>
  <c r="GT45" i="39"/>
  <c r="GU50" i="39"/>
  <c r="O184" i="19"/>
  <c r="CX162" i="39"/>
  <c r="W162" i="19" s="1"/>
  <c r="Q58" i="19"/>
  <c r="CY75" i="39"/>
  <c r="X75" i="19" s="1"/>
  <c r="CV184" i="39"/>
  <c r="U184" i="19" s="1"/>
  <c r="M150" i="19"/>
  <c r="O22" i="19"/>
  <c r="CS20" i="39"/>
  <c r="S20" i="19" s="1"/>
  <c r="CV75" i="39"/>
  <c r="U75" i="19" s="1"/>
  <c r="CQ212" i="39"/>
  <c r="Q212" i="19" s="1"/>
  <c r="AD186" i="19"/>
  <c r="CX184" i="39"/>
  <c r="W184" i="19" s="1"/>
  <c r="GQ77" i="39"/>
  <c r="CW75" i="39"/>
  <c r="V75" i="19" s="1"/>
  <c r="HI108" i="39"/>
  <c r="GK134" i="39"/>
  <c r="GY134" i="39" s="1"/>
  <c r="CZ204" i="39"/>
  <c r="Y204" i="19" s="1"/>
  <c r="O21" i="19"/>
  <c r="GM41" i="39"/>
  <c r="HA41" i="39" s="1"/>
  <c r="HC41" i="39" s="1"/>
  <c r="CQ21" i="39"/>
  <c r="GM21" i="39" s="1"/>
  <c r="HA21" i="39" s="1"/>
  <c r="HC21" i="39" s="1"/>
  <c r="GT92" i="39"/>
  <c r="HI29" i="39"/>
  <c r="X45" i="19"/>
  <c r="T121" i="19"/>
  <c r="HI27" i="39"/>
  <c r="CQ123" i="39"/>
  <c r="GM123" i="39" s="1"/>
  <c r="HA123" i="39" s="1"/>
  <c r="HC123" i="39" s="1"/>
  <c r="HG130" i="39"/>
  <c r="HF27" i="39"/>
  <c r="HF130" i="39"/>
  <c r="GQ121" i="39"/>
  <c r="O38" i="19"/>
  <c r="GK52" i="39"/>
  <c r="GY52" i="39" s="1"/>
  <c r="O132" i="19"/>
  <c r="GK132" i="39"/>
  <c r="GY132" i="39" s="1"/>
  <c r="HF101" i="39"/>
  <c r="GK71" i="39"/>
  <c r="GY71" i="39" s="1"/>
  <c r="HG101" i="39"/>
  <c r="HH101" i="39"/>
  <c r="X63" i="19"/>
  <c r="GK124" i="39"/>
  <c r="GY124" i="39" s="1"/>
  <c r="V102" i="19"/>
  <c r="Q89" i="19"/>
  <c r="HH29" i="39"/>
  <c r="HG27" i="39"/>
  <c r="CQ75" i="39"/>
  <c r="Q75" i="19" s="1"/>
  <c r="HH159" i="39"/>
  <c r="CQ162" i="39"/>
  <c r="GM162" i="39" s="1"/>
  <c r="HA162" i="39" s="1"/>
  <c r="HC162" i="39" s="1"/>
  <c r="HI130" i="39"/>
  <c r="GT63" i="39"/>
  <c r="GK75" i="39"/>
  <c r="GY75" i="39" s="1"/>
  <c r="CQ83" i="39"/>
  <c r="GM83" i="39" s="1"/>
  <c r="HA83" i="39" s="1"/>
  <c r="HC83" i="39" s="1"/>
  <c r="CW48" i="39"/>
  <c r="GS48" i="39" s="1"/>
  <c r="HG29" i="39"/>
  <c r="HH72" i="39"/>
  <c r="V51" i="19"/>
  <c r="GK27" i="39"/>
  <c r="GY27" i="39" s="1"/>
  <c r="CQ60" i="39"/>
  <c r="Q60" i="19" s="1"/>
  <c r="O83" i="19"/>
  <c r="HI159" i="39"/>
  <c r="HF108" i="39"/>
  <c r="CY121" i="39"/>
  <c r="GU121" i="39" s="1"/>
  <c r="O27" i="19"/>
  <c r="GT62" i="39"/>
  <c r="U37" i="19"/>
  <c r="CQ34" i="39"/>
  <c r="GM34" i="39" s="1"/>
  <c r="HA34" i="39" s="1"/>
  <c r="HC34" i="39" s="1"/>
  <c r="GU92" i="39"/>
  <c r="GQ48" i="39"/>
  <c r="HG72" i="39"/>
  <c r="O60" i="19"/>
  <c r="HF159" i="39"/>
  <c r="CX169" i="39"/>
  <c r="W169" i="19" s="1"/>
  <c r="HH108" i="39"/>
  <c r="CV121" i="39"/>
  <c r="GR121" i="39" s="1"/>
  <c r="O34" i="19"/>
  <c r="T48" i="19"/>
  <c r="HI72" i="39"/>
  <c r="CS41" i="39"/>
  <c r="S41" i="19" s="1"/>
  <c r="W51" i="19"/>
  <c r="GQ169" i="39"/>
  <c r="CW121" i="39"/>
  <c r="GS121" i="39" s="1"/>
  <c r="GQ42" i="39"/>
  <c r="U92" i="19"/>
  <c r="HF49" i="39"/>
  <c r="CX27" i="39"/>
  <c r="GT27" i="39" s="1"/>
  <c r="CY54" i="39"/>
  <c r="GU54" i="39" s="1"/>
  <c r="CQ210" i="39"/>
  <c r="GM210" i="39" s="1"/>
  <c r="HA210" i="39" s="1"/>
  <c r="HC210" i="39" s="1"/>
  <c r="O210" i="19"/>
  <c r="U63" i="19"/>
  <c r="CY27" i="39"/>
  <c r="GU27" i="39" s="1"/>
  <c r="HH212" i="39"/>
  <c r="CS56" i="39"/>
  <c r="S56" i="19" s="1"/>
  <c r="GU58" i="39"/>
  <c r="GR45" i="39"/>
  <c r="HF55" i="39"/>
  <c r="GT89" i="39"/>
  <c r="HI124" i="39"/>
  <c r="Q56" i="19"/>
  <c r="HG55" i="39"/>
  <c r="HG124" i="39"/>
  <c r="CQ73" i="39"/>
  <c r="GM73" i="39" s="1"/>
  <c r="HA73" i="39" s="1"/>
  <c r="HC73" i="39" s="1"/>
  <c r="HH55" i="39"/>
  <c r="GS14" i="39"/>
  <c r="HG123" i="39"/>
  <c r="CQ55" i="39"/>
  <c r="GM55" i="39" s="1"/>
  <c r="HA55" i="39" s="1"/>
  <c r="HC55" i="39" s="1"/>
  <c r="CX42" i="39"/>
  <c r="W42" i="19" s="1"/>
  <c r="GM94" i="39"/>
  <c r="HA94" i="39" s="1"/>
  <c r="HC94" i="39" s="1"/>
  <c r="O55" i="19"/>
  <c r="T42" i="19"/>
  <c r="U51" i="19"/>
  <c r="CW42" i="39"/>
  <c r="V42" i="19" s="1"/>
  <c r="GK106" i="39"/>
  <c r="GY106" i="39" s="1"/>
  <c r="CY42" i="39"/>
  <c r="GU42" i="39" s="1"/>
  <c r="GR102" i="39"/>
  <c r="GT58" i="39"/>
  <c r="X37" i="19"/>
  <c r="GU17" i="39"/>
  <c r="T13" i="19"/>
  <c r="X41" i="19"/>
  <c r="HG32" i="39"/>
  <c r="GS37" i="39"/>
  <c r="CQ142" i="39"/>
  <c r="Q142" i="19" s="1"/>
  <c r="HF32" i="39"/>
  <c r="HH32" i="39"/>
  <c r="GT41" i="39"/>
  <c r="DB150" i="39"/>
  <c r="AA150" i="19" s="1"/>
  <c r="GQ54" i="39"/>
  <c r="GS94" i="39"/>
  <c r="GR68" i="39"/>
  <c r="GQ130" i="39"/>
  <c r="M147" i="19"/>
  <c r="CW54" i="39"/>
  <c r="GS54" i="39" s="1"/>
  <c r="HI162" i="39"/>
  <c r="HH123" i="39"/>
  <c r="DC176" i="39"/>
  <c r="AB176" i="19" s="1"/>
  <c r="HF75" i="39"/>
  <c r="HH73" i="39"/>
  <c r="HG162" i="39"/>
  <c r="HI73" i="39"/>
  <c r="CX114" i="39"/>
  <c r="W114" i="19" s="1"/>
  <c r="HF73" i="39"/>
  <c r="CS102" i="39"/>
  <c r="S102" i="19" s="1"/>
  <c r="GR89" i="39"/>
  <c r="CU176" i="39"/>
  <c r="CV176" i="39" s="1"/>
  <c r="GR176" i="39" s="1"/>
  <c r="Q102" i="19"/>
  <c r="HI212" i="39"/>
  <c r="CS94" i="39"/>
  <c r="S94" i="19" s="1"/>
  <c r="HF212" i="39"/>
  <c r="CY159" i="39"/>
  <c r="GU159" i="39" s="1"/>
  <c r="HI123" i="39"/>
  <c r="T159" i="19"/>
  <c r="DA150" i="39"/>
  <c r="Z150" i="19" s="1"/>
  <c r="CV38" i="39"/>
  <c r="GR38" i="39" s="1"/>
  <c r="CQ22" i="39"/>
  <c r="GM22" i="39" s="1"/>
  <c r="HA22" i="39" s="1"/>
  <c r="HC22" i="39" s="1"/>
  <c r="CS67" i="39"/>
  <c r="S67" i="19" s="1"/>
  <c r="O144" i="19"/>
  <c r="HF134" i="39"/>
  <c r="CS148" i="39"/>
  <c r="S148" i="19" s="1"/>
  <c r="CZ150" i="39"/>
  <c r="Y150" i="19" s="1"/>
  <c r="CX38" i="39"/>
  <c r="GT38" i="39" s="1"/>
  <c r="Q67" i="19"/>
  <c r="V58" i="19"/>
  <c r="CV77" i="39"/>
  <c r="GR77" i="39" s="1"/>
  <c r="CV162" i="39"/>
  <c r="GR162" i="39" s="1"/>
  <c r="CU150" i="39"/>
  <c r="T150" i="19" s="1"/>
  <c r="GK144" i="39"/>
  <c r="GY144" i="39" s="1"/>
  <c r="HG134" i="39"/>
  <c r="Q148" i="19"/>
  <c r="T38" i="19"/>
  <c r="HF22" i="39"/>
  <c r="CW38" i="39"/>
  <c r="GS38" i="39" s="1"/>
  <c r="T77" i="19"/>
  <c r="CW162" i="39"/>
  <c r="V162" i="19" s="1"/>
  <c r="CO150" i="39"/>
  <c r="CQ150" i="39" s="1"/>
  <c r="HI134" i="39"/>
  <c r="HH158" i="39"/>
  <c r="CY77" i="39"/>
  <c r="GU77" i="39" s="1"/>
  <c r="T162" i="19"/>
  <c r="GI150" i="39"/>
  <c r="GW150" i="39" s="1"/>
  <c r="HE150" i="39" s="1"/>
  <c r="HH150" i="39" s="1"/>
  <c r="O148" i="19"/>
  <c r="CW77" i="39"/>
  <c r="GS77" i="39" s="1"/>
  <c r="CY162" i="39"/>
  <c r="GU162" i="39" s="1"/>
  <c r="HI121" i="39"/>
  <c r="O29" i="19"/>
  <c r="GT102" i="39"/>
  <c r="GK73" i="39"/>
  <c r="GY73" i="39" s="1"/>
  <c r="GK29" i="39"/>
  <c r="GY29" i="39" s="1"/>
  <c r="CS92" i="39"/>
  <c r="S92" i="19" s="1"/>
  <c r="O72" i="19"/>
  <c r="CW27" i="39"/>
  <c r="V27" i="19" s="1"/>
  <c r="GM89" i="39"/>
  <c r="HA89" i="39" s="1"/>
  <c r="HC89" i="39" s="1"/>
  <c r="HF111" i="39"/>
  <c r="CQ101" i="39"/>
  <c r="Q101" i="19" s="1"/>
  <c r="U40" i="19"/>
  <c r="CQ72" i="39"/>
  <c r="GM72" i="39" s="1"/>
  <c r="HA72" i="39" s="1"/>
  <c r="HC72" i="39" s="1"/>
  <c r="CV27" i="39"/>
  <c r="U27" i="19" s="1"/>
  <c r="GQ27" i="39"/>
  <c r="GR67" i="39"/>
  <c r="GU40" i="39"/>
  <c r="HH131" i="39"/>
  <c r="O124" i="19"/>
  <c r="HH49" i="39"/>
  <c r="V67" i="19"/>
  <c r="CW142" i="39"/>
  <c r="V142" i="19" s="1"/>
  <c r="M191" i="19"/>
  <c r="CQ136" i="39"/>
  <c r="Q136" i="19" s="1"/>
  <c r="HG54" i="39"/>
  <c r="HI131" i="39"/>
  <c r="HH120" i="39"/>
  <c r="HI54" i="39"/>
  <c r="GQ75" i="39"/>
  <c r="HF131" i="39"/>
  <c r="HI120" i="39"/>
  <c r="HG142" i="39"/>
  <c r="HG49" i="39"/>
  <c r="HF54" i="39"/>
  <c r="M140" i="19"/>
  <c r="CO155" i="39"/>
  <c r="O155" i="19" s="1"/>
  <c r="HF120" i="39"/>
  <c r="HH211" i="39"/>
  <c r="T131" i="19"/>
  <c r="HH142" i="39"/>
  <c r="CV33" i="39"/>
  <c r="M138" i="19"/>
  <c r="GI155" i="39"/>
  <c r="GW155" i="39" s="1"/>
  <c r="HE155" i="39" s="1"/>
  <c r="HI155" i="39" s="1"/>
  <c r="CX130" i="39"/>
  <c r="GT130" i="39" s="1"/>
  <c r="HF211" i="39"/>
  <c r="GQ131" i="39"/>
  <c r="HI142" i="39"/>
  <c r="CY33" i="39"/>
  <c r="CW130" i="39"/>
  <c r="GS130" i="39" s="1"/>
  <c r="O120" i="19"/>
  <c r="HG211" i="39"/>
  <c r="CW33" i="39"/>
  <c r="CQ120" i="39"/>
  <c r="GM120" i="39" s="1"/>
  <c r="HA120" i="39" s="1"/>
  <c r="HC120" i="39" s="1"/>
  <c r="CX33" i="39"/>
  <c r="GT33" i="39" s="1"/>
  <c r="O134" i="19"/>
  <c r="V17" i="19"/>
  <c r="CS53" i="39"/>
  <c r="S53" i="19" s="1"/>
  <c r="Q92" i="19"/>
  <c r="CY133" i="39"/>
  <c r="X133" i="19" s="1"/>
  <c r="HF156" i="39"/>
  <c r="HG111" i="39"/>
  <c r="GI176" i="39"/>
  <c r="GW176" i="39" s="1"/>
  <c r="HE176" i="39" s="1"/>
  <c r="DB176" i="39"/>
  <c r="AA176" i="19" s="1"/>
  <c r="HH64" i="39"/>
  <c r="HF64" i="39"/>
  <c r="Q53" i="19"/>
  <c r="CX133" i="39"/>
  <c r="W133" i="19" s="1"/>
  <c r="HG156" i="39"/>
  <c r="U17" i="19"/>
  <c r="CV133" i="39"/>
  <c r="GR133" i="39" s="1"/>
  <c r="HH156" i="39"/>
  <c r="O153" i="19"/>
  <c r="HH13" i="39"/>
  <c r="CS37" i="39"/>
  <c r="S37" i="19" s="1"/>
  <c r="CV134" i="39"/>
  <c r="U134" i="19" s="1"/>
  <c r="CW133" i="39"/>
  <c r="V133" i="19" s="1"/>
  <c r="HG144" i="39"/>
  <c r="CQ153" i="39"/>
  <c r="CS153" i="39" s="1"/>
  <c r="HI64" i="39"/>
  <c r="HF13" i="39"/>
  <c r="Q37" i="19"/>
  <c r="O105" i="19"/>
  <c r="T133" i="19"/>
  <c r="HG13" i="39"/>
  <c r="HH38" i="39"/>
  <c r="CQ105" i="39"/>
  <c r="GM105" i="39" s="1"/>
  <c r="HA105" i="39" s="1"/>
  <c r="HC105" i="39" s="1"/>
  <c r="CQ54" i="39"/>
  <c r="GM54" i="39" s="1"/>
  <c r="HA54" i="39" s="1"/>
  <c r="HC54" i="39" s="1"/>
  <c r="CQ106" i="39"/>
  <c r="CS106" i="39" s="1"/>
  <c r="HI111" i="39"/>
  <c r="DA176" i="39"/>
  <c r="Z176" i="19" s="1"/>
  <c r="CX106" i="39"/>
  <c r="W106" i="19" s="1"/>
  <c r="CO176" i="39"/>
  <c r="GK176" i="39" s="1"/>
  <c r="GY176" i="39" s="1"/>
  <c r="CX142" i="39"/>
  <c r="W142" i="19" s="1"/>
  <c r="O121" i="19"/>
  <c r="T114" i="19"/>
  <c r="O111" i="19"/>
  <c r="O196" i="19"/>
  <c r="CY142" i="39"/>
  <c r="GU142" i="39" s="1"/>
  <c r="CQ121" i="39"/>
  <c r="CS121" i="39" s="1"/>
  <c r="CY114" i="39"/>
  <c r="GU114" i="39" s="1"/>
  <c r="GK111" i="39"/>
  <c r="GY111" i="39" s="1"/>
  <c r="T142" i="19"/>
  <c r="HI133" i="39"/>
  <c r="GK156" i="39"/>
  <c r="GY156" i="39" s="1"/>
  <c r="GQ114" i="39"/>
  <c r="O135" i="19"/>
  <c r="GQ142" i="39"/>
  <c r="HF133" i="39"/>
  <c r="O133" i="19"/>
  <c r="CQ135" i="39"/>
  <c r="GM135" i="39" s="1"/>
  <c r="HA135" i="39" s="1"/>
  <c r="HC135" i="39" s="1"/>
  <c r="HG133" i="39"/>
  <c r="CW114" i="39"/>
  <c r="V114" i="19" s="1"/>
  <c r="O146" i="19"/>
  <c r="CQ146" i="39"/>
  <c r="GM146" i="39" s="1"/>
  <c r="HA146" i="39" s="1"/>
  <c r="HC146" i="39" s="1"/>
  <c r="CQ71" i="39"/>
  <c r="GM71" i="39" s="1"/>
  <c r="HA71" i="39" s="1"/>
  <c r="HC71" i="39" s="1"/>
  <c r="HH22" i="39"/>
  <c r="GK32" i="39"/>
  <c r="GY32" i="39" s="1"/>
  <c r="T60" i="19"/>
  <c r="GM63" i="39"/>
  <c r="HA63" i="39" s="1"/>
  <c r="HC63" i="39" s="1"/>
  <c r="GK159" i="39"/>
  <c r="GY159" i="39" s="1"/>
  <c r="CY146" i="39"/>
  <c r="X146" i="19" s="1"/>
  <c r="HI196" i="39"/>
  <c r="HI158" i="39"/>
  <c r="DA204" i="39"/>
  <c r="Z204" i="19" s="1"/>
  <c r="O48" i="19"/>
  <c r="HF60" i="39"/>
  <c r="GK108" i="39"/>
  <c r="GY108" i="39" s="1"/>
  <c r="CY136" i="39"/>
  <c r="GU136" i="39" s="1"/>
  <c r="HF158" i="39"/>
  <c r="CU204" i="39"/>
  <c r="CV204" i="39" s="1"/>
  <c r="U204" i="19" s="1"/>
  <c r="HG22" i="39"/>
  <c r="GQ146" i="39"/>
  <c r="CW136" i="39"/>
  <c r="V136" i="19" s="1"/>
  <c r="GK48" i="39"/>
  <c r="GY48" i="39" s="1"/>
  <c r="HI114" i="39"/>
  <c r="CX120" i="39"/>
  <c r="GT120" i="39" s="1"/>
  <c r="O108" i="19"/>
  <c r="CX136" i="39"/>
  <c r="GT136" i="39" s="1"/>
  <c r="M122" i="19"/>
  <c r="CW156" i="39"/>
  <c r="GS156" i="39" s="1"/>
  <c r="CW146" i="39"/>
  <c r="V146" i="19" s="1"/>
  <c r="CV136" i="39"/>
  <c r="U136" i="19" s="1"/>
  <c r="HG196" i="39"/>
  <c r="CQ32" i="39"/>
  <c r="GM32" i="39" s="1"/>
  <c r="HA32" i="39" s="1"/>
  <c r="HC32" i="39" s="1"/>
  <c r="CS63" i="39"/>
  <c r="S63" i="19" s="1"/>
  <c r="CQ159" i="39"/>
  <c r="GM159" i="39" s="1"/>
  <c r="HA159" i="39" s="1"/>
  <c r="HC159" i="39" s="1"/>
  <c r="CV146" i="39"/>
  <c r="U146" i="19" s="1"/>
  <c r="HH196" i="39"/>
  <c r="HG18" i="39"/>
  <c r="HF18" i="39"/>
  <c r="HI18" i="39"/>
  <c r="HH18" i="39"/>
  <c r="GK18" i="39"/>
  <c r="GY18" i="39" s="1"/>
  <c r="CQ18" i="39"/>
  <c r="O18" i="19"/>
  <c r="CV18" i="39"/>
  <c r="T18" i="19"/>
  <c r="CY18" i="39"/>
  <c r="CX18" i="39"/>
  <c r="GQ18" i="39"/>
  <c r="CW18" i="39"/>
  <c r="F24" i="38"/>
  <c r="F36" i="38"/>
  <c r="F26" i="38"/>
  <c r="F28" i="38" s="1"/>
  <c r="G33" i="38" s="1"/>
  <c r="F24" i="37"/>
  <c r="F26" i="37" s="1"/>
  <c r="F35" i="37"/>
  <c r="HI44" i="39"/>
  <c r="HF44" i="39"/>
  <c r="CZ161" i="39"/>
  <c r="Y161" i="19" s="1"/>
  <c r="DA161" i="39"/>
  <c r="Z161" i="19" s="1"/>
  <c r="DB161" i="39"/>
  <c r="AA161" i="19" s="1"/>
  <c r="DC161" i="39"/>
  <c r="AB161" i="19" s="1"/>
  <c r="CZ122" i="39"/>
  <c r="Y122" i="19" s="1"/>
  <c r="DA122" i="39"/>
  <c r="Z122" i="19" s="1"/>
  <c r="DB122" i="39"/>
  <c r="AA122" i="19" s="1"/>
  <c r="DC122" i="39"/>
  <c r="AB122" i="19" s="1"/>
  <c r="CZ191" i="39"/>
  <c r="Y191" i="19" s="1"/>
  <c r="DA191" i="39"/>
  <c r="Z191" i="19" s="1"/>
  <c r="DB191" i="39"/>
  <c r="AA191" i="19" s="1"/>
  <c r="DC191" i="39"/>
  <c r="AB191" i="19" s="1"/>
  <c r="CU138" i="39"/>
  <c r="T138" i="19" s="1"/>
  <c r="CZ138" i="39"/>
  <c r="Y138" i="19" s="1"/>
  <c r="DA138" i="39"/>
  <c r="Z138" i="19" s="1"/>
  <c r="DB138" i="39"/>
  <c r="AA138" i="19" s="1"/>
  <c r="DC138" i="39"/>
  <c r="AB138" i="19" s="1"/>
  <c r="CU117" i="39"/>
  <c r="T117" i="19" s="1"/>
  <c r="CZ117" i="39"/>
  <c r="Y117" i="19" s="1"/>
  <c r="DA117" i="39"/>
  <c r="Z117" i="19" s="1"/>
  <c r="DB117" i="39"/>
  <c r="AA117" i="19" s="1"/>
  <c r="DC117" i="39"/>
  <c r="AB117" i="19" s="1"/>
  <c r="E18" i="5"/>
  <c r="F17" i="23"/>
  <c r="I29" i="26"/>
  <c r="GQ44" i="39"/>
  <c r="CW44" i="39"/>
  <c r="CY44" i="39"/>
  <c r="CV44" i="39"/>
  <c r="CX44" i="39"/>
  <c r="T44" i="19"/>
  <c r="F20" i="32"/>
  <c r="F22" i="32" s="1"/>
  <c r="F49" i="32" s="1"/>
  <c r="I30" i="26"/>
  <c r="F20" i="23"/>
  <c r="F20" i="24"/>
  <c r="F20" i="36"/>
  <c r="F22" i="36" s="1"/>
  <c r="F22" i="7"/>
  <c r="I30" i="27" s="1"/>
  <c r="F22" i="5"/>
  <c r="F46" i="5" s="1"/>
  <c r="DC127" i="39"/>
  <c r="AB127" i="19" s="1"/>
  <c r="CZ127" i="39"/>
  <c r="Y127" i="19" s="1"/>
  <c r="DA127" i="39"/>
  <c r="Z127" i="19" s="1"/>
  <c r="DB127" i="39"/>
  <c r="AA127" i="19" s="1"/>
  <c r="F22" i="8"/>
  <c r="I27" i="28"/>
  <c r="F17" i="8"/>
  <c r="I27" i="13"/>
  <c r="F16" i="6"/>
  <c r="I28" i="13" s="1"/>
  <c r="CZ164" i="39"/>
  <c r="Y164" i="19" s="1"/>
  <c r="DA164" i="39"/>
  <c r="Z164" i="19" s="1"/>
  <c r="DB164" i="39"/>
  <c r="AA164" i="19" s="1"/>
  <c r="DC164" i="39"/>
  <c r="AB164" i="19" s="1"/>
  <c r="CZ113" i="39"/>
  <c r="Y113" i="19" s="1"/>
  <c r="DA113" i="39"/>
  <c r="Z113" i="19" s="1"/>
  <c r="DB113" i="39"/>
  <c r="AA113" i="19" s="1"/>
  <c r="DC113" i="39"/>
  <c r="AB113" i="19" s="1"/>
  <c r="CZ129" i="39"/>
  <c r="Y129" i="19" s="1"/>
  <c r="DA129" i="39"/>
  <c r="Z129" i="19" s="1"/>
  <c r="DB129" i="39"/>
  <c r="AA129" i="19" s="1"/>
  <c r="DC129" i="39"/>
  <c r="AB129" i="19" s="1"/>
  <c r="CU147" i="39"/>
  <c r="GQ147" i="39" s="1"/>
  <c r="CZ147" i="39"/>
  <c r="Y147" i="19" s="1"/>
  <c r="DC147" i="39"/>
  <c r="AB147" i="19" s="1"/>
  <c r="DA147" i="39"/>
  <c r="Z147" i="19" s="1"/>
  <c r="DB147" i="39"/>
  <c r="AA147" i="19" s="1"/>
  <c r="CO110" i="39"/>
  <c r="CQ110" i="39" s="1"/>
  <c r="CZ110" i="39"/>
  <c r="Y110" i="19" s="1"/>
  <c r="DA110" i="39"/>
  <c r="Z110" i="19" s="1"/>
  <c r="DB110" i="39"/>
  <c r="AA110" i="19" s="1"/>
  <c r="DC110" i="39"/>
  <c r="AB110" i="19" s="1"/>
  <c r="CU112" i="39"/>
  <c r="T112" i="19" s="1"/>
  <c r="CZ112" i="39"/>
  <c r="Y112" i="19" s="1"/>
  <c r="DA112" i="39"/>
  <c r="Z112" i="19" s="1"/>
  <c r="DB112" i="39"/>
  <c r="AA112" i="19" s="1"/>
  <c r="DC112" i="39"/>
  <c r="AB112" i="19" s="1"/>
  <c r="CO197" i="39"/>
  <c r="GK197" i="39" s="1"/>
  <c r="GY197" i="39" s="1"/>
  <c r="CZ197" i="39"/>
  <c r="Y197" i="19" s="1"/>
  <c r="DA197" i="39"/>
  <c r="Z197" i="19" s="1"/>
  <c r="DB197" i="39"/>
  <c r="AA197" i="19" s="1"/>
  <c r="DC197" i="39"/>
  <c r="AB197" i="19" s="1"/>
  <c r="I27" i="29"/>
  <c r="F21" i="9"/>
  <c r="F16" i="9"/>
  <c r="CZ128" i="39"/>
  <c r="Y128" i="19" s="1"/>
  <c r="DA128" i="39"/>
  <c r="Z128" i="19" s="1"/>
  <c r="DB128" i="39"/>
  <c r="AA128" i="19" s="1"/>
  <c r="DC128" i="39"/>
  <c r="AB128" i="19" s="1"/>
  <c r="GI79" i="39"/>
  <c r="GW79" i="39" s="1"/>
  <c r="HE79" i="39" s="1"/>
  <c r="HI79" i="39" s="1"/>
  <c r="CZ79" i="39"/>
  <c r="Y79" i="19" s="1"/>
  <c r="DC79" i="39"/>
  <c r="AB79" i="19" s="1"/>
  <c r="DB79" i="39"/>
  <c r="AA79" i="19" s="1"/>
  <c r="DA79" i="39"/>
  <c r="Z79" i="19" s="1"/>
  <c r="CO182" i="39"/>
  <c r="GK182" i="39" s="1"/>
  <c r="GY182" i="39" s="1"/>
  <c r="DB182" i="39"/>
  <c r="AA182" i="19" s="1"/>
  <c r="DC182" i="39"/>
  <c r="AB182" i="19" s="1"/>
  <c r="DA182" i="39"/>
  <c r="Z182" i="19" s="1"/>
  <c r="CZ182" i="39"/>
  <c r="Y182" i="19" s="1"/>
  <c r="GI140" i="39"/>
  <c r="GW140" i="39" s="1"/>
  <c r="HE140" i="39" s="1"/>
  <c r="HF140" i="39" s="1"/>
  <c r="CZ140" i="39"/>
  <c r="Y140" i="19" s="1"/>
  <c r="DA140" i="39"/>
  <c r="Z140" i="19" s="1"/>
  <c r="DB140" i="39"/>
  <c r="AA140" i="19" s="1"/>
  <c r="DC140" i="39"/>
  <c r="AB140" i="19" s="1"/>
  <c r="CU91" i="39"/>
  <c r="CY91" i="39" s="1"/>
  <c r="CZ91" i="39"/>
  <c r="Y91" i="19" s="1"/>
  <c r="DA91" i="39"/>
  <c r="Z91" i="19" s="1"/>
  <c r="DB91" i="39"/>
  <c r="AA91" i="19" s="1"/>
  <c r="DC91" i="39"/>
  <c r="AB91" i="19" s="1"/>
  <c r="HF148" i="39"/>
  <c r="HI148" i="39"/>
  <c r="HG148" i="39"/>
  <c r="HH148" i="39"/>
  <c r="F17" i="7"/>
  <c r="I28" i="27" s="1"/>
  <c r="I27" i="27"/>
  <c r="DB194" i="39"/>
  <c r="AA194" i="19" s="1"/>
  <c r="DC194" i="39"/>
  <c r="AB194" i="19" s="1"/>
  <c r="DA194" i="39"/>
  <c r="Z194" i="19" s="1"/>
  <c r="CZ194" i="39"/>
  <c r="Y194" i="19" s="1"/>
  <c r="CZ125" i="39"/>
  <c r="Y125" i="19" s="1"/>
  <c r="DA125" i="39"/>
  <c r="Z125" i="19" s="1"/>
  <c r="DB125" i="39"/>
  <c r="AA125" i="19" s="1"/>
  <c r="DC125" i="39"/>
  <c r="AB125" i="19" s="1"/>
  <c r="CZ173" i="39"/>
  <c r="Y173" i="19" s="1"/>
  <c r="DA173" i="39"/>
  <c r="Z173" i="19" s="1"/>
  <c r="DB173" i="39"/>
  <c r="AA173" i="19" s="1"/>
  <c r="DC173" i="39"/>
  <c r="AB173" i="19" s="1"/>
  <c r="CZ177" i="39"/>
  <c r="Y177" i="19" s="1"/>
  <c r="DA177" i="39"/>
  <c r="Z177" i="19" s="1"/>
  <c r="DB177" i="39"/>
  <c r="AA177" i="19" s="1"/>
  <c r="DC177" i="39"/>
  <c r="AB177" i="19" s="1"/>
  <c r="GI190" i="39"/>
  <c r="GW190" i="39" s="1"/>
  <c r="HE190" i="39" s="1"/>
  <c r="HF190" i="39" s="1"/>
  <c r="DB190" i="39"/>
  <c r="AA190" i="19" s="1"/>
  <c r="DA190" i="39"/>
  <c r="Z190" i="19" s="1"/>
  <c r="DC190" i="39"/>
  <c r="AB190" i="19" s="1"/>
  <c r="CZ190" i="39"/>
  <c r="Y190" i="19" s="1"/>
  <c r="CO171" i="39"/>
  <c r="O171" i="19" s="1"/>
  <c r="DC171" i="39"/>
  <c r="AB171" i="19" s="1"/>
  <c r="CZ171" i="39"/>
  <c r="Y171" i="19" s="1"/>
  <c r="DA171" i="39"/>
  <c r="Z171" i="19" s="1"/>
  <c r="DB171" i="39"/>
  <c r="AA171" i="19" s="1"/>
  <c r="CU195" i="39"/>
  <c r="CV195" i="39" s="1"/>
  <c r="CZ195" i="39"/>
  <c r="Y195" i="19" s="1"/>
  <c r="DA195" i="39"/>
  <c r="Z195" i="19" s="1"/>
  <c r="DB195" i="39"/>
  <c r="AA195" i="19" s="1"/>
  <c r="DC195" i="39"/>
  <c r="AB195" i="19" s="1"/>
  <c r="CU193" i="39"/>
  <c r="T193" i="19" s="1"/>
  <c r="CZ193" i="39"/>
  <c r="Y193" i="19" s="1"/>
  <c r="DA193" i="39"/>
  <c r="Z193" i="19" s="1"/>
  <c r="DB193" i="39"/>
  <c r="AA193" i="19" s="1"/>
  <c r="DC193" i="39"/>
  <c r="AB193" i="19" s="1"/>
  <c r="GI154" i="39"/>
  <c r="GW154" i="39" s="1"/>
  <c r="HE154" i="39" s="1"/>
  <c r="HG154" i="39" s="1"/>
  <c r="CZ154" i="39"/>
  <c r="Y154" i="19" s="1"/>
  <c r="DA154" i="39"/>
  <c r="Z154" i="19" s="1"/>
  <c r="DB154" i="39"/>
  <c r="AA154" i="19" s="1"/>
  <c r="DC154" i="39"/>
  <c r="AB154" i="19" s="1"/>
  <c r="CU98" i="39"/>
  <c r="CW98" i="39" s="1"/>
  <c r="CZ98" i="39"/>
  <c r="Y98" i="19" s="1"/>
  <c r="DA98" i="39"/>
  <c r="Z98" i="19" s="1"/>
  <c r="DB98" i="39"/>
  <c r="AA98" i="19" s="1"/>
  <c r="DC98" i="39"/>
  <c r="AB98" i="19" s="1"/>
  <c r="CO174" i="39"/>
  <c r="CQ174" i="39" s="1"/>
  <c r="CZ174" i="39"/>
  <c r="Y174" i="19" s="1"/>
  <c r="DA174" i="39"/>
  <c r="Z174" i="19" s="1"/>
  <c r="DB174" i="39"/>
  <c r="AA174" i="19" s="1"/>
  <c r="DC174" i="39"/>
  <c r="AB174" i="19" s="1"/>
  <c r="F17" i="24"/>
  <c r="F18" i="24" s="1"/>
  <c r="C1" i="24"/>
  <c r="A239" i="24"/>
  <c r="CZ183" i="39"/>
  <c r="Y183" i="19" s="1"/>
  <c r="DA183" i="39"/>
  <c r="Z183" i="19" s="1"/>
  <c r="DB183" i="39"/>
  <c r="AA183" i="19" s="1"/>
  <c r="DC183" i="39"/>
  <c r="AB183" i="19" s="1"/>
  <c r="CU192" i="39"/>
  <c r="CV192" i="39" s="1"/>
  <c r="DB192" i="39"/>
  <c r="AA192" i="19" s="1"/>
  <c r="DC192" i="39"/>
  <c r="AB192" i="19" s="1"/>
  <c r="CZ192" i="39"/>
  <c r="Y192" i="19" s="1"/>
  <c r="DA192" i="39"/>
  <c r="Z192" i="19" s="1"/>
  <c r="GI145" i="39"/>
  <c r="GW145" i="39" s="1"/>
  <c r="HE145" i="39" s="1"/>
  <c r="HG145" i="39" s="1"/>
  <c r="CZ145" i="39"/>
  <c r="Y145" i="19" s="1"/>
  <c r="DA145" i="39"/>
  <c r="Z145" i="19" s="1"/>
  <c r="DB145" i="39"/>
  <c r="AA145" i="19" s="1"/>
  <c r="DC145" i="39"/>
  <c r="AB145" i="19" s="1"/>
  <c r="GI168" i="39"/>
  <c r="GW168" i="39" s="1"/>
  <c r="HE168" i="39" s="1"/>
  <c r="HG168" i="39" s="1"/>
  <c r="CZ168" i="39"/>
  <c r="Y168" i="19" s="1"/>
  <c r="DA168" i="39"/>
  <c r="Z168" i="19" s="1"/>
  <c r="DB168" i="39"/>
  <c r="AA168" i="19" s="1"/>
  <c r="DC168" i="39"/>
  <c r="AB168" i="19" s="1"/>
  <c r="F21" i="34"/>
  <c r="F16" i="34"/>
  <c r="F18" i="34" s="1"/>
  <c r="F20" i="34" s="1"/>
  <c r="I27" i="31"/>
  <c r="F16" i="10"/>
  <c r="I28" i="31" s="1"/>
  <c r="F21" i="10"/>
  <c r="CZ118" i="39"/>
  <c r="Y118" i="19" s="1"/>
  <c r="DA118" i="39"/>
  <c r="Z118" i="19" s="1"/>
  <c r="DB118" i="39"/>
  <c r="AA118" i="19" s="1"/>
  <c r="DC118" i="39"/>
  <c r="AB118" i="19" s="1"/>
  <c r="CO167" i="39"/>
  <c r="O167" i="19" s="1"/>
  <c r="DC167" i="39"/>
  <c r="AB167" i="19" s="1"/>
  <c r="CZ167" i="39"/>
  <c r="Y167" i="19" s="1"/>
  <c r="DA167" i="39"/>
  <c r="Z167" i="19" s="1"/>
  <c r="DB167" i="39"/>
  <c r="AA167" i="19" s="1"/>
  <c r="F20" i="20"/>
  <c r="F17" i="20"/>
  <c r="F19" i="20" s="1"/>
  <c r="I31" i="30" s="1"/>
  <c r="I27" i="30"/>
  <c r="CZ152" i="39"/>
  <c r="Y152" i="19" s="1"/>
  <c r="DA152" i="39"/>
  <c r="Z152" i="19" s="1"/>
  <c r="DB152" i="39"/>
  <c r="AA152" i="19" s="1"/>
  <c r="DC152" i="39"/>
  <c r="AB152" i="19" s="1"/>
  <c r="DC155" i="39"/>
  <c r="AB155" i="19" s="1"/>
  <c r="CZ155" i="39"/>
  <c r="Y155" i="19" s="1"/>
  <c r="DA155" i="39"/>
  <c r="Z155" i="19" s="1"/>
  <c r="DB155" i="39"/>
  <c r="AA155" i="19" s="1"/>
  <c r="GI185" i="39"/>
  <c r="GW185" i="39" s="1"/>
  <c r="HE185" i="39" s="1"/>
  <c r="HF185" i="39" s="1"/>
  <c r="CZ185" i="39"/>
  <c r="Y185" i="19" s="1"/>
  <c r="DA185" i="39"/>
  <c r="Z185" i="19" s="1"/>
  <c r="DB185" i="39"/>
  <c r="AA185" i="19" s="1"/>
  <c r="DC185" i="39"/>
  <c r="AB185" i="19" s="1"/>
  <c r="GI179" i="39"/>
  <c r="GW179" i="39" s="1"/>
  <c r="HE179" i="39" s="1"/>
  <c r="HF179" i="39" s="1"/>
  <c r="CZ179" i="39"/>
  <c r="Y179" i="19" s="1"/>
  <c r="DA179" i="39"/>
  <c r="Z179" i="19" s="1"/>
  <c r="DB179" i="39"/>
  <c r="AA179" i="19" s="1"/>
  <c r="DC179" i="39"/>
  <c r="AB179" i="19" s="1"/>
  <c r="GI186" i="39"/>
  <c r="GW186" i="39" s="1"/>
  <c r="HE186" i="39" s="1"/>
  <c r="HF186" i="39" s="1"/>
  <c r="DB186" i="39"/>
  <c r="AA186" i="19" s="1"/>
  <c r="DC186" i="39"/>
  <c r="AB186" i="19" s="1"/>
  <c r="DA186" i="39"/>
  <c r="Z186" i="19" s="1"/>
  <c r="CZ186" i="39"/>
  <c r="Y186" i="19" s="1"/>
  <c r="CQ33" i="39"/>
  <c r="GK33" i="39"/>
  <c r="GY33" i="39" s="1"/>
  <c r="O33" i="19"/>
  <c r="M193" i="19"/>
  <c r="CO186" i="39"/>
  <c r="GK114" i="39"/>
  <c r="GY114" i="39" s="1"/>
  <c r="CU186" i="39"/>
  <c r="CV186" i="39" s="1"/>
  <c r="GR186" i="39" s="1"/>
  <c r="CX21" i="39"/>
  <c r="GT21" i="39" s="1"/>
  <c r="GK133" i="39"/>
  <c r="GY133" i="39" s="1"/>
  <c r="CY169" i="39"/>
  <c r="GU169" i="39" s="1"/>
  <c r="GU67" i="39"/>
  <c r="CW169" i="39"/>
  <c r="V169" i="19" s="1"/>
  <c r="CV169" i="39"/>
  <c r="GR169" i="39" s="1"/>
  <c r="CO193" i="39"/>
  <c r="O193" i="19" s="1"/>
  <c r="M168" i="19"/>
  <c r="CX83" i="39"/>
  <c r="W83" i="19" s="1"/>
  <c r="T54" i="19"/>
  <c r="GK54" i="39"/>
  <c r="GY54" i="39" s="1"/>
  <c r="M129" i="19"/>
  <c r="CY130" i="39"/>
  <c r="X130" i="19" s="1"/>
  <c r="HH144" i="39"/>
  <c r="GI138" i="39"/>
  <c r="GW138" i="39" s="1"/>
  <c r="HE138" i="39" s="1"/>
  <c r="HG138" i="39" s="1"/>
  <c r="CW131" i="39"/>
  <c r="V131" i="19" s="1"/>
  <c r="CO168" i="39"/>
  <c r="GK168" i="39" s="1"/>
  <c r="GY168" i="39" s="1"/>
  <c r="CX54" i="39"/>
  <c r="W54" i="19" s="1"/>
  <c r="T130" i="19"/>
  <c r="HF144" i="39"/>
  <c r="CV131" i="39"/>
  <c r="GR131" i="39" s="1"/>
  <c r="CY131" i="39"/>
  <c r="X131" i="19" s="1"/>
  <c r="GK196" i="39"/>
  <c r="GY196" i="39" s="1"/>
  <c r="HG83" i="39"/>
  <c r="V62" i="19"/>
  <c r="O136" i="19"/>
  <c r="GI193" i="39"/>
  <c r="GW193" i="39" s="1"/>
  <c r="HE193" i="39" s="1"/>
  <c r="HH193" i="39" s="1"/>
  <c r="T32" i="19"/>
  <c r="M177" i="19"/>
  <c r="GI167" i="39"/>
  <c r="GW167" i="39" s="1"/>
  <c r="HE167" i="39" s="1"/>
  <c r="HI167" i="39" s="1"/>
  <c r="HI77" i="39"/>
  <c r="HG146" i="39"/>
  <c r="HH77" i="39"/>
  <c r="HI146" i="39"/>
  <c r="M190" i="19"/>
  <c r="HF77" i="39"/>
  <c r="GQ210" i="39"/>
  <c r="CW132" i="39"/>
  <c r="V132" i="19" s="1"/>
  <c r="CO195" i="39"/>
  <c r="GK195" i="39" s="1"/>
  <c r="GY195" i="39" s="1"/>
  <c r="CQ114" i="39"/>
  <c r="GM114" i="39" s="1"/>
  <c r="HA114" i="39" s="1"/>
  <c r="HC114" i="39" s="1"/>
  <c r="GI195" i="39"/>
  <c r="GW195" i="39" s="1"/>
  <c r="HE195" i="39" s="1"/>
  <c r="HF195" i="39" s="1"/>
  <c r="M113" i="19"/>
  <c r="M197" i="19"/>
  <c r="GT67" i="39"/>
  <c r="T29" i="19"/>
  <c r="V40" i="19"/>
  <c r="GI182" i="39"/>
  <c r="GW182" i="39" s="1"/>
  <c r="HE182" i="39" s="1"/>
  <c r="HH182" i="39" s="1"/>
  <c r="GQ49" i="39"/>
  <c r="CU168" i="39"/>
  <c r="GQ168" i="39" s="1"/>
  <c r="GQ71" i="39"/>
  <c r="CY196" i="39"/>
  <c r="GU196" i="39" s="1"/>
  <c r="CO154" i="39"/>
  <c r="GK154" i="39" s="1"/>
  <c r="GY154" i="39" s="1"/>
  <c r="T135" i="19"/>
  <c r="CX13" i="39"/>
  <c r="W13" i="19" s="1"/>
  <c r="HG75" i="39"/>
  <c r="CY106" i="39"/>
  <c r="X106" i="19" s="1"/>
  <c r="HH83" i="39"/>
  <c r="HF162" i="39"/>
  <c r="CV159" i="39"/>
  <c r="U159" i="19" s="1"/>
  <c r="GI174" i="39"/>
  <c r="GW174" i="39" s="1"/>
  <c r="HE174" i="39" s="1"/>
  <c r="HF174" i="39" s="1"/>
  <c r="GQ120" i="39"/>
  <c r="CU154" i="39"/>
  <c r="CW154" i="39" s="1"/>
  <c r="GQ106" i="39"/>
  <c r="HI83" i="39"/>
  <c r="CU79" i="39"/>
  <c r="CV79" i="39" s="1"/>
  <c r="O142" i="19"/>
  <c r="CW159" i="39"/>
  <c r="V159" i="19" s="1"/>
  <c r="T120" i="19"/>
  <c r="GQ13" i="39"/>
  <c r="HI60" i="39"/>
  <c r="CY134" i="39"/>
  <c r="GU134" i="39" s="1"/>
  <c r="CX159" i="39"/>
  <c r="GT159" i="39" s="1"/>
  <c r="GQ144" i="39"/>
  <c r="CY108" i="39"/>
  <c r="GU108" i="39" s="1"/>
  <c r="GQ132" i="39"/>
  <c r="CU167" i="39"/>
  <c r="T167" i="19" s="1"/>
  <c r="T106" i="19"/>
  <c r="HG60" i="39"/>
  <c r="GQ52" i="39"/>
  <c r="CY120" i="39"/>
  <c r="X120" i="19" s="1"/>
  <c r="CO98" i="39"/>
  <c r="O98" i="19" s="1"/>
  <c r="CY13" i="39"/>
  <c r="X13" i="19" s="1"/>
  <c r="CV13" i="39"/>
  <c r="U13" i="19" s="1"/>
  <c r="HI75" i="39"/>
  <c r="CW106" i="39"/>
  <c r="V106" i="19" s="1"/>
  <c r="CV120" i="39"/>
  <c r="U120" i="19" s="1"/>
  <c r="GI98" i="39"/>
  <c r="GW98" i="39" s="1"/>
  <c r="HE98" i="39" s="1"/>
  <c r="HF98" i="39" s="1"/>
  <c r="CQ49" i="39"/>
  <c r="GM49" i="39" s="1"/>
  <c r="HA49" i="39" s="1"/>
  <c r="HC49" i="39" s="1"/>
  <c r="CY29" i="39"/>
  <c r="X29" i="19" s="1"/>
  <c r="CW29" i="39"/>
  <c r="GS29" i="39" s="1"/>
  <c r="HG34" i="39"/>
  <c r="CW49" i="39"/>
  <c r="GS49" i="39" s="1"/>
  <c r="CY71" i="39"/>
  <c r="X71" i="19" s="1"/>
  <c r="CX52" i="39"/>
  <c r="W52" i="19" s="1"/>
  <c r="GQ105" i="39"/>
  <c r="CU190" i="39"/>
  <c r="T190" i="19" s="1"/>
  <c r="CX134" i="39"/>
  <c r="W134" i="19" s="1"/>
  <c r="CW135" i="39"/>
  <c r="V135" i="19" s="1"/>
  <c r="CU174" i="39"/>
  <c r="CX174" i="39" s="1"/>
  <c r="T144" i="19"/>
  <c r="CY83" i="39"/>
  <c r="X83" i="19" s="1"/>
  <c r="HH21" i="39"/>
  <c r="O49" i="19"/>
  <c r="GQ29" i="39"/>
  <c r="HI38" i="39"/>
  <c r="HG71" i="39"/>
  <c r="T105" i="19"/>
  <c r="GQ196" i="39"/>
  <c r="CW134" i="39"/>
  <c r="GS134" i="39" s="1"/>
  <c r="GQ135" i="39"/>
  <c r="T156" i="19"/>
  <c r="CX108" i="39"/>
  <c r="W108" i="19" s="1"/>
  <c r="CO117" i="39"/>
  <c r="O117" i="19" s="1"/>
  <c r="HG21" i="39"/>
  <c r="CV83" i="39"/>
  <c r="U83" i="19" s="1"/>
  <c r="CS40" i="39"/>
  <c r="S40" i="19" s="1"/>
  <c r="T49" i="19"/>
  <c r="HF38" i="39"/>
  <c r="HH71" i="39"/>
  <c r="CV71" i="39"/>
  <c r="U71" i="19" s="1"/>
  <c r="CY52" i="39"/>
  <c r="X52" i="19" s="1"/>
  <c r="CX105" i="39"/>
  <c r="W105" i="19" s="1"/>
  <c r="CS45" i="39"/>
  <c r="S45" i="19" s="1"/>
  <c r="T196" i="19"/>
  <c r="CW144" i="39"/>
  <c r="V144" i="19" s="1"/>
  <c r="CY156" i="39"/>
  <c r="GU156" i="39" s="1"/>
  <c r="T108" i="19"/>
  <c r="GI117" i="39"/>
  <c r="GW117" i="39" s="1"/>
  <c r="HE117" i="39" s="1"/>
  <c r="HG117" i="39" s="1"/>
  <c r="T83" i="19"/>
  <c r="CX196" i="39"/>
  <c r="W196" i="19" s="1"/>
  <c r="CW83" i="39"/>
  <c r="GS83" i="39" s="1"/>
  <c r="HI21" i="39"/>
  <c r="HH34" i="39"/>
  <c r="Q40" i="19"/>
  <c r="CV49" i="39"/>
  <c r="U49" i="19" s="1"/>
  <c r="HI71" i="39"/>
  <c r="CW71" i="39"/>
  <c r="V71" i="19" s="1"/>
  <c r="CW52" i="39"/>
  <c r="V52" i="19" s="1"/>
  <c r="CY105" i="39"/>
  <c r="X105" i="19" s="1"/>
  <c r="Q45" i="19"/>
  <c r="CV196" i="39"/>
  <c r="GR196" i="39" s="1"/>
  <c r="CX144" i="39"/>
  <c r="W144" i="19" s="1"/>
  <c r="CV156" i="39"/>
  <c r="GR156" i="39" s="1"/>
  <c r="CV108" i="39"/>
  <c r="U108" i="19" s="1"/>
  <c r="M127" i="19"/>
  <c r="CV158" i="39"/>
  <c r="GR158" i="39" s="1"/>
  <c r="O158" i="19"/>
  <c r="CX29" i="39"/>
  <c r="W29" i="19" s="1"/>
  <c r="HI34" i="39"/>
  <c r="CX49" i="39"/>
  <c r="GT49" i="39" s="1"/>
  <c r="T71" i="19"/>
  <c r="T52" i="19"/>
  <c r="CV105" i="39"/>
  <c r="GR105" i="39" s="1"/>
  <c r="T134" i="19"/>
  <c r="CY135" i="39"/>
  <c r="GU135" i="39" s="1"/>
  <c r="CY144" i="39"/>
  <c r="X144" i="19" s="1"/>
  <c r="GQ156" i="39"/>
  <c r="CW108" i="39"/>
  <c r="V108" i="19" s="1"/>
  <c r="CX158" i="39"/>
  <c r="W158" i="19" s="1"/>
  <c r="CX135" i="39"/>
  <c r="GT135" i="39" s="1"/>
  <c r="CX32" i="39"/>
  <c r="W32" i="19" s="1"/>
  <c r="CW21" i="39"/>
  <c r="V21" i="19" s="1"/>
  <c r="CU197" i="39"/>
  <c r="CV197" i="39" s="1"/>
  <c r="CQ156" i="39"/>
  <c r="GM156" i="39" s="1"/>
  <c r="HA156" i="39" s="1"/>
  <c r="HC156" i="39" s="1"/>
  <c r="GK211" i="39"/>
  <c r="GY211" i="39" s="1"/>
  <c r="CQ131" i="39"/>
  <c r="GM131" i="39" s="1"/>
  <c r="HA131" i="39" s="1"/>
  <c r="HC131" i="39" s="1"/>
  <c r="CO91" i="39"/>
  <c r="GK91" i="39" s="1"/>
  <c r="GY91" i="39" s="1"/>
  <c r="HH121" i="39"/>
  <c r="CY32" i="39"/>
  <c r="X32" i="19" s="1"/>
  <c r="T21" i="19"/>
  <c r="HG210" i="39"/>
  <c r="CW32" i="39"/>
  <c r="V32" i="19" s="1"/>
  <c r="CY21" i="39"/>
  <c r="X21" i="19" s="1"/>
  <c r="M161" i="19"/>
  <c r="HH210" i="39"/>
  <c r="HH136" i="39"/>
  <c r="CV32" i="39"/>
  <c r="U32" i="19" s="1"/>
  <c r="CV21" i="39"/>
  <c r="U21" i="19" s="1"/>
  <c r="HF210" i="39"/>
  <c r="M192" i="19"/>
  <c r="HI136" i="39"/>
  <c r="GI197" i="39"/>
  <c r="GW197" i="39" s="1"/>
  <c r="HE197" i="39" s="1"/>
  <c r="HF197" i="39" s="1"/>
  <c r="HF136" i="39"/>
  <c r="CQ211" i="39"/>
  <c r="CS211" i="39" s="1"/>
  <c r="GK131" i="39"/>
  <c r="GY131" i="39" s="1"/>
  <c r="HF121" i="39"/>
  <c r="AD174" i="19"/>
  <c r="M174" i="19"/>
  <c r="M160" i="19"/>
  <c r="HF132" i="39"/>
  <c r="GK101" i="39"/>
  <c r="GY101" i="39" s="1"/>
  <c r="HF114" i="39"/>
  <c r="HH132" i="39"/>
  <c r="HG114" i="39"/>
  <c r="CU185" i="39"/>
  <c r="CY185" i="39" s="1"/>
  <c r="M164" i="19"/>
  <c r="HI132" i="39"/>
  <c r="CO185" i="39"/>
  <c r="CQ185" i="39" s="1"/>
  <c r="M110" i="19"/>
  <c r="CW210" i="39"/>
  <c r="GS210" i="39" s="1"/>
  <c r="GR62" i="39"/>
  <c r="GU62" i="39"/>
  <c r="M125" i="19"/>
  <c r="CX210" i="39"/>
  <c r="GT210" i="39" s="1"/>
  <c r="CV210" i="39"/>
  <c r="U210" i="19" s="1"/>
  <c r="CY210" i="39"/>
  <c r="GU210" i="39" s="1"/>
  <c r="GI147" i="39"/>
  <c r="GW147" i="39" s="1"/>
  <c r="HE147" i="39" s="1"/>
  <c r="HH147" i="39" s="1"/>
  <c r="GK158" i="39"/>
  <c r="GY158" i="39" s="1"/>
  <c r="M155" i="19"/>
  <c r="M79" i="19"/>
  <c r="M98" i="19"/>
  <c r="CU110" i="39"/>
  <c r="GQ110" i="39" s="1"/>
  <c r="M173" i="19"/>
  <c r="GI110" i="39"/>
  <c r="GW110" i="39" s="1"/>
  <c r="HE110" i="39" s="1"/>
  <c r="HH110" i="39" s="1"/>
  <c r="T158" i="19"/>
  <c r="GI112" i="39"/>
  <c r="GW112" i="39" s="1"/>
  <c r="HE112" i="39" s="1"/>
  <c r="HG112" i="39" s="1"/>
  <c r="CW158" i="39"/>
  <c r="V158" i="19" s="1"/>
  <c r="CO112" i="39"/>
  <c r="CQ112" i="39" s="1"/>
  <c r="M118" i="19"/>
  <c r="CY158" i="39"/>
  <c r="X158" i="19" s="1"/>
  <c r="DU217" i="39"/>
  <c r="CY60" i="39"/>
  <c r="X60" i="19" s="1"/>
  <c r="CV60" i="39"/>
  <c r="GR60" i="39" s="1"/>
  <c r="M167" i="19"/>
  <c r="CW60" i="39"/>
  <c r="V60" i="19" s="1"/>
  <c r="O130" i="19"/>
  <c r="HI48" i="39"/>
  <c r="GQ60" i="39"/>
  <c r="CQ130" i="39"/>
  <c r="GM130" i="39" s="1"/>
  <c r="HA130" i="39" s="1"/>
  <c r="HC130" i="39" s="1"/>
  <c r="CO192" i="39"/>
  <c r="CQ192" i="39" s="1"/>
  <c r="M128" i="19"/>
  <c r="CU145" i="39"/>
  <c r="T145" i="19" s="1"/>
  <c r="HF48" i="39"/>
  <c r="GI192" i="39"/>
  <c r="GW192" i="39" s="1"/>
  <c r="HE192" i="39" s="1"/>
  <c r="HH192" i="39" s="1"/>
  <c r="CO145" i="39"/>
  <c r="O145" i="19" s="1"/>
  <c r="CU179" i="39"/>
  <c r="CX179" i="39" s="1"/>
  <c r="HG48" i="39"/>
  <c r="M152" i="19"/>
  <c r="CO179" i="39"/>
  <c r="GK179" i="39" s="1"/>
  <c r="GY179" i="39" s="1"/>
  <c r="M183" i="19"/>
  <c r="CO147" i="39"/>
  <c r="GK147" i="39" s="1"/>
  <c r="GY147" i="39" s="1"/>
  <c r="CU182" i="39"/>
  <c r="GQ182" i="39" s="1"/>
  <c r="CO190" i="39"/>
  <c r="CQ190" i="39" s="1"/>
  <c r="M194" i="19"/>
  <c r="CO140" i="39"/>
  <c r="GK140" i="39" s="1"/>
  <c r="GY140" i="39" s="1"/>
  <c r="CU140" i="39"/>
  <c r="CY140" i="39" s="1"/>
  <c r="CX132" i="39"/>
  <c r="W132" i="19" s="1"/>
  <c r="T132" i="19"/>
  <c r="CU171" i="39"/>
  <c r="CX171" i="39" s="1"/>
  <c r="CY132" i="39"/>
  <c r="GU132" i="39" s="1"/>
  <c r="GI171" i="39"/>
  <c r="GW171" i="39" s="1"/>
  <c r="HE171" i="39" s="1"/>
  <c r="HG171" i="39" s="1"/>
  <c r="M91" i="19"/>
  <c r="T189" i="19"/>
  <c r="CV189" i="39"/>
  <c r="GQ189" i="39"/>
  <c r="CX189" i="39"/>
  <c r="CW189" i="39"/>
  <c r="CY189" i="39"/>
  <c r="CW149" i="39"/>
  <c r="CY149" i="39"/>
  <c r="CV149" i="39"/>
  <c r="T149" i="19"/>
  <c r="GQ149" i="39"/>
  <c r="CX149" i="39"/>
  <c r="GM144" i="39"/>
  <c r="HA144" i="39" s="1"/>
  <c r="HC144" i="39" s="1"/>
  <c r="Q144" i="19"/>
  <c r="CS144" i="39"/>
  <c r="O214" i="19"/>
  <c r="CQ214" i="39"/>
  <c r="GK214" i="39"/>
  <c r="GY214" i="39" s="1"/>
  <c r="HF175" i="39"/>
  <c r="HI175" i="39"/>
  <c r="HH175" i="39"/>
  <c r="HG175" i="39"/>
  <c r="GK172" i="39"/>
  <c r="GY172" i="39" s="1"/>
  <c r="CQ172" i="39"/>
  <c r="O172" i="19"/>
  <c r="GI125" i="39"/>
  <c r="GW125" i="39" s="1"/>
  <c r="HE125" i="39" s="1"/>
  <c r="CU125" i="39"/>
  <c r="CO125" i="39"/>
  <c r="CV187" i="39"/>
  <c r="CX187" i="39"/>
  <c r="T187" i="19"/>
  <c r="CY187" i="39"/>
  <c r="GQ187" i="39"/>
  <c r="CW187" i="39"/>
  <c r="HF137" i="39"/>
  <c r="HG137" i="39"/>
  <c r="HI137" i="39"/>
  <c r="HH137" i="39"/>
  <c r="HI141" i="39"/>
  <c r="HH141" i="39"/>
  <c r="HG141" i="39"/>
  <c r="HF141" i="39"/>
  <c r="CY215" i="39"/>
  <c r="CX215" i="39"/>
  <c r="CV215" i="39"/>
  <c r="T215" i="19"/>
  <c r="GQ215" i="39"/>
  <c r="CW215" i="39"/>
  <c r="GK139" i="39"/>
  <c r="GY139" i="39" s="1"/>
  <c r="CQ139" i="39"/>
  <c r="O139" i="19"/>
  <c r="GI127" i="39"/>
  <c r="GW127" i="39" s="1"/>
  <c r="HE127" i="39" s="1"/>
  <c r="CO127" i="39"/>
  <c r="CU127" i="39"/>
  <c r="U135" i="19"/>
  <c r="GR135" i="39"/>
  <c r="GK189" i="39"/>
  <c r="GY189" i="39" s="1"/>
  <c r="O189" i="19"/>
  <c r="CQ189" i="39"/>
  <c r="HH149" i="39"/>
  <c r="HG149" i="39"/>
  <c r="HF149" i="39"/>
  <c r="HI149" i="39"/>
  <c r="GQ178" i="39"/>
  <c r="CX178" i="39"/>
  <c r="T178" i="19"/>
  <c r="CW178" i="39"/>
  <c r="CV178" i="39"/>
  <c r="CY178" i="39"/>
  <c r="HF214" i="39"/>
  <c r="HG214" i="39"/>
  <c r="HI214" i="39"/>
  <c r="HH214" i="39"/>
  <c r="GQ172" i="39"/>
  <c r="CY172" i="39"/>
  <c r="CX172" i="39"/>
  <c r="CW172" i="39"/>
  <c r="CV172" i="39"/>
  <c r="T172" i="19"/>
  <c r="W209" i="19"/>
  <c r="GT209" i="39"/>
  <c r="HF187" i="39"/>
  <c r="HI187" i="39"/>
  <c r="HH187" i="39"/>
  <c r="HG187" i="39"/>
  <c r="GK137" i="39"/>
  <c r="GY137" i="39" s="1"/>
  <c r="O137" i="19"/>
  <c r="CQ137" i="39"/>
  <c r="CX165" i="39"/>
  <c r="CV165" i="39"/>
  <c r="T165" i="19"/>
  <c r="GQ165" i="39"/>
  <c r="CY165" i="39"/>
  <c r="CW165" i="39"/>
  <c r="HF215" i="39"/>
  <c r="HI215" i="39"/>
  <c r="HH215" i="39"/>
  <c r="HG215" i="39"/>
  <c r="GT146" i="39"/>
  <c r="W146" i="19"/>
  <c r="HH139" i="39"/>
  <c r="HG139" i="39"/>
  <c r="HF139" i="39"/>
  <c r="HI139" i="39"/>
  <c r="GM111" i="39"/>
  <c r="HA111" i="39" s="1"/>
  <c r="HC111" i="39" s="1"/>
  <c r="Q111" i="19"/>
  <c r="CS111" i="39"/>
  <c r="CO113" i="39"/>
  <c r="CU113" i="39"/>
  <c r="GI113" i="39"/>
  <c r="GW113" i="39" s="1"/>
  <c r="HE113" i="39" s="1"/>
  <c r="GI129" i="39"/>
  <c r="GW129" i="39" s="1"/>
  <c r="HE129" i="39" s="1"/>
  <c r="CU129" i="39"/>
  <c r="CO129" i="39"/>
  <c r="GM134" i="39"/>
  <c r="HA134" i="39" s="1"/>
  <c r="HC134" i="39" s="1"/>
  <c r="Q134" i="19"/>
  <c r="CS134" i="39"/>
  <c r="M145" i="19"/>
  <c r="GS123" i="39"/>
  <c r="V123" i="19"/>
  <c r="HI178" i="39"/>
  <c r="HG178" i="39"/>
  <c r="HF178" i="39"/>
  <c r="HH178" i="39"/>
  <c r="M117" i="19"/>
  <c r="GI161" i="39"/>
  <c r="GW161" i="39" s="1"/>
  <c r="HE161" i="39" s="1"/>
  <c r="CU161" i="39"/>
  <c r="CO161" i="39"/>
  <c r="GR144" i="39"/>
  <c r="U144" i="19"/>
  <c r="M112" i="19"/>
  <c r="HH172" i="39"/>
  <c r="HG172" i="39"/>
  <c r="HF172" i="39"/>
  <c r="HI172" i="39"/>
  <c r="GQ137" i="39"/>
  <c r="CY137" i="39"/>
  <c r="CV137" i="39"/>
  <c r="CW137" i="39"/>
  <c r="T137" i="19"/>
  <c r="CX137" i="39"/>
  <c r="CQ165" i="39"/>
  <c r="GK165" i="39"/>
  <c r="GY165" i="39" s="1"/>
  <c r="O165" i="19"/>
  <c r="CU122" i="39"/>
  <c r="GI122" i="39"/>
  <c r="GW122" i="39" s="1"/>
  <c r="HE122" i="39" s="1"/>
  <c r="CO122" i="39"/>
  <c r="M185" i="19"/>
  <c r="GQ115" i="39"/>
  <c r="CV115" i="39"/>
  <c r="CY115" i="39"/>
  <c r="CX115" i="39"/>
  <c r="T115" i="19"/>
  <c r="CW115" i="39"/>
  <c r="CU128" i="39"/>
  <c r="GI128" i="39"/>
  <c r="GW128" i="39" s="1"/>
  <c r="HE128" i="39" s="1"/>
  <c r="CO128" i="39"/>
  <c r="GK178" i="39"/>
  <c r="GY178" i="39" s="1"/>
  <c r="O178" i="19"/>
  <c r="CQ178" i="39"/>
  <c r="M182" i="19"/>
  <c r="U130" i="19"/>
  <c r="GR130" i="39"/>
  <c r="X209" i="19"/>
  <c r="GU209" i="39"/>
  <c r="HG165" i="39"/>
  <c r="HF165" i="39"/>
  <c r="HI165" i="39"/>
  <c r="HH165" i="39"/>
  <c r="W131" i="19"/>
  <c r="GT131" i="39"/>
  <c r="CU177" i="39"/>
  <c r="GI177" i="39"/>
  <c r="GW177" i="39" s="1"/>
  <c r="HE177" i="39" s="1"/>
  <c r="CO177" i="39"/>
  <c r="HI115" i="39"/>
  <c r="HG115" i="39"/>
  <c r="HF115" i="39"/>
  <c r="HH115" i="39"/>
  <c r="GR142" i="39"/>
  <c r="U142" i="19"/>
  <c r="GQ119" i="39"/>
  <c r="T119" i="19"/>
  <c r="CW119" i="39"/>
  <c r="CV119" i="39"/>
  <c r="CX119" i="39"/>
  <c r="CY119" i="39"/>
  <c r="GK208" i="39"/>
  <c r="GY208" i="39" s="1"/>
  <c r="O208" i="19"/>
  <c r="CQ208" i="39"/>
  <c r="GM133" i="39"/>
  <c r="HA133" i="39" s="1"/>
  <c r="HC133" i="39" s="1"/>
  <c r="Q133" i="19"/>
  <c r="CS133" i="39"/>
  <c r="M154" i="19"/>
  <c r="V209" i="19"/>
  <c r="GS209" i="39"/>
  <c r="GM132" i="39"/>
  <c r="HA132" i="39" s="1"/>
  <c r="HC132" i="39" s="1"/>
  <c r="Q132" i="19"/>
  <c r="CS132" i="39"/>
  <c r="GT121" i="39"/>
  <c r="W121" i="19"/>
  <c r="GM124" i="39"/>
  <c r="HA124" i="39" s="1"/>
  <c r="HC124" i="39" s="1"/>
  <c r="Q124" i="19"/>
  <c r="CS124" i="39"/>
  <c r="GI183" i="39"/>
  <c r="GW183" i="39" s="1"/>
  <c r="HE183" i="39" s="1"/>
  <c r="CO183" i="39"/>
  <c r="CU183" i="39"/>
  <c r="GK157" i="39"/>
  <c r="GY157" i="39" s="1"/>
  <c r="O157" i="19"/>
  <c r="CQ157" i="39"/>
  <c r="GK115" i="39"/>
  <c r="GY115" i="39" s="1"/>
  <c r="CQ115" i="39"/>
  <c r="O115" i="19"/>
  <c r="X212" i="19"/>
  <c r="GU212" i="39"/>
  <c r="HG213" i="39"/>
  <c r="HF213" i="39"/>
  <c r="HI213" i="39"/>
  <c r="HH213" i="39"/>
  <c r="GK119" i="39"/>
  <c r="GY119" i="39" s="1"/>
  <c r="O119" i="19"/>
  <c r="CQ119" i="39"/>
  <c r="GQ208" i="39"/>
  <c r="CX208" i="39"/>
  <c r="CW208" i="39"/>
  <c r="CV208" i="39"/>
  <c r="T208" i="19"/>
  <c r="CY208" i="39"/>
  <c r="U209" i="19"/>
  <c r="GR209" i="39"/>
  <c r="GM184" i="39"/>
  <c r="HA184" i="39" s="1"/>
  <c r="HC184" i="39" s="1"/>
  <c r="Q184" i="19"/>
  <c r="CS184" i="39"/>
  <c r="V120" i="19"/>
  <c r="GS120" i="39"/>
  <c r="GR132" i="39"/>
  <c r="U132" i="19"/>
  <c r="GQ157" i="39"/>
  <c r="T157" i="19"/>
  <c r="CX157" i="39"/>
  <c r="CY157" i="39"/>
  <c r="CW157" i="39"/>
  <c r="CV157" i="39"/>
  <c r="T213" i="19"/>
  <c r="GQ213" i="39"/>
  <c r="CY213" i="39"/>
  <c r="CX213" i="39"/>
  <c r="CW213" i="39"/>
  <c r="CV213" i="39"/>
  <c r="GU123" i="39"/>
  <c r="HI119" i="39"/>
  <c r="HF119" i="39"/>
  <c r="HG119" i="39"/>
  <c r="HH119" i="39"/>
  <c r="HH208" i="39"/>
  <c r="HI208" i="39"/>
  <c r="HF208" i="39"/>
  <c r="HG208" i="39"/>
  <c r="GI194" i="39"/>
  <c r="GW194" i="39" s="1"/>
  <c r="HE194" i="39" s="1"/>
  <c r="CU194" i="39"/>
  <c r="CO194" i="39"/>
  <c r="GK175" i="39"/>
  <c r="GY175" i="39" s="1"/>
  <c r="O175" i="19"/>
  <c r="CQ175" i="39"/>
  <c r="X124" i="19"/>
  <c r="GU124" i="39"/>
  <c r="GQ141" i="39"/>
  <c r="CW141" i="39"/>
  <c r="CV141" i="39"/>
  <c r="CY141" i="39"/>
  <c r="CX141" i="39"/>
  <c r="T141" i="19"/>
  <c r="GI173" i="39"/>
  <c r="GW173" i="39" s="1"/>
  <c r="HE173" i="39" s="1"/>
  <c r="CO173" i="39"/>
  <c r="CU173" i="39"/>
  <c r="Q158" i="19"/>
  <c r="GM158" i="39"/>
  <c r="HA158" i="39" s="1"/>
  <c r="HC158" i="39" s="1"/>
  <c r="CS158" i="39"/>
  <c r="GR114" i="39"/>
  <c r="U114" i="19"/>
  <c r="GI152" i="39"/>
  <c r="GW152" i="39" s="1"/>
  <c r="HE152" i="39" s="1"/>
  <c r="CO152" i="39"/>
  <c r="CU152" i="39"/>
  <c r="HG157" i="39"/>
  <c r="HF157" i="39"/>
  <c r="HH157" i="39"/>
  <c r="HI157" i="39"/>
  <c r="GM196" i="39"/>
  <c r="HA196" i="39" s="1"/>
  <c r="HC196" i="39" s="1"/>
  <c r="Q196" i="19"/>
  <c r="CS196" i="39"/>
  <c r="GS196" i="39"/>
  <c r="V196" i="19"/>
  <c r="GI118" i="39"/>
  <c r="GW118" i="39" s="1"/>
  <c r="HE118" i="39" s="1"/>
  <c r="CU118" i="39"/>
  <c r="CO118" i="39"/>
  <c r="CQ213" i="39"/>
  <c r="O213" i="19"/>
  <c r="GK213" i="39"/>
  <c r="GY213" i="39" s="1"/>
  <c r="HH189" i="39"/>
  <c r="HG189" i="39"/>
  <c r="HF189" i="39"/>
  <c r="HI189" i="39"/>
  <c r="O149" i="19"/>
  <c r="CQ149" i="39"/>
  <c r="GK149" i="39"/>
  <c r="GY149" i="39" s="1"/>
  <c r="GQ214" i="39"/>
  <c r="CX214" i="39"/>
  <c r="CV214" i="39"/>
  <c r="T214" i="19"/>
  <c r="CW214" i="39"/>
  <c r="CY214" i="39"/>
  <c r="GM209" i="39"/>
  <c r="HA209" i="39" s="1"/>
  <c r="HC209" i="39" s="1"/>
  <c r="Q209" i="19"/>
  <c r="CS209" i="39"/>
  <c r="CX175" i="39"/>
  <c r="GQ175" i="39"/>
  <c r="CV175" i="39"/>
  <c r="CW175" i="39"/>
  <c r="CY175" i="39"/>
  <c r="T175" i="19"/>
  <c r="GT156" i="39"/>
  <c r="W156" i="19"/>
  <c r="M171" i="19"/>
  <c r="GK187" i="39"/>
  <c r="GY187" i="39" s="1"/>
  <c r="O187" i="19"/>
  <c r="CQ187" i="39"/>
  <c r="M179" i="19"/>
  <c r="GK141" i="39"/>
  <c r="GY141" i="39" s="1"/>
  <c r="CQ141" i="39"/>
  <c r="O141" i="19"/>
  <c r="U111" i="19"/>
  <c r="GR111" i="39"/>
  <c r="CQ215" i="39"/>
  <c r="GK215" i="39"/>
  <c r="GY215" i="39" s="1"/>
  <c r="O215" i="19"/>
  <c r="Q108" i="19"/>
  <c r="GM108" i="39"/>
  <c r="HA108" i="39" s="1"/>
  <c r="HC108" i="39" s="1"/>
  <c r="CS108" i="39"/>
  <c r="GQ139" i="39"/>
  <c r="CW139" i="39"/>
  <c r="CY139" i="39"/>
  <c r="CV139" i="39"/>
  <c r="CX139" i="39"/>
  <c r="T139" i="19"/>
  <c r="GI164" i="39"/>
  <c r="GW164" i="39" s="1"/>
  <c r="HE164" i="39" s="1"/>
  <c r="CU164" i="39"/>
  <c r="CO164" i="39"/>
  <c r="GI191" i="39"/>
  <c r="GW191" i="39" s="1"/>
  <c r="HE191" i="39" s="1"/>
  <c r="CU191" i="39"/>
  <c r="CO191" i="39"/>
  <c r="M195" i="19"/>
  <c r="U65" i="19"/>
  <c r="GR65" i="39"/>
  <c r="HH61" i="39"/>
  <c r="HI61" i="39"/>
  <c r="HG61" i="39"/>
  <c r="HF61" i="39"/>
  <c r="U66" i="19"/>
  <c r="GR66" i="39"/>
  <c r="V93" i="19"/>
  <c r="GS93" i="39"/>
  <c r="X30" i="19"/>
  <c r="GU30" i="39"/>
  <c r="U43" i="19"/>
  <c r="GR43" i="39"/>
  <c r="V39" i="19"/>
  <c r="GS39" i="39"/>
  <c r="GQ78" i="39"/>
  <c r="CV78" i="39"/>
  <c r="T78" i="19"/>
  <c r="CW78" i="39"/>
  <c r="CX78" i="39"/>
  <c r="CY78" i="39"/>
  <c r="GK80" i="39"/>
  <c r="GY80" i="39" s="1"/>
  <c r="CQ80" i="39"/>
  <c r="O80" i="19"/>
  <c r="HG57" i="39"/>
  <c r="HF57" i="39"/>
  <c r="HI57" i="39"/>
  <c r="HH57" i="39"/>
  <c r="HG103" i="39"/>
  <c r="HF103" i="39"/>
  <c r="HI103" i="39"/>
  <c r="HH103" i="39"/>
  <c r="GK99" i="39"/>
  <c r="GY99" i="39" s="1"/>
  <c r="O99" i="19"/>
  <c r="CQ99" i="39"/>
  <c r="W82" i="19"/>
  <c r="GT82" i="39"/>
  <c r="W95" i="19"/>
  <c r="GT95" i="39"/>
  <c r="GT77" i="39"/>
  <c r="W77" i="19"/>
  <c r="U88" i="19"/>
  <c r="GR88" i="39"/>
  <c r="Q85" i="19"/>
  <c r="GM85" i="39"/>
  <c r="HA85" i="39" s="1"/>
  <c r="HC85" i="39" s="1"/>
  <c r="CS85" i="39"/>
  <c r="V65" i="19"/>
  <c r="GS65" i="39"/>
  <c r="V66" i="19"/>
  <c r="GS66" i="39"/>
  <c r="S36" i="19"/>
  <c r="GO36" i="39"/>
  <c r="HK36" i="39" s="1"/>
  <c r="GR30" i="39"/>
  <c r="U30" i="19"/>
  <c r="GS43" i="39"/>
  <c r="V43" i="19"/>
  <c r="GQ100" i="39"/>
  <c r="CX100" i="39"/>
  <c r="CW100" i="39"/>
  <c r="CV100" i="39"/>
  <c r="T100" i="19"/>
  <c r="CY100" i="39"/>
  <c r="V26" i="19"/>
  <c r="GS26" i="39"/>
  <c r="GU39" i="39"/>
  <c r="X39" i="19"/>
  <c r="GQ80" i="39"/>
  <c r="CW80" i="39"/>
  <c r="CX80" i="39"/>
  <c r="CV80" i="39"/>
  <c r="T80" i="19"/>
  <c r="CY80" i="39"/>
  <c r="HF16" i="39"/>
  <c r="HI16" i="39"/>
  <c r="HH16" i="39"/>
  <c r="HG16" i="39"/>
  <c r="X82" i="19"/>
  <c r="GU82" i="39"/>
  <c r="GK81" i="39"/>
  <c r="GY81" i="39" s="1"/>
  <c r="CQ81" i="39"/>
  <c r="O81" i="19"/>
  <c r="GM93" i="39"/>
  <c r="HA93" i="39" s="1"/>
  <c r="HC93" i="39" s="1"/>
  <c r="Q93" i="19"/>
  <c r="CS93" i="39"/>
  <c r="W88" i="19"/>
  <c r="GT88" i="39"/>
  <c r="GK70" i="39"/>
  <c r="GY70" i="39" s="1"/>
  <c r="CQ70" i="39"/>
  <c r="O70" i="19"/>
  <c r="V30" i="19"/>
  <c r="GS30" i="39"/>
  <c r="W43" i="19"/>
  <c r="GT43" i="39"/>
  <c r="GK100" i="39"/>
  <c r="GY100" i="39" s="1"/>
  <c r="CQ100" i="39"/>
  <c r="O100" i="19"/>
  <c r="GT26" i="39"/>
  <c r="W26" i="19"/>
  <c r="W39" i="19"/>
  <c r="GT39" i="39"/>
  <c r="S68" i="19"/>
  <c r="GO68" i="39"/>
  <c r="HK68" i="39" s="1"/>
  <c r="HH80" i="39"/>
  <c r="HF80" i="39"/>
  <c r="HI80" i="39"/>
  <c r="HG80" i="39"/>
  <c r="GM27" i="39"/>
  <c r="HA27" i="39" s="1"/>
  <c r="HC27" i="39" s="1"/>
  <c r="Q27" i="19"/>
  <c r="CS27" i="39"/>
  <c r="GK16" i="39"/>
  <c r="GY16" i="39" s="1"/>
  <c r="O16" i="19"/>
  <c r="CQ16" i="39"/>
  <c r="S14" i="19"/>
  <c r="GO14" i="39"/>
  <c r="HK14" i="39" s="1"/>
  <c r="U82" i="19"/>
  <c r="GR82" i="39"/>
  <c r="GQ81" i="39"/>
  <c r="CW81" i="39"/>
  <c r="T81" i="19"/>
  <c r="CV81" i="39"/>
  <c r="CX81" i="39"/>
  <c r="CY81" i="39"/>
  <c r="GM82" i="39"/>
  <c r="HA82" i="39" s="1"/>
  <c r="HC82" i="39" s="1"/>
  <c r="Q82" i="19"/>
  <c r="CS82" i="39"/>
  <c r="X88" i="19"/>
  <c r="GU88" i="39"/>
  <c r="W65" i="19"/>
  <c r="GT65" i="39"/>
  <c r="GQ70" i="39"/>
  <c r="CY70" i="39"/>
  <c r="CX70" i="39"/>
  <c r="CW70" i="39"/>
  <c r="CV70" i="39"/>
  <c r="T70" i="19"/>
  <c r="X24" i="19"/>
  <c r="GU24" i="39"/>
  <c r="HG100" i="39"/>
  <c r="HI100" i="39"/>
  <c r="HH100" i="39"/>
  <c r="HF100" i="39"/>
  <c r="HF96" i="39"/>
  <c r="HI96" i="39"/>
  <c r="HH96" i="39"/>
  <c r="HG96" i="39"/>
  <c r="X26" i="19"/>
  <c r="GU26" i="39"/>
  <c r="X55" i="19"/>
  <c r="GU55" i="39"/>
  <c r="GQ16" i="39"/>
  <c r="CY16" i="39"/>
  <c r="CX16" i="39"/>
  <c r="T16" i="19"/>
  <c r="CW16" i="39"/>
  <c r="CV16" i="39"/>
  <c r="X95" i="19"/>
  <c r="GU95" i="39"/>
  <c r="HG81" i="39"/>
  <c r="HF81" i="39"/>
  <c r="HI81" i="39"/>
  <c r="HH81" i="39"/>
  <c r="U52" i="19"/>
  <c r="GR52" i="39"/>
  <c r="X65" i="19"/>
  <c r="GU65" i="39"/>
  <c r="GQ59" i="39"/>
  <c r="CY59" i="39"/>
  <c r="CX59" i="39"/>
  <c r="T59" i="19"/>
  <c r="CW59" i="39"/>
  <c r="CV59" i="39"/>
  <c r="HH70" i="39"/>
  <c r="HG70" i="39"/>
  <c r="HF70" i="39"/>
  <c r="HI70" i="39"/>
  <c r="GK84" i="39"/>
  <c r="GY84" i="39" s="1"/>
  <c r="O84" i="19"/>
  <c r="CQ84" i="39"/>
  <c r="U24" i="19"/>
  <c r="GR24" i="39"/>
  <c r="GM23" i="39"/>
  <c r="HA23" i="39" s="1"/>
  <c r="HC23" i="39" s="1"/>
  <c r="Q23" i="19"/>
  <c r="CS23" i="39"/>
  <c r="GK104" i="39"/>
  <c r="GY104" i="39" s="1"/>
  <c r="O104" i="19"/>
  <c r="CQ104" i="39"/>
  <c r="GQ96" i="39"/>
  <c r="CW96" i="39"/>
  <c r="CV96" i="39"/>
  <c r="CY96" i="39"/>
  <c r="T96" i="19"/>
  <c r="CX96" i="39"/>
  <c r="GK25" i="39"/>
  <c r="GY25" i="39" s="1"/>
  <c r="O25" i="19"/>
  <c r="CQ25" i="39"/>
  <c r="GQ69" i="39"/>
  <c r="T69" i="19"/>
  <c r="CW69" i="39"/>
  <c r="CV69" i="39"/>
  <c r="CX69" i="39"/>
  <c r="CY69" i="39"/>
  <c r="GS23" i="39"/>
  <c r="V23" i="19"/>
  <c r="GM88" i="39"/>
  <c r="HA88" i="39" s="1"/>
  <c r="HC88" i="39" s="1"/>
  <c r="Q88" i="19"/>
  <c r="CS88" i="39"/>
  <c r="U73" i="19"/>
  <c r="GR73" i="39"/>
  <c r="GM29" i="39"/>
  <c r="HA29" i="39" s="1"/>
  <c r="HC29" i="39" s="1"/>
  <c r="Q29" i="19"/>
  <c r="CS29" i="39"/>
  <c r="HG59" i="39"/>
  <c r="HF59" i="39"/>
  <c r="HI59" i="39"/>
  <c r="HH59" i="39"/>
  <c r="GM95" i="39"/>
  <c r="HA95" i="39" s="1"/>
  <c r="HC95" i="39" s="1"/>
  <c r="Q95" i="19"/>
  <c r="CS95" i="39"/>
  <c r="W66" i="19"/>
  <c r="GT66" i="39"/>
  <c r="GQ15" i="39"/>
  <c r="CW15" i="39"/>
  <c r="CV15" i="39"/>
  <c r="CY15" i="39"/>
  <c r="T15" i="19"/>
  <c r="CX15" i="39"/>
  <c r="GT93" i="39"/>
  <c r="W93" i="19"/>
  <c r="GQ84" i="39"/>
  <c r="T84" i="19"/>
  <c r="CY84" i="39"/>
  <c r="CX84" i="39"/>
  <c r="CW84" i="39"/>
  <c r="CV84" i="39"/>
  <c r="V24" i="19"/>
  <c r="GS24" i="39"/>
  <c r="GQ104" i="39"/>
  <c r="T104" i="19"/>
  <c r="CY104" i="39"/>
  <c r="CX104" i="39"/>
  <c r="CW104" i="39"/>
  <c r="CV104" i="39"/>
  <c r="GK96" i="39"/>
  <c r="GY96" i="39" s="1"/>
  <c r="CQ96" i="39"/>
  <c r="O96" i="19"/>
  <c r="GM43" i="39"/>
  <c r="HA43" i="39" s="1"/>
  <c r="HC43" i="39" s="1"/>
  <c r="Q43" i="19"/>
  <c r="CS43" i="39"/>
  <c r="U26" i="19"/>
  <c r="GR26" i="39"/>
  <c r="GM30" i="39"/>
  <c r="HA30" i="39" s="1"/>
  <c r="HC30" i="39" s="1"/>
  <c r="Q30" i="19"/>
  <c r="CS30" i="39"/>
  <c r="HF25" i="39"/>
  <c r="HH25" i="39"/>
  <c r="HI25" i="39"/>
  <c r="HG25" i="39"/>
  <c r="GK69" i="39"/>
  <c r="GY69" i="39" s="1"/>
  <c r="CQ69" i="39"/>
  <c r="O69" i="19"/>
  <c r="GQ46" i="39"/>
  <c r="CV46" i="39"/>
  <c r="CY46" i="39"/>
  <c r="T46" i="19"/>
  <c r="CW46" i="39"/>
  <c r="CX46" i="39"/>
  <c r="W71" i="19"/>
  <c r="GT71" i="39"/>
  <c r="U97" i="19"/>
  <c r="GR97" i="39"/>
  <c r="V105" i="19"/>
  <c r="GS105" i="39"/>
  <c r="S90" i="19"/>
  <c r="GO90" i="39"/>
  <c r="HK90" i="39" s="1"/>
  <c r="GM48" i="39"/>
  <c r="HA48" i="39" s="1"/>
  <c r="HC48" i="39" s="1"/>
  <c r="Q48" i="19"/>
  <c r="CS48" i="39"/>
  <c r="GK59" i="39"/>
  <c r="GY59" i="39" s="1"/>
  <c r="O59" i="19"/>
  <c r="CQ59" i="39"/>
  <c r="GK61" i="39"/>
  <c r="GY61" i="39" s="1"/>
  <c r="CQ61" i="39"/>
  <c r="O61" i="19"/>
  <c r="X66" i="19"/>
  <c r="GU66" i="39"/>
  <c r="HI15" i="39"/>
  <c r="HG15" i="39"/>
  <c r="HF15" i="39"/>
  <c r="HH15" i="39"/>
  <c r="X93" i="19"/>
  <c r="GU93" i="39"/>
  <c r="HH84" i="39"/>
  <c r="HG84" i="39"/>
  <c r="HI84" i="39"/>
  <c r="HF84" i="39"/>
  <c r="GM26" i="39"/>
  <c r="HA26" i="39" s="1"/>
  <c r="HC26" i="39" s="1"/>
  <c r="Q26" i="19"/>
  <c r="CS26" i="39"/>
  <c r="W24" i="19"/>
  <c r="GT24" i="39"/>
  <c r="U29" i="19"/>
  <c r="GR29" i="39"/>
  <c r="GU43" i="39"/>
  <c r="X43" i="19"/>
  <c r="HH104" i="39"/>
  <c r="HG104" i="39"/>
  <c r="HF104" i="39"/>
  <c r="HI104" i="39"/>
  <c r="HH78" i="39"/>
  <c r="HG78" i="39"/>
  <c r="HF78" i="39"/>
  <c r="HI78" i="39"/>
  <c r="GQ25" i="39"/>
  <c r="T25" i="19"/>
  <c r="CY25" i="39"/>
  <c r="CW25" i="39"/>
  <c r="CX25" i="39"/>
  <c r="CV25" i="39"/>
  <c r="HH69" i="39"/>
  <c r="HG69" i="39"/>
  <c r="HF69" i="39"/>
  <c r="HI69" i="39"/>
  <c r="HG46" i="39"/>
  <c r="HI46" i="39"/>
  <c r="HH46" i="39"/>
  <c r="HF46" i="39"/>
  <c r="GK57" i="39"/>
  <c r="GY57" i="39" s="1"/>
  <c r="CQ57" i="39"/>
  <c r="O57" i="19"/>
  <c r="CQ103" i="39"/>
  <c r="GK103" i="39"/>
  <c r="GY103" i="39" s="1"/>
  <c r="O103" i="19"/>
  <c r="HF99" i="39"/>
  <c r="HI99" i="39"/>
  <c r="HH99" i="39"/>
  <c r="HG99" i="39"/>
  <c r="V82" i="19"/>
  <c r="GS82" i="39"/>
  <c r="GR95" i="39"/>
  <c r="U95" i="19"/>
  <c r="S89" i="19"/>
  <c r="GO89" i="39"/>
  <c r="U106" i="19"/>
  <c r="GR106" i="39"/>
  <c r="GQ61" i="39"/>
  <c r="CW61" i="39"/>
  <c r="CV61" i="39"/>
  <c r="CX61" i="39"/>
  <c r="T61" i="19"/>
  <c r="CY61" i="39"/>
  <c r="GM66" i="39"/>
  <c r="HA66" i="39" s="1"/>
  <c r="HC66" i="39" s="1"/>
  <c r="Q66" i="19"/>
  <c r="CS66" i="39"/>
  <c r="GK15" i="39"/>
  <c r="GY15" i="39" s="1"/>
  <c r="O15" i="19"/>
  <c r="CQ15" i="39"/>
  <c r="U93" i="19"/>
  <c r="GR93" i="39"/>
  <c r="U54" i="19"/>
  <c r="GR54" i="39"/>
  <c r="X48" i="19"/>
  <c r="GU48" i="39"/>
  <c r="GM65" i="39"/>
  <c r="HA65" i="39" s="1"/>
  <c r="HC65" i="39" s="1"/>
  <c r="Q65" i="19"/>
  <c r="CS65" i="39"/>
  <c r="GU49" i="39"/>
  <c r="X49" i="19"/>
  <c r="GM24" i="39"/>
  <c r="HA24" i="39" s="1"/>
  <c r="HC24" i="39" s="1"/>
  <c r="Q24" i="19"/>
  <c r="CS24" i="39"/>
  <c r="U39" i="19"/>
  <c r="GR39" i="39"/>
  <c r="CQ78" i="39"/>
  <c r="O78" i="19"/>
  <c r="GK78" i="39"/>
  <c r="GY78" i="39" s="1"/>
  <c r="S17" i="19"/>
  <c r="GO17" i="39"/>
  <c r="Q39" i="19"/>
  <c r="GM39" i="39"/>
  <c r="HA39" i="39" s="1"/>
  <c r="HC39" i="39" s="1"/>
  <c r="CS39" i="39"/>
  <c r="GK46" i="39"/>
  <c r="GY46" i="39" s="1"/>
  <c r="O46" i="19"/>
  <c r="CQ46" i="39"/>
  <c r="GQ57" i="39"/>
  <c r="CW57" i="39"/>
  <c r="CY57" i="39"/>
  <c r="CV57" i="39"/>
  <c r="T57" i="19"/>
  <c r="CX57" i="39"/>
  <c r="GQ103" i="39"/>
  <c r="T103" i="19"/>
  <c r="CV103" i="39"/>
  <c r="CW103" i="39"/>
  <c r="CX103" i="39"/>
  <c r="CY103" i="39"/>
  <c r="GQ99" i="39"/>
  <c r="CV99" i="39"/>
  <c r="CY99" i="39"/>
  <c r="T99" i="19"/>
  <c r="CX99" i="39"/>
  <c r="CW99" i="39"/>
  <c r="U42" i="19"/>
  <c r="GR42" i="39"/>
  <c r="GS95" i="39"/>
  <c r="V95" i="19"/>
  <c r="GU72" i="39"/>
  <c r="X72" i="19"/>
  <c r="GT60" i="39"/>
  <c r="W60" i="19"/>
  <c r="V88" i="19"/>
  <c r="GS88" i="39"/>
  <c r="V13" i="19"/>
  <c r="GS13" i="39"/>
  <c r="Q13" i="19"/>
  <c r="GM13" i="39"/>
  <c r="HA13" i="39" s="1"/>
  <c r="HC13" i="39" s="1"/>
  <c r="EL7" i="39"/>
  <c r="CS13" i="39"/>
  <c r="GT30" i="39" l="1"/>
  <c r="W23" i="19"/>
  <c r="W124" i="19"/>
  <c r="V47" i="19"/>
  <c r="U123" i="19"/>
  <c r="GM151" i="39"/>
  <c r="HA151" i="39" s="1"/>
  <c r="HC151" i="39" s="1"/>
  <c r="GR85" i="39"/>
  <c r="CS151" i="39"/>
  <c r="S151" i="19" s="1"/>
  <c r="CS74" i="39"/>
  <c r="S74" i="19" s="1"/>
  <c r="GU47" i="39"/>
  <c r="V85" i="19"/>
  <c r="GT47" i="39"/>
  <c r="V19" i="19"/>
  <c r="U124" i="19"/>
  <c r="U50" i="19"/>
  <c r="X85" i="19"/>
  <c r="V124" i="19"/>
  <c r="GQ160" i="39"/>
  <c r="GS90" i="39"/>
  <c r="CX160" i="39"/>
  <c r="GT160" i="39" s="1"/>
  <c r="GR47" i="39"/>
  <c r="W107" i="19"/>
  <c r="GS153" i="39"/>
  <c r="CS47" i="39"/>
  <c r="S47" i="19" s="1"/>
  <c r="Q47" i="19"/>
  <c r="V50" i="19"/>
  <c r="GT50" i="39"/>
  <c r="GT85" i="39"/>
  <c r="GT90" i="39"/>
  <c r="W123" i="19"/>
  <c r="GR90" i="39"/>
  <c r="X153" i="19"/>
  <c r="GO28" i="39"/>
  <c r="HK28" i="39" s="1"/>
  <c r="GT151" i="39"/>
  <c r="GS31" i="39"/>
  <c r="GI166" i="39"/>
  <c r="GW166" i="39" s="1"/>
  <c r="HE166" i="39" s="1"/>
  <c r="HI166" i="39" s="1"/>
  <c r="GU75" i="39"/>
  <c r="GS28" i="39"/>
  <c r="O207" i="19"/>
  <c r="X107" i="19"/>
  <c r="GR160" i="39"/>
  <c r="GR151" i="39"/>
  <c r="T160" i="19"/>
  <c r="GK207" i="39"/>
  <c r="GY207" i="39" s="1"/>
  <c r="GS107" i="39"/>
  <c r="GS151" i="39"/>
  <c r="GU151" i="39"/>
  <c r="W28" i="19"/>
  <c r="CY160" i="39"/>
  <c r="GU160" i="39" s="1"/>
  <c r="CZ166" i="39"/>
  <c r="Y166" i="19" s="1"/>
  <c r="CW160" i="39"/>
  <c r="GS160" i="39" s="1"/>
  <c r="CU166" i="39"/>
  <c r="GQ166" i="39" s="1"/>
  <c r="CO166" i="39"/>
  <c r="CQ166" i="39" s="1"/>
  <c r="GO31" i="39"/>
  <c r="HK31" i="39" s="1"/>
  <c r="S86" i="19"/>
  <c r="GU31" i="39"/>
  <c r="GS73" i="39"/>
  <c r="GM86" i="39"/>
  <c r="HA86" i="39" s="1"/>
  <c r="HC86" i="39" s="1"/>
  <c r="HK86" i="39" s="1"/>
  <c r="X101" i="19"/>
  <c r="GT153" i="39"/>
  <c r="CS160" i="39"/>
  <c r="S160" i="19" s="1"/>
  <c r="DC166" i="39"/>
  <c r="AB166" i="19" s="1"/>
  <c r="GK160" i="39"/>
  <c r="GY160" i="39" s="1"/>
  <c r="O160" i="19"/>
  <c r="GM160" i="39"/>
  <c r="HA160" i="39" s="1"/>
  <c r="HC160" i="39" s="1"/>
  <c r="DB166" i="39"/>
  <c r="AA166" i="19" s="1"/>
  <c r="HK17" i="39"/>
  <c r="CM217" i="39"/>
  <c r="EN10" i="39"/>
  <c r="EO10" i="39" s="1"/>
  <c r="EN11" i="39"/>
  <c r="EN9" i="39"/>
  <c r="W212" i="19"/>
  <c r="M166" i="19"/>
  <c r="U107" i="19"/>
  <c r="CS107" i="39"/>
  <c r="GO107" i="39" s="1"/>
  <c r="GS34" i="39"/>
  <c r="CS77" i="39"/>
  <c r="S77" i="19" s="1"/>
  <c r="CW207" i="39"/>
  <c r="GR212" i="39"/>
  <c r="S19" i="19"/>
  <c r="HI204" i="39"/>
  <c r="GM77" i="39"/>
  <c r="HA77" i="39" s="1"/>
  <c r="HC77" i="39" s="1"/>
  <c r="CX207" i="39"/>
  <c r="W207" i="19" s="1"/>
  <c r="GU111" i="39"/>
  <c r="GR211" i="39"/>
  <c r="S50" i="19"/>
  <c r="GM107" i="39"/>
  <c r="HA107" i="39" s="1"/>
  <c r="HC107" i="39" s="1"/>
  <c r="CY207" i="39"/>
  <c r="X207" i="19" s="1"/>
  <c r="GU211" i="39"/>
  <c r="GS111" i="39"/>
  <c r="GM19" i="39"/>
  <c r="HA19" i="39" s="1"/>
  <c r="HC19" i="39" s="1"/>
  <c r="HK19" i="39" s="1"/>
  <c r="GR55" i="39"/>
  <c r="T207" i="19"/>
  <c r="GT211" i="39"/>
  <c r="GR74" i="39"/>
  <c r="Q74" i="19"/>
  <c r="CV207" i="39"/>
  <c r="GR207" i="39" s="1"/>
  <c r="Q19" i="19"/>
  <c r="GR48" i="39"/>
  <c r="GR19" i="39"/>
  <c r="W19" i="19"/>
  <c r="HI207" i="39"/>
  <c r="GS42" i="39"/>
  <c r="GT101" i="39"/>
  <c r="GR87" i="39"/>
  <c r="GR153" i="39"/>
  <c r="Q86" i="19"/>
  <c r="HG207" i="39"/>
  <c r="GO44" i="39"/>
  <c r="HK44" i="39" s="1"/>
  <c r="GT111" i="39"/>
  <c r="GR86" i="39"/>
  <c r="W97" i="19"/>
  <c r="V76" i="19"/>
  <c r="HF207" i="39"/>
  <c r="CS38" i="39"/>
  <c r="S38" i="19" s="1"/>
  <c r="GR31" i="39"/>
  <c r="V72" i="19"/>
  <c r="GS87" i="39"/>
  <c r="GR35" i="39"/>
  <c r="W27" i="19"/>
  <c r="Q169" i="19"/>
  <c r="GR101" i="39"/>
  <c r="GT73" i="39"/>
  <c r="GT184" i="39"/>
  <c r="X19" i="19"/>
  <c r="GS74" i="39"/>
  <c r="GU74" i="39"/>
  <c r="GS101" i="39"/>
  <c r="GT74" i="39"/>
  <c r="HI160" i="39"/>
  <c r="CS21" i="39"/>
  <c r="GO21" i="39" s="1"/>
  <c r="HK21" i="39" s="1"/>
  <c r="CS87" i="39"/>
  <c r="S87" i="19" s="1"/>
  <c r="GR76" i="39"/>
  <c r="Q21" i="19"/>
  <c r="HF160" i="39"/>
  <c r="CS52" i="39"/>
  <c r="GO52" i="39" s="1"/>
  <c r="HK52" i="39" s="1"/>
  <c r="GT72" i="39"/>
  <c r="Q52" i="19"/>
  <c r="CS169" i="39"/>
  <c r="S169" i="19" s="1"/>
  <c r="HG160" i="39"/>
  <c r="GM87" i="39"/>
  <c r="HA87" i="39" s="1"/>
  <c r="HC87" i="39" s="1"/>
  <c r="X76" i="19"/>
  <c r="O79" i="19"/>
  <c r="CS76" i="39"/>
  <c r="S76" i="19" s="1"/>
  <c r="Q76" i="19"/>
  <c r="CS51" i="39"/>
  <c r="Q51" i="19"/>
  <c r="GU23" i="39"/>
  <c r="HG91" i="39"/>
  <c r="O143" i="19"/>
  <c r="GS148" i="39"/>
  <c r="CQ143" i="39"/>
  <c r="Q143" i="19" s="1"/>
  <c r="GR28" i="39"/>
  <c r="U28" i="19"/>
  <c r="V156" i="19"/>
  <c r="V211" i="19"/>
  <c r="GU28" i="39"/>
  <c r="X28" i="19"/>
  <c r="GU86" i="39"/>
  <c r="CQ138" i="39"/>
  <c r="GM138" i="39" s="1"/>
  <c r="HA138" i="39" s="1"/>
  <c r="HC138" i="39" s="1"/>
  <c r="W38" i="19"/>
  <c r="GR148" i="39"/>
  <c r="GK138" i="39"/>
  <c r="GY138" i="39" s="1"/>
  <c r="CW155" i="39"/>
  <c r="V155" i="19" s="1"/>
  <c r="GQ155" i="39"/>
  <c r="CY155" i="39"/>
  <c r="X155" i="19" s="1"/>
  <c r="W55" i="19"/>
  <c r="CV155" i="39"/>
  <c r="GR155" i="39" s="1"/>
  <c r="W148" i="19"/>
  <c r="T155" i="19"/>
  <c r="F24" i="44"/>
  <c r="F26" i="44" s="1"/>
  <c r="F28" i="44" s="1"/>
  <c r="F30" i="44"/>
  <c r="F46" i="44"/>
  <c r="GT86" i="39"/>
  <c r="U72" i="19"/>
  <c r="W64" i="19"/>
  <c r="GT75" i="39"/>
  <c r="GS212" i="39"/>
  <c r="S58" i="19"/>
  <c r="W87" i="19"/>
  <c r="GR64" i="39"/>
  <c r="CS97" i="39"/>
  <c r="S97" i="19" s="1"/>
  <c r="GU87" i="39"/>
  <c r="GT35" i="39"/>
  <c r="CQ79" i="39"/>
  <c r="Q79" i="19" s="1"/>
  <c r="CS83" i="39"/>
  <c r="S83" i="19" s="1"/>
  <c r="HI91" i="39"/>
  <c r="GS35" i="39"/>
  <c r="GU73" i="39"/>
  <c r="GR23" i="39"/>
  <c r="HF91" i="39"/>
  <c r="Q97" i="19"/>
  <c r="HH204" i="39"/>
  <c r="GS64" i="39"/>
  <c r="HF204" i="39"/>
  <c r="CS42" i="39"/>
  <c r="S42" i="19" s="1"/>
  <c r="Q42" i="19"/>
  <c r="HI143" i="39"/>
  <c r="GU35" i="39"/>
  <c r="HF143" i="39"/>
  <c r="HH143" i="39"/>
  <c r="Q64" i="19"/>
  <c r="CS35" i="39"/>
  <c r="S35" i="19" s="1"/>
  <c r="Q35" i="19"/>
  <c r="W22" i="19"/>
  <c r="X121" i="19"/>
  <c r="Q123" i="19"/>
  <c r="CS64" i="39"/>
  <c r="S64" i="19" s="1"/>
  <c r="CV143" i="39"/>
  <c r="GR143" i="39" s="1"/>
  <c r="GQ143" i="39"/>
  <c r="GR184" i="39"/>
  <c r="CW143" i="39"/>
  <c r="GS143" i="39" s="1"/>
  <c r="GS55" i="39"/>
  <c r="GS97" i="39"/>
  <c r="T143" i="19"/>
  <c r="CY143" i="39"/>
  <c r="GU143" i="39" s="1"/>
  <c r="GU34" i="39"/>
  <c r="HF167" i="39"/>
  <c r="HG167" i="39"/>
  <c r="GU97" i="39"/>
  <c r="X159" i="19"/>
  <c r="V184" i="19"/>
  <c r="GR75" i="39"/>
  <c r="GO151" i="39"/>
  <c r="HK151" i="39" s="1"/>
  <c r="GR27" i="39"/>
  <c r="GR22" i="39"/>
  <c r="Q38" i="19"/>
  <c r="GT169" i="39"/>
  <c r="CS55" i="39"/>
  <c r="S55" i="19" s="1"/>
  <c r="X54" i="19"/>
  <c r="Q55" i="19"/>
  <c r="U77" i="19"/>
  <c r="GO62" i="39"/>
  <c r="HK62" i="39" s="1"/>
  <c r="GS75" i="39"/>
  <c r="CS34" i="39"/>
  <c r="S34" i="19" s="1"/>
  <c r="GM212" i="39"/>
  <c r="HA212" i="39" s="1"/>
  <c r="HC212" i="39" s="1"/>
  <c r="CS123" i="39"/>
  <c r="GO123" i="39" s="1"/>
  <c r="HK123" i="39" s="1"/>
  <c r="CS162" i="39"/>
  <c r="S162" i="19" s="1"/>
  <c r="GU22" i="39"/>
  <c r="CS212" i="39"/>
  <c r="GO212" i="39" s="1"/>
  <c r="GS22" i="39"/>
  <c r="GS132" i="39"/>
  <c r="W48" i="19"/>
  <c r="HH167" i="39"/>
  <c r="GO20" i="39"/>
  <c r="HK20" i="39" s="1"/>
  <c r="GR34" i="39"/>
  <c r="GU38" i="39"/>
  <c r="CQ204" i="39"/>
  <c r="Q204" i="19" s="1"/>
  <c r="X162" i="19"/>
  <c r="GK204" i="39"/>
  <c r="GY204" i="39" s="1"/>
  <c r="U176" i="19"/>
  <c r="Q83" i="19"/>
  <c r="GU184" i="39"/>
  <c r="U121" i="19"/>
  <c r="V121" i="19"/>
  <c r="GT162" i="39"/>
  <c r="W34" i="19"/>
  <c r="GT114" i="39"/>
  <c r="O195" i="19"/>
  <c r="HI117" i="39"/>
  <c r="W160" i="19"/>
  <c r="GO67" i="39"/>
  <c r="HK67" i="39" s="1"/>
  <c r="V38" i="19"/>
  <c r="CS75" i="39"/>
  <c r="S75" i="19" s="1"/>
  <c r="GR49" i="39"/>
  <c r="V48" i="19"/>
  <c r="GM75" i="39"/>
  <c r="HA75" i="39" s="1"/>
  <c r="HC75" i="39" s="1"/>
  <c r="GS27" i="39"/>
  <c r="Q162" i="19"/>
  <c r="HI110" i="39"/>
  <c r="CV117" i="39"/>
  <c r="U117" i="19" s="1"/>
  <c r="HI150" i="39"/>
  <c r="GQ117" i="39"/>
  <c r="V54" i="19"/>
  <c r="GM106" i="39"/>
  <c r="HA106" i="39" s="1"/>
  <c r="HC106" i="39" s="1"/>
  <c r="GM60" i="39"/>
  <c r="HA60" i="39" s="1"/>
  <c r="HC60" i="39" s="1"/>
  <c r="Q106" i="19"/>
  <c r="Q34" i="19"/>
  <c r="X42" i="19"/>
  <c r="CS71" i="39"/>
  <c r="S71" i="19" s="1"/>
  <c r="GO56" i="39"/>
  <c r="HK56" i="39" s="1"/>
  <c r="CS210" i="39"/>
  <c r="S210" i="19" s="1"/>
  <c r="Q71" i="19"/>
  <c r="Q210" i="19"/>
  <c r="CS60" i="39"/>
  <c r="S60" i="19" s="1"/>
  <c r="GT42" i="39"/>
  <c r="GO41" i="39"/>
  <c r="HK41" i="39" s="1"/>
  <c r="X27" i="19"/>
  <c r="GT142" i="39"/>
  <c r="CQ168" i="39"/>
  <c r="GM168" i="39" s="1"/>
  <c r="HA168" i="39" s="1"/>
  <c r="HC168" i="39" s="1"/>
  <c r="CV112" i="39"/>
  <c r="U112" i="19" s="1"/>
  <c r="CW117" i="39"/>
  <c r="V117" i="19" s="1"/>
  <c r="W136" i="19"/>
  <c r="HH154" i="39"/>
  <c r="CW91" i="39"/>
  <c r="V91" i="19" s="1"/>
  <c r="CX117" i="39"/>
  <c r="W117" i="19" s="1"/>
  <c r="HF154" i="39"/>
  <c r="HF110" i="39"/>
  <c r="CS159" i="39"/>
  <c r="S159" i="19" s="1"/>
  <c r="CY117" i="39"/>
  <c r="GU117" i="39" s="1"/>
  <c r="HI154" i="39"/>
  <c r="HG110" i="39"/>
  <c r="Q159" i="19"/>
  <c r="CS114" i="39"/>
  <c r="S114" i="19" s="1"/>
  <c r="Q114" i="19"/>
  <c r="GQ176" i="39"/>
  <c r="CX185" i="39"/>
  <c r="W185" i="19" s="1"/>
  <c r="GQ193" i="39"/>
  <c r="CX176" i="39"/>
  <c r="GT176" i="39" s="1"/>
  <c r="GM142" i="39"/>
  <c r="HA142" i="39" s="1"/>
  <c r="HC142" i="39" s="1"/>
  <c r="HG150" i="39"/>
  <c r="X136" i="19"/>
  <c r="U162" i="19"/>
  <c r="GQ138" i="39"/>
  <c r="GO37" i="39"/>
  <c r="HK37" i="39" s="1"/>
  <c r="CW176" i="39"/>
  <c r="GS176" i="39" s="1"/>
  <c r="CY176" i="39"/>
  <c r="X176" i="19" s="1"/>
  <c r="HG179" i="39"/>
  <c r="GS114" i="39"/>
  <c r="GQ197" i="39"/>
  <c r="HK89" i="39"/>
  <c r="CS142" i="39"/>
  <c r="GO142" i="39" s="1"/>
  <c r="HF150" i="39"/>
  <c r="V130" i="19"/>
  <c r="GT29" i="39"/>
  <c r="GQ150" i="39"/>
  <c r="O110" i="19"/>
  <c r="CX150" i="39"/>
  <c r="GT150" i="39" s="1"/>
  <c r="W159" i="19"/>
  <c r="GO102" i="39"/>
  <c r="HK102" i="39" s="1"/>
  <c r="CV150" i="39"/>
  <c r="U150" i="19" s="1"/>
  <c r="HG98" i="39"/>
  <c r="CW150" i="39"/>
  <c r="GS150" i="39" s="1"/>
  <c r="HH98" i="39"/>
  <c r="GO53" i="39"/>
  <c r="HK53" i="39" s="1"/>
  <c r="CY150" i="39"/>
  <c r="X150" i="19" s="1"/>
  <c r="GS162" i="39"/>
  <c r="HI98" i="39"/>
  <c r="GS32" i="39"/>
  <c r="GK171" i="39"/>
  <c r="GY171" i="39" s="1"/>
  <c r="GM136" i="39"/>
  <c r="HA136" i="39" s="1"/>
  <c r="HC136" i="39" s="1"/>
  <c r="CV91" i="39"/>
  <c r="U91" i="19" s="1"/>
  <c r="CY112" i="39"/>
  <c r="GU112" i="39" s="1"/>
  <c r="GT54" i="39"/>
  <c r="GO45" i="39"/>
  <c r="HK45" i="39" s="1"/>
  <c r="GO94" i="39"/>
  <c r="HK94" i="39" s="1"/>
  <c r="T91" i="19"/>
  <c r="GQ112" i="39"/>
  <c r="CS22" i="39"/>
  <c r="S22" i="19" s="1"/>
  <c r="V49" i="19"/>
  <c r="CX91" i="39"/>
  <c r="W91" i="19" s="1"/>
  <c r="GR146" i="39"/>
  <c r="Q22" i="19"/>
  <c r="GQ91" i="39"/>
  <c r="X77" i="19"/>
  <c r="CS73" i="39"/>
  <c r="GO73" i="39" s="1"/>
  <c r="HK73" i="39" s="1"/>
  <c r="CX112" i="39"/>
  <c r="GT112" i="39" s="1"/>
  <c r="Q73" i="19"/>
  <c r="CQ171" i="39"/>
  <c r="GM171" i="39" s="1"/>
  <c r="HA171" i="39" s="1"/>
  <c r="HC171" i="39" s="1"/>
  <c r="CS136" i="39"/>
  <c r="S136" i="19" s="1"/>
  <c r="CW112" i="39"/>
  <c r="GS112" i="39" s="1"/>
  <c r="HF168" i="39"/>
  <c r="U38" i="19"/>
  <c r="Q153" i="19"/>
  <c r="CS72" i="39"/>
  <c r="S72" i="19" s="1"/>
  <c r="GM153" i="39"/>
  <c r="HA153" i="39" s="1"/>
  <c r="HC153" i="39" s="1"/>
  <c r="Q72" i="19"/>
  <c r="T176" i="19"/>
  <c r="CS120" i="39"/>
  <c r="S120" i="19" s="1"/>
  <c r="GK110" i="39"/>
  <c r="GY110" i="39" s="1"/>
  <c r="GK150" i="39"/>
  <c r="GY150" i="39" s="1"/>
  <c r="HG190" i="39"/>
  <c r="O150" i="19"/>
  <c r="HH190" i="39"/>
  <c r="GR136" i="39"/>
  <c r="HG140" i="39"/>
  <c r="GR134" i="39"/>
  <c r="HI190" i="39"/>
  <c r="GU130" i="39"/>
  <c r="HH140" i="39"/>
  <c r="HI140" i="39"/>
  <c r="GO148" i="39"/>
  <c r="HK148" i="39" s="1"/>
  <c r="GM101" i="39"/>
  <c r="HA101" i="39" s="1"/>
  <c r="HC101" i="39" s="1"/>
  <c r="V77" i="19"/>
  <c r="CX197" i="39"/>
  <c r="W197" i="19" s="1"/>
  <c r="T197" i="19"/>
  <c r="T179" i="19"/>
  <c r="GU105" i="39"/>
  <c r="GR32" i="39"/>
  <c r="CY197" i="39"/>
  <c r="X197" i="19" s="1"/>
  <c r="X135" i="19"/>
  <c r="CW197" i="39"/>
  <c r="GS197" i="39" s="1"/>
  <c r="GQ204" i="39"/>
  <c r="GK155" i="39"/>
  <c r="GY155" i="39" s="1"/>
  <c r="O185" i="19"/>
  <c r="X134" i="19"/>
  <c r="CY154" i="39"/>
  <c r="X154" i="19" s="1"/>
  <c r="CY110" i="39"/>
  <c r="GU110" i="39" s="1"/>
  <c r="T110" i="19"/>
  <c r="Q121" i="19"/>
  <c r="CS146" i="39"/>
  <c r="GO146" i="39" s="1"/>
  <c r="HK146" i="39" s="1"/>
  <c r="HF155" i="39"/>
  <c r="GS142" i="39"/>
  <c r="CY167" i="39"/>
  <c r="X167" i="19" s="1"/>
  <c r="W130" i="19"/>
  <c r="CQ155" i="39"/>
  <c r="Q155" i="19" s="1"/>
  <c r="W135" i="19"/>
  <c r="GR83" i="39"/>
  <c r="GT106" i="39"/>
  <c r="X142" i="19"/>
  <c r="GM121" i="39"/>
  <c r="HA121" i="39" s="1"/>
  <c r="HC121" i="39" s="1"/>
  <c r="Q146" i="19"/>
  <c r="HG155" i="39"/>
  <c r="CW167" i="39"/>
  <c r="V167" i="19" s="1"/>
  <c r="U133" i="19"/>
  <c r="CW145" i="39"/>
  <c r="V145" i="19" s="1"/>
  <c r="U105" i="19"/>
  <c r="GS60" i="39"/>
  <c r="GR108" i="39"/>
  <c r="HH155" i="39"/>
  <c r="CX167" i="39"/>
  <c r="W167" i="19" s="1"/>
  <c r="GO92" i="39"/>
  <c r="HK92" i="39" s="1"/>
  <c r="U169" i="19"/>
  <c r="GS133" i="39"/>
  <c r="CV167" i="39"/>
  <c r="U167" i="19" s="1"/>
  <c r="CS101" i="39"/>
  <c r="S101" i="19" s="1"/>
  <c r="GQ195" i="39"/>
  <c r="GQ167" i="39"/>
  <c r="HF138" i="39"/>
  <c r="GU133" i="39"/>
  <c r="GT13" i="39"/>
  <c r="CS32" i="39"/>
  <c r="S32" i="19" s="1"/>
  <c r="CY192" i="39"/>
  <c r="X192" i="19" s="1"/>
  <c r="CQ167" i="39"/>
  <c r="CS167" i="39" s="1"/>
  <c r="GU146" i="39"/>
  <c r="Q120" i="19"/>
  <c r="O197" i="19"/>
  <c r="V33" i="19"/>
  <c r="GS33" i="39"/>
  <c r="CQ193" i="39"/>
  <c r="Q193" i="19" s="1"/>
  <c r="Q32" i="19"/>
  <c r="T192" i="19"/>
  <c r="T195" i="19"/>
  <c r="GK167" i="39"/>
  <c r="GY167" i="39" s="1"/>
  <c r="CQ197" i="39"/>
  <c r="GM197" i="39" s="1"/>
  <c r="HA197" i="39" s="1"/>
  <c r="HC197" i="39" s="1"/>
  <c r="HI168" i="39"/>
  <c r="Q105" i="19"/>
  <c r="CX192" i="39"/>
  <c r="GT192" i="39" s="1"/>
  <c r="CW195" i="39"/>
  <c r="GS195" i="39" s="1"/>
  <c r="X108" i="19"/>
  <c r="T98" i="19"/>
  <c r="HG185" i="39"/>
  <c r="HH168" i="39"/>
  <c r="CS105" i="39"/>
  <c r="S105" i="19" s="1"/>
  <c r="CW192" i="39"/>
  <c r="GS192" i="39" s="1"/>
  <c r="CX195" i="39"/>
  <c r="W195" i="19" s="1"/>
  <c r="CY98" i="39"/>
  <c r="X98" i="19" s="1"/>
  <c r="X114" i="19"/>
  <c r="HH185" i="39"/>
  <c r="GQ192" i="39"/>
  <c r="CY195" i="39"/>
  <c r="GU195" i="39" s="1"/>
  <c r="W120" i="19"/>
  <c r="HI185" i="39"/>
  <c r="W33" i="19"/>
  <c r="X33" i="19"/>
  <c r="GU33" i="39"/>
  <c r="U33" i="19"/>
  <c r="GR33" i="39"/>
  <c r="W21" i="19"/>
  <c r="GO63" i="39"/>
  <c r="HK63" i="39" s="1"/>
  <c r="CS54" i="39"/>
  <c r="GO54" i="39" s="1"/>
  <c r="HK54" i="39" s="1"/>
  <c r="Q131" i="19"/>
  <c r="CY147" i="39"/>
  <c r="X147" i="19" s="1"/>
  <c r="O182" i="19"/>
  <c r="O176" i="19"/>
  <c r="CQ176" i="39"/>
  <c r="Q54" i="19"/>
  <c r="CV147" i="39"/>
  <c r="U147" i="19" s="1"/>
  <c r="CQ182" i="39"/>
  <c r="GM182" i="39" s="1"/>
  <c r="HA182" i="39" s="1"/>
  <c r="HC182" i="39" s="1"/>
  <c r="GS135" i="39"/>
  <c r="CS135" i="39"/>
  <c r="GO135" i="39" s="1"/>
  <c r="HK135" i="39" s="1"/>
  <c r="CQ154" i="39"/>
  <c r="GM154" i="39" s="1"/>
  <c r="HA154" i="39" s="1"/>
  <c r="HC154" i="39" s="1"/>
  <c r="GS136" i="39"/>
  <c r="CW147" i="39"/>
  <c r="V147" i="19" s="1"/>
  <c r="W49" i="19"/>
  <c r="Q135" i="19"/>
  <c r="T147" i="19"/>
  <c r="CX147" i="39"/>
  <c r="W147" i="19" s="1"/>
  <c r="GT133" i="39"/>
  <c r="HI176" i="39"/>
  <c r="HH176" i="39"/>
  <c r="HG176" i="39"/>
  <c r="HF176" i="39"/>
  <c r="HI179" i="39"/>
  <c r="GK117" i="39"/>
  <c r="GY117" i="39" s="1"/>
  <c r="GS108" i="39"/>
  <c r="GT144" i="39"/>
  <c r="V29" i="19"/>
  <c r="GU52" i="39"/>
  <c r="GS146" i="39"/>
  <c r="HH179" i="39"/>
  <c r="CQ117" i="39"/>
  <c r="Q117" i="19" s="1"/>
  <c r="U186" i="19"/>
  <c r="GQ186" i="39"/>
  <c r="CW186" i="39"/>
  <c r="CY193" i="39"/>
  <c r="GU193" i="39" s="1"/>
  <c r="CV138" i="39"/>
  <c r="U138" i="19" s="1"/>
  <c r="T186" i="19"/>
  <c r="HH145" i="39"/>
  <c r="CX193" i="39"/>
  <c r="W193" i="19" s="1"/>
  <c r="CX138" i="39"/>
  <c r="W138" i="19" s="1"/>
  <c r="HI145" i="39"/>
  <c r="CW193" i="39"/>
  <c r="V193" i="19" s="1"/>
  <c r="CY138" i="39"/>
  <c r="GU138" i="39" s="1"/>
  <c r="CX186" i="39"/>
  <c r="CS131" i="39"/>
  <c r="S131" i="19" s="1"/>
  <c r="HF145" i="39"/>
  <c r="CV193" i="39"/>
  <c r="U193" i="19" s="1"/>
  <c r="CW138" i="39"/>
  <c r="V138" i="19" s="1"/>
  <c r="CX204" i="39"/>
  <c r="CY204" i="39"/>
  <c r="CW204" i="39"/>
  <c r="T204" i="19"/>
  <c r="GK98" i="39"/>
  <c r="GY98" i="39" s="1"/>
  <c r="U18" i="19"/>
  <c r="GR18" i="39"/>
  <c r="O174" i="19"/>
  <c r="Q18" i="19"/>
  <c r="GM18" i="39"/>
  <c r="HA18" i="39" s="1"/>
  <c r="HC18" i="39" s="1"/>
  <c r="CS18" i="39"/>
  <c r="HF79" i="39"/>
  <c r="GK174" i="39"/>
  <c r="GY174" i="39" s="1"/>
  <c r="V18" i="19"/>
  <c r="GS18" i="39"/>
  <c r="HG79" i="39"/>
  <c r="HH79" i="39"/>
  <c r="W18" i="19"/>
  <c r="GT18" i="39"/>
  <c r="X18" i="19"/>
  <c r="GU18" i="39"/>
  <c r="CX98" i="39"/>
  <c r="W98" i="19" s="1"/>
  <c r="GU131" i="39"/>
  <c r="HG186" i="39"/>
  <c r="GQ174" i="39"/>
  <c r="GQ98" i="39"/>
  <c r="O168" i="19"/>
  <c r="F42" i="37"/>
  <c r="G42" i="37" s="1"/>
  <c r="F43" i="37"/>
  <c r="G43" i="37" s="1"/>
  <c r="N59" i="37"/>
  <c r="F41" i="37"/>
  <c r="G41" i="37" s="1"/>
  <c r="F40" i="37"/>
  <c r="G40" i="37" s="1"/>
  <c r="G29" i="37"/>
  <c r="N18" i="37" s="1"/>
  <c r="G31" i="37"/>
  <c r="F27" i="37"/>
  <c r="G32" i="37" s="1"/>
  <c r="G30" i="37"/>
  <c r="CV98" i="39"/>
  <c r="U98" i="19" s="1"/>
  <c r="F42" i="38"/>
  <c r="G42" i="38" s="1"/>
  <c r="N59" i="38"/>
  <c r="F43" i="38"/>
  <c r="G43" i="38" s="1"/>
  <c r="F44" i="38"/>
  <c r="G44" i="38" s="1"/>
  <c r="F41" i="38"/>
  <c r="G41" i="38" s="1"/>
  <c r="F27" i="38"/>
  <c r="HH186" i="39"/>
  <c r="HI186" i="39"/>
  <c r="CZ217" i="39"/>
  <c r="CY186" i="39"/>
  <c r="I30" i="31"/>
  <c r="F19" i="7"/>
  <c r="F21" i="7" s="1"/>
  <c r="F18" i="9"/>
  <c r="I28" i="29"/>
  <c r="F24" i="32"/>
  <c r="F26" i="32" s="1"/>
  <c r="F33" i="32"/>
  <c r="I29" i="25"/>
  <c r="A114" i="23"/>
  <c r="I30" i="29"/>
  <c r="Z166" i="19"/>
  <c r="DA217" i="39"/>
  <c r="F30" i="5"/>
  <c r="F24" i="5"/>
  <c r="F26" i="5" s="1"/>
  <c r="F28" i="5" s="1"/>
  <c r="I32" i="26"/>
  <c r="F19" i="8"/>
  <c r="I28" i="28"/>
  <c r="W44" i="19"/>
  <c r="GT44" i="39"/>
  <c r="GM33" i="39"/>
  <c r="HA33" i="39" s="1"/>
  <c r="HC33" i="39" s="1"/>
  <c r="CS33" i="39"/>
  <c r="Q33" i="19"/>
  <c r="A55" i="34"/>
  <c r="A57" i="34"/>
  <c r="F19" i="34"/>
  <c r="U44" i="19"/>
  <c r="GR44" i="39"/>
  <c r="G18" i="20"/>
  <c r="I29" i="30"/>
  <c r="A51" i="20"/>
  <c r="F23" i="34"/>
  <c r="F25" i="34" s="1"/>
  <c r="F27" i="34" s="1"/>
  <c r="I30" i="28"/>
  <c r="F36" i="36"/>
  <c r="F24" i="36"/>
  <c r="F26" i="36" s="1"/>
  <c r="X44" i="19"/>
  <c r="GU44" i="39"/>
  <c r="I30" i="30"/>
  <c r="F22" i="20"/>
  <c r="F22" i="24"/>
  <c r="F47" i="24" s="1"/>
  <c r="V44" i="19"/>
  <c r="GS44" i="39"/>
  <c r="I30" i="25"/>
  <c r="F22" i="23"/>
  <c r="F50" i="23" s="1"/>
  <c r="F18" i="10"/>
  <c r="F18" i="6"/>
  <c r="CX79" i="39"/>
  <c r="W79" i="19" s="1"/>
  <c r="HF193" i="39"/>
  <c r="U196" i="19"/>
  <c r="X210" i="19"/>
  <c r="CW182" i="39"/>
  <c r="V182" i="19" s="1"/>
  <c r="GT134" i="39"/>
  <c r="V210" i="19"/>
  <c r="CQ98" i="39"/>
  <c r="Q98" i="19" s="1"/>
  <c r="GR71" i="39"/>
  <c r="HG193" i="39"/>
  <c r="GS131" i="39"/>
  <c r="HI193" i="39"/>
  <c r="HF147" i="39"/>
  <c r="GT108" i="39"/>
  <c r="GU21" i="39"/>
  <c r="HH195" i="39"/>
  <c r="HG195" i="39"/>
  <c r="GR204" i="39"/>
  <c r="CQ186" i="39"/>
  <c r="O186" i="19"/>
  <c r="GK186" i="39"/>
  <c r="GY186" i="39" s="1"/>
  <c r="GQ79" i="39"/>
  <c r="GU83" i="39"/>
  <c r="CQ195" i="39"/>
  <c r="Q195" i="19" s="1"/>
  <c r="CS156" i="39"/>
  <c r="S156" i="19" s="1"/>
  <c r="CV182" i="39"/>
  <c r="GR182" i="39" s="1"/>
  <c r="X196" i="19"/>
  <c r="HI195" i="39"/>
  <c r="U131" i="19"/>
  <c r="T182" i="19"/>
  <c r="GK193" i="39"/>
  <c r="GY193" i="39" s="1"/>
  <c r="CY79" i="39"/>
  <c r="GU79" i="39" s="1"/>
  <c r="GS106" i="39"/>
  <c r="CY190" i="39"/>
  <c r="X190" i="19" s="1"/>
  <c r="CX182" i="39"/>
  <c r="GT182" i="39" s="1"/>
  <c r="GU144" i="39"/>
  <c r="CW79" i="39"/>
  <c r="V79" i="19" s="1"/>
  <c r="GT83" i="39"/>
  <c r="GR21" i="39"/>
  <c r="GS144" i="39"/>
  <c r="HI192" i="39"/>
  <c r="X169" i="19"/>
  <c r="CY182" i="39"/>
  <c r="X182" i="19" s="1"/>
  <c r="GU71" i="39"/>
  <c r="T79" i="19"/>
  <c r="GO40" i="39"/>
  <c r="HK40" i="39" s="1"/>
  <c r="GS169" i="39"/>
  <c r="GU120" i="39"/>
  <c r="GR120" i="39"/>
  <c r="HH138" i="39"/>
  <c r="CY145" i="39"/>
  <c r="GU145" i="39" s="1"/>
  <c r="GT52" i="39"/>
  <c r="GS158" i="39"/>
  <c r="HI138" i="39"/>
  <c r="CV145" i="39"/>
  <c r="U145" i="19" s="1"/>
  <c r="GU106" i="39"/>
  <c r="GQ145" i="39"/>
  <c r="V134" i="19"/>
  <c r="GR210" i="39"/>
  <c r="CX145" i="39"/>
  <c r="GT145" i="39" s="1"/>
  <c r="GT105" i="39"/>
  <c r="HF117" i="39"/>
  <c r="CY179" i="39"/>
  <c r="X179" i="19" s="1"/>
  <c r="X132" i="19"/>
  <c r="HH117" i="39"/>
  <c r="CW179" i="39"/>
  <c r="V179" i="19" s="1"/>
  <c r="HI182" i="39"/>
  <c r="CV179" i="39"/>
  <c r="U179" i="19" s="1"/>
  <c r="HF182" i="39"/>
  <c r="GQ179" i="39"/>
  <c r="U156" i="19"/>
  <c r="HG182" i="39"/>
  <c r="GT158" i="39"/>
  <c r="GU158" i="39"/>
  <c r="CW174" i="39"/>
  <c r="GS174" i="39" s="1"/>
  <c r="CX154" i="39"/>
  <c r="W154" i="19" s="1"/>
  <c r="CW110" i="39"/>
  <c r="GS110" i="39" s="1"/>
  <c r="T174" i="19"/>
  <c r="Q211" i="19"/>
  <c r="GK112" i="39"/>
  <c r="GY112" i="39" s="1"/>
  <c r="T154" i="19"/>
  <c r="CX110" i="39"/>
  <c r="W110" i="19" s="1"/>
  <c r="CY174" i="39"/>
  <c r="GU174" i="39" s="1"/>
  <c r="GM211" i="39"/>
  <c r="HA211" i="39" s="1"/>
  <c r="HC211" i="39" s="1"/>
  <c r="O112" i="19"/>
  <c r="CW168" i="39"/>
  <c r="Q156" i="19"/>
  <c r="CV154" i="39"/>
  <c r="U154" i="19" s="1"/>
  <c r="GQ154" i="39"/>
  <c r="X156" i="19"/>
  <c r="GK185" i="39"/>
  <c r="GY185" i="39" s="1"/>
  <c r="T168" i="19"/>
  <c r="CV110" i="39"/>
  <c r="U110" i="19" s="1"/>
  <c r="CV174" i="39"/>
  <c r="GR174" i="39" s="1"/>
  <c r="CX168" i="39"/>
  <c r="CV168" i="39"/>
  <c r="CY168" i="39"/>
  <c r="CV140" i="39"/>
  <c r="U140" i="19" s="1"/>
  <c r="U158" i="19"/>
  <c r="CW185" i="39"/>
  <c r="GS185" i="39" s="1"/>
  <c r="CX190" i="39"/>
  <c r="GT190" i="39" s="1"/>
  <c r="O154" i="19"/>
  <c r="GK192" i="39"/>
  <c r="GY192" i="39" s="1"/>
  <c r="GU13" i="39"/>
  <c r="GT32" i="39"/>
  <c r="GS71" i="39"/>
  <c r="T185" i="19"/>
  <c r="CV190" i="39"/>
  <c r="GR190" i="39" s="1"/>
  <c r="GS159" i="39"/>
  <c r="GR159" i="39"/>
  <c r="CV185" i="39"/>
  <c r="U185" i="19" s="1"/>
  <c r="GQ190" i="39"/>
  <c r="HG197" i="39"/>
  <c r="GQ185" i="39"/>
  <c r="HH171" i="39"/>
  <c r="HH197" i="39"/>
  <c r="GU32" i="39"/>
  <c r="CS49" i="39"/>
  <c r="GO49" i="39" s="1"/>
  <c r="HK49" i="39" s="1"/>
  <c r="HI171" i="39"/>
  <c r="HI197" i="39"/>
  <c r="CQ140" i="39"/>
  <c r="GM140" i="39" s="1"/>
  <c r="HA140" i="39" s="1"/>
  <c r="HC140" i="39" s="1"/>
  <c r="Q49" i="19"/>
  <c r="CW190" i="39"/>
  <c r="V190" i="19" s="1"/>
  <c r="HF171" i="39"/>
  <c r="GT196" i="39"/>
  <c r="O140" i="19"/>
  <c r="HH112" i="39"/>
  <c r="CQ179" i="39"/>
  <c r="GM179" i="39" s="1"/>
  <c r="HA179" i="39" s="1"/>
  <c r="HC179" i="39" s="1"/>
  <c r="HG174" i="39"/>
  <c r="GQ140" i="39"/>
  <c r="V83" i="19"/>
  <c r="HI112" i="39"/>
  <c r="O179" i="19"/>
  <c r="HH174" i="39"/>
  <c r="GR13" i="39"/>
  <c r="GS21" i="39"/>
  <c r="GS52" i="39"/>
  <c r="HF112" i="39"/>
  <c r="HI174" i="39"/>
  <c r="U60" i="19"/>
  <c r="GU29" i="39"/>
  <c r="T140" i="19"/>
  <c r="CW140" i="39"/>
  <c r="V140" i="19" s="1"/>
  <c r="CX140" i="39"/>
  <c r="GT140" i="39" s="1"/>
  <c r="HG147" i="39"/>
  <c r="CQ91" i="39"/>
  <c r="GM91" i="39" s="1"/>
  <c r="HA91" i="39" s="1"/>
  <c r="HC91" i="39" s="1"/>
  <c r="T171" i="19"/>
  <c r="O91" i="19"/>
  <c r="HI147" i="39"/>
  <c r="O192" i="19"/>
  <c r="W210" i="19"/>
  <c r="GU60" i="39"/>
  <c r="CQ147" i="39"/>
  <c r="GM147" i="39" s="1"/>
  <c r="HA147" i="39" s="1"/>
  <c r="HC147" i="39" s="1"/>
  <c r="O147" i="19"/>
  <c r="GK145" i="39"/>
  <c r="GY145" i="39" s="1"/>
  <c r="CQ145" i="39"/>
  <c r="GM145" i="39" s="1"/>
  <c r="HA145" i="39" s="1"/>
  <c r="HC145" i="39" s="1"/>
  <c r="HF192" i="39"/>
  <c r="HG192" i="39"/>
  <c r="GT132" i="39"/>
  <c r="O190" i="19"/>
  <c r="GK190" i="39"/>
  <c r="GY190" i="39" s="1"/>
  <c r="CS130" i="39"/>
  <c r="S130" i="19" s="1"/>
  <c r="Q130" i="19"/>
  <c r="GQ171" i="39"/>
  <c r="CY171" i="39"/>
  <c r="X171" i="19" s="1"/>
  <c r="CV171" i="39"/>
  <c r="GR171" i="39" s="1"/>
  <c r="CW171" i="39"/>
  <c r="V171" i="19" s="1"/>
  <c r="O191" i="19"/>
  <c r="GK191" i="39"/>
  <c r="GY191" i="39" s="1"/>
  <c r="CQ191" i="39"/>
  <c r="X175" i="19"/>
  <c r="GU175" i="39"/>
  <c r="HI118" i="39"/>
  <c r="HG118" i="39"/>
  <c r="HF118" i="39"/>
  <c r="HH118" i="39"/>
  <c r="GQ152" i="39"/>
  <c r="CY152" i="39"/>
  <c r="CX152" i="39"/>
  <c r="CW152" i="39"/>
  <c r="T152" i="19"/>
  <c r="CV152" i="39"/>
  <c r="GU141" i="39"/>
  <c r="X141" i="19"/>
  <c r="W157" i="19"/>
  <c r="GT157" i="39"/>
  <c r="GU208" i="39"/>
  <c r="X208" i="19"/>
  <c r="W179" i="19"/>
  <c r="GT179" i="39"/>
  <c r="GM157" i="39"/>
  <c r="HA157" i="39" s="1"/>
  <c r="HC157" i="39" s="1"/>
  <c r="Q157" i="19"/>
  <c r="CS157" i="39"/>
  <c r="U165" i="19"/>
  <c r="GR165" i="39"/>
  <c r="S211" i="19"/>
  <c r="GO211" i="39"/>
  <c r="U172" i="19"/>
  <c r="GR172" i="39"/>
  <c r="U178" i="19"/>
  <c r="GR178" i="39"/>
  <c r="HI127" i="39"/>
  <c r="HG127" i="39"/>
  <c r="HH127" i="39"/>
  <c r="HF127" i="39"/>
  <c r="GS215" i="39"/>
  <c r="V215" i="19"/>
  <c r="X187" i="19"/>
  <c r="GU187" i="39"/>
  <c r="GU149" i="39"/>
  <c r="X149" i="19"/>
  <c r="GQ191" i="39"/>
  <c r="CW191" i="39"/>
  <c r="CV191" i="39"/>
  <c r="CY191" i="39"/>
  <c r="T191" i="19"/>
  <c r="CX191" i="39"/>
  <c r="W139" i="19"/>
  <c r="GT139" i="39"/>
  <c r="GM141" i="39"/>
  <c r="HA141" i="39" s="1"/>
  <c r="HC141" i="39" s="1"/>
  <c r="Q141" i="19"/>
  <c r="CS141" i="39"/>
  <c r="V175" i="19"/>
  <c r="GS175" i="39"/>
  <c r="U214" i="19"/>
  <c r="GR214" i="39"/>
  <c r="GK152" i="39"/>
  <c r="GY152" i="39" s="1"/>
  <c r="CQ152" i="39"/>
  <c r="O152" i="19"/>
  <c r="S158" i="19"/>
  <c r="GO158" i="39"/>
  <c r="HK158" i="39" s="1"/>
  <c r="U141" i="19"/>
  <c r="GR141" i="39"/>
  <c r="GK194" i="39"/>
  <c r="GY194" i="39" s="1"/>
  <c r="O194" i="19"/>
  <c r="CQ194" i="39"/>
  <c r="Q192" i="19"/>
  <c r="GM192" i="39"/>
  <c r="HA192" i="39" s="1"/>
  <c r="HC192" i="39" s="1"/>
  <c r="CS192" i="39"/>
  <c r="S132" i="19"/>
  <c r="GO132" i="39"/>
  <c r="HK132" i="39" s="1"/>
  <c r="S133" i="19"/>
  <c r="GO133" i="39"/>
  <c r="HK133" i="39" s="1"/>
  <c r="GT115" i="39"/>
  <c r="W115" i="19"/>
  <c r="CQ122" i="39"/>
  <c r="GK122" i="39"/>
  <c r="GY122" i="39" s="1"/>
  <c r="O122" i="19"/>
  <c r="W137" i="19"/>
  <c r="GT137" i="39"/>
  <c r="GM174" i="39"/>
  <c r="HA174" i="39" s="1"/>
  <c r="HC174" i="39" s="1"/>
  <c r="Q174" i="19"/>
  <c r="CS174" i="39"/>
  <c r="W165" i="19"/>
  <c r="GT165" i="39"/>
  <c r="V172" i="19"/>
  <c r="GS172" i="39"/>
  <c r="V178" i="19"/>
  <c r="GS178" i="39"/>
  <c r="S144" i="19"/>
  <c r="GO144" i="39"/>
  <c r="HK144" i="39" s="1"/>
  <c r="V149" i="19"/>
  <c r="GS149" i="39"/>
  <c r="GM185" i="39"/>
  <c r="HA185" i="39" s="1"/>
  <c r="HC185" i="39" s="1"/>
  <c r="Q185" i="19"/>
  <c r="CS185" i="39"/>
  <c r="U192" i="19"/>
  <c r="GR192" i="39"/>
  <c r="HF191" i="39"/>
  <c r="HI191" i="39"/>
  <c r="HH191" i="39"/>
  <c r="HG191" i="39"/>
  <c r="U139" i="19"/>
  <c r="GR139" i="39"/>
  <c r="U175" i="19"/>
  <c r="GR175" i="39"/>
  <c r="W214" i="19"/>
  <c r="GT214" i="39"/>
  <c r="GM149" i="39"/>
  <c r="HA149" i="39" s="1"/>
  <c r="HC149" i="39" s="1"/>
  <c r="Q149" i="19"/>
  <c r="CS149" i="39"/>
  <c r="HI152" i="39"/>
  <c r="HH152" i="39"/>
  <c r="HG152" i="39"/>
  <c r="HF152" i="39"/>
  <c r="V141" i="19"/>
  <c r="GS141" i="39"/>
  <c r="CW194" i="39"/>
  <c r="CX194" i="39"/>
  <c r="CY194" i="39"/>
  <c r="GQ194" i="39"/>
  <c r="CV194" i="39"/>
  <c r="T194" i="19"/>
  <c r="U208" i="19"/>
  <c r="GR208" i="39"/>
  <c r="S124" i="19"/>
  <c r="GO124" i="39"/>
  <c r="HK124" i="39" s="1"/>
  <c r="X119" i="19"/>
  <c r="GU119" i="39"/>
  <c r="X140" i="19"/>
  <c r="GU140" i="39"/>
  <c r="GU115" i="39"/>
  <c r="X115" i="19"/>
  <c r="HI122" i="39"/>
  <c r="HH122" i="39"/>
  <c r="HF122" i="39"/>
  <c r="HG122" i="39"/>
  <c r="GK161" i="39"/>
  <c r="GY161" i="39" s="1"/>
  <c r="CQ161" i="39"/>
  <c r="O161" i="19"/>
  <c r="HI113" i="39"/>
  <c r="HG113" i="39"/>
  <c r="HF113" i="39"/>
  <c r="HH113" i="39"/>
  <c r="GM137" i="39"/>
  <c r="HA137" i="39" s="1"/>
  <c r="HC137" i="39" s="1"/>
  <c r="Q137" i="19"/>
  <c r="CS137" i="39"/>
  <c r="W172" i="19"/>
  <c r="GT172" i="39"/>
  <c r="GM139" i="39"/>
  <c r="HA139" i="39" s="1"/>
  <c r="HC139" i="39" s="1"/>
  <c r="Q139" i="19"/>
  <c r="CS139" i="39"/>
  <c r="W187" i="19"/>
  <c r="GT187" i="39"/>
  <c r="GM172" i="39"/>
  <c r="HA172" i="39" s="1"/>
  <c r="HC172" i="39" s="1"/>
  <c r="Q172" i="19"/>
  <c r="CS172" i="39"/>
  <c r="X189" i="19"/>
  <c r="GU189" i="39"/>
  <c r="GK164" i="39"/>
  <c r="GY164" i="39" s="1"/>
  <c r="O164" i="19"/>
  <c r="CQ164" i="39"/>
  <c r="X139" i="19"/>
  <c r="GU139" i="39"/>
  <c r="S209" i="19"/>
  <c r="GO209" i="39"/>
  <c r="HK209" i="39" s="1"/>
  <c r="HI194" i="39"/>
  <c r="HH194" i="39"/>
  <c r="HG194" i="39"/>
  <c r="HF194" i="39"/>
  <c r="S184" i="19"/>
  <c r="GO184" i="39"/>
  <c r="HK184" i="39" s="1"/>
  <c r="GM110" i="39"/>
  <c r="HA110" i="39" s="1"/>
  <c r="HC110" i="39" s="1"/>
  <c r="Q110" i="19"/>
  <c r="CS110" i="39"/>
  <c r="GS208" i="39"/>
  <c r="V208" i="19"/>
  <c r="GQ183" i="39"/>
  <c r="CW183" i="39"/>
  <c r="CV183" i="39"/>
  <c r="CY183" i="39"/>
  <c r="CX183" i="39"/>
  <c r="T183" i="19"/>
  <c r="W119" i="19"/>
  <c r="GT119" i="39"/>
  <c r="O128" i="19"/>
  <c r="CQ128" i="39"/>
  <c r="GK128" i="39"/>
  <c r="GY128" i="39" s="1"/>
  <c r="V98" i="19"/>
  <c r="GS98" i="39"/>
  <c r="U115" i="19"/>
  <c r="GR115" i="39"/>
  <c r="GQ122" i="39"/>
  <c r="CX122" i="39"/>
  <c r="CY122" i="39"/>
  <c r="T122" i="19"/>
  <c r="CV122" i="39"/>
  <c r="CW122" i="39"/>
  <c r="V137" i="19"/>
  <c r="GS137" i="39"/>
  <c r="GQ161" i="39"/>
  <c r="CX161" i="39"/>
  <c r="T161" i="19"/>
  <c r="CW161" i="39"/>
  <c r="CV161" i="39"/>
  <c r="CY161" i="39"/>
  <c r="S134" i="19"/>
  <c r="GO134" i="39"/>
  <c r="HK134" i="39" s="1"/>
  <c r="CY113" i="39"/>
  <c r="T113" i="19"/>
  <c r="GQ113" i="39"/>
  <c r="CV113" i="39"/>
  <c r="CX113" i="39"/>
  <c r="CW113" i="39"/>
  <c r="X172" i="19"/>
  <c r="GU172" i="39"/>
  <c r="GT178" i="39"/>
  <c r="W178" i="19"/>
  <c r="Q112" i="19"/>
  <c r="GM112" i="39"/>
  <c r="HA112" i="39" s="1"/>
  <c r="HC112" i="39" s="1"/>
  <c r="CS112" i="39"/>
  <c r="GR215" i="39"/>
  <c r="U215" i="19"/>
  <c r="U187" i="19"/>
  <c r="GR187" i="39"/>
  <c r="V189" i="19"/>
  <c r="GS189" i="39"/>
  <c r="CW164" i="39"/>
  <c r="CY164" i="39"/>
  <c r="T164" i="19"/>
  <c r="CV164" i="39"/>
  <c r="GQ164" i="39"/>
  <c r="CX164" i="39"/>
  <c r="V139" i="19"/>
  <c r="GS139" i="39"/>
  <c r="W175" i="19"/>
  <c r="GT175" i="39"/>
  <c r="S196" i="19"/>
  <c r="GO196" i="39"/>
  <c r="HK196" i="39" s="1"/>
  <c r="GQ173" i="39"/>
  <c r="CW173" i="39"/>
  <c r="CV173" i="39"/>
  <c r="CY173" i="39"/>
  <c r="CX173" i="39"/>
  <c r="T173" i="19"/>
  <c r="S121" i="19"/>
  <c r="GO121" i="39"/>
  <c r="GM175" i="39"/>
  <c r="HA175" i="39" s="1"/>
  <c r="HC175" i="39" s="1"/>
  <c r="Q175" i="19"/>
  <c r="CS175" i="39"/>
  <c r="U213" i="19"/>
  <c r="GR213" i="39"/>
  <c r="W208" i="19"/>
  <c r="GT208" i="39"/>
  <c r="O183" i="19"/>
  <c r="GK183" i="39"/>
  <c r="GY183" i="39" s="1"/>
  <c r="CQ183" i="39"/>
  <c r="U119" i="19"/>
  <c r="GR119" i="39"/>
  <c r="O177" i="19"/>
  <c r="CQ177" i="39"/>
  <c r="GK177" i="39"/>
  <c r="GY177" i="39" s="1"/>
  <c r="GM178" i="39"/>
  <c r="HA178" i="39" s="1"/>
  <c r="HC178" i="39" s="1"/>
  <c r="Q178" i="19"/>
  <c r="CS178" i="39"/>
  <c r="HH128" i="39"/>
  <c r="HI128" i="39"/>
  <c r="HG128" i="39"/>
  <c r="HF128" i="39"/>
  <c r="U137" i="19"/>
  <c r="GR137" i="39"/>
  <c r="HI161" i="39"/>
  <c r="HH161" i="39"/>
  <c r="HG161" i="39"/>
  <c r="HF161" i="39"/>
  <c r="GK113" i="39"/>
  <c r="GY113" i="39" s="1"/>
  <c r="CQ113" i="39"/>
  <c r="O113" i="19"/>
  <c r="CO217" i="39"/>
  <c r="GS165" i="39"/>
  <c r="V165" i="19"/>
  <c r="GM189" i="39"/>
  <c r="HA189" i="39" s="1"/>
  <c r="HC189" i="39" s="1"/>
  <c r="Q189" i="19"/>
  <c r="CS189" i="39"/>
  <c r="W215" i="19"/>
  <c r="GT215" i="39"/>
  <c r="GK125" i="39"/>
  <c r="GY125" i="39" s="1"/>
  <c r="CQ125" i="39"/>
  <c r="O125" i="19"/>
  <c r="GT149" i="39"/>
  <c r="W149" i="19"/>
  <c r="GT189" i="39"/>
  <c r="W189" i="19"/>
  <c r="HH164" i="39"/>
  <c r="HG164" i="39"/>
  <c r="HF164" i="39"/>
  <c r="HI164" i="39"/>
  <c r="GM187" i="39"/>
  <c r="HA187" i="39" s="1"/>
  <c r="HC187" i="39" s="1"/>
  <c r="Q187" i="19"/>
  <c r="CS187" i="39"/>
  <c r="GM213" i="39"/>
  <c r="HA213" i="39" s="1"/>
  <c r="HC213" i="39" s="1"/>
  <c r="Q213" i="19"/>
  <c r="CS213" i="39"/>
  <c r="O173" i="19"/>
  <c r="GK173" i="39"/>
  <c r="GY173" i="39" s="1"/>
  <c r="CQ173" i="39"/>
  <c r="GM207" i="39"/>
  <c r="HA207" i="39" s="1"/>
  <c r="HC207" i="39" s="1"/>
  <c r="Q207" i="19"/>
  <c r="CS207" i="39"/>
  <c r="GS213" i="39"/>
  <c r="V213" i="19"/>
  <c r="W171" i="19"/>
  <c r="GT171" i="39"/>
  <c r="U157" i="19"/>
  <c r="GR157" i="39"/>
  <c r="HF183" i="39"/>
  <c r="HI183" i="39"/>
  <c r="HH183" i="39"/>
  <c r="HG183" i="39"/>
  <c r="GS119" i="39"/>
  <c r="V119" i="19"/>
  <c r="HG177" i="39"/>
  <c r="HI177" i="39"/>
  <c r="HH177" i="39"/>
  <c r="HF177" i="39"/>
  <c r="GT155" i="39"/>
  <c r="W155" i="19"/>
  <c r="GQ128" i="39"/>
  <c r="CY128" i="39"/>
  <c r="T128" i="19"/>
  <c r="CV128" i="39"/>
  <c r="CW128" i="39"/>
  <c r="CX128" i="39"/>
  <c r="GM165" i="39"/>
  <c r="HA165" i="39" s="1"/>
  <c r="HC165" i="39" s="1"/>
  <c r="Q165" i="19"/>
  <c r="CS165" i="39"/>
  <c r="X137" i="19"/>
  <c r="GU137" i="39"/>
  <c r="GK129" i="39"/>
  <c r="GY129" i="39" s="1"/>
  <c r="O129" i="19"/>
  <c r="CQ129" i="39"/>
  <c r="S111" i="19"/>
  <c r="GO111" i="39"/>
  <c r="HK111" i="39" s="1"/>
  <c r="GU165" i="39"/>
  <c r="X165" i="19"/>
  <c r="GU215" i="39"/>
  <c r="X215" i="19"/>
  <c r="GQ125" i="39"/>
  <c r="T125" i="19"/>
  <c r="CX125" i="39"/>
  <c r="CW125" i="39"/>
  <c r="CV125" i="39"/>
  <c r="CY125" i="39"/>
  <c r="GM214" i="39"/>
  <c r="HA214" i="39" s="1"/>
  <c r="HC214" i="39" s="1"/>
  <c r="Q214" i="19"/>
  <c r="CS214" i="39"/>
  <c r="S108" i="19"/>
  <c r="GO108" i="39"/>
  <c r="HK108" i="39" s="1"/>
  <c r="X214" i="19"/>
  <c r="GU214" i="39"/>
  <c r="GU185" i="39"/>
  <c r="X185" i="19"/>
  <c r="GK118" i="39"/>
  <c r="GY118" i="39" s="1"/>
  <c r="CQ118" i="39"/>
  <c r="O118" i="19"/>
  <c r="HG173" i="39"/>
  <c r="HF173" i="39"/>
  <c r="HI173" i="39"/>
  <c r="HH173" i="39"/>
  <c r="GT213" i="39"/>
  <c r="W213" i="19"/>
  <c r="V157" i="19"/>
  <c r="GS157" i="39"/>
  <c r="GM119" i="39"/>
  <c r="HA119" i="39" s="1"/>
  <c r="HC119" i="39" s="1"/>
  <c r="Q119" i="19"/>
  <c r="CS119" i="39"/>
  <c r="GM115" i="39"/>
  <c r="HA115" i="39" s="1"/>
  <c r="HC115" i="39" s="1"/>
  <c r="Q115" i="19"/>
  <c r="CS115" i="39"/>
  <c r="GU91" i="39"/>
  <c r="X91" i="19"/>
  <c r="GQ177" i="39"/>
  <c r="T177" i="19"/>
  <c r="CY177" i="39"/>
  <c r="CX177" i="39"/>
  <c r="CW177" i="39"/>
  <c r="CV177" i="39"/>
  <c r="S153" i="19"/>
  <c r="GO153" i="39"/>
  <c r="GR197" i="39"/>
  <c r="U197" i="19"/>
  <c r="GQ129" i="39"/>
  <c r="CX129" i="39"/>
  <c r="CW129" i="39"/>
  <c r="T129" i="19"/>
  <c r="CV129" i="39"/>
  <c r="CY129" i="39"/>
  <c r="GQ127" i="39"/>
  <c r="CW127" i="39"/>
  <c r="CV127" i="39"/>
  <c r="CY127" i="39"/>
  <c r="CX127" i="39"/>
  <c r="T127" i="19"/>
  <c r="V187" i="19"/>
  <c r="GS187" i="39"/>
  <c r="HG125" i="39"/>
  <c r="HF125" i="39"/>
  <c r="HI125" i="39"/>
  <c r="HH125" i="39"/>
  <c r="U189" i="19"/>
  <c r="GR189" i="39"/>
  <c r="GM215" i="39"/>
  <c r="HA215" i="39" s="1"/>
  <c r="HC215" i="39" s="1"/>
  <c r="Q215" i="19"/>
  <c r="CS215" i="39"/>
  <c r="GS207" i="39"/>
  <c r="V207" i="19"/>
  <c r="V214" i="19"/>
  <c r="GS214" i="39"/>
  <c r="GQ118" i="39"/>
  <c r="CY118" i="39"/>
  <c r="CX118" i="39"/>
  <c r="T118" i="19"/>
  <c r="CW118" i="39"/>
  <c r="CV118" i="39"/>
  <c r="U195" i="19"/>
  <c r="GR195" i="39"/>
  <c r="GT141" i="39"/>
  <c r="W141" i="19"/>
  <c r="X213" i="19"/>
  <c r="GU213" i="39"/>
  <c r="X157" i="19"/>
  <c r="GU157" i="39"/>
  <c r="W143" i="19"/>
  <c r="GT143" i="39"/>
  <c r="Q150" i="19"/>
  <c r="GM150" i="39"/>
  <c r="HA150" i="39" s="1"/>
  <c r="HC150" i="39" s="1"/>
  <c r="CS150" i="39"/>
  <c r="GM208" i="39"/>
  <c r="HA208" i="39" s="1"/>
  <c r="HC208" i="39" s="1"/>
  <c r="Q208" i="19"/>
  <c r="CS208" i="39"/>
  <c r="GS154" i="39"/>
  <c r="V154" i="19"/>
  <c r="W174" i="19"/>
  <c r="GT174" i="39"/>
  <c r="V115" i="19"/>
  <c r="GS115" i="39"/>
  <c r="HI129" i="39"/>
  <c r="HH129" i="39"/>
  <c r="HG129" i="39"/>
  <c r="HF129" i="39"/>
  <c r="X178" i="19"/>
  <c r="GU178" i="39"/>
  <c r="GK127" i="39"/>
  <c r="GY127" i="39" s="1"/>
  <c r="CQ127" i="39"/>
  <c r="O127" i="19"/>
  <c r="GR149" i="39"/>
  <c r="U149" i="19"/>
  <c r="GM190" i="39"/>
  <c r="HA190" i="39" s="1"/>
  <c r="HC190" i="39" s="1"/>
  <c r="Q190" i="19"/>
  <c r="CS190" i="39"/>
  <c r="W57" i="19"/>
  <c r="GT57" i="39"/>
  <c r="GM78" i="39"/>
  <c r="HA78" i="39" s="1"/>
  <c r="HC78" i="39" s="1"/>
  <c r="Q78" i="19"/>
  <c r="CS78" i="39"/>
  <c r="S66" i="19"/>
  <c r="GO66" i="39"/>
  <c r="HK66" i="39" s="1"/>
  <c r="U46" i="19"/>
  <c r="GR46" i="39"/>
  <c r="GM96" i="39"/>
  <c r="HA96" i="39" s="1"/>
  <c r="HC96" i="39" s="1"/>
  <c r="Q96" i="19"/>
  <c r="CS96" i="39"/>
  <c r="W15" i="19"/>
  <c r="GT15" i="39"/>
  <c r="S95" i="19"/>
  <c r="GO95" i="39"/>
  <c r="HK95" i="39" s="1"/>
  <c r="S106" i="19"/>
  <c r="GO106" i="39"/>
  <c r="GM25" i="39"/>
  <c r="HA25" i="39" s="1"/>
  <c r="HC25" i="39" s="1"/>
  <c r="Q25" i="19"/>
  <c r="CS25" i="39"/>
  <c r="X59" i="19"/>
  <c r="GU59" i="39"/>
  <c r="GS81" i="39"/>
  <c r="V81" i="19"/>
  <c r="GM100" i="39"/>
  <c r="HA100" i="39" s="1"/>
  <c r="HC100" i="39" s="1"/>
  <c r="Q100" i="19"/>
  <c r="CS100" i="39"/>
  <c r="S93" i="19"/>
  <c r="GO93" i="39"/>
  <c r="HK93" i="39" s="1"/>
  <c r="X80" i="19"/>
  <c r="GU80" i="39"/>
  <c r="GR100" i="39"/>
  <c r="U100" i="19"/>
  <c r="X78" i="19"/>
  <c r="GU78" i="39"/>
  <c r="S39" i="19"/>
  <c r="GO39" i="39"/>
  <c r="HK39" i="39" s="1"/>
  <c r="GM59" i="39"/>
  <c r="HA59" i="39" s="1"/>
  <c r="HC59" i="39" s="1"/>
  <c r="Q59" i="19"/>
  <c r="CS59" i="39"/>
  <c r="GT96" i="39"/>
  <c r="W96" i="19"/>
  <c r="U16" i="19"/>
  <c r="GR16" i="39"/>
  <c r="S27" i="19"/>
  <c r="GO27" i="39"/>
  <c r="HK27" i="39" s="1"/>
  <c r="V100" i="19"/>
  <c r="GS100" i="39"/>
  <c r="W78" i="19"/>
  <c r="GT78" i="39"/>
  <c r="V99" i="19"/>
  <c r="GS99" i="39"/>
  <c r="U57" i="19"/>
  <c r="GR57" i="39"/>
  <c r="GM103" i="39"/>
  <c r="HA103" i="39" s="1"/>
  <c r="HC103" i="39" s="1"/>
  <c r="Q103" i="19"/>
  <c r="CS103" i="39"/>
  <c r="GR25" i="39"/>
  <c r="U25" i="19"/>
  <c r="U104" i="19"/>
  <c r="GR104" i="39"/>
  <c r="X15" i="19"/>
  <c r="GU15" i="39"/>
  <c r="GO29" i="39"/>
  <c r="HK29" i="39" s="1"/>
  <c r="S29" i="19"/>
  <c r="X69" i="19"/>
  <c r="GU69" i="39"/>
  <c r="V16" i="19"/>
  <c r="GS16" i="39"/>
  <c r="GM70" i="39"/>
  <c r="HA70" i="39" s="1"/>
  <c r="HC70" i="39" s="1"/>
  <c r="Q70" i="19"/>
  <c r="CS70" i="39"/>
  <c r="U80" i="19"/>
  <c r="GR80" i="39"/>
  <c r="W100" i="19"/>
  <c r="GT100" i="39"/>
  <c r="S85" i="19"/>
  <c r="GO85" i="39"/>
  <c r="HK85" i="39" s="1"/>
  <c r="GS78" i="39"/>
  <c r="V78" i="19"/>
  <c r="X103" i="19"/>
  <c r="GU103" i="39"/>
  <c r="W99" i="19"/>
  <c r="GT99" i="39"/>
  <c r="W103" i="19"/>
  <c r="GT103" i="39"/>
  <c r="X57" i="19"/>
  <c r="GU57" i="39"/>
  <c r="X61" i="19"/>
  <c r="GU61" i="39"/>
  <c r="W25" i="19"/>
  <c r="GT25" i="39"/>
  <c r="S26" i="19"/>
  <c r="GO26" i="39"/>
  <c r="HK26" i="39" s="1"/>
  <c r="GM69" i="39"/>
  <c r="HA69" i="39" s="1"/>
  <c r="HC69" i="39" s="1"/>
  <c r="Q69" i="19"/>
  <c r="CS69" i="39"/>
  <c r="GS104" i="39"/>
  <c r="V104" i="19"/>
  <c r="GR15" i="39"/>
  <c r="U15" i="19"/>
  <c r="W69" i="19"/>
  <c r="GT69" i="39"/>
  <c r="GU96" i="39"/>
  <c r="X96" i="19"/>
  <c r="GM84" i="39"/>
  <c r="HA84" i="39" s="1"/>
  <c r="HC84" i="39" s="1"/>
  <c r="Q84" i="19"/>
  <c r="CS84" i="39"/>
  <c r="U70" i="19"/>
  <c r="GR70" i="39"/>
  <c r="GT80" i="39"/>
  <c r="W80" i="19"/>
  <c r="GS103" i="39"/>
  <c r="V103" i="19"/>
  <c r="V57" i="19"/>
  <c r="GS57" i="39"/>
  <c r="GS25" i="39"/>
  <c r="V25" i="19"/>
  <c r="S48" i="19"/>
  <c r="GO48" i="39"/>
  <c r="HK48" i="39" s="1"/>
  <c r="W46" i="19"/>
  <c r="GT46" i="39"/>
  <c r="S43" i="19"/>
  <c r="GO43" i="39"/>
  <c r="HK43" i="39" s="1"/>
  <c r="W104" i="19"/>
  <c r="GT104" i="39"/>
  <c r="U84" i="19"/>
  <c r="GR84" i="39"/>
  <c r="GS15" i="39"/>
  <c r="V15" i="19"/>
  <c r="U69" i="19"/>
  <c r="GR69" i="39"/>
  <c r="U96" i="19"/>
  <c r="GR96" i="39"/>
  <c r="S23" i="19"/>
  <c r="GO23" i="39"/>
  <c r="HK23" i="39" s="1"/>
  <c r="U59" i="19"/>
  <c r="GR59" i="39"/>
  <c r="W16" i="19"/>
  <c r="GT16" i="39"/>
  <c r="V70" i="19"/>
  <c r="GS70" i="39"/>
  <c r="X81" i="19"/>
  <c r="GU81" i="39"/>
  <c r="GS80" i="39"/>
  <c r="V80" i="19"/>
  <c r="GR78" i="39"/>
  <c r="U78" i="19"/>
  <c r="X99" i="19"/>
  <c r="GU99" i="39"/>
  <c r="U103" i="19"/>
  <c r="GR103" i="39"/>
  <c r="GM15" i="39"/>
  <c r="HA15" i="39" s="1"/>
  <c r="HC15" i="39" s="1"/>
  <c r="Q15" i="19"/>
  <c r="CS15" i="39"/>
  <c r="W61" i="19"/>
  <c r="GT61" i="39"/>
  <c r="X25" i="19"/>
  <c r="GU25" i="39"/>
  <c r="V46" i="19"/>
  <c r="GS46" i="39"/>
  <c r="S30" i="19"/>
  <c r="GO30" i="39"/>
  <c r="HK30" i="39" s="1"/>
  <c r="X104" i="19"/>
  <c r="GU104" i="39"/>
  <c r="V84" i="19"/>
  <c r="GS84" i="39"/>
  <c r="GS69" i="39"/>
  <c r="V69" i="19"/>
  <c r="V96" i="19"/>
  <c r="GS96" i="39"/>
  <c r="V59" i="19"/>
  <c r="GS59" i="39"/>
  <c r="X16" i="19"/>
  <c r="GU16" i="39"/>
  <c r="W70" i="19"/>
  <c r="GT70" i="39"/>
  <c r="W81" i="19"/>
  <c r="GT81" i="39"/>
  <c r="U99" i="19"/>
  <c r="GR99" i="39"/>
  <c r="GM46" i="39"/>
  <c r="HA46" i="39" s="1"/>
  <c r="HC46" i="39" s="1"/>
  <c r="Q46" i="19"/>
  <c r="CS46" i="39"/>
  <c r="GO65" i="39"/>
  <c r="HK65" i="39" s="1"/>
  <c r="S65" i="19"/>
  <c r="U61" i="19"/>
  <c r="GR61" i="39"/>
  <c r="GM57" i="39"/>
  <c r="HA57" i="39" s="1"/>
  <c r="HC57" i="39" s="1"/>
  <c r="Q57" i="19"/>
  <c r="CS57" i="39"/>
  <c r="U79" i="19"/>
  <c r="GR79" i="39"/>
  <c r="W84" i="19"/>
  <c r="GT84" i="39"/>
  <c r="X70" i="19"/>
  <c r="GU70" i="39"/>
  <c r="U81" i="19"/>
  <c r="GR81" i="39"/>
  <c r="GM16" i="39"/>
  <c r="HA16" i="39" s="1"/>
  <c r="HC16" i="39" s="1"/>
  <c r="Q16" i="19"/>
  <c r="CS16" i="39"/>
  <c r="GM81" i="39"/>
  <c r="HA81" i="39" s="1"/>
  <c r="HC81" i="39" s="1"/>
  <c r="Q81" i="19"/>
  <c r="CS81" i="39"/>
  <c r="GU100" i="39"/>
  <c r="X100" i="19"/>
  <c r="Q80" i="19"/>
  <c r="GM80" i="39"/>
  <c r="HA80" i="39" s="1"/>
  <c r="HC80" i="39" s="1"/>
  <c r="CS80" i="39"/>
  <c r="S24" i="19"/>
  <c r="GO24" i="39"/>
  <c r="HK24" i="39" s="1"/>
  <c r="GS61" i="39"/>
  <c r="V61" i="19"/>
  <c r="GM61" i="39"/>
  <c r="HA61" i="39" s="1"/>
  <c r="HC61" i="39" s="1"/>
  <c r="Q61" i="19"/>
  <c r="CS61" i="39"/>
  <c r="GU46" i="39"/>
  <c r="X46" i="19"/>
  <c r="X84" i="19"/>
  <c r="GU84" i="39"/>
  <c r="S88" i="19"/>
  <c r="GO88" i="39"/>
  <c r="HK88" i="39" s="1"/>
  <c r="GM104" i="39"/>
  <c r="HA104" i="39" s="1"/>
  <c r="HC104" i="39" s="1"/>
  <c r="Q104" i="19"/>
  <c r="CS104" i="39"/>
  <c r="W59" i="19"/>
  <c r="GT59" i="39"/>
  <c r="S82" i="19"/>
  <c r="GO82" i="39"/>
  <c r="HK82" i="39" s="1"/>
  <c r="GM99" i="39"/>
  <c r="HA99" i="39" s="1"/>
  <c r="HC99" i="39" s="1"/>
  <c r="Q99" i="19"/>
  <c r="CS99" i="39"/>
  <c r="S13" i="19"/>
  <c r="GO13" i="39"/>
  <c r="HK13" i="39" s="1"/>
  <c r="HH166" i="39" l="1"/>
  <c r="GO74" i="39"/>
  <c r="HK74" i="39" s="1"/>
  <c r="U207" i="19"/>
  <c r="GO47" i="39"/>
  <c r="HK47" i="39" s="1"/>
  <c r="HF166" i="39"/>
  <c r="HG166" i="39"/>
  <c r="T166" i="19"/>
  <c r="CV166" i="39"/>
  <c r="U166" i="19" s="1"/>
  <c r="CU217" i="39"/>
  <c r="DC217" i="39"/>
  <c r="CX166" i="39"/>
  <c r="CX217" i="39" s="1"/>
  <c r="O166" i="19"/>
  <c r="CY166" i="39"/>
  <c r="X166" i="19" s="1"/>
  <c r="GK166" i="39"/>
  <c r="GY166" i="39" s="1"/>
  <c r="CW166" i="39"/>
  <c r="GS166" i="39" s="1"/>
  <c r="GO38" i="39"/>
  <c r="HK38" i="39" s="1"/>
  <c r="V160" i="19"/>
  <c r="X160" i="19"/>
  <c r="HK107" i="39"/>
  <c r="S107" i="19"/>
  <c r="DB217" i="39"/>
  <c r="GO77" i="39"/>
  <c r="HK77" i="39" s="1"/>
  <c r="U155" i="19"/>
  <c r="GU207" i="39"/>
  <c r="GO160" i="39"/>
  <c r="HK160" i="39" s="1"/>
  <c r="GT207" i="39"/>
  <c r="GU155" i="39"/>
  <c r="CS143" i="39"/>
  <c r="GO143" i="39" s="1"/>
  <c r="GM143" i="39"/>
  <c r="HA143" i="39" s="1"/>
  <c r="HC143" i="39" s="1"/>
  <c r="S21" i="19"/>
  <c r="GO169" i="39"/>
  <c r="HK169" i="39" s="1"/>
  <c r="GS155" i="39"/>
  <c r="N37" i="5"/>
  <c r="M37" i="5" s="1"/>
  <c r="M37" i="10" s="1"/>
  <c r="N44" i="5"/>
  <c r="N42" i="5"/>
  <c r="N40" i="5"/>
  <c r="N45" i="5"/>
  <c r="N41" i="5"/>
  <c r="N39" i="5"/>
  <c r="N43" i="5"/>
  <c r="N38" i="5"/>
  <c r="N36" i="44"/>
  <c r="N41" i="44"/>
  <c r="N44" i="44"/>
  <c r="N39" i="44"/>
  <c r="N37" i="44"/>
  <c r="N35" i="44"/>
  <c r="N40" i="44"/>
  <c r="N43" i="44"/>
  <c r="N42" i="44"/>
  <c r="N45" i="44"/>
  <c r="N38" i="44"/>
  <c r="CS138" i="39"/>
  <c r="S138" i="19" s="1"/>
  <c r="GO97" i="39"/>
  <c r="HK97" i="39" s="1"/>
  <c r="Q138" i="19"/>
  <c r="GO64" i="39"/>
  <c r="HK64" i="39" s="1"/>
  <c r="S52" i="19"/>
  <c r="GO76" i="39"/>
  <c r="HK76" i="39" s="1"/>
  <c r="CS79" i="39"/>
  <c r="S79" i="19" s="1"/>
  <c r="GM79" i="39"/>
  <c r="HA79" i="39" s="1"/>
  <c r="HC79" i="39" s="1"/>
  <c r="GO87" i="39"/>
  <c r="HK87" i="39" s="1"/>
  <c r="S51" i="19"/>
  <c r="GO51" i="39"/>
  <c r="HK51" i="39" s="1"/>
  <c r="X143" i="19"/>
  <c r="N31" i="44"/>
  <c r="N26" i="44"/>
  <c r="N23" i="44"/>
  <c r="N29" i="44"/>
  <c r="N25" i="44"/>
  <c r="N22" i="44"/>
  <c r="N28" i="44"/>
  <c r="N21" i="44"/>
  <c r="N19" i="44"/>
  <c r="N27" i="44"/>
  <c r="N34" i="44"/>
  <c r="N18" i="44"/>
  <c r="N32" i="44"/>
  <c r="N30" i="44"/>
  <c r="N24" i="44"/>
  <c r="N33" i="44"/>
  <c r="N20" i="44"/>
  <c r="E51" i="44"/>
  <c r="F51" i="44" s="1"/>
  <c r="E50" i="44"/>
  <c r="F50" i="44" s="1"/>
  <c r="E52" i="44"/>
  <c r="F52" i="44" s="1"/>
  <c r="E49" i="44"/>
  <c r="F49" i="44" s="1"/>
  <c r="E35" i="44"/>
  <c r="F35" i="44" s="1"/>
  <c r="N64" i="44"/>
  <c r="E37" i="44"/>
  <c r="F37" i="44" s="1"/>
  <c r="E38" i="44"/>
  <c r="F38" i="44" s="1"/>
  <c r="E36" i="44"/>
  <c r="F36" i="44" s="1"/>
  <c r="GO83" i="39"/>
  <c r="HK83" i="39" s="1"/>
  <c r="GO42" i="39"/>
  <c r="HK42" i="39" s="1"/>
  <c r="GO55" i="39"/>
  <c r="HK55" i="39" s="1"/>
  <c r="GO136" i="39"/>
  <c r="HK136" i="39" s="1"/>
  <c r="S123" i="19"/>
  <c r="GU150" i="39"/>
  <c r="GR138" i="39"/>
  <c r="GO35" i="39"/>
  <c r="HK35" i="39" s="1"/>
  <c r="S49" i="19"/>
  <c r="U143" i="19"/>
  <c r="GO34" i="39"/>
  <c r="HK34" i="39" s="1"/>
  <c r="V143" i="19"/>
  <c r="GO162" i="39"/>
  <c r="HK162" i="39" s="1"/>
  <c r="GS91" i="39"/>
  <c r="GR117" i="39"/>
  <c r="GU176" i="39"/>
  <c r="HK212" i="39"/>
  <c r="S73" i="19"/>
  <c r="GO71" i="39"/>
  <c r="HK71" i="39" s="1"/>
  <c r="W192" i="19"/>
  <c r="S212" i="19"/>
  <c r="GO32" i="39"/>
  <c r="HK32" i="39" s="1"/>
  <c r="GO114" i="39"/>
  <c r="HK114" i="39" s="1"/>
  <c r="CS193" i="39"/>
  <c r="S193" i="19" s="1"/>
  <c r="S146" i="19"/>
  <c r="V192" i="19"/>
  <c r="GM193" i="39"/>
  <c r="HA193" i="39" s="1"/>
  <c r="HC193" i="39" s="1"/>
  <c r="S54" i="19"/>
  <c r="CS182" i="39"/>
  <c r="S182" i="19" s="1"/>
  <c r="GT197" i="39"/>
  <c r="GO75" i="39"/>
  <c r="HK75" i="39" s="1"/>
  <c r="Q182" i="19"/>
  <c r="GM204" i="39"/>
  <c r="HA204" i="39" s="1"/>
  <c r="HC204" i="39" s="1"/>
  <c r="GS145" i="39"/>
  <c r="GO120" i="39"/>
  <c r="HK120" i="39" s="1"/>
  <c r="CS204" i="39"/>
  <c r="S204" i="19" s="1"/>
  <c r="GT185" i="39"/>
  <c r="GS117" i="39"/>
  <c r="F21" i="8"/>
  <c r="I31" i="28" s="1"/>
  <c r="F20" i="6"/>
  <c r="I31" i="13" s="1"/>
  <c r="F20" i="10"/>
  <c r="I31" i="31" s="1"/>
  <c r="Q167" i="19"/>
  <c r="X117" i="19"/>
  <c r="X112" i="19"/>
  <c r="GU154" i="39"/>
  <c r="V110" i="19"/>
  <c r="HK106" i="39"/>
  <c r="GT91" i="39"/>
  <c r="CS171" i="39"/>
  <c r="GO171" i="39" s="1"/>
  <c r="HK171" i="39" s="1"/>
  <c r="Q171" i="19"/>
  <c r="GO159" i="39"/>
  <c r="HK159" i="39" s="1"/>
  <c r="GO210" i="39"/>
  <c r="HK210" i="39" s="1"/>
  <c r="GR167" i="39"/>
  <c r="GT117" i="39"/>
  <c r="GT195" i="39"/>
  <c r="U174" i="19"/>
  <c r="GU192" i="39"/>
  <c r="GO60" i="39"/>
  <c r="HK60" i="39" s="1"/>
  <c r="GT98" i="39"/>
  <c r="W150" i="19"/>
  <c r="X79" i="19"/>
  <c r="HK142" i="39"/>
  <c r="GS138" i="39"/>
  <c r="GR112" i="39"/>
  <c r="GT147" i="39"/>
  <c r="GU98" i="39"/>
  <c r="GU167" i="39"/>
  <c r="GM117" i="39"/>
  <c r="HA117" i="39" s="1"/>
  <c r="HC117" i="39" s="1"/>
  <c r="HK121" i="39"/>
  <c r="W176" i="19"/>
  <c r="W112" i="19"/>
  <c r="Q168" i="19"/>
  <c r="GR91" i="39"/>
  <c r="GT138" i="39"/>
  <c r="CS168" i="39"/>
  <c r="GO168" i="39" s="1"/>
  <c r="HK168" i="39" s="1"/>
  <c r="GM98" i="39"/>
  <c r="HA98" i="39" s="1"/>
  <c r="HC98" i="39" s="1"/>
  <c r="GO72" i="39"/>
  <c r="HK72" i="39" s="1"/>
  <c r="S135" i="19"/>
  <c r="CS117" i="39"/>
  <c r="S117" i="19" s="1"/>
  <c r="GM167" i="39"/>
  <c r="HA167" i="39" s="1"/>
  <c r="HC167" i="39" s="1"/>
  <c r="GT193" i="39"/>
  <c r="V150" i="19"/>
  <c r="GO101" i="39"/>
  <c r="HK101" i="39" s="1"/>
  <c r="GO22" i="39"/>
  <c r="HK22" i="39" s="1"/>
  <c r="GU147" i="39"/>
  <c r="V195" i="19"/>
  <c r="GR193" i="39"/>
  <c r="S142" i="19"/>
  <c r="V176" i="19"/>
  <c r="V112" i="19"/>
  <c r="GR150" i="39"/>
  <c r="CS155" i="39"/>
  <c r="S155" i="19" s="1"/>
  <c r="CS154" i="39"/>
  <c r="GO154" i="39" s="1"/>
  <c r="HK154" i="39" s="1"/>
  <c r="GT79" i="39"/>
  <c r="X110" i="19"/>
  <c r="GU197" i="39"/>
  <c r="Q154" i="19"/>
  <c r="GM155" i="39"/>
  <c r="HA155" i="39" s="1"/>
  <c r="HC155" i="39" s="1"/>
  <c r="HK153" i="39"/>
  <c r="U171" i="19"/>
  <c r="CS140" i="39"/>
  <c r="S140" i="19" s="1"/>
  <c r="Q140" i="19"/>
  <c r="GS147" i="39"/>
  <c r="V174" i="19"/>
  <c r="V197" i="19"/>
  <c r="GT167" i="39"/>
  <c r="GO156" i="39"/>
  <c r="HK156" i="39" s="1"/>
  <c r="Q197" i="19"/>
  <c r="GS167" i="39"/>
  <c r="X195" i="19"/>
  <c r="GO105" i="39"/>
  <c r="HK105" i="39" s="1"/>
  <c r="CS197" i="39"/>
  <c r="S197" i="19" s="1"/>
  <c r="X193" i="19"/>
  <c r="GR147" i="39"/>
  <c r="W182" i="19"/>
  <c r="X138" i="19"/>
  <c r="Q176" i="19"/>
  <c r="CS176" i="39"/>
  <c r="GM176" i="39"/>
  <c r="HA176" i="39" s="1"/>
  <c r="HC176" i="39" s="1"/>
  <c r="U182" i="19"/>
  <c r="GS179" i="39"/>
  <c r="GS193" i="39"/>
  <c r="GT110" i="39"/>
  <c r="GS182" i="39"/>
  <c r="GO131" i="39"/>
  <c r="HK131" i="39" s="1"/>
  <c r="GR110" i="39"/>
  <c r="W190" i="19"/>
  <c r="GS79" i="39"/>
  <c r="GR98" i="39"/>
  <c r="W145" i="19"/>
  <c r="GT186" i="39"/>
  <c r="W186" i="19"/>
  <c r="GS204" i="39"/>
  <c r="V204" i="19"/>
  <c r="X204" i="19"/>
  <c r="GU204" i="39"/>
  <c r="GS186" i="39"/>
  <c r="V186" i="19"/>
  <c r="W204" i="19"/>
  <c r="GT204" i="39"/>
  <c r="X174" i="19"/>
  <c r="GU190" i="39"/>
  <c r="GS190" i="39"/>
  <c r="GR140" i="39"/>
  <c r="GU182" i="39"/>
  <c r="X145" i="19"/>
  <c r="S18" i="19"/>
  <c r="GO18" i="39"/>
  <c r="HK18" i="39" s="1"/>
  <c r="N23" i="37"/>
  <c r="M23" i="37" s="1"/>
  <c r="N24" i="37"/>
  <c r="G31" i="38"/>
  <c r="G32" i="38"/>
  <c r="G30" i="38"/>
  <c r="N18" i="38" s="1"/>
  <c r="N30" i="37"/>
  <c r="N34" i="37"/>
  <c r="M34" i="37" s="1"/>
  <c r="N29" i="37"/>
  <c r="M29" i="37" s="1"/>
  <c r="M18" i="37"/>
  <c r="N19" i="37"/>
  <c r="K18" i="37"/>
  <c r="GS140" i="39"/>
  <c r="E51" i="5"/>
  <c r="F51" i="5" s="1"/>
  <c r="E50" i="5"/>
  <c r="F50" i="5" s="1"/>
  <c r="E49" i="5"/>
  <c r="F49" i="5" s="1"/>
  <c r="E52" i="5"/>
  <c r="F52" i="5" s="1"/>
  <c r="G29" i="32"/>
  <c r="N18" i="32" s="1"/>
  <c r="G30" i="32"/>
  <c r="N23" i="32" s="1"/>
  <c r="G31" i="32"/>
  <c r="N29" i="32" s="1"/>
  <c r="G31" i="36"/>
  <c r="G33" i="36"/>
  <c r="F27" i="36"/>
  <c r="G29" i="36"/>
  <c r="E53" i="32"/>
  <c r="F53" i="32" s="1"/>
  <c r="E54" i="32"/>
  <c r="F54" i="32" s="1"/>
  <c r="E52" i="32"/>
  <c r="F52" i="32" s="1"/>
  <c r="E55" i="32"/>
  <c r="F55" i="32" s="1"/>
  <c r="F43" i="36"/>
  <c r="G43" i="36" s="1"/>
  <c r="F41" i="36"/>
  <c r="G41" i="36" s="1"/>
  <c r="F42" i="36"/>
  <c r="G42" i="36" s="1"/>
  <c r="N59" i="36"/>
  <c r="F44" i="36"/>
  <c r="G44" i="36" s="1"/>
  <c r="F24" i="24"/>
  <c r="F26" i="24"/>
  <c r="N61" i="24" s="1"/>
  <c r="F31" i="24"/>
  <c r="A55" i="9"/>
  <c r="F20" i="9"/>
  <c r="A57" i="9"/>
  <c r="I29" i="29"/>
  <c r="F19" i="9"/>
  <c r="A66" i="6"/>
  <c r="I29" i="13"/>
  <c r="E19" i="6"/>
  <c r="I32" i="30"/>
  <c r="F24" i="20"/>
  <c r="F26" i="20" s="1"/>
  <c r="F28" i="20" s="1"/>
  <c r="A74" i="8"/>
  <c r="I29" i="28"/>
  <c r="F20" i="8"/>
  <c r="A72" i="8"/>
  <c r="E20" i="7"/>
  <c r="I31" i="27" s="1"/>
  <c r="F24" i="7"/>
  <c r="F47" i="7" s="1"/>
  <c r="I29" i="27"/>
  <c r="F28" i="34"/>
  <c r="O19" i="34" s="1"/>
  <c r="O18" i="34"/>
  <c r="I29" i="31"/>
  <c r="A114" i="10"/>
  <c r="N34" i="5"/>
  <c r="N19" i="5"/>
  <c r="N18" i="5"/>
  <c r="N22" i="5"/>
  <c r="N28" i="5"/>
  <c r="N33" i="5"/>
  <c r="N29" i="5"/>
  <c r="N36" i="5"/>
  <c r="N30" i="5"/>
  <c r="N31" i="5"/>
  <c r="N35" i="5"/>
  <c r="N24" i="5"/>
  <c r="N25" i="5"/>
  <c r="N26" i="5"/>
  <c r="N32" i="5"/>
  <c r="N20" i="5"/>
  <c r="N21" i="5"/>
  <c r="N27" i="5"/>
  <c r="N23" i="5"/>
  <c r="F34" i="23"/>
  <c r="F26" i="23"/>
  <c r="N58" i="23" s="1"/>
  <c r="F24" i="23"/>
  <c r="I32" i="25"/>
  <c r="S33" i="19"/>
  <c r="GO33" i="39"/>
  <c r="HK33" i="39" s="1"/>
  <c r="N64" i="5"/>
  <c r="E36" i="5"/>
  <c r="F36" i="5" s="1"/>
  <c r="E38" i="5"/>
  <c r="F38" i="5" s="1"/>
  <c r="E37" i="5"/>
  <c r="F37" i="5" s="1"/>
  <c r="E35" i="5"/>
  <c r="F35" i="5" s="1"/>
  <c r="F40" i="32"/>
  <c r="G40" i="32" s="1"/>
  <c r="N59" i="32"/>
  <c r="F39" i="32"/>
  <c r="G39" i="32" s="1"/>
  <c r="F38" i="32"/>
  <c r="G38" i="32" s="1"/>
  <c r="F41" i="32"/>
  <c r="G41" i="32" s="1"/>
  <c r="X186" i="19"/>
  <c r="GU186" i="39"/>
  <c r="GR154" i="39"/>
  <c r="CS195" i="39"/>
  <c r="S195" i="19" s="1"/>
  <c r="GR145" i="39"/>
  <c r="W140" i="19"/>
  <c r="GM195" i="39"/>
  <c r="HA195" i="39" s="1"/>
  <c r="HC195" i="39" s="1"/>
  <c r="GU179" i="39"/>
  <c r="GM186" i="39"/>
  <c r="HA186" i="39" s="1"/>
  <c r="HC186" i="39" s="1"/>
  <c r="Q186" i="19"/>
  <c r="CS186" i="39"/>
  <c r="CS98" i="39"/>
  <c r="S98" i="19" s="1"/>
  <c r="GU171" i="39"/>
  <c r="GR185" i="39"/>
  <c r="Q179" i="19"/>
  <c r="GR179" i="39"/>
  <c r="HK211" i="39"/>
  <c r="GT154" i="39"/>
  <c r="U190" i="19"/>
  <c r="V185" i="19"/>
  <c r="GO130" i="39"/>
  <c r="HK130" i="39" s="1"/>
  <c r="X168" i="19"/>
  <c r="GU168" i="39"/>
  <c r="GR168" i="39"/>
  <c r="U168" i="19"/>
  <c r="W168" i="19"/>
  <c r="GT168" i="39"/>
  <c r="GS168" i="39"/>
  <c r="V168" i="19"/>
  <c r="CS179" i="39"/>
  <c r="GO179" i="39" s="1"/>
  <c r="HK179" i="39" s="1"/>
  <c r="CS91" i="39"/>
  <c r="GO91" i="39" s="1"/>
  <c r="HK91" i="39" s="1"/>
  <c r="Q91" i="19"/>
  <c r="Q145" i="19"/>
  <c r="CS147" i="39"/>
  <c r="S147" i="19" s="1"/>
  <c r="Q147" i="19"/>
  <c r="CS145" i="39"/>
  <c r="GO145" i="39" s="1"/>
  <c r="HK145" i="39" s="1"/>
  <c r="CQ217" i="39"/>
  <c r="GS171" i="39"/>
  <c r="S150" i="19"/>
  <c r="GO150" i="39"/>
  <c r="HK150" i="39" s="1"/>
  <c r="GT177" i="39"/>
  <c r="W177" i="19"/>
  <c r="V125" i="19"/>
  <c r="GS125" i="39"/>
  <c r="GM129" i="39"/>
  <c r="HA129" i="39" s="1"/>
  <c r="HC129" i="39" s="1"/>
  <c r="Q129" i="19"/>
  <c r="CS129" i="39"/>
  <c r="S187" i="19"/>
  <c r="GO187" i="39"/>
  <c r="HK187" i="39" s="1"/>
  <c r="X161" i="19"/>
  <c r="GU161" i="39"/>
  <c r="U183" i="19"/>
  <c r="GR183" i="39"/>
  <c r="GM164" i="39"/>
  <c r="HA164" i="39" s="1"/>
  <c r="HC164" i="39" s="1"/>
  <c r="Q164" i="19"/>
  <c r="CS164" i="39"/>
  <c r="U194" i="19"/>
  <c r="GR194" i="39"/>
  <c r="S149" i="19"/>
  <c r="GO149" i="39"/>
  <c r="HK149" i="39" s="1"/>
  <c r="S174" i="19"/>
  <c r="GO174" i="39"/>
  <c r="HK174" i="39" s="1"/>
  <c r="GM194" i="39"/>
  <c r="HA194" i="39" s="1"/>
  <c r="HC194" i="39" s="1"/>
  <c r="Q194" i="19"/>
  <c r="CS194" i="39"/>
  <c r="Q152" i="19"/>
  <c r="GM152" i="39"/>
  <c r="HA152" i="39" s="1"/>
  <c r="HC152" i="39" s="1"/>
  <c r="CS152" i="39"/>
  <c r="S167" i="19"/>
  <c r="GO167" i="39"/>
  <c r="X152" i="19"/>
  <c r="GU152" i="39"/>
  <c r="U118" i="19"/>
  <c r="GR118" i="39"/>
  <c r="X177" i="19"/>
  <c r="GU177" i="39"/>
  <c r="GM118" i="39"/>
  <c r="HA118" i="39" s="1"/>
  <c r="HC118" i="39" s="1"/>
  <c r="Q118" i="19"/>
  <c r="CS118" i="39"/>
  <c r="W125" i="19"/>
  <c r="GT125" i="39"/>
  <c r="S165" i="19"/>
  <c r="GO165" i="39"/>
  <c r="HK165" i="39" s="1"/>
  <c r="W128" i="19"/>
  <c r="GT128" i="39"/>
  <c r="S189" i="19"/>
  <c r="GO189" i="39"/>
  <c r="HK189" i="39" s="1"/>
  <c r="GU164" i="39"/>
  <c r="X164" i="19"/>
  <c r="GR161" i="39"/>
  <c r="U161" i="19"/>
  <c r="V183" i="19"/>
  <c r="GS183" i="39"/>
  <c r="GU191" i="39"/>
  <c r="X191" i="19"/>
  <c r="GO157" i="39"/>
  <c r="HK157" i="39" s="1"/>
  <c r="S157" i="19"/>
  <c r="V118" i="19"/>
  <c r="GS118" i="39"/>
  <c r="X129" i="19"/>
  <c r="GU129" i="39"/>
  <c r="S115" i="19"/>
  <c r="GO115" i="39"/>
  <c r="HK115" i="39" s="1"/>
  <c r="GS128" i="39"/>
  <c r="V128" i="19"/>
  <c r="GM113" i="39"/>
  <c r="HA113" i="39" s="1"/>
  <c r="HC113" i="39" s="1"/>
  <c r="Q113" i="19"/>
  <c r="CS113" i="39"/>
  <c r="S178" i="19"/>
  <c r="GO178" i="39"/>
  <c r="HK178" i="39" s="1"/>
  <c r="V164" i="19"/>
  <c r="GS164" i="39"/>
  <c r="GS113" i="39"/>
  <c r="V113" i="19"/>
  <c r="V161" i="19"/>
  <c r="GS161" i="39"/>
  <c r="GS122" i="39"/>
  <c r="V122" i="19"/>
  <c r="GU194" i="39"/>
  <c r="X194" i="19"/>
  <c r="S141" i="19"/>
  <c r="GO141" i="39"/>
  <c r="HK141" i="39" s="1"/>
  <c r="U191" i="19"/>
  <c r="GR191" i="39"/>
  <c r="GM191" i="39"/>
  <c r="HA191" i="39" s="1"/>
  <c r="HC191" i="39" s="1"/>
  <c r="Q191" i="19"/>
  <c r="CS191" i="39"/>
  <c r="GT127" i="39"/>
  <c r="W127" i="19"/>
  <c r="U129" i="19"/>
  <c r="GR129" i="39"/>
  <c r="S214" i="19"/>
  <c r="GO214" i="39"/>
  <c r="HK214" i="39" s="1"/>
  <c r="U128" i="19"/>
  <c r="GR128" i="39"/>
  <c r="S207" i="19"/>
  <c r="GO207" i="39"/>
  <c r="HK207" i="39" s="1"/>
  <c r="S112" i="19"/>
  <c r="GO112" i="39"/>
  <c r="HK112" i="39" s="1"/>
  <c r="GT113" i="39"/>
  <c r="W113" i="19"/>
  <c r="U122" i="19"/>
  <c r="GR122" i="39"/>
  <c r="W194" i="19"/>
  <c r="GT194" i="39"/>
  <c r="V191" i="19"/>
  <c r="GS191" i="39"/>
  <c r="GT118" i="39"/>
  <c r="W118" i="19"/>
  <c r="GU127" i="39"/>
  <c r="X127" i="19"/>
  <c r="GT173" i="39"/>
  <c r="W173" i="19"/>
  <c r="U113" i="19"/>
  <c r="GR113" i="39"/>
  <c r="W161" i="19"/>
  <c r="GT161" i="39"/>
  <c r="V194" i="19"/>
  <c r="GS194" i="39"/>
  <c r="GM166" i="39"/>
  <c r="HA166" i="39" s="1"/>
  <c r="HC166" i="39" s="1"/>
  <c r="Q166" i="19"/>
  <c r="CS166" i="39"/>
  <c r="U152" i="19"/>
  <c r="GR152" i="39"/>
  <c r="S190" i="19"/>
  <c r="GO190" i="39"/>
  <c r="HK190" i="39" s="1"/>
  <c r="GU118" i="39"/>
  <c r="X118" i="19"/>
  <c r="U127" i="19"/>
  <c r="GR127" i="39"/>
  <c r="V129" i="19"/>
  <c r="GS129" i="39"/>
  <c r="X128" i="19"/>
  <c r="GU128" i="39"/>
  <c r="GO213" i="39"/>
  <c r="HK213" i="39" s="1"/>
  <c r="S213" i="19"/>
  <c r="X173" i="19"/>
  <c r="GU173" i="39"/>
  <c r="W164" i="19"/>
  <c r="GT164" i="39"/>
  <c r="X122" i="19"/>
  <c r="GU122" i="39"/>
  <c r="S137" i="19"/>
  <c r="GO137" i="39"/>
  <c r="HK137" i="39" s="1"/>
  <c r="GM161" i="39"/>
  <c r="HA161" i="39" s="1"/>
  <c r="HC161" i="39" s="1"/>
  <c r="Q161" i="19"/>
  <c r="CS161" i="39"/>
  <c r="S192" i="19"/>
  <c r="GO192" i="39"/>
  <c r="HK192" i="39" s="1"/>
  <c r="S208" i="19"/>
  <c r="GO208" i="39"/>
  <c r="HK208" i="39" s="1"/>
  <c r="GS127" i="39"/>
  <c r="V127" i="19"/>
  <c r="W129" i="19"/>
  <c r="GT129" i="39"/>
  <c r="GR177" i="39"/>
  <c r="U177" i="19"/>
  <c r="X125" i="19"/>
  <c r="GU125" i="39"/>
  <c r="GM173" i="39"/>
  <c r="HA173" i="39" s="1"/>
  <c r="HC173" i="39" s="1"/>
  <c r="Q173" i="19"/>
  <c r="CS173" i="39"/>
  <c r="GM125" i="39"/>
  <c r="HA125" i="39" s="1"/>
  <c r="HC125" i="39" s="1"/>
  <c r="Q125" i="19"/>
  <c r="CS125" i="39"/>
  <c r="Q177" i="19"/>
  <c r="GM177" i="39"/>
  <c r="HA177" i="39" s="1"/>
  <c r="HC177" i="39" s="1"/>
  <c r="CS177" i="39"/>
  <c r="Q183" i="19"/>
  <c r="GM183" i="39"/>
  <c r="HA183" i="39" s="1"/>
  <c r="HC183" i="39" s="1"/>
  <c r="CS183" i="39"/>
  <c r="S175" i="19"/>
  <c r="GO175" i="39"/>
  <c r="HK175" i="39" s="1"/>
  <c r="U173" i="19"/>
  <c r="GR173" i="39"/>
  <c r="W122" i="19"/>
  <c r="GT122" i="39"/>
  <c r="GT183" i="39"/>
  <c r="W183" i="19"/>
  <c r="S139" i="19"/>
  <c r="GO139" i="39"/>
  <c r="HK139" i="39" s="1"/>
  <c r="V152" i="19"/>
  <c r="GS152" i="39"/>
  <c r="GM127" i="39"/>
  <c r="HA127" i="39" s="1"/>
  <c r="HC127" i="39" s="1"/>
  <c r="Q127" i="19"/>
  <c r="CS127" i="39"/>
  <c r="S215" i="19"/>
  <c r="GO215" i="39"/>
  <c r="HK215" i="39" s="1"/>
  <c r="V177" i="19"/>
  <c r="GS177" i="39"/>
  <c r="S119" i="19"/>
  <c r="GO119" i="39"/>
  <c r="HK119" i="39" s="1"/>
  <c r="U125" i="19"/>
  <c r="GR125" i="39"/>
  <c r="V173" i="19"/>
  <c r="GS173" i="39"/>
  <c r="U164" i="19"/>
  <c r="GR164" i="39"/>
  <c r="X113" i="19"/>
  <c r="GU113" i="39"/>
  <c r="Q128" i="19"/>
  <c r="GM128" i="39"/>
  <c r="HA128" i="39" s="1"/>
  <c r="HC128" i="39" s="1"/>
  <c r="CS128" i="39"/>
  <c r="X183" i="19"/>
  <c r="GU183" i="39"/>
  <c r="S110" i="19"/>
  <c r="GO110" i="39"/>
  <c r="HK110" i="39" s="1"/>
  <c r="S172" i="19"/>
  <c r="GO172" i="39"/>
  <c r="HK172" i="39" s="1"/>
  <c r="S185" i="19"/>
  <c r="GO185" i="39"/>
  <c r="HK185" i="39" s="1"/>
  <c r="GM122" i="39"/>
  <c r="HA122" i="39" s="1"/>
  <c r="HC122" i="39" s="1"/>
  <c r="Q122" i="19"/>
  <c r="CS122" i="39"/>
  <c r="W191" i="19"/>
  <c r="GT191" i="39"/>
  <c r="GT152" i="39"/>
  <c r="W152" i="19"/>
  <c r="S99" i="19"/>
  <c r="GO99" i="39"/>
  <c r="HK99" i="39" s="1"/>
  <c r="S69" i="19"/>
  <c r="GO69" i="39"/>
  <c r="HK69" i="39" s="1"/>
  <c r="S103" i="19"/>
  <c r="GO103" i="39"/>
  <c r="HK103" i="39" s="1"/>
  <c r="S16" i="19"/>
  <c r="GO16" i="39"/>
  <c r="HK16" i="39" s="1"/>
  <c r="S100" i="19"/>
  <c r="GO100" i="39"/>
  <c r="HK100" i="39" s="1"/>
  <c r="S46" i="19"/>
  <c r="GO46" i="39"/>
  <c r="HK46" i="39" s="1"/>
  <c r="S25" i="19"/>
  <c r="GO25" i="39"/>
  <c r="HK25" i="39" s="1"/>
  <c r="S78" i="19"/>
  <c r="GO78" i="39"/>
  <c r="HK78" i="39" s="1"/>
  <c r="S104" i="19"/>
  <c r="GO104" i="39"/>
  <c r="HK104" i="39" s="1"/>
  <c r="S15" i="19"/>
  <c r="GO15" i="39"/>
  <c r="HK15" i="39" s="1"/>
  <c r="S96" i="19"/>
  <c r="GO96" i="39"/>
  <c r="HK96" i="39" s="1"/>
  <c r="S81" i="19"/>
  <c r="GO81" i="39"/>
  <c r="HK81" i="39" s="1"/>
  <c r="S84" i="19"/>
  <c r="GO84" i="39"/>
  <c r="HK84" i="39" s="1"/>
  <c r="S80" i="19"/>
  <c r="GO80" i="39"/>
  <c r="HK80" i="39" s="1"/>
  <c r="S61" i="19"/>
  <c r="GO61" i="39"/>
  <c r="HK61" i="39" s="1"/>
  <c r="S57" i="19"/>
  <c r="GO57" i="39"/>
  <c r="HK57" i="39" s="1"/>
  <c r="S70" i="19"/>
  <c r="GO70" i="39"/>
  <c r="HK70" i="39" s="1"/>
  <c r="S59" i="19"/>
  <c r="GO59" i="39"/>
  <c r="HK59" i="39" s="1"/>
  <c r="EN12" i="39"/>
  <c r="EO9" i="39"/>
  <c r="V166" i="19" l="1"/>
  <c r="GR166" i="39"/>
  <c r="CV217" i="39"/>
  <c r="GT166" i="39"/>
  <c r="W166" i="19"/>
  <c r="GU166" i="39"/>
  <c r="CY217" i="39"/>
  <c r="CW217" i="39"/>
  <c r="HK143" i="39"/>
  <c r="S143" i="19"/>
  <c r="K37" i="5"/>
  <c r="GO79" i="39"/>
  <c r="HK79" i="39" s="1"/>
  <c r="GO138" i="39"/>
  <c r="HK138" i="39" s="1"/>
  <c r="M38" i="44"/>
  <c r="K38" i="44"/>
  <c r="M43" i="5"/>
  <c r="M43" i="10" s="1"/>
  <c r="K43" i="5"/>
  <c r="M45" i="44"/>
  <c r="K45" i="44"/>
  <c r="K39" i="5"/>
  <c r="M39" i="5"/>
  <c r="M39" i="10" s="1"/>
  <c r="K43" i="44"/>
  <c r="M43" i="44"/>
  <c r="K45" i="5"/>
  <c r="M45" i="5"/>
  <c r="M36" i="44"/>
  <c r="K36" i="44"/>
  <c r="K41" i="5"/>
  <c r="M41" i="5"/>
  <c r="M41" i="10" s="1"/>
  <c r="M40" i="44"/>
  <c r="K40" i="44"/>
  <c r="K40" i="5"/>
  <c r="M40" i="5"/>
  <c r="M40" i="10" s="1"/>
  <c r="M44" i="44"/>
  <c r="K44" i="44"/>
  <c r="M38" i="5"/>
  <c r="M38" i="10" s="1"/>
  <c r="K38" i="5"/>
  <c r="M42" i="44"/>
  <c r="K42" i="44"/>
  <c r="K35" i="44"/>
  <c r="M35" i="44"/>
  <c r="M42" i="5"/>
  <c r="M42" i="10" s="1"/>
  <c r="K42" i="5"/>
  <c r="N37" i="20"/>
  <c r="K37" i="20" s="1"/>
  <c r="N45" i="20"/>
  <c r="N44" i="20"/>
  <c r="N41" i="20"/>
  <c r="N40" i="20"/>
  <c r="N43" i="20"/>
  <c r="N39" i="20"/>
  <c r="N38" i="20"/>
  <c r="N42" i="20"/>
  <c r="K37" i="44"/>
  <c r="M37" i="44"/>
  <c r="K44" i="5"/>
  <c r="M44" i="5"/>
  <c r="K41" i="44"/>
  <c r="M41" i="44"/>
  <c r="M39" i="44"/>
  <c r="K39" i="44"/>
  <c r="K24" i="44"/>
  <c r="M24" i="44"/>
  <c r="K28" i="44"/>
  <c r="M28" i="44"/>
  <c r="M30" i="44"/>
  <c r="K30" i="44"/>
  <c r="K22" i="44"/>
  <c r="M22" i="44"/>
  <c r="K21" i="44"/>
  <c r="M21" i="44"/>
  <c r="K32" i="44"/>
  <c r="M32" i="44"/>
  <c r="M25" i="44"/>
  <c r="K25" i="44"/>
  <c r="K18" i="44"/>
  <c r="M18" i="44"/>
  <c r="M29" i="44"/>
  <c r="K29" i="44"/>
  <c r="M34" i="44"/>
  <c r="K34" i="44"/>
  <c r="K23" i="44"/>
  <c r="M23" i="44"/>
  <c r="M27" i="44"/>
  <c r="K27" i="44"/>
  <c r="M26" i="44"/>
  <c r="K26" i="44"/>
  <c r="K33" i="44"/>
  <c r="M33" i="44"/>
  <c r="M20" i="44"/>
  <c r="K20" i="44"/>
  <c r="M19" i="44"/>
  <c r="K19" i="44"/>
  <c r="K31" i="44"/>
  <c r="M31" i="44"/>
  <c r="GO182" i="39"/>
  <c r="HK182" i="39" s="1"/>
  <c r="GO140" i="39"/>
  <c r="HK140" i="39" s="1"/>
  <c r="F23" i="6"/>
  <c r="F46" i="6" s="1"/>
  <c r="E49" i="6" s="1"/>
  <c r="F49" i="6" s="1"/>
  <c r="GO117" i="39"/>
  <c r="HK117" i="39" s="1"/>
  <c r="GO193" i="39"/>
  <c r="HK193" i="39" s="1"/>
  <c r="S171" i="19"/>
  <c r="GO204" i="39"/>
  <c r="HK204" i="39" s="1"/>
  <c r="GO155" i="39"/>
  <c r="HK155" i="39" s="1"/>
  <c r="F23" i="10"/>
  <c r="F24" i="8"/>
  <c r="HK167" i="39"/>
  <c r="S154" i="19"/>
  <c r="S168" i="19"/>
  <c r="S145" i="19"/>
  <c r="GO197" i="39"/>
  <c r="HK197" i="39" s="1"/>
  <c r="S179" i="19"/>
  <c r="S176" i="19"/>
  <c r="GO176" i="39"/>
  <c r="HK176" i="39" s="1"/>
  <c r="GO195" i="39"/>
  <c r="HK195" i="39" s="1"/>
  <c r="GO98" i="39"/>
  <c r="HK98" i="39" s="1"/>
  <c r="F27" i="23"/>
  <c r="G31" i="23" s="1"/>
  <c r="K30" i="37"/>
  <c r="N31" i="37"/>
  <c r="M30" i="37"/>
  <c r="M18" i="38"/>
  <c r="N19" i="38"/>
  <c r="K18" i="38"/>
  <c r="N29" i="38"/>
  <c r="M29" i="38" s="1"/>
  <c r="N34" i="38"/>
  <c r="M34" i="38" s="1"/>
  <c r="N30" i="38"/>
  <c r="N23" i="38"/>
  <c r="M23" i="38" s="1"/>
  <c r="N24" i="38"/>
  <c r="K19" i="37"/>
  <c r="N20" i="37"/>
  <c r="M19" i="37"/>
  <c r="N25" i="37"/>
  <c r="K24" i="37"/>
  <c r="M24" i="37"/>
  <c r="F27" i="24"/>
  <c r="F29" i="24" s="1"/>
  <c r="N35" i="24" s="1"/>
  <c r="F41" i="23"/>
  <c r="G41" i="23" s="1"/>
  <c r="F39" i="23"/>
  <c r="G39" i="23" s="1"/>
  <c r="N59" i="23"/>
  <c r="F40" i="23"/>
  <c r="G40" i="23" s="1"/>
  <c r="F42" i="23"/>
  <c r="G42" i="23" s="1"/>
  <c r="K25" i="5"/>
  <c r="M25" i="5"/>
  <c r="M25" i="10" s="1"/>
  <c r="M28" i="5"/>
  <c r="M28" i="10" s="1"/>
  <c r="K28" i="5"/>
  <c r="N30" i="20"/>
  <c r="N28" i="20"/>
  <c r="N19" i="20"/>
  <c r="N29" i="20"/>
  <c r="N24" i="20"/>
  <c r="N20" i="20"/>
  <c r="N31" i="20"/>
  <c r="N33" i="20"/>
  <c r="N25" i="20"/>
  <c r="N35" i="20"/>
  <c r="N26" i="20"/>
  <c r="N36" i="20"/>
  <c r="N23" i="20"/>
  <c r="N22" i="20"/>
  <c r="N21" i="20"/>
  <c r="N27" i="20"/>
  <c r="N32" i="20"/>
  <c r="N18" i="20"/>
  <c r="N34" i="20"/>
  <c r="I31" i="29"/>
  <c r="F23" i="9"/>
  <c r="E56" i="23"/>
  <c r="F56" i="23" s="1"/>
  <c r="E54" i="23"/>
  <c r="F54" i="23" s="1"/>
  <c r="E53" i="23"/>
  <c r="F53" i="23" s="1"/>
  <c r="E55" i="23"/>
  <c r="F55" i="23" s="1"/>
  <c r="M24" i="5"/>
  <c r="M24" i="10" s="1"/>
  <c r="K24" i="5"/>
  <c r="M22" i="5"/>
  <c r="M22" i="10" s="1"/>
  <c r="K22" i="5"/>
  <c r="N18" i="36"/>
  <c r="G30" i="36"/>
  <c r="N23" i="36" s="1"/>
  <c r="M23" i="5"/>
  <c r="M23" i="10" s="1"/>
  <c r="K23" i="5"/>
  <c r="M35" i="5"/>
  <c r="M35" i="10" s="1"/>
  <c r="K35" i="5"/>
  <c r="M18" i="5"/>
  <c r="M18" i="10" s="1"/>
  <c r="K18" i="5"/>
  <c r="F26" i="7"/>
  <c r="F28" i="7" s="1"/>
  <c r="P19" i="7" s="1"/>
  <c r="I32" i="27"/>
  <c r="F30" i="7"/>
  <c r="M27" i="5"/>
  <c r="M27" i="10" s="1"/>
  <c r="K27" i="5"/>
  <c r="M31" i="5"/>
  <c r="M31" i="10" s="1"/>
  <c r="K31" i="5"/>
  <c r="K19" i="5"/>
  <c r="M19" i="5"/>
  <c r="M19" i="10" s="1"/>
  <c r="G34" i="36"/>
  <c r="N35" i="36" s="1"/>
  <c r="N30" i="36"/>
  <c r="N31" i="36"/>
  <c r="M21" i="5"/>
  <c r="M21" i="10" s="1"/>
  <c r="K21" i="5"/>
  <c r="K30" i="5"/>
  <c r="M30" i="5"/>
  <c r="M30" i="10" s="1"/>
  <c r="M34" i="5"/>
  <c r="M34" i="10" s="1"/>
  <c r="K34" i="5"/>
  <c r="N64" i="24"/>
  <c r="E37" i="24"/>
  <c r="F37" i="24" s="1"/>
  <c r="E36" i="24"/>
  <c r="F36" i="24" s="1"/>
  <c r="E38" i="24"/>
  <c r="F38" i="24" s="1"/>
  <c r="E39" i="24"/>
  <c r="F39" i="24" s="1"/>
  <c r="N24" i="36"/>
  <c r="G32" i="36"/>
  <c r="N29" i="36" s="1"/>
  <c r="M20" i="5"/>
  <c r="M20" i="10" s="1"/>
  <c r="K20" i="5"/>
  <c r="M36" i="5"/>
  <c r="M36" i="10" s="1"/>
  <c r="K36" i="5"/>
  <c r="N30" i="32"/>
  <c r="M29" i="32"/>
  <c r="K29" i="32"/>
  <c r="M32" i="5"/>
  <c r="M32" i="10" s="1"/>
  <c r="K32" i="5"/>
  <c r="M29" i="5"/>
  <c r="M29" i="10" s="1"/>
  <c r="K29" i="5"/>
  <c r="N34" i="24"/>
  <c r="N36" i="24"/>
  <c r="N33" i="24"/>
  <c r="N24" i="32"/>
  <c r="K23" i="32"/>
  <c r="M23" i="32"/>
  <c r="M26" i="5"/>
  <c r="M26" i="10" s="1"/>
  <c r="K26" i="5"/>
  <c r="M33" i="5"/>
  <c r="M33" i="10" s="1"/>
  <c r="K33" i="5"/>
  <c r="E53" i="24"/>
  <c r="F53" i="24" s="1"/>
  <c r="E50" i="24"/>
  <c r="F50" i="24" s="1"/>
  <c r="E52" i="24"/>
  <c r="F52" i="24" s="1"/>
  <c r="E51" i="24"/>
  <c r="F51" i="24" s="1"/>
  <c r="N19" i="32"/>
  <c r="K18" i="32"/>
  <c r="M18" i="32"/>
  <c r="GO147" i="39"/>
  <c r="HK147" i="39" s="1"/>
  <c r="S186" i="19"/>
  <c r="GO186" i="39"/>
  <c r="HK186" i="39" s="1"/>
  <c r="S91" i="19"/>
  <c r="S125" i="19"/>
  <c r="GO125" i="39"/>
  <c r="HK125" i="39" s="1"/>
  <c r="S113" i="19"/>
  <c r="GO113" i="39"/>
  <c r="HK113" i="39" s="1"/>
  <c r="CS217" i="39"/>
  <c r="S122" i="19"/>
  <c r="GO122" i="39"/>
  <c r="HK122" i="39" s="1"/>
  <c r="S127" i="19"/>
  <c r="GO127" i="39"/>
  <c r="HK127" i="39" s="1"/>
  <c r="S166" i="19"/>
  <c r="GO166" i="39"/>
  <c r="HK166" i="39" s="1"/>
  <c r="S194" i="19"/>
  <c r="GO194" i="39"/>
  <c r="HK194" i="39" s="1"/>
  <c r="S183" i="19"/>
  <c r="GO183" i="39"/>
  <c r="HK183" i="39" s="1"/>
  <c r="S161" i="19"/>
  <c r="GO161" i="39"/>
  <c r="HK161" i="39" s="1"/>
  <c r="S173" i="19"/>
  <c r="GO173" i="39"/>
  <c r="HK173" i="39" s="1"/>
  <c r="S128" i="19"/>
  <c r="GO128" i="39"/>
  <c r="HK128" i="39" s="1"/>
  <c r="S164" i="19"/>
  <c r="GO164" i="39"/>
  <c r="HK164" i="39" s="1"/>
  <c r="S177" i="19"/>
  <c r="GO177" i="39"/>
  <c r="HK177" i="39" s="1"/>
  <c r="S191" i="19"/>
  <c r="GO191" i="39"/>
  <c r="HK191" i="39" s="1"/>
  <c r="S152" i="19"/>
  <c r="GO152" i="39"/>
  <c r="HK152" i="39" s="1"/>
  <c r="S118" i="19"/>
  <c r="GO118" i="39"/>
  <c r="HK118" i="39" s="1"/>
  <c r="S129" i="19"/>
  <c r="GO129" i="39"/>
  <c r="HK129" i="39" s="1"/>
  <c r="M37" i="20" l="1"/>
  <c r="K45" i="20"/>
  <c r="M45" i="20"/>
  <c r="K43" i="20"/>
  <c r="M43" i="20"/>
  <c r="K44" i="20"/>
  <c r="M44" i="20"/>
  <c r="K42" i="20"/>
  <c r="M42" i="20"/>
  <c r="M40" i="20"/>
  <c r="K40" i="20"/>
  <c r="N41" i="24"/>
  <c r="N42" i="24"/>
  <c r="N40" i="24"/>
  <c r="N39" i="24"/>
  <c r="N45" i="24"/>
  <c r="N43" i="24"/>
  <c r="N44" i="24"/>
  <c r="N38" i="24"/>
  <c r="K38" i="20"/>
  <c r="M38" i="20"/>
  <c r="K41" i="20"/>
  <c r="M41" i="20"/>
  <c r="K39" i="20"/>
  <c r="M39" i="20"/>
  <c r="F25" i="6"/>
  <c r="F27" i="6" s="1"/>
  <c r="M18" i="6" s="1"/>
  <c r="N20" i="24"/>
  <c r="K20" i="24" s="1"/>
  <c r="N37" i="24"/>
  <c r="F29" i="6"/>
  <c r="E38" i="6" s="1"/>
  <c r="F38" i="6" s="1"/>
  <c r="I32" i="13"/>
  <c r="F26" i="8"/>
  <c r="F28" i="8" s="1"/>
  <c r="O19" i="8" s="1"/>
  <c r="I32" i="28"/>
  <c r="F25" i="10"/>
  <c r="I32" i="31"/>
  <c r="F35" i="10"/>
  <c r="F27" i="10"/>
  <c r="N19" i="24"/>
  <c r="K19" i="24" s="1"/>
  <c r="N26" i="24"/>
  <c r="M26" i="24" s="1"/>
  <c r="N30" i="24"/>
  <c r="K30" i="24" s="1"/>
  <c r="N23" i="24"/>
  <c r="K23" i="24" s="1"/>
  <c r="N24" i="24"/>
  <c r="K24" i="24" s="1"/>
  <c r="N25" i="24"/>
  <c r="M25" i="24" s="1"/>
  <c r="N22" i="24"/>
  <c r="K22" i="24" s="1"/>
  <c r="N18" i="24"/>
  <c r="K18" i="24" s="1"/>
  <c r="N27" i="24"/>
  <c r="M27" i="24" s="1"/>
  <c r="N28" i="24"/>
  <c r="K28" i="24" s="1"/>
  <c r="N32" i="24"/>
  <c r="K32" i="24" s="1"/>
  <c r="N29" i="24"/>
  <c r="K29" i="24" s="1"/>
  <c r="N31" i="24"/>
  <c r="M31" i="24" s="1"/>
  <c r="N21" i="24"/>
  <c r="K21" i="24" s="1"/>
  <c r="G30" i="23"/>
  <c r="G32" i="23"/>
  <c r="N21" i="37"/>
  <c r="K20" i="37"/>
  <c r="M20" i="37"/>
  <c r="K19" i="38"/>
  <c r="M19" i="38"/>
  <c r="N20" i="38"/>
  <c r="K24" i="38"/>
  <c r="N25" i="38"/>
  <c r="M24" i="38"/>
  <c r="N31" i="38"/>
  <c r="M30" i="38"/>
  <c r="K30" i="38"/>
  <c r="M31" i="37"/>
  <c r="N32" i="37"/>
  <c r="K31" i="37"/>
  <c r="K25" i="37"/>
  <c r="M25" i="37"/>
  <c r="N26" i="37"/>
  <c r="K35" i="24"/>
  <c r="M35" i="24"/>
  <c r="K23" i="36"/>
  <c r="M23" i="36"/>
  <c r="K21" i="20"/>
  <c r="M21" i="20"/>
  <c r="K31" i="20"/>
  <c r="M31" i="20"/>
  <c r="N32" i="36"/>
  <c r="K31" i="36"/>
  <c r="M31" i="36"/>
  <c r="E51" i="7"/>
  <c r="F51" i="7" s="1"/>
  <c r="E50" i="7"/>
  <c r="F50" i="7" s="1"/>
  <c r="E53" i="7"/>
  <c r="F53" i="7" s="1"/>
  <c r="E52" i="7"/>
  <c r="F52" i="7" s="1"/>
  <c r="N19" i="36"/>
  <c r="K18" i="36"/>
  <c r="M18" i="36"/>
  <c r="M22" i="20"/>
  <c r="K22" i="20"/>
  <c r="K20" i="20"/>
  <c r="M20" i="20"/>
  <c r="N31" i="32"/>
  <c r="K30" i="32"/>
  <c r="M30" i="32"/>
  <c r="K30" i="36"/>
  <c r="M30" i="36"/>
  <c r="I32" i="29"/>
  <c r="F25" i="9"/>
  <c r="F27" i="9" s="1"/>
  <c r="O18" i="9" s="1"/>
  <c r="M23" i="20"/>
  <c r="K23" i="20"/>
  <c r="M24" i="20"/>
  <c r="K24" i="20"/>
  <c r="M35" i="36"/>
  <c r="K35" i="36"/>
  <c r="M36" i="20"/>
  <c r="K36" i="20"/>
  <c r="M29" i="20"/>
  <c r="K29" i="20"/>
  <c r="M33" i="24"/>
  <c r="K33" i="24"/>
  <c r="K29" i="36"/>
  <c r="M29" i="36"/>
  <c r="K34" i="20"/>
  <c r="M34" i="20"/>
  <c r="K26" i="20"/>
  <c r="M26" i="20"/>
  <c r="M19" i="20"/>
  <c r="K19" i="20"/>
  <c r="K24" i="32"/>
  <c r="M24" i="32"/>
  <c r="N25" i="32"/>
  <c r="M36" i="24"/>
  <c r="K36" i="24"/>
  <c r="M24" i="36"/>
  <c r="K24" i="36"/>
  <c r="N25" i="36"/>
  <c r="E51" i="6"/>
  <c r="F51" i="6" s="1"/>
  <c r="E50" i="6"/>
  <c r="F50" i="6" s="1"/>
  <c r="E52" i="6"/>
  <c r="F52" i="6" s="1"/>
  <c r="M18" i="20"/>
  <c r="K18" i="20"/>
  <c r="M35" i="20"/>
  <c r="K35" i="20"/>
  <c r="K28" i="20"/>
  <c r="M28" i="20"/>
  <c r="M34" i="24"/>
  <c r="K34" i="24"/>
  <c r="E39" i="7"/>
  <c r="F39" i="7" s="1"/>
  <c r="E36" i="7"/>
  <c r="F36" i="7" s="1"/>
  <c r="E38" i="7"/>
  <c r="F38" i="7" s="1"/>
  <c r="E37" i="7"/>
  <c r="F37" i="7" s="1"/>
  <c r="P20" i="7"/>
  <c r="K32" i="20"/>
  <c r="M32" i="20"/>
  <c r="K25" i="20"/>
  <c r="M25" i="20"/>
  <c r="M30" i="20"/>
  <c r="K30" i="20"/>
  <c r="M19" i="32"/>
  <c r="N20" i="32"/>
  <c r="K19" i="32"/>
  <c r="K27" i="20"/>
  <c r="M27" i="20"/>
  <c r="M33" i="20"/>
  <c r="K33" i="20"/>
  <c r="K44" i="24" l="1"/>
  <c r="M44" i="24"/>
  <c r="M43" i="24"/>
  <c r="K43" i="24"/>
  <c r="K38" i="24"/>
  <c r="M38" i="24"/>
  <c r="K45" i="24"/>
  <c r="M45" i="24"/>
  <c r="M39" i="24"/>
  <c r="K39" i="24"/>
  <c r="K42" i="24"/>
  <c r="M42" i="24"/>
  <c r="K41" i="24"/>
  <c r="M41" i="24"/>
  <c r="K40" i="24"/>
  <c r="M40" i="24"/>
  <c r="M19" i="6"/>
  <c r="E35" i="6"/>
  <c r="F35" i="6" s="1"/>
  <c r="E36" i="6"/>
  <c r="F36" i="6" s="1"/>
  <c r="E37" i="6"/>
  <c r="F37" i="6" s="1"/>
  <c r="M20" i="24"/>
  <c r="M32" i="24"/>
  <c r="M30" i="24"/>
  <c r="M23" i="24"/>
  <c r="K37" i="24"/>
  <c r="M37" i="24"/>
  <c r="M29" i="24"/>
  <c r="K26" i="24"/>
  <c r="M19" i="24"/>
  <c r="N56" i="10"/>
  <c r="N36" i="10"/>
  <c r="N38" i="10"/>
  <c r="N57" i="10"/>
  <c r="F42" i="10"/>
  <c r="G42" i="10" s="1"/>
  <c r="F43" i="10"/>
  <c r="G43" i="10" s="1"/>
  <c r="F41" i="10"/>
  <c r="G41" i="10" s="1"/>
  <c r="F40" i="10"/>
  <c r="G40" i="10" s="1"/>
  <c r="F28" i="10"/>
  <c r="M28" i="24"/>
  <c r="M24" i="24"/>
  <c r="K31" i="24"/>
  <c r="M21" i="24"/>
  <c r="M22" i="24"/>
  <c r="K25" i="24"/>
  <c r="K27" i="24"/>
  <c r="M18" i="24"/>
  <c r="K25" i="38"/>
  <c r="N26" i="38"/>
  <c r="M25" i="38"/>
  <c r="N33" i="37"/>
  <c r="M32" i="37"/>
  <c r="K32" i="37"/>
  <c r="M20" i="38"/>
  <c r="N21" i="38"/>
  <c r="K20" i="38"/>
  <c r="M26" i="37"/>
  <c r="N27" i="37"/>
  <c r="K26" i="37"/>
  <c r="N32" i="38"/>
  <c r="K31" i="38"/>
  <c r="M31" i="38"/>
  <c r="K21" i="37"/>
  <c r="N22" i="37"/>
  <c r="M21" i="37"/>
  <c r="K20" i="32"/>
  <c r="M20" i="32"/>
  <c r="N21" i="32"/>
  <c r="K19" i="36"/>
  <c r="N20" i="36"/>
  <c r="M19" i="36"/>
  <c r="M25" i="32"/>
  <c r="K25" i="32"/>
  <c r="N26" i="32"/>
  <c r="N32" i="32"/>
  <c r="K31" i="32"/>
  <c r="M31" i="32"/>
  <c r="N26" i="36"/>
  <c r="M25" i="36"/>
  <c r="K25" i="36"/>
  <c r="N33" i="36"/>
  <c r="M32" i="36"/>
  <c r="K32" i="36"/>
  <c r="G33" i="10" l="1"/>
  <c r="G31" i="10"/>
  <c r="G32" i="10"/>
  <c r="M21" i="38"/>
  <c r="K21" i="38"/>
  <c r="N22" i="38"/>
  <c r="M32" i="38"/>
  <c r="K32" i="38"/>
  <c r="N33" i="38"/>
  <c r="K33" i="37"/>
  <c r="M33" i="37"/>
  <c r="K27" i="37"/>
  <c r="N28" i="37"/>
  <c r="M27" i="37"/>
  <c r="M26" i="38"/>
  <c r="K26" i="38"/>
  <c r="N27" i="38"/>
  <c r="K22" i="37"/>
  <c r="M22" i="37"/>
  <c r="K20" i="36"/>
  <c r="N21" i="36"/>
  <c r="M20" i="36"/>
  <c r="N27" i="36"/>
  <c r="M26" i="36"/>
  <c r="K26" i="36"/>
  <c r="K21" i="32"/>
  <c r="M21" i="32"/>
  <c r="N22" i="32"/>
  <c r="N33" i="32"/>
  <c r="K32" i="32"/>
  <c r="M32" i="32"/>
  <c r="K33" i="36"/>
  <c r="M33" i="36"/>
  <c r="N34" i="36"/>
  <c r="M26" i="32"/>
  <c r="K26" i="32"/>
  <c r="N27" i="32"/>
  <c r="N28" i="38" l="1"/>
  <c r="M27" i="38"/>
  <c r="K27" i="38"/>
  <c r="M33" i="38"/>
  <c r="K33" i="38"/>
  <c r="M28" i="37"/>
  <c r="K28" i="37"/>
  <c r="O60" i="38"/>
  <c r="K22" i="38"/>
  <c r="M22" i="38"/>
  <c r="O60" i="37"/>
  <c r="M34" i="36"/>
  <c r="K34" i="36"/>
  <c r="N28" i="36"/>
  <c r="K27" i="36"/>
  <c r="M27" i="36"/>
  <c r="M27" i="32"/>
  <c r="N28" i="32"/>
  <c r="K27" i="32"/>
  <c r="M33" i="32"/>
  <c r="K33" i="32"/>
  <c r="N34" i="32"/>
  <c r="M21" i="36"/>
  <c r="K21" i="36"/>
  <c r="N22" i="36"/>
  <c r="M22" i="32"/>
  <c r="K22" i="32"/>
  <c r="O60" i="36" l="1"/>
  <c r="M28" i="38"/>
  <c r="K28" i="38"/>
  <c r="M34" i="32"/>
  <c r="K34" i="32"/>
  <c r="M28" i="36"/>
  <c r="K28" i="36"/>
  <c r="M28" i="32"/>
  <c r="K28" i="32"/>
  <c r="K22" i="36"/>
  <c r="M22" i="3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Shiela Oaman</author>
  </authors>
  <commentList>
    <comment ref="G9" authorId="0" shapeId="0" xr:uid="{00000000-0006-0000-0100-000001000000}">
      <text>
        <r>
          <rPr>
            <b/>
            <sz val="9"/>
            <color indexed="81"/>
            <rFont val="Tahoma"/>
            <family val="2"/>
          </rPr>
          <t>Shiela Oaman:</t>
        </r>
        <r>
          <rPr>
            <sz val="9"/>
            <color indexed="81"/>
            <rFont val="Tahoma"/>
            <family val="2"/>
          </rPr>
          <t xml:space="preserve">
INHS (Long Term)
INHS (EOB)
LOAN DIFF.</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Acer</author>
    <author>HP</author>
  </authors>
  <commentList>
    <comment ref="AK5" authorId="0" shapeId="0" xr:uid="{00000000-0006-0000-0300-000001000000}">
      <text>
        <r>
          <rPr>
            <b/>
            <sz val="9"/>
            <color indexed="81"/>
            <rFont val="Tahoma"/>
            <family val="2"/>
          </rPr>
          <t>*Applied 7.5% increase last Jan. 1,2023
*Feb. 2023 Pricelist-adjusted to 5% increase+additional 2.75% in LMF</t>
        </r>
      </text>
    </comment>
    <comment ref="CK5" authorId="0" shapeId="0" xr:uid="{00000000-0006-0000-0300-000002000000}">
      <text>
        <r>
          <rPr>
            <b/>
            <sz val="9"/>
            <color indexed="81"/>
            <rFont val="Tahoma"/>
            <family val="2"/>
          </rPr>
          <t>*Feb. 2023-added additional 2.75% in LMF</t>
        </r>
      </text>
    </comment>
    <comment ref="FG5" authorId="0" shapeId="0" xr:uid="{00000000-0006-0000-0300-000003000000}">
      <text>
        <r>
          <rPr>
            <b/>
            <sz val="9"/>
            <color indexed="81"/>
            <rFont val="Tahoma"/>
            <family val="2"/>
          </rPr>
          <t>Interest Rate</t>
        </r>
      </text>
    </comment>
    <comment ref="FJ5" authorId="0" shapeId="0" xr:uid="{00000000-0006-0000-0300-000004000000}">
      <text>
        <r>
          <rPr>
            <b/>
            <sz val="9"/>
            <color indexed="81"/>
            <rFont val="Tahoma"/>
            <family val="2"/>
          </rPr>
          <t>Interest Rate</t>
        </r>
      </text>
    </comment>
    <comment ref="EX6" authorId="0" shapeId="0" xr:uid="{00000000-0006-0000-0300-000005000000}">
      <text>
        <r>
          <rPr>
            <b/>
            <sz val="9"/>
            <color indexed="81"/>
            <rFont val="Tahoma"/>
            <family val="2"/>
          </rPr>
          <t xml:space="preserve">March 2023 TCP
No additional increases
</t>
        </r>
      </text>
    </comment>
    <comment ref="FL6" authorId="0" shapeId="0" xr:uid="{00000000-0006-0000-0300-000006000000}">
      <text>
        <r>
          <rPr>
            <b/>
            <sz val="9"/>
            <color indexed="81"/>
            <rFont val="Tahoma"/>
            <family val="2"/>
          </rPr>
          <t>=90%-85%</t>
        </r>
      </text>
    </comment>
    <comment ref="FY6" authorId="0" shapeId="0" xr:uid="{00000000-0006-0000-0300-000007000000}">
      <text>
        <r>
          <rPr>
            <b/>
            <sz val="9"/>
            <color indexed="81"/>
            <rFont val="Tahoma"/>
            <family val="2"/>
          </rPr>
          <t>RS date: May 2023</t>
        </r>
      </text>
    </comment>
    <comment ref="GA6" authorId="0" shapeId="0" xr:uid="{00000000-0006-0000-0300-000008000000}">
      <text>
        <r>
          <rPr>
            <b/>
            <sz val="9"/>
            <color indexed="81"/>
            <rFont val="Tahoma"/>
            <family val="2"/>
          </rPr>
          <t>Revised</t>
        </r>
      </text>
    </comment>
    <comment ref="GA15" authorId="0" shapeId="0" xr:uid="{00000000-0006-0000-0300-000009000000}">
      <text>
        <r>
          <rPr>
            <b/>
            <sz val="9"/>
            <color indexed="81"/>
            <rFont val="Tahoma"/>
            <family val="2"/>
          </rPr>
          <t>from 22 months (approved for 24 months) for lesser diff in monthly equity)
via viber</t>
        </r>
      </text>
    </comment>
    <comment ref="GA16" authorId="0" shapeId="0" xr:uid="{00000000-0006-0000-0300-00000A000000}">
      <text>
        <r>
          <rPr>
            <b/>
            <sz val="9"/>
            <color indexed="81"/>
            <rFont val="Tahoma"/>
            <family val="2"/>
          </rPr>
          <t>from 22 months (approved for 24 months) for lesser diff in monthly equity)
via viber</t>
        </r>
      </text>
    </comment>
    <comment ref="GA17" authorId="0" shapeId="0" xr:uid="{00000000-0006-0000-0300-00000B000000}">
      <text>
        <r>
          <rPr>
            <b/>
            <sz val="9"/>
            <color indexed="81"/>
            <rFont val="Tahoma"/>
            <family val="2"/>
          </rPr>
          <t>from 22 months (approved for 24 months) for lesser diff in monthly equity)
via viber</t>
        </r>
      </text>
    </comment>
    <comment ref="GA18" authorId="0" shapeId="0" xr:uid="{2033495A-073D-4A70-8825-B4B142177CCB}">
      <text>
        <r>
          <rPr>
            <b/>
            <sz val="9"/>
            <color indexed="81"/>
            <rFont val="Tahoma"/>
            <family val="2"/>
          </rPr>
          <t>from 22 months (approved for 24 months) for lesser diff in monthly equity)
via viber</t>
        </r>
      </text>
    </comment>
    <comment ref="GA19" authorId="0" shapeId="0" xr:uid="{E8C061E5-7A80-4152-A848-C44319E0474C}">
      <text>
        <r>
          <rPr>
            <b/>
            <sz val="9"/>
            <color indexed="81"/>
            <rFont val="Tahoma"/>
            <family val="2"/>
          </rPr>
          <t>from 22 months (approved for 24 months) for lesser diff in monthly equity)
via viber</t>
        </r>
      </text>
    </comment>
    <comment ref="GA20" authorId="0" shapeId="0" xr:uid="{50F8FF57-CF22-4BBF-8400-E6E05B0349F8}">
      <text>
        <r>
          <rPr>
            <b/>
            <sz val="9"/>
            <color indexed="81"/>
            <rFont val="Tahoma"/>
            <family val="2"/>
          </rPr>
          <t>from 22 months (approved for 24 months) for lesser diff in monthly equity)
via viber</t>
        </r>
      </text>
    </comment>
    <comment ref="GA21" authorId="0" shapeId="0" xr:uid="{5267D7C5-8E97-4E07-A0E6-D67B34EB4F1A}">
      <text>
        <r>
          <rPr>
            <b/>
            <sz val="9"/>
            <color indexed="81"/>
            <rFont val="Tahoma"/>
            <family val="2"/>
          </rPr>
          <t>from 22 months (approved for 24 months) for lesser diff in monthly equity)
via viber</t>
        </r>
      </text>
    </comment>
    <comment ref="GA22" authorId="0" shapeId="0" xr:uid="{01F710C0-F6C6-4806-BDB6-7E8A13D8842A}">
      <text>
        <r>
          <rPr>
            <b/>
            <sz val="9"/>
            <color indexed="81"/>
            <rFont val="Tahoma"/>
            <family val="2"/>
          </rPr>
          <t>from 22 months (approved for 24 months) for lesser diff in monthly equity)
via viber</t>
        </r>
      </text>
    </comment>
    <comment ref="GA23" authorId="0" shapeId="0" xr:uid="{D970473E-0D66-4215-BEBB-E2FED250AA6B}">
      <text>
        <r>
          <rPr>
            <b/>
            <sz val="9"/>
            <color indexed="81"/>
            <rFont val="Tahoma"/>
            <family val="2"/>
          </rPr>
          <t>from 22 months (approved for 24 months) for lesser diff in monthly equity)
via viber</t>
        </r>
      </text>
    </comment>
    <comment ref="GA24" authorId="0" shapeId="0" xr:uid="{E05AC4EB-674F-4406-8A61-58B96A9BB4B3}">
      <text>
        <r>
          <rPr>
            <b/>
            <sz val="9"/>
            <color indexed="81"/>
            <rFont val="Tahoma"/>
            <family val="2"/>
          </rPr>
          <t>from 22 months (approved for 24 months) for lesser diff in monthly equity)
via viber</t>
        </r>
      </text>
    </comment>
    <comment ref="GA25" authorId="0" shapeId="0" xr:uid="{82E994A5-C7AF-4598-B95F-B1D0440022E6}">
      <text>
        <r>
          <rPr>
            <b/>
            <sz val="9"/>
            <color indexed="81"/>
            <rFont val="Tahoma"/>
            <family val="2"/>
          </rPr>
          <t>from 22 months (approved for 24 months) for lesser diff in monthly equity)
via viber</t>
        </r>
      </text>
    </comment>
    <comment ref="GA26" authorId="0" shapeId="0" xr:uid="{087FB6DB-5CBF-4231-8023-F2105F5C9561}">
      <text>
        <r>
          <rPr>
            <b/>
            <sz val="9"/>
            <color indexed="81"/>
            <rFont val="Tahoma"/>
            <family val="2"/>
          </rPr>
          <t>from 22 months (approved for 24 months) for lesser diff in monthly equity)
via viber</t>
        </r>
      </text>
    </comment>
    <comment ref="A220" authorId="1" shapeId="0" xr:uid="{00000000-0006-0000-0300-00000C000000}">
      <text>
        <r>
          <rPr>
            <b/>
            <sz val="9"/>
            <color indexed="81"/>
            <rFont val="Tahoma"/>
            <family val="2"/>
          </rPr>
          <t>HP:</t>
        </r>
        <r>
          <rPr>
            <sz val="9"/>
            <color indexed="81"/>
            <rFont val="Tahoma"/>
            <family val="2"/>
          </rPr>
          <t xml:space="preserve">
variance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X5" authorId="0" shapeId="0" xr:uid="{00000000-0006-0000-0400-000001000000}">
      <text>
        <r>
          <rPr>
            <b/>
            <sz val="9"/>
            <color indexed="81"/>
            <rFont val="Tahoma"/>
            <family val="2"/>
          </rPr>
          <t>from 12 months to 18 months (May 19,2022)
July 2022 pricelist-retain to 17 months</t>
        </r>
      </text>
    </comment>
    <comment ref="AA5" authorId="0" shapeId="0" xr:uid="{00000000-0006-0000-0400-000002000000}">
      <text>
        <r>
          <rPr>
            <b/>
            <sz val="9"/>
            <color indexed="81"/>
            <rFont val="Tahoma"/>
            <family val="2"/>
          </rPr>
          <t>20 yrs @ 7%</t>
        </r>
      </text>
    </comment>
    <comment ref="AB5" authorId="0" shapeId="0" xr:uid="{00000000-0006-0000-0400-000003000000}">
      <text>
        <r>
          <rPr>
            <b/>
            <sz val="9"/>
            <color indexed="81"/>
            <rFont val="Tahoma"/>
            <family val="2"/>
          </rPr>
          <t>based on 15 yrs at 7% interest rate</t>
        </r>
      </text>
    </comment>
    <comment ref="AC5" authorId="0" shapeId="0" xr:uid="{00000000-0006-0000-0400-000004000000}">
      <text>
        <r>
          <rPr>
            <b/>
            <sz val="9"/>
            <color indexed="81"/>
            <rFont val="Tahoma"/>
            <family val="2"/>
          </rPr>
          <t>based on 10 yrs</t>
        </r>
      </text>
    </comment>
    <comment ref="AD5" authorId="0" shapeId="0" xr:uid="{00000000-0006-0000-0400-000005000000}">
      <text>
        <r>
          <rPr>
            <b/>
            <sz val="9"/>
            <color indexed="81"/>
            <rFont val="Tahoma"/>
            <family val="2"/>
          </rPr>
          <t xml:space="preserve">based on 5 yrs
</t>
        </r>
      </text>
    </comment>
    <comment ref="M6" authorId="0" shapeId="0" xr:uid="{00000000-0006-0000-0400-000006000000}">
      <text>
        <r>
          <rPr>
            <b/>
            <sz val="9"/>
            <color indexed="81"/>
            <rFont val="Tahoma"/>
            <family val="2"/>
          </rPr>
          <t>apply May 19,2022</t>
        </r>
      </text>
    </comment>
    <comment ref="M154" authorId="0" shapeId="0" xr:uid="{00000000-0006-0000-0400-000007000000}">
      <text>
        <r>
          <rPr>
            <b/>
            <sz val="9"/>
            <color indexed="81"/>
            <rFont val="Tahoma"/>
            <family val="2"/>
          </rPr>
          <t>APPLICABLE:
MAY 19,2022</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Wee Comm Developers</author>
  </authors>
  <commentList>
    <comment ref="B6" authorId="0" shapeId="0" xr:uid="{00000000-0006-0000-0600-000001000000}">
      <text>
        <r>
          <rPr>
            <b/>
            <sz val="9"/>
            <color indexed="81"/>
            <rFont val="Tahoma"/>
            <family val="2"/>
          </rPr>
          <t>Wee Comm Developers:</t>
        </r>
        <r>
          <rPr>
            <sz val="9"/>
            <color indexed="81"/>
            <rFont val="Tahoma"/>
            <family val="2"/>
          </rPr>
          <t xml:space="preserve">
Please update; these status are for vloook up testing only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D00-000001000000}">
      <text>
        <r>
          <rPr>
            <b/>
            <sz val="9"/>
            <color indexed="81"/>
            <rFont val="Tahoma"/>
            <family val="2"/>
          </rPr>
          <t>link lumpsum to payment schedule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E00-000001000000}">
      <text>
        <r>
          <rPr>
            <b/>
            <sz val="9"/>
            <color indexed="81"/>
            <rFont val="Tahoma"/>
            <family val="2"/>
          </rPr>
          <t>link lumpsum to payment schedule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7" authorId="0" shapeId="0" xr:uid="{00000000-0006-0000-1C00-000001000000}">
      <text>
        <r>
          <rPr>
            <b/>
            <sz val="9"/>
            <color indexed="81"/>
            <rFont val="Tahoma"/>
            <family val="2"/>
          </rPr>
          <t>link lumpsum to payment schedule</t>
        </r>
      </text>
    </comment>
  </commentList>
</comments>
</file>

<file path=xl/sharedStrings.xml><?xml version="1.0" encoding="utf-8"?>
<sst xmlns="http://schemas.openxmlformats.org/spreadsheetml/2006/main" count="7752" uniqueCount="1072">
  <si>
    <t>OLD</t>
  </si>
  <si>
    <t>*Internal applied to Equity term plus 2 months buffer</t>
  </si>
  <si>
    <t>Aug. 2023</t>
  </si>
  <si>
    <t>Current term</t>
  </si>
  <si>
    <t>New Term</t>
  </si>
  <si>
    <t>B1</t>
  </si>
  <si>
    <t>B2</t>
  </si>
  <si>
    <t>B3</t>
  </si>
  <si>
    <t>NEW</t>
  </si>
  <si>
    <t>as of Sept. 28,2023</t>
  </si>
  <si>
    <t>ANNEX "A"</t>
  </si>
  <si>
    <t>ILOILO SOUTHPRIME DEVELOPERS INC.</t>
  </si>
  <si>
    <t>Date and Time Printed:</t>
  </si>
  <si>
    <t>Buyer's Name:</t>
  </si>
  <si>
    <t>Project Name:</t>
  </si>
  <si>
    <t>EMERALD ESTATES</t>
  </si>
  <si>
    <t>Unit No.:</t>
  </si>
  <si>
    <t>BLOCK LOT</t>
  </si>
  <si>
    <t>Financing:</t>
  </si>
  <si>
    <t>Payment Schedule</t>
  </si>
  <si>
    <t>Outstanding Balance Summary</t>
  </si>
  <si>
    <t>Loan Amount</t>
  </si>
  <si>
    <t>Scheduled Payment</t>
  </si>
  <si>
    <t>Annual Interest Rate</t>
  </si>
  <si>
    <t>Scheduled Number of Payments</t>
  </si>
  <si>
    <t>Loan Period in Years</t>
  </si>
  <si>
    <t>Actual Number of Payments</t>
  </si>
  <si>
    <t>Number of Payments Per Year</t>
  </si>
  <si>
    <t>Total Early Payments</t>
  </si>
  <si>
    <t>Start Date of Loan</t>
  </si>
  <si>
    <t>Total Interest</t>
  </si>
  <si>
    <t>PROJECTION</t>
  </si>
  <si>
    <t>Optional Extra Payments</t>
  </si>
  <si>
    <t>LINK GOING TO LD OR INHS MASTERLIST</t>
  </si>
  <si>
    <t>MONTH</t>
  </si>
  <si>
    <t>amount</t>
  </si>
  <si>
    <t>prin cipal</t>
  </si>
  <si>
    <t>interest</t>
  </si>
  <si>
    <t>balance</t>
  </si>
  <si>
    <t>PmtNo.</t>
  </si>
  <si>
    <t>Payment Date</t>
  </si>
  <si>
    <t>Beginning Balance</t>
  </si>
  <si>
    <t>Extra Payment</t>
  </si>
  <si>
    <t>Total Payment</t>
  </si>
  <si>
    <t>Principal</t>
  </si>
  <si>
    <t>Interest</t>
  </si>
  <si>
    <t>Ending Balance</t>
  </si>
  <si>
    <t>Paid/Credited</t>
  </si>
  <si>
    <t>TRANCHES</t>
  </si>
  <si>
    <t>TOTAL</t>
  </si>
  <si>
    <t>Total Interest for 6 months</t>
  </si>
  <si>
    <t>TOTAL AMOUNT</t>
  </si>
  <si>
    <t>RS DATE</t>
  </si>
  <si>
    <t>The Southprime Flats</t>
  </si>
  <si>
    <t xml:space="preserve">NEW. </t>
  </si>
  <si>
    <t>Simulation</t>
  </si>
  <si>
    <t>Term</t>
  </si>
  <si>
    <t>Interest Rate</t>
  </si>
  <si>
    <t>Factor Rate</t>
  </si>
  <si>
    <t>Ave. 90% Loanable</t>
  </si>
  <si>
    <t>Interest for 6 months</t>
  </si>
  <si>
    <t>ORIGINAL</t>
  </si>
  <si>
    <t>SIMULATION FOR 22 MONTHS</t>
  </si>
  <si>
    <t>Mandurriao, Iloilo</t>
  </si>
  <si>
    <t>Lower GF will Ground Floor (Parking Space)</t>
  </si>
  <si>
    <t>Corner</t>
  </si>
  <si>
    <t>BIR THRESHOLD</t>
  </si>
  <si>
    <t>Top up Incentive</t>
  </si>
  <si>
    <t>(Linked to Computation - pls update value if needed)</t>
  </si>
  <si>
    <t>this month</t>
  </si>
  <si>
    <t>TSF B1 UNSOLD</t>
  </si>
  <si>
    <t>Building 1 Pricelist (Ver.01)</t>
  </si>
  <si>
    <t>Upper GF will be New 2nd Floor</t>
  </si>
  <si>
    <t>North</t>
  </si>
  <si>
    <t>End Unit</t>
  </si>
  <si>
    <t>Doc Incentive</t>
  </si>
  <si>
    <t>VAT threshold</t>
  </si>
  <si>
    <t>take out date</t>
  </si>
  <si>
    <t>East</t>
  </si>
  <si>
    <t>Inner</t>
  </si>
  <si>
    <t>HIDE</t>
  </si>
  <si>
    <t>mark up for comm</t>
  </si>
  <si>
    <t>based on 90% LA</t>
  </si>
  <si>
    <t>BOI THRESHOLD</t>
  </si>
  <si>
    <t>Past Incentive</t>
  </si>
  <si>
    <t>commercial (based on TSF B3 term)</t>
  </si>
  <si>
    <t>IN HOUSE LOAN MONTHLY AMORT TCP BALANCE</t>
  </si>
  <si>
    <t>Based on Construction</t>
  </si>
  <si>
    <t>Basis for interest comp.</t>
  </si>
  <si>
    <t>85% Loanable</t>
  </si>
  <si>
    <t>90% Loanable</t>
  </si>
  <si>
    <t>TSF B1</t>
  </si>
  <si>
    <t>etc</t>
  </si>
  <si>
    <t>CTS BARE</t>
  </si>
  <si>
    <t>( = ) TOTAL ADDITIVES</t>
  </si>
  <si>
    <t>SHOULD BE</t>
  </si>
  <si>
    <t>New Selling Price</t>
  </si>
  <si>
    <t>residential</t>
  </si>
  <si>
    <t>END OF CONSTRUCTION</t>
  </si>
  <si>
    <t>SHOULD BE EQUITY IN PRICELIST</t>
  </si>
  <si>
    <t>WITH ADDITIVES</t>
  </si>
  <si>
    <t>NO DISCOUNT APPLICATION</t>
  </si>
  <si>
    <t>=90%-85%</t>
  </si>
  <si>
    <t>Total</t>
  </si>
  <si>
    <t>Inventory Count</t>
  </si>
  <si>
    <t>SALE STATUS</t>
  </si>
  <si>
    <t>Inventory Count/Floor</t>
  </si>
  <si>
    <t>Physical Floor</t>
  </si>
  <si>
    <t>Floor Presentation</t>
  </si>
  <si>
    <t>Tagging</t>
  </si>
  <si>
    <t>Unit ID</t>
  </si>
  <si>
    <t>Unit Code</t>
  </si>
  <si>
    <t>Unit Type</t>
  </si>
  <si>
    <t>Area (sqm)</t>
  </si>
  <si>
    <t>Orientation</t>
  </si>
  <si>
    <t>View</t>
  </si>
  <si>
    <t>Classification</t>
  </si>
  <si>
    <t>Typical Selling Price/Sqm.</t>
  </si>
  <si>
    <t>Total Typical Selling Prie</t>
  </si>
  <si>
    <t>Smart Home</t>
  </si>
  <si>
    <t>RECOVERY PROGRAM</t>
  </si>
  <si>
    <t>( + ) LOFTED</t>
  </si>
  <si>
    <t>( + ) NEAR AMENITIES</t>
  </si>
  <si>
    <t>( + ) PREMIUM 8TH FLOOR</t>
  </si>
  <si>
    <t>( + ) EAST VIEW</t>
  </si>
  <si>
    <t>( + ) CORNER</t>
  </si>
  <si>
    <t>( + ) END UNIT</t>
  </si>
  <si>
    <t>( + ) FACING AMENITIES</t>
  </si>
  <si>
    <t>( + ) LEVEL ADDITIVES (@5th Floor)</t>
  </si>
  <si>
    <t>LMF INCREASE</t>
  </si>
  <si>
    <t>COMMON PARKING DISTRIBUTION</t>
  </si>
  <si>
    <t>COMM RECOVERY</t>
  </si>
  <si>
    <t>RENOVATION</t>
  </si>
  <si>
    <t>REFUND</t>
  </si>
  <si>
    <t>NEW SELLING PRICEL</t>
  </si>
  <si>
    <t>1ST INCREASE</t>
  </si>
  <si>
    <t>2ND INCREASE</t>
  </si>
  <si>
    <t>3RD INCREASE</t>
  </si>
  <si>
    <t>NEW SELLING PRICE</t>
  </si>
  <si>
    <t>INCREASE</t>
  </si>
  <si>
    <t>RECOVERY AMOUNT_3-29-23</t>
  </si>
  <si>
    <t>ADD: INTEREST FOR 6 MONTHS</t>
  </si>
  <si>
    <t>PRICE INCREASE_Dec. 1,2023</t>
  </si>
  <si>
    <t>CTS BARE/DOAS</t>
  </si>
  <si>
    <t>HIC/SQM</t>
  </si>
  <si>
    <t>HIC</t>
  </si>
  <si>
    <t>HIC VAT</t>
  </si>
  <si>
    <t>( = ) TOTAL HIC</t>
  </si>
  <si>
    <t>Price Increase (July 2024)</t>
  </si>
  <si>
    <t>INCIDENTAL RECOVERY)
(OCT 2024</t>
  </si>
  <si>
    <t>New Selling Price
(Oct 2024)</t>
  </si>
  <si>
    <t>INCIDENTAL RECOVERY
(OCT 16, 2024)</t>
  </si>
  <si>
    <t>Price Increase 
(Oct 16, 2024)</t>
  </si>
  <si>
    <t>INCENTIVE RECOVERY W 1.12</t>
  </si>
  <si>
    <t>INCIDENTAL RECOVERIES 
(Dec 2024)</t>
  </si>
  <si>
    <t>New Selling Price
(Dec 2024)</t>
  </si>
  <si>
    <t>INCIDENTAL RECOVERIES 
(Jan 2025)</t>
  </si>
  <si>
    <t>New Selling Price
(Jan 2025)</t>
  </si>
  <si>
    <t>INCIDENTAL RECOVERIES 
(Feb 2025)</t>
  </si>
  <si>
    <t>New Selling Price
(Feb 2025)</t>
  </si>
  <si>
    <t>INCIDENTAL RECOVERIES 
(Mar 2025)</t>
  </si>
  <si>
    <t>New Selling Price
(Mar 2025)</t>
  </si>
  <si>
    <t>INCIDENTAL RECOVERIES 
(Apr 2025)</t>
  </si>
  <si>
    <t>New Selling Price
(Apr 2025)</t>
  </si>
  <si>
    <t>INCIDENTAL RECOVERIES 
(May 2025)</t>
  </si>
  <si>
    <t>New Selling Price
(May 2025)</t>
  </si>
  <si>
    <t>INCIDENTAL RECOVERIES 
(June 2025)</t>
  </si>
  <si>
    <t>New Selling Price
(June 2025)</t>
  </si>
  <si>
    <t>INCIDENTAL RECOVERIES 
(July 2025)</t>
  </si>
  <si>
    <t>New Selling Price
(July 2025)</t>
  </si>
  <si>
    <t>INCIDENTAL RECOVERIES 
(August 2025)</t>
  </si>
  <si>
    <t xml:space="preserve">Top-up Incentive + Documentrary Incentive - Past Cash Incentive
</t>
  </si>
  <si>
    <t>New Selling Price
(Aug 2025)</t>
  </si>
  <si>
    <t>INCIDENTAL RECOVERIES 
(Sep 2025)</t>
  </si>
  <si>
    <t>New Selling Price
(Sep 2025)</t>
  </si>
  <si>
    <t>12% VAT</t>
  </si>
  <si>
    <t>LMF</t>
  </si>
  <si>
    <t>BF</t>
  </si>
  <si>
    <t>Total Contract Price</t>
  </si>
  <si>
    <t>Equity Rate</t>
  </si>
  <si>
    <t>Equity</t>
  </si>
  <si>
    <t>Reservation Fee</t>
  </si>
  <si>
    <t>Net Equity</t>
  </si>
  <si>
    <t>Equity Term (Months)</t>
  </si>
  <si>
    <t>Monthly Equity</t>
  </si>
  <si>
    <t>Balance %</t>
  </si>
  <si>
    <t>Loanable Amount</t>
  </si>
  <si>
    <t>Monthly Amort.           20 years @ 7%</t>
  </si>
  <si>
    <t>Monthly Amort.           15 years @ 7%</t>
  </si>
  <si>
    <t>Monthly Amort.           10 years @ 7%</t>
  </si>
  <si>
    <t>Monthly Amort.           5 years @ 7%</t>
  </si>
  <si>
    <t>IN HOUSE MONTHLY AMORT 1YR. @12%</t>
  </si>
  <si>
    <t>IN HOUSE MONTHLY AMORT 3YRS. @16%</t>
  </si>
  <si>
    <t>IN HOUSE MONTHLY AMORT 5YRS. @18%</t>
  </si>
  <si>
    <t>IN HOUSE MONTHLY AMORT 10YRS. @20%</t>
  </si>
  <si>
    <t>HIC % (old)</t>
  </si>
  <si>
    <t>HIC % (new)</t>
  </si>
  <si>
    <t>TAGGING (old)</t>
  </si>
  <si>
    <t>TAGGING (new)</t>
  </si>
  <si>
    <t>TURN OVER DATE</t>
  </si>
  <si>
    <t>REMAINING EQUITY</t>
  </si>
  <si>
    <t>( + ) 2 MONTHS FOR PMD TURN OVER TO BUYER</t>
  </si>
  <si>
    <t>MAXIMIZE EQUITY DP MONTHS</t>
  </si>
  <si>
    <t>BOI STATUS</t>
  </si>
  <si>
    <t>DOCS STATUS</t>
  </si>
  <si>
    <t>HIC / SQM.             (INCLUSIVE OF VAT)</t>
  </si>
  <si>
    <t>TOTAL HIC AMOUNT</t>
  </si>
  <si>
    <t>HIC PERCENTAGE</t>
  </si>
  <si>
    <t>CURRENT PRICE STUDY</t>
  </si>
  <si>
    <t>ORIGINAL NSP</t>
  </si>
  <si>
    <t>VARIANCE</t>
  </si>
  <si>
    <t>NSP/SQM                (CURRENT SP)</t>
  </si>
  <si>
    <t>NEW PLAN</t>
  </si>
  <si>
    <t>CLIENTS NAME</t>
  </si>
  <si>
    <t>REMARKS</t>
  </si>
  <si>
    <t>Step-Up Computation</t>
  </si>
  <si>
    <t>SALES STATUS</t>
  </si>
  <si>
    <t>MASTERLIST</t>
  </si>
  <si>
    <t>CHECKING</t>
  </si>
  <si>
    <t>TCP</t>
  </si>
  <si>
    <t>Required Equity</t>
  </si>
  <si>
    <t>Loanable</t>
  </si>
  <si>
    <t>Variance of Loanable</t>
  </si>
  <si>
    <t>Annual Interest</t>
  </si>
  <si>
    <t>6 months interest</t>
  </si>
  <si>
    <t>Variance of Annual Interest</t>
  </si>
  <si>
    <t>Buffer for applying 10/90 formula for the increase</t>
  </si>
  <si>
    <t>VS</t>
  </si>
  <si>
    <t>Recovery Amount per Unit</t>
  </si>
  <si>
    <t>Variance for Recovery</t>
  </si>
  <si>
    <t>90% of TCP</t>
  </si>
  <si>
    <t xml:space="preserve">CURRENT </t>
  </si>
  <si>
    <t>UPDATED (APPROVED)</t>
  </si>
  <si>
    <t>VARIANCE ON MONTHLY EQUITY</t>
  </si>
  <si>
    <t>Floor</t>
  </si>
  <si>
    <t>Takeout / Client Move In</t>
  </si>
  <si>
    <t>Equity Term</t>
  </si>
  <si>
    <t>2nd Floor</t>
  </si>
  <si>
    <t>C1</t>
  </si>
  <si>
    <t>Commercial</t>
  </si>
  <si>
    <t>End</t>
  </si>
  <si>
    <t>NON-BOI</t>
  </si>
  <si>
    <t>CTS FITTED</t>
  </si>
  <si>
    <t>UNSOLD</t>
  </si>
  <si>
    <t>TERM</t>
  </si>
  <si>
    <t>END EQUITY</t>
  </si>
  <si>
    <t>TERM (w/ additional buffer)</t>
  </si>
  <si>
    <t>For the month of</t>
  </si>
  <si>
    <t>C2</t>
  </si>
  <si>
    <t>Months Covered</t>
  </si>
  <si>
    <t>Months</t>
  </si>
  <si>
    <t>%</t>
  </si>
  <si>
    <t>Monthly</t>
  </si>
  <si>
    <t>Updated schedule as of Oct. 2024</t>
  </si>
  <si>
    <t>C3</t>
  </si>
  <si>
    <t>Step Up 1</t>
  </si>
  <si>
    <t>3rd Floor</t>
  </si>
  <si>
    <t>C4</t>
  </si>
  <si>
    <t>Step Up 2</t>
  </si>
  <si>
    <t>4th Floor</t>
  </si>
  <si>
    <t>C5</t>
  </si>
  <si>
    <t>5th Floor</t>
  </si>
  <si>
    <t>C6</t>
  </si>
  <si>
    <t>6th Floor</t>
  </si>
  <si>
    <t>SOLD</t>
  </si>
  <si>
    <t>2A</t>
  </si>
  <si>
    <t>A</t>
  </si>
  <si>
    <t>Studio Unit</t>
  </si>
  <si>
    <t>South</t>
  </si>
  <si>
    <t>0</t>
  </si>
  <si>
    <t>BOI (W/ HIC)</t>
  </si>
  <si>
    <t>NON BOI- BIR THRESHOLD</t>
  </si>
  <si>
    <t>BOI</t>
  </si>
  <si>
    <t>CTS BARE WITH HIC</t>
  </si>
  <si>
    <t>JUAN CARLOS CALLANGA</t>
  </si>
  <si>
    <t>FROM UG TO 2F</t>
  </si>
  <si>
    <t>7th Floor</t>
  </si>
  <si>
    <t>2B</t>
  </si>
  <si>
    <t>B</t>
  </si>
  <si>
    <t>JOYCE CADIAO</t>
  </si>
  <si>
    <t>Nov. 1-14,2023 only</t>
  </si>
  <si>
    <t>8th Floor</t>
  </si>
  <si>
    <t>2C</t>
  </si>
  <si>
    <t>C</t>
  </si>
  <si>
    <t>KRISTER D. VILLARUZ</t>
  </si>
  <si>
    <t>Nov. 15-30,2023</t>
  </si>
  <si>
    <t>9th Floor</t>
  </si>
  <si>
    <t>2D</t>
  </si>
  <si>
    <t>D</t>
  </si>
  <si>
    <t>SHALEY MARIE G. PALMARES</t>
  </si>
  <si>
    <t>10th Floor</t>
  </si>
  <si>
    <t>2E</t>
  </si>
  <si>
    <t>E</t>
  </si>
  <si>
    <t>MICHELLE DAWN T. VERGARA</t>
  </si>
  <si>
    <t>11th Floor</t>
  </si>
  <si>
    <t>2F</t>
  </si>
  <si>
    <t>F</t>
  </si>
  <si>
    <t>12th Floor</t>
  </si>
  <si>
    <t>3A</t>
  </si>
  <si>
    <t>14th Floor</t>
  </si>
  <si>
    <t>3B</t>
  </si>
  <si>
    <t>3C</t>
  </si>
  <si>
    <t>Edit every month</t>
  </si>
  <si>
    <t>3D</t>
  </si>
  <si>
    <t>New Construction Sched:</t>
  </si>
  <si>
    <t>3E</t>
  </si>
  <si>
    <t>3F</t>
  </si>
  <si>
    <t>Step Up:</t>
  </si>
  <si>
    <t>Step-up</t>
  </si>
  <si>
    <t>3G</t>
  </si>
  <si>
    <t>G</t>
  </si>
  <si>
    <t>JOSEPH WINSTON S. BENUEZA</t>
  </si>
  <si>
    <t>FROM UG TO 3F</t>
  </si>
  <si>
    <t>Step Up w/ 2.5%:</t>
  </si>
  <si>
    <t>Step-up, 2.50% Lumpsum</t>
  </si>
  <si>
    <t>3H</t>
  </si>
  <si>
    <t>H</t>
  </si>
  <si>
    <t>CARYL KAY C. CALLANGA</t>
  </si>
  <si>
    <t>w/ 2.5% Lumpsum:</t>
  </si>
  <si>
    <t>Equity spread, 2.50% Lumpsum</t>
  </si>
  <si>
    <t>3I</t>
  </si>
  <si>
    <t>I</t>
  </si>
  <si>
    <t>FREDERIC E. QUIACHON</t>
  </si>
  <si>
    <t>BASED ON NEW SCHEDULE (July 2025+2 months PMD)</t>
  </si>
  <si>
    <t>3J</t>
  </si>
  <si>
    <t>J</t>
  </si>
  <si>
    <t>CYRUSCHAD B. TUTOR</t>
  </si>
  <si>
    <t>3K</t>
  </si>
  <si>
    <t>K</t>
  </si>
  <si>
    <t>JULIE ANNE P. ABANGAN</t>
  </si>
  <si>
    <t>3L</t>
  </si>
  <si>
    <t>L</t>
  </si>
  <si>
    <t>ANTHENOR R. ALEJANDRIA</t>
  </si>
  <si>
    <t>SPECIAL STEP-UP TERM</t>
  </si>
  <si>
    <t>(Tech-June 2025 +2 months PMD) from sir Toff</t>
  </si>
  <si>
    <t>3M</t>
  </si>
  <si>
    <t>M</t>
  </si>
  <si>
    <t>3N</t>
  </si>
  <si>
    <t>N</t>
  </si>
  <si>
    <t>MA. JONALYN DURAN</t>
  </si>
  <si>
    <t>RS</t>
  </si>
  <si>
    <t>3O</t>
  </si>
  <si>
    <t>O</t>
  </si>
  <si>
    <t>1ST</t>
  </si>
  <si>
    <t>3P</t>
  </si>
  <si>
    <t>P</t>
  </si>
  <si>
    <t>JOVY T. TRASMONTE</t>
  </si>
  <si>
    <t>2nd</t>
  </si>
  <si>
    <t>3Q</t>
  </si>
  <si>
    <t>Q</t>
  </si>
  <si>
    <t>PAUL ALEXANDER R. ROJO</t>
  </si>
  <si>
    <t>3rd</t>
  </si>
  <si>
    <t>3R</t>
  </si>
  <si>
    <t>R</t>
  </si>
  <si>
    <t>4th</t>
  </si>
  <si>
    <t>4A</t>
  </si>
  <si>
    <t>ANNABELLE BARRIOS</t>
  </si>
  <si>
    <t>FROM 2F TO 4F</t>
  </si>
  <si>
    <t>5th</t>
  </si>
  <si>
    <t>4B</t>
  </si>
  <si>
    <t>LEONIDAS HALLADOR</t>
  </si>
  <si>
    <t>6th</t>
  </si>
  <si>
    <t>4C</t>
  </si>
  <si>
    <t>GENALINE C. AGUIRRE</t>
  </si>
  <si>
    <t>7th</t>
  </si>
  <si>
    <t>4D</t>
  </si>
  <si>
    <t>8th</t>
  </si>
  <si>
    <t>4E</t>
  </si>
  <si>
    <t>9th</t>
  </si>
  <si>
    <t>4F</t>
  </si>
  <si>
    <t>ROWENA LEONIDAS</t>
  </si>
  <si>
    <t>10th</t>
  </si>
  <si>
    <t>4G</t>
  </si>
  <si>
    <t>DR. ROY P. ABAD</t>
  </si>
  <si>
    <t>11th</t>
  </si>
  <si>
    <t>4H</t>
  </si>
  <si>
    <t>STARR B. ALAMO</t>
  </si>
  <si>
    <t>12th</t>
  </si>
  <si>
    <t>4I</t>
  </si>
  <si>
    <t>BOB JOHN CARLO HUBO</t>
  </si>
  <si>
    <t>13th</t>
  </si>
  <si>
    <t>4J</t>
  </si>
  <si>
    <t>JEROME V. BLANCIA</t>
  </si>
  <si>
    <t>14th</t>
  </si>
  <si>
    <t>4K</t>
  </si>
  <si>
    <t>VICTOR B. CHUA</t>
  </si>
  <si>
    <t>15th</t>
  </si>
  <si>
    <t>4L</t>
  </si>
  <si>
    <t>IMELDA B. CHUA</t>
  </si>
  <si>
    <t>16th</t>
  </si>
  <si>
    <t>4M</t>
  </si>
  <si>
    <t>EDITHA B. MARQUEZ</t>
  </si>
  <si>
    <t>17th</t>
  </si>
  <si>
    <t>4N</t>
  </si>
  <si>
    <t>DARLYN JOY SALIENDRA</t>
  </si>
  <si>
    <t>18th</t>
  </si>
  <si>
    <t>4O</t>
  </si>
  <si>
    <t>MICHELLE C. ENCARNACION</t>
  </si>
  <si>
    <t>19th</t>
  </si>
  <si>
    <t>4P</t>
  </si>
  <si>
    <t>CHARMISE MALUTAO</t>
  </si>
  <si>
    <t>20th</t>
  </si>
  <si>
    <t>4Q</t>
  </si>
  <si>
    <t>EMELYN B. LIGASAN</t>
  </si>
  <si>
    <t>21st</t>
  </si>
  <si>
    <t>4R</t>
  </si>
  <si>
    <t>DEANNA JANE ARBOLEDA</t>
  </si>
  <si>
    <t>22nd</t>
  </si>
  <si>
    <t>5A</t>
  </si>
  <si>
    <t>MA. AGNES G. TIROL</t>
  </si>
  <si>
    <t>FROM 3F TO 5F</t>
  </si>
  <si>
    <t>23rd</t>
  </si>
  <si>
    <t>5B</t>
  </si>
  <si>
    <t>MARK D. DIEL</t>
  </si>
  <si>
    <t>24th</t>
  </si>
  <si>
    <t>5C</t>
  </si>
  <si>
    <t>MYLA MANCHION</t>
  </si>
  <si>
    <t>25th</t>
  </si>
  <si>
    <t>5D</t>
  </si>
  <si>
    <t>ELEASHA GABRIELLE GAPASIN</t>
  </si>
  <si>
    <t>26th</t>
  </si>
  <si>
    <t>5E</t>
  </si>
  <si>
    <t>CHRISTHAEL LLEWLYN F. RAMOS</t>
  </si>
  <si>
    <t>27th</t>
  </si>
  <si>
    <t>5F</t>
  </si>
  <si>
    <t>CHARLOTTE MHAEY RAMOS</t>
  </si>
  <si>
    <t>28th</t>
  </si>
  <si>
    <t>5G</t>
  </si>
  <si>
    <t>NELL JOHN E. CERVANTES</t>
  </si>
  <si>
    <t>5H</t>
  </si>
  <si>
    <t>MARY JOY GEAGA</t>
  </si>
  <si>
    <t>5I</t>
  </si>
  <si>
    <t>GODOFREDO CUBIL JR.</t>
  </si>
  <si>
    <t>5J</t>
  </si>
  <si>
    <t>BILLY JOE IGPUARA</t>
  </si>
  <si>
    <t>5K</t>
  </si>
  <si>
    <t>MYRA IGPUARA IDEMNE</t>
  </si>
  <si>
    <t>5L</t>
  </si>
  <si>
    <t>RALPH PATRICK C. PINEDA</t>
  </si>
  <si>
    <t>5M</t>
  </si>
  <si>
    <t>TIMOTHY JOHN DURAN</t>
  </si>
  <si>
    <t>5N</t>
  </si>
  <si>
    <t>DAPHNE TOMEO</t>
  </si>
  <si>
    <t>5O</t>
  </si>
  <si>
    <t>ANNA LERMA PANAGUITON</t>
  </si>
  <si>
    <t>5P</t>
  </si>
  <si>
    <t>JOCELYN L. MOTOMITSU</t>
  </si>
  <si>
    <t>5Q</t>
  </si>
  <si>
    <t>GIAN CARLO C. BAJALA</t>
  </si>
  <si>
    <t>5R</t>
  </si>
  <si>
    <t>WENIELYN A. ADANZA</t>
  </si>
  <si>
    <t>6A</t>
  </si>
  <si>
    <t>ANGEL ANN P. RAMILLA</t>
  </si>
  <si>
    <t>FROM 4F TO 6F</t>
  </si>
  <si>
    <t>6B</t>
  </si>
  <si>
    <t>6C</t>
  </si>
  <si>
    <t>ESPERIDION CARCILLAR JR.</t>
  </si>
  <si>
    <t>6D</t>
  </si>
  <si>
    <t>LEAH LOPEZ</t>
  </si>
  <si>
    <t>6E</t>
  </si>
  <si>
    <t>RANDY B. DEPAMAYLO</t>
  </si>
  <si>
    <t>6F</t>
  </si>
  <si>
    <t>6G</t>
  </si>
  <si>
    <t>RAYMUND CELESTIAL</t>
  </si>
  <si>
    <t>6H</t>
  </si>
  <si>
    <t>ABNER T. APORTADERA</t>
  </si>
  <si>
    <t>6I</t>
  </si>
  <si>
    <t>ROBERT ALFRED P. PAMA</t>
  </si>
  <si>
    <t>6J</t>
  </si>
  <si>
    <t>INGRID MAE GREY</t>
  </si>
  <si>
    <t>6K</t>
  </si>
  <si>
    <t>AZUR ALLOSO</t>
  </si>
  <si>
    <t>6L</t>
  </si>
  <si>
    <t>LEA MAE PRODIGO</t>
  </si>
  <si>
    <t>6M</t>
  </si>
  <si>
    <t>NESTOR LAJO</t>
  </si>
  <si>
    <t>6N</t>
  </si>
  <si>
    <t>REGENE DEOCAMPO</t>
  </si>
  <si>
    <t>6O</t>
  </si>
  <si>
    <t>SHEENA LIBERIAGA</t>
  </si>
  <si>
    <t>6P</t>
  </si>
  <si>
    <t>6Q</t>
  </si>
  <si>
    <t>6R</t>
  </si>
  <si>
    <t>GIRLIE MANINGO</t>
  </si>
  <si>
    <t>7A</t>
  </si>
  <si>
    <t>ADRILEE H. GICOS</t>
  </si>
  <si>
    <t>FROM 5F TO 7F</t>
  </si>
  <si>
    <t>7B</t>
  </si>
  <si>
    <t>7C</t>
  </si>
  <si>
    <t>CHRISTY ANN VARGAS</t>
  </si>
  <si>
    <t>7D</t>
  </si>
  <si>
    <t>7E</t>
  </si>
  <si>
    <t>7F</t>
  </si>
  <si>
    <t>7G</t>
  </si>
  <si>
    <t>7H</t>
  </si>
  <si>
    <t>JOANEL GEROY</t>
  </si>
  <si>
    <t>7I</t>
  </si>
  <si>
    <t>7J</t>
  </si>
  <si>
    <t>7K</t>
  </si>
  <si>
    <t>CATHERINE C. GRANDE</t>
  </si>
  <si>
    <t>7L</t>
  </si>
  <si>
    <t>REJIN C. GARRUCHO</t>
  </si>
  <si>
    <t>7M</t>
  </si>
  <si>
    <t>7N</t>
  </si>
  <si>
    <t>7O</t>
  </si>
  <si>
    <t>KEAN GRACE S. NIAR</t>
  </si>
  <si>
    <t>7P</t>
  </si>
  <si>
    <t>7Q</t>
  </si>
  <si>
    <t>SARAH LHYNN V. SEVILLA</t>
  </si>
  <si>
    <t>7R</t>
  </si>
  <si>
    <t>JONEL COLLADO</t>
  </si>
  <si>
    <t>8A</t>
  </si>
  <si>
    <t>NON BOI- BIR THRESHOLD(CTS FITTED)</t>
  </si>
  <si>
    <t>JOSEPH JAN A. LLORICO</t>
  </si>
  <si>
    <t>FROM 6F TO 8F</t>
  </si>
  <si>
    <t>8B</t>
  </si>
  <si>
    <t>MYRIL B. LUNA</t>
  </si>
  <si>
    <t>8C</t>
  </si>
  <si>
    <t>CHRISVY GELLE GA</t>
  </si>
  <si>
    <t>8D</t>
  </si>
  <si>
    <t>8E</t>
  </si>
  <si>
    <t>MA. LIZA C. BORRES</t>
  </si>
  <si>
    <t>8F</t>
  </si>
  <si>
    <t>MARIA PILAR MONTANEZ</t>
  </si>
  <si>
    <t>8G</t>
  </si>
  <si>
    <t>8H</t>
  </si>
  <si>
    <t>ELEONOR COCHING</t>
  </si>
  <si>
    <t>8I</t>
  </si>
  <si>
    <t>MA. AMELLA JEAN PALOMO</t>
  </si>
  <si>
    <t>8J</t>
  </si>
  <si>
    <t>MABEL TAMAYO</t>
  </si>
  <si>
    <t>8K</t>
  </si>
  <si>
    <t>8L</t>
  </si>
  <si>
    <t>APRIL JIMS ARSENIO</t>
  </si>
  <si>
    <t>8M</t>
  </si>
  <si>
    <t>JEARIE MAE BELL G. PO</t>
  </si>
  <si>
    <t>8N</t>
  </si>
  <si>
    <t>MA. CARMELA THERESE TAMAYO</t>
  </si>
  <si>
    <t>8O</t>
  </si>
  <si>
    <t>KATHLEEN MAY BRILLANTES</t>
  </si>
  <si>
    <t>8P</t>
  </si>
  <si>
    <t>8Q</t>
  </si>
  <si>
    <t>MAE LYN TALAGON</t>
  </si>
  <si>
    <t>8R</t>
  </si>
  <si>
    <t>KRISTINA GRACE A. LLORICO</t>
  </si>
  <si>
    <t>9A</t>
  </si>
  <si>
    <t>HERBERT A. RACHO</t>
  </si>
  <si>
    <t>FROM 7F TO 9F</t>
  </si>
  <si>
    <t>9B</t>
  </si>
  <si>
    <t>MA. GEMMA A. SALAZAR</t>
  </si>
  <si>
    <t>9C</t>
  </si>
  <si>
    <t>JACINTO ROMEO EVIDENTE</t>
  </si>
  <si>
    <t>9D</t>
  </si>
  <si>
    <t>9E</t>
  </si>
  <si>
    <t>9F</t>
  </si>
  <si>
    <t>9G</t>
  </si>
  <si>
    <t>9H</t>
  </si>
  <si>
    <t>EJ LESTER G. NAPALINGA</t>
  </si>
  <si>
    <t>9I</t>
  </si>
  <si>
    <t>ANGELIE MONIQUE SILADAN</t>
  </si>
  <si>
    <t>9J</t>
  </si>
  <si>
    <t>SHEEN MARIE MABILOG</t>
  </si>
  <si>
    <t>9K</t>
  </si>
  <si>
    <t>RESSIAN PEARL V. OROLA</t>
  </si>
  <si>
    <t>9L</t>
  </si>
  <si>
    <t>JAMIEL VENZ DELA VEGA</t>
  </si>
  <si>
    <t>9M</t>
  </si>
  <si>
    <t>NICOLE BILLENA</t>
  </si>
  <si>
    <t>9N</t>
  </si>
  <si>
    <t>EDDIE AMOTO</t>
  </si>
  <si>
    <t>9O</t>
  </si>
  <si>
    <t>FE MELINDA ESPAÑOLA</t>
  </si>
  <si>
    <t>9P</t>
  </si>
  <si>
    <t>MERLY B. DOLDIG</t>
  </si>
  <si>
    <t>9Q</t>
  </si>
  <si>
    <t>SAMIHA J. SAMARA</t>
  </si>
  <si>
    <t>9R</t>
  </si>
  <si>
    <t>SOFIA MARIE A. OPAO</t>
  </si>
  <si>
    <t>10A</t>
  </si>
  <si>
    <t>REX SUSTENTO</t>
  </si>
  <si>
    <t>FROM 8F TO 10F</t>
  </si>
  <si>
    <t>10B</t>
  </si>
  <si>
    <t>NERINE GRACE C. RESOL</t>
  </si>
  <si>
    <t>10C</t>
  </si>
  <si>
    <t>LOUISE JADE P. TUBID</t>
  </si>
  <si>
    <t>10D</t>
  </si>
  <si>
    <t>MA. MERLIT T. RAPIZ</t>
  </si>
  <si>
    <t>10E</t>
  </si>
  <si>
    <t>RIO MARAH ESTORQUE</t>
  </si>
  <si>
    <t>10F</t>
  </si>
  <si>
    <t>DAPHNE O. SAITO</t>
  </si>
  <si>
    <t>10G</t>
  </si>
  <si>
    <t>10H</t>
  </si>
  <si>
    <t>DEMOSTHENES JOHN T. BRODIT</t>
  </si>
  <si>
    <t>10I</t>
  </si>
  <si>
    <t>CRISOGONO G. REYES</t>
  </si>
  <si>
    <t>10J</t>
  </si>
  <si>
    <t>LALYN JOY LOSA</t>
  </si>
  <si>
    <t>10K</t>
  </si>
  <si>
    <t>10L</t>
  </si>
  <si>
    <t>MIKE NOEL CHIN III</t>
  </si>
  <si>
    <t>10M</t>
  </si>
  <si>
    <t>CORNELIA TOLBOLL</t>
  </si>
  <si>
    <t>10N</t>
  </si>
  <si>
    <t>JEANNE B. MARQUEZ</t>
  </si>
  <si>
    <t>10O</t>
  </si>
  <si>
    <t>LEIZL C. LAYAM</t>
  </si>
  <si>
    <t>10P</t>
  </si>
  <si>
    <t>MARY JANE DIOSO</t>
  </si>
  <si>
    <t>10Q</t>
  </si>
  <si>
    <t>PRECIOUS JADE C. TAURO</t>
  </si>
  <si>
    <t>10R</t>
  </si>
  <si>
    <t>ALEXANDER SUPLICO JR</t>
  </si>
  <si>
    <t>11A</t>
  </si>
  <si>
    <t>11B</t>
  </si>
  <si>
    <t>11C</t>
  </si>
  <si>
    <t>11D</t>
  </si>
  <si>
    <t>11E</t>
  </si>
  <si>
    <t>11F</t>
  </si>
  <si>
    <t>11G</t>
  </si>
  <si>
    <t>11H</t>
  </si>
  <si>
    <t>11I</t>
  </si>
  <si>
    <t>11J</t>
  </si>
  <si>
    <t>11K</t>
  </si>
  <si>
    <t>11L</t>
  </si>
  <si>
    <t>11M</t>
  </si>
  <si>
    <t>11N</t>
  </si>
  <si>
    <t>11O</t>
  </si>
  <si>
    <t>11P</t>
  </si>
  <si>
    <t>11Q</t>
  </si>
  <si>
    <t>11R</t>
  </si>
  <si>
    <t>12A</t>
  </si>
  <si>
    <t>12B</t>
  </si>
  <si>
    <t>12C</t>
  </si>
  <si>
    <t>12D</t>
  </si>
  <si>
    <t>12E</t>
  </si>
  <si>
    <t>12F</t>
  </si>
  <si>
    <t>12G</t>
  </si>
  <si>
    <t>12H</t>
  </si>
  <si>
    <t>12I</t>
  </si>
  <si>
    <t>12J</t>
  </si>
  <si>
    <t>12K</t>
  </si>
  <si>
    <t>12L</t>
  </si>
  <si>
    <t>12M</t>
  </si>
  <si>
    <t>12N</t>
  </si>
  <si>
    <t>12O</t>
  </si>
  <si>
    <t>12P</t>
  </si>
  <si>
    <t>12Q</t>
  </si>
  <si>
    <t>12R</t>
  </si>
  <si>
    <t>13th Floor</t>
  </si>
  <si>
    <t>14A</t>
  </si>
  <si>
    <t>14B</t>
  </si>
  <si>
    <t>14C</t>
  </si>
  <si>
    <t>14D</t>
  </si>
  <si>
    <t>14E</t>
  </si>
  <si>
    <t>14F</t>
  </si>
  <si>
    <t>14G</t>
  </si>
  <si>
    <t>14H</t>
  </si>
  <si>
    <t>14I</t>
  </si>
  <si>
    <t>14J</t>
  </si>
  <si>
    <t>14K</t>
  </si>
  <si>
    <t>14L</t>
  </si>
  <si>
    <t>14M</t>
  </si>
  <si>
    <t>14N</t>
  </si>
  <si>
    <t>14O</t>
  </si>
  <si>
    <t>14P</t>
  </si>
  <si>
    <t>14Q</t>
  </si>
  <si>
    <t>14R</t>
  </si>
  <si>
    <t>FOR RE-OPEN</t>
  </si>
  <si>
    <t>AVERAGE</t>
  </si>
  <si>
    <t>HOLD UNDER CRV</t>
  </si>
  <si>
    <t>unsold</t>
  </si>
  <si>
    <t>NOT OPEN</t>
  </si>
  <si>
    <t>NOT YET OPEN</t>
  </si>
  <si>
    <t>average</t>
  </si>
  <si>
    <t>NET NSP</t>
  </si>
  <si>
    <t>NSP</t>
  </si>
  <si>
    <t>per unit</t>
  </si>
  <si>
    <t>checking</t>
  </si>
  <si>
    <t>AVERAGE ON NET INCENTORY</t>
  </si>
  <si>
    <t>1st-4th Floor</t>
  </si>
  <si>
    <t>DISCOUNT</t>
  </si>
  <si>
    <t>July 2022</t>
  </si>
  <si>
    <t>Part of LMF</t>
  </si>
  <si>
    <t>5th &amp; Up</t>
  </si>
  <si>
    <t>Not Included</t>
  </si>
  <si>
    <t>Level</t>
  </si>
  <si>
    <t>Description</t>
  </si>
  <si>
    <t>Unit</t>
  </si>
  <si>
    <t>Selling Price</t>
  </si>
  <si>
    <t>HIC AMOUNT</t>
  </si>
  <si>
    <t>Smarth home Cost + Recovery</t>
  </si>
  <si>
    <t>Increase</t>
  </si>
  <si>
    <t>(+)Smart Home Cost</t>
  </si>
  <si>
    <t>(+)Recovery Program</t>
  </si>
  <si>
    <t>STATUS</t>
  </si>
  <si>
    <t>BROOKY EQUITY TERM</t>
  </si>
  <si>
    <t>FROM AREA TAB</t>
  </si>
  <si>
    <t>UPPER GROUND</t>
  </si>
  <si>
    <t>1A</t>
  </si>
  <si>
    <t>UNIT A</t>
  </si>
  <si>
    <t>1B</t>
  </si>
  <si>
    <t>Mayorodomo/Hubo</t>
  </si>
  <si>
    <t>RF</t>
  </si>
  <si>
    <t>UNIT B</t>
  </si>
  <si>
    <t>1C</t>
  </si>
  <si>
    <t>1st to 5th month</t>
  </si>
  <si>
    <t>UNIT C</t>
  </si>
  <si>
    <t>1D</t>
  </si>
  <si>
    <t>6th to 11th month</t>
  </si>
  <si>
    <t>UNIT D</t>
  </si>
  <si>
    <t>1E</t>
  </si>
  <si>
    <t>Step Up 3</t>
  </si>
  <si>
    <t>12th to 17th month</t>
  </si>
  <si>
    <t>UNIT E</t>
  </si>
  <si>
    <t>1F</t>
  </si>
  <si>
    <t>UNIT F</t>
  </si>
  <si>
    <t>1G</t>
  </si>
  <si>
    <t>UNIT G</t>
  </si>
  <si>
    <t>1H</t>
  </si>
  <si>
    <t>UNIT H</t>
  </si>
  <si>
    <t>1I</t>
  </si>
  <si>
    <t>UNIT I</t>
  </si>
  <si>
    <t>1J</t>
  </si>
  <si>
    <t>UNIT J</t>
  </si>
  <si>
    <t>1K</t>
  </si>
  <si>
    <t>UNIT K</t>
  </si>
  <si>
    <t>1L</t>
  </si>
  <si>
    <t>UNIT L</t>
  </si>
  <si>
    <t>1M</t>
  </si>
  <si>
    <t>UNIT M</t>
  </si>
  <si>
    <t>1N</t>
  </si>
  <si>
    <t>UNIT N</t>
  </si>
  <si>
    <t>1O</t>
  </si>
  <si>
    <t>UNIT O</t>
  </si>
  <si>
    <t>1P</t>
  </si>
  <si>
    <t>Less: Lumpsum Payment (18th month)</t>
  </si>
  <si>
    <t>UNIT P</t>
  </si>
  <si>
    <t>1Q</t>
  </si>
  <si>
    <t>Start: July 2022 to Sept. 2023</t>
  </si>
  <si>
    <t>UNIT Q</t>
  </si>
  <si>
    <t>2nd FLOOR</t>
  </si>
  <si>
    <t>Prime w/ Parking</t>
  </si>
  <si>
    <t>Special Step Up:</t>
  </si>
  <si>
    <t>7% Step-up plus 3% Lumpsum</t>
  </si>
  <si>
    <t>12.5% Equity Step-up, 2.5% Lumpsum</t>
  </si>
  <si>
    <t>12.5% Equity spread, 2.5% Lumpsum</t>
  </si>
  <si>
    <t>2G</t>
  </si>
  <si>
    <t>2H</t>
  </si>
  <si>
    <t>2I</t>
  </si>
  <si>
    <t>2J</t>
  </si>
  <si>
    <t>2K</t>
  </si>
  <si>
    <t>2L</t>
  </si>
  <si>
    <t>Lumpsum payment of the 6th, 12th, &amp; 17th month</t>
  </si>
  <si>
    <t>2M</t>
  </si>
  <si>
    <t>2N</t>
  </si>
  <si>
    <t>2O</t>
  </si>
  <si>
    <t>2P</t>
  </si>
  <si>
    <t>2Q</t>
  </si>
  <si>
    <t>2R</t>
  </si>
  <si>
    <t>UNIT R</t>
  </si>
  <si>
    <t>3rd FLOOR</t>
  </si>
  <si>
    <t>4th FLOOR</t>
  </si>
  <si>
    <t>5th FLOOR</t>
  </si>
  <si>
    <t>6th FLOOR</t>
  </si>
  <si>
    <t>7th FLOOR</t>
  </si>
  <si>
    <t>8th FLOOR</t>
  </si>
  <si>
    <t>FLOOR APPLICABLE</t>
  </si>
  <si>
    <t>DISCOUNT:</t>
  </si>
  <si>
    <t>HOLD</t>
  </si>
  <si>
    <t>1ST-4TH FLOOR</t>
  </si>
  <si>
    <t>5TH &amp; UP</t>
  </si>
  <si>
    <t>rs</t>
  </si>
  <si>
    <t>DATE</t>
  </si>
  <si>
    <t>UNIT ID</t>
  </si>
  <si>
    <t>DESCRIPTION</t>
  </si>
  <si>
    <t>AMOUNT</t>
  </si>
  <si>
    <t>AMOUNT WITH MARGIN</t>
  </si>
  <si>
    <t>Refund exposure</t>
  </si>
  <si>
    <t>OCTOBER 16, 2024</t>
  </si>
  <si>
    <t>11k</t>
  </si>
  <si>
    <t>NONE</t>
  </si>
  <si>
    <t>Refund</t>
  </si>
  <si>
    <t>Change Orders from Adrian (Paid)</t>
  </si>
  <si>
    <t>Remaining Inv</t>
  </si>
  <si>
    <t>TOTAL FOR RECOVERY</t>
  </si>
  <si>
    <t xml:space="preserve">Building 1 Pricelist </t>
  </si>
  <si>
    <t>September 2025</t>
  </si>
  <si>
    <t>&lt;Hide&gt;</t>
  </si>
  <si>
    <t>CODE</t>
  </si>
  <si>
    <t>(-) Discount</t>
  </si>
  <si>
    <t>Net Selling Price</t>
  </si>
  <si>
    <t>(+) Legal &amp; Miscs. Fees</t>
  </si>
  <si>
    <t>IN HOUSE MONTLY AMORT  1 YR. @ 12%</t>
  </si>
  <si>
    <t>IN HOUSE MONTLY AMORT 3 YRS. @ 16%</t>
  </si>
  <si>
    <t>IN HOUSE MONTLY AMORT 5 YRS. @ 18%</t>
  </si>
  <si>
    <t>IN HOUSE MONTLY AMORT 10 YRS. @ 20%</t>
  </si>
  <si>
    <t>XX</t>
  </si>
  <si>
    <t>TSP</t>
  </si>
  <si>
    <t>OTHER PROMO</t>
  </si>
  <si>
    <t>VAT</t>
  </si>
  <si>
    <t>PROJECT NAME</t>
  </si>
  <si>
    <t>:</t>
  </si>
  <si>
    <t>Developer Name</t>
  </si>
  <si>
    <t>Iloilo Southprime Developers Inc.</t>
  </si>
  <si>
    <t>Dev Address</t>
  </si>
  <si>
    <t>Avancena St Brgy. Avancena Molo Iloilo City</t>
  </si>
  <si>
    <t>Proj Address</t>
  </si>
  <si>
    <t>Abeto Street, Brgy. Abeto-Mirasol, Mandurriao, Iloilo City</t>
  </si>
  <si>
    <t>BUILDING</t>
  </si>
  <si>
    <t>LEVEL/FLOOR NO.</t>
  </si>
  <si>
    <t>APPLICABLE PROMOS AND DISCOUNTS</t>
  </si>
  <si>
    <t>DISCOUNT ON TSP</t>
  </si>
  <si>
    <t xml:space="preserve">UNIT NO. </t>
  </si>
  <si>
    <t>CIRCULAR NO.</t>
  </si>
  <si>
    <t xml:space="preserve">DESCRIPTION </t>
  </si>
  <si>
    <t xml:space="preserve">DISCOUNT AMOUNT </t>
  </si>
  <si>
    <t>DATE OF RESERVATION</t>
  </si>
  <si>
    <t>September 1,2025</t>
  </si>
  <si>
    <t xml:space="preserve"> </t>
  </si>
  <si>
    <t>RESERVATION FEE</t>
  </si>
  <si>
    <t>DISCOUNT ON EQUITY</t>
  </si>
  <si>
    <r>
      <rPr>
        <b/>
        <sz val="14"/>
        <color rgb="FFFF0000"/>
        <rFont val="Cambria"/>
        <family val="1"/>
      </rPr>
      <t>REQUIRED</t>
    </r>
    <r>
      <rPr>
        <b/>
        <sz val="14"/>
        <color theme="0"/>
        <rFont val="Cambria"/>
        <family val="1"/>
      </rPr>
      <t xml:space="preserve"> EQUITY DOWNPAYMENT (%)</t>
    </r>
  </si>
  <si>
    <t>NAME OF BUYER</t>
  </si>
  <si>
    <t>cnc</t>
  </si>
  <si>
    <t>AGENT/SELLER</t>
  </si>
  <si>
    <t xml:space="preserve">agent </t>
  </si>
  <si>
    <t>BUYER'S COMPLETE ADDRESS</t>
  </si>
  <si>
    <t>address</t>
  </si>
  <si>
    <t>PROMO INCLUSION</t>
  </si>
  <si>
    <t>STEP UP TERMS</t>
  </si>
  <si>
    <t>UNIT #</t>
  </si>
  <si>
    <t>EQUITY TERM</t>
  </si>
  <si>
    <t>#</t>
  </si>
  <si>
    <t>No. of Months</t>
  </si>
  <si>
    <t>Percentage</t>
  </si>
  <si>
    <t>Tranche 1</t>
  </si>
  <si>
    <t>Tranche 2</t>
  </si>
  <si>
    <t>Tranche 3</t>
  </si>
  <si>
    <t>BROKER/AGENT’S NAME</t>
  </si>
  <si>
    <t>POSITION</t>
  </si>
  <si>
    <t>NAME</t>
  </si>
  <si>
    <t>PRC #/HLURB #</t>
  </si>
  <si>
    <t>Brokerage/Realty</t>
  </si>
  <si>
    <t>Broker Head/AVP</t>
  </si>
  <si>
    <t>Sales Manager</t>
  </si>
  <si>
    <t xml:space="preserve">Sales Agent/Property Consultant </t>
  </si>
  <si>
    <t>DATE :</t>
  </si>
  <si>
    <t>PAGE</t>
  </si>
  <si>
    <t>1 of 2</t>
  </si>
  <si>
    <t xml:space="preserve">PAGE </t>
  </si>
  <si>
    <t>2 of 2</t>
  </si>
  <si>
    <t>STANDARD PACKAGE COMPUTATION</t>
  </si>
  <si>
    <t>PAYMENT SCHEDULE</t>
  </si>
  <si>
    <t>CLIENT'S NAME</t>
  </si>
  <si>
    <t>UNIT NUMBER</t>
  </si>
  <si>
    <t>TOWER</t>
  </si>
  <si>
    <t>UNIT TYPE</t>
  </si>
  <si>
    <t>LIVEABLE AREA</t>
  </si>
  <si>
    <t>SQM.</t>
  </si>
  <si>
    <t>BALCONY AREA</t>
  </si>
  <si>
    <t>GROSS AREA</t>
  </si>
  <si>
    <t>TOTAL SELLING PRICE</t>
  </si>
  <si>
    <t>PARTICULARS</t>
  </si>
  <si>
    <t>Less: Promo Discount on TSP</t>
  </si>
  <si>
    <t>NET SELLING PRICE</t>
  </si>
  <si>
    <t>1st EQUITY PAYMENT</t>
  </si>
  <si>
    <t>31st of the month</t>
  </si>
  <si>
    <t>Add: VAT</t>
  </si>
  <si>
    <t>2nd EQUITY PAYMENT</t>
  </si>
  <si>
    <t>Add: Legal &amp; Misc. Fees</t>
  </si>
  <si>
    <t>3rd EQUITY PAYMENT</t>
  </si>
  <si>
    <t>equity</t>
  </si>
  <si>
    <t>4th EQUITY PAYMENT</t>
  </si>
  <si>
    <t>TOTAL CONTRACT PRICE</t>
  </si>
  <si>
    <t>5th EQUITY PAYMENT</t>
  </si>
  <si>
    <t>6th EQUITY PAYMENT</t>
  </si>
  <si>
    <t>Equity down Payment</t>
  </si>
  <si>
    <t>7th EQUITY PAYMENT</t>
  </si>
  <si>
    <t>less: Reservation Fee</t>
  </si>
  <si>
    <t>8th EQUITY PAYMENT</t>
  </si>
  <si>
    <t>Net  Equity Payment</t>
  </si>
  <si>
    <t>9th EQUITY PAYMENT</t>
  </si>
  <si>
    <t>10th EQUITY PAYMENT</t>
  </si>
  <si>
    <t xml:space="preserve"> Monthly Equity</t>
  </si>
  <si>
    <t>11th EQUITY PAYMENT</t>
  </si>
  <si>
    <t>12th EQUITY PAYMENT</t>
  </si>
  <si>
    <t>FULL BALANCE (TCP)</t>
  </si>
  <si>
    <t>13th EQUITY PAYMENT</t>
  </si>
  <si>
    <t>14th EQUITY PAYMENT</t>
  </si>
  <si>
    <t>Estimated Monthly Amortization</t>
  </si>
  <si>
    <t>15th EQUITY PAYMENT</t>
  </si>
  <si>
    <t>16th EQUITY PAYMENT</t>
  </si>
  <si>
    <t>Amount</t>
  </si>
  <si>
    <t>Income Requirement</t>
  </si>
  <si>
    <t>17th EQUITY PAYMENT</t>
  </si>
  <si>
    <t>18th EQUITY PAYMENT</t>
  </si>
  <si>
    <t>19th EQUITY PAYMENT</t>
  </si>
  <si>
    <t>20th EQUITY PAYMENT</t>
  </si>
  <si>
    <t>21st EQUITY PAYMENT</t>
  </si>
  <si>
    <t>Fixed for three (3) years</t>
  </si>
  <si>
    <t>22nd EQUITY PAYMENT</t>
  </si>
  <si>
    <t>Sample Computation for Interest rate is at 7% fixed for three (3) years only</t>
  </si>
  <si>
    <t>23rd EQUITY PAYMENT</t>
  </si>
  <si>
    <t>A. Prices are subject to change without prior notice.</t>
  </si>
  <si>
    <t>24th EQUITY PAYMENT</t>
  </si>
  <si>
    <t>B. Bank Fees rates may vary per bank.</t>
  </si>
  <si>
    <t>25th EQUITY PAYMENT</t>
  </si>
  <si>
    <t>26th EQUITY PAYMENT</t>
  </si>
  <si>
    <t>In House Estimated Monthly Amortization</t>
  </si>
  <si>
    <t>27th EQUITY PAYMENT</t>
  </si>
  <si>
    <t>28th EQUITY PAYMENT</t>
  </si>
  <si>
    <t>TCP Balance</t>
  </si>
  <si>
    <t>29th EQUITY PAYMENT</t>
  </si>
  <si>
    <t>30th EQUITY PAYMENT</t>
  </si>
  <si>
    <t>31st EQUITY PAYMENT</t>
  </si>
  <si>
    <t>32nd EQUITY PAYMENT</t>
  </si>
  <si>
    <t>33rd EQUITY PAYMENT</t>
  </si>
  <si>
    <t>34th EQUITY PAYMENT</t>
  </si>
  <si>
    <t>35th EQUITY PAYMENT</t>
  </si>
  <si>
    <t>Required 20% downpayment of the TCP.</t>
  </si>
  <si>
    <t>36th EQUITY PAYMENT</t>
  </si>
  <si>
    <t>37th EQUITY PAYMENT</t>
  </si>
  <si>
    <t>38th EQUITY PAYMENT</t>
  </si>
  <si>
    <t>APPLICABLE PROMO/DISCOUNTS</t>
  </si>
  <si>
    <t>39th EQUITY PAYMENT</t>
  </si>
  <si>
    <t>40th EQUITY PAYMENT</t>
  </si>
  <si>
    <t xml:space="preserve">CIRCULAR NO. </t>
  </si>
  <si>
    <t>DISCOUNT  / PROMO INCLUSION</t>
  </si>
  <si>
    <t>41st EQUITY PAYMENT</t>
  </si>
  <si>
    <t>42nd EQUITY PAYMENT</t>
  </si>
  <si>
    <t>43rd EQUITY PAYMENT</t>
  </si>
  <si>
    <t>44th EQUITY PAYMENT</t>
  </si>
  <si>
    <t>45th EQUITY PAYMENT</t>
  </si>
  <si>
    <t>46th EQUITY PAYMENT</t>
  </si>
  <si>
    <t>BALANCE</t>
  </si>
  <si>
    <t>Prepared by:</t>
  </si>
  <si>
    <t>Conformed:</t>
  </si>
  <si>
    <t>Date</t>
  </si>
  <si>
    <t>Date:</t>
  </si>
  <si>
    <t>**Combined Units:</t>
  </si>
  <si>
    <t>Sample Computation for Interest rate is at 6.5% fixed for three (3) years only</t>
  </si>
  <si>
    <t xml:space="preserve">PAGE: </t>
  </si>
  <si>
    <t>PAGE:</t>
  </si>
  <si>
    <t>Reservation Date</t>
  </si>
  <si>
    <t>1ST EQUITY PAYMENT</t>
  </si>
  <si>
    <t>Net Equity Payment</t>
  </si>
  <si>
    <t>TERMS (STEP UP)</t>
  </si>
  <si>
    <t xml:space="preserve">Monthly Equity </t>
  </si>
  <si>
    <t>Income requirement</t>
  </si>
  <si>
    <t>**Combined Units</t>
  </si>
  <si>
    <t>I/We</t>
  </si>
  <si>
    <t>of legal age, a resident of</t>
  </si>
  <si>
    <t xml:space="preserve">, and having the capacity </t>
  </si>
  <si>
    <t>and qualification to own and possess real estate properties in the Philippines, hereby manifest my/our intention to purchase the herein below described property.</t>
  </si>
  <si>
    <t xml:space="preserve">I/We hereby acknowledges that </t>
  </si>
  <si>
    <t xml:space="preserve">(hereinafter known as the “Developer/Company”) </t>
  </si>
  <si>
    <t xml:space="preserve">a corporation duly organized and existing by virtue and under the laws of the Republic of the Philippines, with office at </t>
  </si>
  <si>
    <t xml:space="preserve">is the owner and Developer of a </t>
  </si>
  <si>
    <t>CONDOMINIUM PROJECT known as</t>
  </si>
  <si>
    <t>(the “Project”), to be established and constructed along</t>
  </si>
  <si>
    <t xml:space="preserve">The Property subject to my/our reservation is a </t>
  </si>
  <si>
    <t>unit and is particularly described as follows:</t>
  </si>
  <si>
    <t xml:space="preserve">Project Name: </t>
  </si>
  <si>
    <t>Type:</t>
  </si>
  <si>
    <t xml:space="preserve">Residential Condominium                        </t>
  </si>
  <si>
    <t>Townhouse</t>
  </si>
  <si>
    <t>Parking Slot</t>
  </si>
  <si>
    <t xml:space="preserve">House and Lot    </t>
  </si>
  <si>
    <t>Commercial / Office</t>
  </si>
  <si>
    <t xml:space="preserve">Lot only </t>
  </si>
  <si>
    <t xml:space="preserve">Condominium </t>
  </si>
  <si>
    <t>Parking</t>
  </si>
  <si>
    <t>House &amp; Lot / Townhouse</t>
  </si>
  <si>
    <t>Tower</t>
  </si>
  <si>
    <t>Phase</t>
  </si>
  <si>
    <t>Floor No.</t>
  </si>
  <si>
    <t>Unit Reference</t>
  </si>
  <si>
    <t>Block No.</t>
  </si>
  <si>
    <t>Unit No.</t>
  </si>
  <si>
    <t>Slot No.</t>
  </si>
  <si>
    <t>Lot No.</t>
  </si>
  <si>
    <t>Size (sqm)</t>
  </si>
  <si>
    <t>Floor Area</t>
  </si>
  <si>
    <t>Lot/Floor Area</t>
  </si>
  <si>
    <t>Type of Business</t>
  </si>
  <si>
    <t>Unit Model</t>
  </si>
  <si>
    <t>Parking Model</t>
  </si>
  <si>
    <t>House Model</t>
  </si>
  <si>
    <t>Total Selling Price</t>
  </si>
  <si>
    <t xml:space="preserve">          Less: Discounts</t>
  </si>
  <si>
    <t xml:space="preserve">           Add: Legal &amp; Miscellaneous Fees</t>
  </si>
  <si>
    <t xml:space="preserve">           Add: VAT</t>
  </si>
  <si>
    <t>BALANCE PAYMENT SCHEME:</t>
  </si>
  <si>
    <t>Cash</t>
  </si>
  <si>
    <t>Bank Financing</t>
  </si>
  <si>
    <t>Deferred</t>
  </si>
  <si>
    <t>TERMS AND CONDITIONS</t>
  </si>
  <si>
    <t>1.</t>
  </si>
  <si>
    <t xml:space="preserve">As proof of my interest to purchase the Property, I hereby tender the sum of PESOS: </t>
  </si>
  <si>
    <r>
      <t>(</t>
    </r>
    <r>
      <rPr>
        <b/>
        <sz val="7.5"/>
        <color theme="1"/>
        <rFont val="Calibri"/>
        <family val="2"/>
      </rPr>
      <t>₱</t>
    </r>
  </si>
  <si>
    <t>)</t>
  </si>
  <si>
    <t>In connection with my reservation and purchase of the Property, I/we would like the purchase to be registered as follows:</t>
  </si>
  <si>
    <r>
      <t>Solely in my name</t>
    </r>
    <r>
      <rPr>
        <sz val="7.5"/>
        <color theme="1"/>
        <rFont val="Century Gothic"/>
        <family val="2"/>
      </rPr>
      <t xml:space="preserve">                                     </t>
    </r>
  </si>
  <si>
    <r>
      <t>In our names</t>
    </r>
    <r>
      <rPr>
        <sz val="7.5"/>
        <color theme="1"/>
        <rFont val="Century Gothic"/>
        <family val="2"/>
      </rPr>
      <t xml:space="preserve">                                                 </t>
    </r>
  </si>
  <si>
    <t>In the name of</t>
  </si>
  <si>
    <t xml:space="preserve">Individual </t>
  </si>
  <si>
    <t xml:space="preserve">Spouses </t>
  </si>
  <si>
    <t xml:space="preserve">A Corporation </t>
  </si>
  <si>
    <t xml:space="preserve">Married to </t>
  </si>
  <si>
    <t xml:space="preserve">Co-Owner </t>
  </si>
  <si>
    <t xml:space="preserve">A Person </t>
  </si>
  <si>
    <t xml:space="preserve">Trust Account </t>
  </si>
  <si>
    <t>BROKER / AGENT'S NAME</t>
  </si>
  <si>
    <t xml:space="preserve">NAME </t>
  </si>
  <si>
    <t>DATA PRIVACY CONSENT</t>
  </si>
  <si>
    <t xml:space="preserve">Buyer's signature over printed name &amp; Date signed </t>
  </si>
  <si>
    <t>Confirmed / Accepted:</t>
  </si>
  <si>
    <t>6th EQUITY AND 1ST LUMPSUM</t>
  </si>
  <si>
    <t>12th EQUITY AND 2ND LUMPSUM</t>
  </si>
  <si>
    <t>Lumpsum payment of the 6th, 12th, &amp; 18th month</t>
  </si>
  <si>
    <t>17th EQUITY AND 3RD LUMPSUM</t>
  </si>
  <si>
    <t>Fixed for five (5) years</t>
  </si>
  <si>
    <t>Sample Computation for Interest rate is at 8% fixed for five (5) years only</t>
  </si>
  <si>
    <t>12.5% Step-up plus 2.5% lumpsum</t>
  </si>
  <si>
    <t xml:space="preserve">Less: Lumpsum Payment </t>
  </si>
  <si>
    <t>Sample Computation for Interest rate is at 7% fixed for five (5) years only</t>
  </si>
  <si>
    <t>6th month</t>
  </si>
  <si>
    <t>7th to 11th month</t>
  </si>
  <si>
    <t>12th month</t>
  </si>
  <si>
    <t>13th to 17th month</t>
  </si>
  <si>
    <t>18th month</t>
  </si>
  <si>
    <t>LUMPSUM PAYMENT</t>
  </si>
  <si>
    <t>Lumpsum</t>
  </si>
  <si>
    <t>SPOT EQUITY_7 DAYS</t>
  </si>
  <si>
    <t>less: Spot Equity Discount</t>
  </si>
  <si>
    <t>SPOT EQUITY PAYMENT</t>
  </si>
  <si>
    <t>Spot Equity down Payment</t>
  </si>
  <si>
    <t>Net Spot Equity Payment</t>
  </si>
  <si>
    <t>**Combined unit:</t>
  </si>
  <si>
    <t>SPOT EQUITY_30 DAYS</t>
  </si>
  <si>
    <t>Spot Equity Payment</t>
  </si>
  <si>
    <t xml:space="preserve">Prepared by: </t>
  </si>
  <si>
    <t>DATE:</t>
  </si>
  <si>
    <t xml:space="preserve"> DATE : </t>
  </si>
  <si>
    <t>SPOT CASH_30 DAYS</t>
  </si>
  <si>
    <t>Less: Discount on TSP</t>
  </si>
  <si>
    <t>SPOT CASH PAYMENT</t>
  </si>
  <si>
    <t>Less: Reservation Fee</t>
  </si>
  <si>
    <t>NET SPOT CASH PAYMENT</t>
  </si>
  <si>
    <t>SPOT CASH_60 DAYS</t>
  </si>
  <si>
    <t>1ST SPOT CASH PAYMENT</t>
  </si>
  <si>
    <t>2ND SPOT CASH PAYMENT</t>
  </si>
  <si>
    <t>SPOT CASH PAYMENT AFTER 30 DAYS</t>
  </si>
  <si>
    <t>SPOT CASH PAYMENT AFTER 60 DAYS</t>
  </si>
  <si>
    <t>DEFERRED PAYMENT</t>
  </si>
  <si>
    <t>Equity Downpayment</t>
  </si>
  <si>
    <t>Montly Equity</t>
  </si>
  <si>
    <t>1 of 3</t>
  </si>
  <si>
    <t>2 of 3</t>
  </si>
  <si>
    <t>3 of 3</t>
  </si>
  <si>
    <t>SPECIAL PACKAGE COMPUTATION</t>
  </si>
  <si>
    <t>SPECIAL PACKAGE APPROVAL</t>
  </si>
  <si>
    <r>
      <t xml:space="preserve">SIGNATURE OVER PRINTED NAME </t>
    </r>
    <r>
      <rPr>
        <b/>
        <i/>
        <sz val="10"/>
        <color theme="1"/>
        <rFont val="Century Gothic"/>
        <family val="2"/>
      </rPr>
      <t>(Please indicate date signed)</t>
    </r>
  </si>
  <si>
    <t>Recommended by:</t>
  </si>
  <si>
    <t>Remarks:</t>
  </si>
  <si>
    <t>Approved</t>
  </si>
  <si>
    <t>Disapproved</t>
  </si>
  <si>
    <t>C&amp;C Head</t>
  </si>
  <si>
    <t>Approved by:</t>
  </si>
  <si>
    <t>Project Director</t>
  </si>
  <si>
    <t>COO/CEO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</si>
</sst>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4" formatCode="_(&quot;$&quot;* #,##0.00_);_(&quot;$&quot;* \(#,##0.00\);_(&quot;$&quot;* &quot;-&quot;??_);_(@_)"/>
    <numFmt numFmtId="43" formatCode="_(* #,##0.00_);_(* \(#,##0.00\);_(* &quot;-&quot;??_);_(@_)"/>
    <numFmt numFmtId="164" formatCode="&quot;₱&quot;#,##0.00;\-&quot;₱&quot;#,##0.00"/>
    <numFmt numFmtId="165" formatCode="&quot;₱&quot;#,##0.00;[Red]\-&quot;₱&quot;#,##0.00"/>
    <numFmt numFmtId="166" formatCode="_-&quot;₱&quot;* #,##0.00_-;\-&quot;₱&quot;* #,##0.00_-;_-&quot;₱&quot;* &quot;-&quot;??_-;_-@_-"/>
    <numFmt numFmtId="167" formatCode="_-* #,##0.00_-;\-* #,##0.00_-;_-* &quot;-&quot;??_-;_-@_-"/>
    <numFmt numFmtId="168" formatCode="_(* #,##0_);_(* \(#,##0\);_(* &quot;-&quot;??_);_(@_)"/>
    <numFmt numFmtId="169" formatCode="[$-409]mmmm\ d\,\ yyyy;@"/>
    <numFmt numFmtId="170" formatCode="0.00_ "/>
    <numFmt numFmtId="171" formatCode="[$Php-3409]#,##0.00"/>
    <numFmt numFmtId="172" formatCode="[$-409]d\-mmm\-yy;@"/>
    <numFmt numFmtId="173" formatCode="0.0%"/>
    <numFmt numFmtId="174" formatCode="_([$₱-3409]* #,##0.00_);_([$₱-3409]* \(#,##0.00\);_([$₱-3409]* &quot;-&quot;??_);_(@_)"/>
    <numFmt numFmtId="175" formatCode="&quot;$&quot;#,##0.00"/>
    <numFmt numFmtId="176" formatCode="#,##0.00000000"/>
    <numFmt numFmtId="177" formatCode="_(* #,##0.00_);_(* \(#,##0.00\);_(* &quot;-&quot;??.0_);_(@_)"/>
    <numFmt numFmtId="178" formatCode="#,##0.00;#,##0.00"/>
    <numFmt numFmtId="179" formatCode="mm/dd/yy;@"/>
    <numFmt numFmtId="180" formatCode="&quot;₱&quot;#,##0.00"/>
    <numFmt numFmtId="181" formatCode="[$₱-3409]#,##0.00;[Red][$₱-3409]#,##0.00"/>
    <numFmt numFmtId="182" formatCode="#,##0.00_ ;\-#,##0.00\ "/>
    <numFmt numFmtId="183" formatCode="[$-409]dd\-mmm\-yy;@"/>
    <numFmt numFmtId="184" formatCode="_-* #,##0.00_-;\-* #,##0.00_-;_-* &quot;-&quot;??_-;_-@"/>
    <numFmt numFmtId="185" formatCode="_-* #,##0.0000000_-;\-* #,##0.0000000_-;_-* &quot;-&quot;??_-;_-@"/>
    <numFmt numFmtId="186" formatCode="_(* #,##0.0000000000_);_(* \(#,##0.0000000000\);_(* &quot;-&quot;??_);_(@_)"/>
    <numFmt numFmtId="187" formatCode="[$-3409]mmmm\ dd\,\ yyyy;@"/>
    <numFmt numFmtId="188" formatCode="0.00000000"/>
    <numFmt numFmtId="189" formatCode="[$-3409]dd\-mmm\-yy;@"/>
    <numFmt numFmtId="190" formatCode="0.0000%"/>
    <numFmt numFmtId="191" formatCode="[$₱-464]#,##0.00"/>
    <numFmt numFmtId="192" formatCode="0.00?%_)"/>
    <numFmt numFmtId="193" formatCode="0_)"/>
    <numFmt numFmtId="194" formatCode="_-[$₱-3409]* #,##0.00_-;\-[$₱-3409]* #,##0.00_-;_-[$₱-3409]* &quot;-&quot;??_-;_-@_-"/>
    <numFmt numFmtId="195" formatCode="m/d/yyyy;@"/>
    <numFmt numFmtId="196" formatCode="#,##0.000000000_ ;\-#,##0.000000000\ "/>
    <numFmt numFmtId="197" formatCode="[$-409]mmm\-yy;@"/>
    <numFmt numFmtId="198" formatCode="[$-409]mmmm\-yy;@"/>
  </numFmts>
  <fonts count="121">
    <font>
      <sz val="11"/>
      <color theme="1"/>
      <name val="Calibri"/>
      <family val="2"/>
      <scheme val="minor"/>
    </font>
    <font>
      <sz val="10"/>
      <color theme="1"/>
      <name val="Century Gothic"/>
      <family val="2"/>
    </font>
    <font>
      <b/>
      <sz val="11"/>
      <color theme="1"/>
      <name val="Calibri"/>
      <family val="2"/>
      <scheme val="minor"/>
    </font>
    <font>
      <sz val="11"/>
      <name val="Calibri"/>
      <family val="2"/>
      <scheme val="minor"/>
    </font>
    <font>
      <sz val="11"/>
      <color theme="1"/>
      <name val="Calibri"/>
      <family val="2"/>
      <scheme val="minor"/>
    </font>
    <font>
      <sz val="11"/>
      <color theme="0"/>
      <name val="Calibri"/>
      <family val="2"/>
      <scheme val="minor"/>
    </font>
    <font>
      <b/>
      <sz val="9"/>
      <color theme="0"/>
      <name val="Century Gothic"/>
      <family val="2"/>
    </font>
    <font>
      <sz val="9"/>
      <color theme="1"/>
      <name val="Century Gothic"/>
      <family val="2"/>
    </font>
    <font>
      <sz val="10"/>
      <color theme="1"/>
      <name val="Calibri"/>
      <family val="2"/>
      <scheme val="minor"/>
    </font>
    <font>
      <b/>
      <sz val="10"/>
      <color theme="0"/>
      <name val="Century Gothic"/>
      <family val="2"/>
    </font>
    <font>
      <b/>
      <sz val="12"/>
      <color theme="0"/>
      <name val="Century Gothic"/>
      <family val="2"/>
    </font>
    <font>
      <b/>
      <sz val="10"/>
      <color theme="1"/>
      <name val="Calibri"/>
      <family val="2"/>
      <scheme val="minor"/>
    </font>
    <font>
      <sz val="9"/>
      <color theme="0"/>
      <name val="Century Gothic"/>
      <family val="2"/>
    </font>
    <font>
      <sz val="10"/>
      <color theme="1"/>
      <name val="Century Gothic"/>
      <family val="2"/>
    </font>
    <font>
      <sz val="11"/>
      <color theme="1"/>
      <name val="Arial"/>
      <family val="2"/>
    </font>
    <font>
      <b/>
      <sz val="10"/>
      <color theme="1"/>
      <name val="Century Gothic"/>
      <family val="2"/>
    </font>
    <font>
      <b/>
      <sz val="9"/>
      <color theme="1"/>
      <name val="Century Gothic"/>
      <family val="2"/>
    </font>
    <font>
      <sz val="10"/>
      <color theme="0"/>
      <name val="Calibri"/>
      <family val="2"/>
      <scheme val="minor"/>
    </font>
    <font>
      <sz val="10"/>
      <name val="Century Gothic"/>
      <family val="2"/>
    </font>
    <font>
      <b/>
      <sz val="9"/>
      <name val="Century Gothic"/>
      <family val="2"/>
    </font>
    <font>
      <sz val="9"/>
      <name val="Century Gothic"/>
      <family val="2"/>
    </font>
    <font>
      <sz val="10"/>
      <color theme="0"/>
      <name val="Century Gothic"/>
      <family val="2"/>
    </font>
    <font>
      <sz val="11"/>
      <color rgb="FF000000"/>
      <name val="Calibri"/>
      <family val="2"/>
    </font>
    <font>
      <sz val="10"/>
      <name val="Calibri"/>
      <family val="2"/>
      <scheme val="minor"/>
    </font>
    <font>
      <sz val="8"/>
      <name val="Century Gothic"/>
      <family val="2"/>
    </font>
    <font>
      <sz val="8"/>
      <color theme="1"/>
      <name val="Century Gothic"/>
      <family val="2"/>
    </font>
    <font>
      <sz val="10"/>
      <name val="Arial"/>
      <family val="2"/>
    </font>
    <font>
      <sz val="8"/>
      <name val="Calibri"/>
      <family val="2"/>
      <scheme val="minor"/>
    </font>
    <font>
      <b/>
      <u/>
      <sz val="10"/>
      <name val="Calibri"/>
      <family val="2"/>
      <scheme val="minor"/>
    </font>
    <font>
      <sz val="10"/>
      <color rgb="FFFF0000"/>
      <name val="Calibri"/>
      <family val="2"/>
      <scheme val="minor"/>
    </font>
    <font>
      <b/>
      <i/>
      <sz val="9"/>
      <color rgb="FFFF0000"/>
      <name val="Century Gothic"/>
      <family val="2"/>
    </font>
    <font>
      <sz val="11"/>
      <color theme="1"/>
      <name val="Century Gothic"/>
      <family val="2"/>
    </font>
    <font>
      <b/>
      <sz val="10"/>
      <name val="Century Gothic"/>
      <family val="2"/>
    </font>
    <font>
      <b/>
      <u/>
      <sz val="12"/>
      <name val="Century Gothic"/>
      <family val="2"/>
    </font>
    <font>
      <sz val="12"/>
      <name val="Century Gothic"/>
      <family val="2"/>
    </font>
    <font>
      <sz val="10"/>
      <color rgb="FFFF0000"/>
      <name val="Century Gothic"/>
      <family val="2"/>
    </font>
    <font>
      <b/>
      <sz val="11"/>
      <color theme="1"/>
      <name val="Century Gothic"/>
      <family val="2"/>
    </font>
    <font>
      <sz val="11"/>
      <color theme="0"/>
      <name val="Century Gothic"/>
      <family val="2"/>
    </font>
    <font>
      <i/>
      <sz val="10"/>
      <color theme="1"/>
      <name val="Century Gothic"/>
      <family val="2"/>
    </font>
    <font>
      <i/>
      <sz val="9"/>
      <color theme="1"/>
      <name val="Century Gothic"/>
      <family val="2"/>
    </font>
    <font>
      <b/>
      <i/>
      <sz val="10"/>
      <color rgb="FFFF0000"/>
      <name val="Century Gothic"/>
      <family val="2"/>
    </font>
    <font>
      <b/>
      <u/>
      <sz val="11"/>
      <name val="Century Gothic"/>
      <family val="2"/>
    </font>
    <font>
      <sz val="11"/>
      <name val="Century Gothic"/>
      <family val="2"/>
    </font>
    <font>
      <sz val="11"/>
      <color rgb="FFFF0000"/>
      <name val="Century Gothic"/>
      <family val="2"/>
    </font>
    <font>
      <sz val="14"/>
      <name val="Cambria"/>
      <family val="1"/>
    </font>
    <font>
      <b/>
      <sz val="14"/>
      <name val="Cambria"/>
      <family val="1"/>
    </font>
    <font>
      <i/>
      <sz val="9"/>
      <name val="Century Gothic"/>
      <family val="2"/>
    </font>
    <font>
      <b/>
      <sz val="14"/>
      <color theme="0"/>
      <name val="Cambria"/>
      <family val="1"/>
    </font>
    <font>
      <sz val="11"/>
      <color rgb="FFFF0000"/>
      <name val="Calibri"/>
      <family val="2"/>
      <scheme val="minor"/>
    </font>
    <font>
      <sz val="10"/>
      <color rgb="FFFF0000"/>
      <name val="Arial"/>
      <family val="2"/>
    </font>
    <font>
      <b/>
      <sz val="10"/>
      <color rgb="FFFF0000"/>
      <name val="Calibri"/>
      <family val="2"/>
      <scheme val="minor"/>
    </font>
    <font>
      <sz val="8"/>
      <color theme="0"/>
      <name val="Century Gothic"/>
      <family val="2"/>
    </font>
    <font>
      <sz val="7.5"/>
      <color theme="1"/>
      <name val="Century Gothic"/>
      <family val="2"/>
    </font>
    <font>
      <b/>
      <sz val="7.5"/>
      <color theme="1"/>
      <name val="Century Gothic"/>
      <family val="2"/>
    </font>
    <font>
      <b/>
      <sz val="8"/>
      <color theme="0"/>
      <name val="Century Gothic"/>
      <family val="2"/>
    </font>
    <font>
      <sz val="9"/>
      <name val="Calibri"/>
      <family val="2"/>
      <scheme val="minor"/>
    </font>
    <font>
      <sz val="9"/>
      <name val="Arial"/>
      <family val="2"/>
    </font>
    <font>
      <b/>
      <sz val="7.5"/>
      <color theme="1"/>
      <name val="Calibri"/>
      <family val="2"/>
    </font>
    <font>
      <b/>
      <sz val="16"/>
      <color theme="0"/>
      <name val="Cambria"/>
      <family val="1"/>
    </font>
    <font>
      <b/>
      <sz val="7.5"/>
      <name val="Century Gothic"/>
      <family val="2"/>
    </font>
    <font>
      <i/>
      <sz val="10"/>
      <name val="Century Gothic"/>
      <family val="2"/>
    </font>
    <font>
      <b/>
      <sz val="10"/>
      <color rgb="FFFF0000"/>
      <name val="Century Gothic"/>
      <family val="2"/>
    </font>
    <font>
      <sz val="10"/>
      <color rgb="FF000000"/>
      <name val="Century Gothic"/>
      <family val="2"/>
    </font>
    <font>
      <sz val="14"/>
      <color theme="0"/>
      <name val="Cambria"/>
      <family val="1"/>
    </font>
    <font>
      <b/>
      <sz val="14"/>
      <color rgb="FFFF0000"/>
      <name val="Cambria"/>
      <family val="1"/>
    </font>
    <font>
      <b/>
      <u/>
      <sz val="11"/>
      <color theme="1"/>
      <name val="Century Gothic"/>
      <family val="2"/>
    </font>
    <font>
      <b/>
      <sz val="11"/>
      <name val="Century Gothic"/>
      <family val="2"/>
    </font>
    <font>
      <b/>
      <sz val="26"/>
      <name val="Century Gothic"/>
      <family val="2"/>
    </font>
    <font>
      <b/>
      <sz val="15"/>
      <color theme="0"/>
      <name val="Century Gothic"/>
      <family val="2"/>
    </font>
    <font>
      <sz val="15"/>
      <name val="Century Gothic"/>
      <family val="2"/>
    </font>
    <font>
      <b/>
      <sz val="16"/>
      <name val="Cambria"/>
      <family val="1"/>
    </font>
    <font>
      <b/>
      <sz val="10"/>
      <color theme="1"/>
      <name val="Calibri"/>
      <family val="2"/>
    </font>
    <font>
      <sz val="11"/>
      <color theme="1"/>
      <name val="Calibri"/>
      <family val="2"/>
    </font>
    <font>
      <b/>
      <sz val="8"/>
      <color theme="0"/>
      <name val="Calibri"/>
      <family val="2"/>
    </font>
    <font>
      <sz val="11"/>
      <color theme="0"/>
      <name val="Arial"/>
      <family val="2"/>
    </font>
    <font>
      <sz val="8"/>
      <color theme="0"/>
      <name val="Calibri"/>
      <family val="2"/>
    </font>
    <font>
      <b/>
      <sz val="11"/>
      <color theme="1"/>
      <name val="Calibri"/>
      <family val="2"/>
    </font>
    <font>
      <sz val="11"/>
      <name val="Calibri"/>
      <family val="2"/>
    </font>
    <font>
      <sz val="9"/>
      <color indexed="81"/>
      <name val="Tahoma"/>
      <family val="2"/>
    </font>
    <font>
      <b/>
      <sz val="9"/>
      <color indexed="81"/>
      <name val="Tahoma"/>
      <family val="2"/>
    </font>
    <font>
      <sz val="8"/>
      <color theme="1"/>
      <name val="Calibri"/>
      <family val="2"/>
    </font>
    <font>
      <sz val="8"/>
      <color theme="1"/>
      <name val="Calibri"/>
      <family val="2"/>
      <scheme val="minor"/>
    </font>
    <font>
      <sz val="8"/>
      <color rgb="FFFF0000"/>
      <name val="Calibri"/>
      <family val="2"/>
    </font>
    <font>
      <sz val="15"/>
      <color theme="1"/>
      <name val="Century Gothic"/>
      <family val="2"/>
    </font>
    <font>
      <sz val="14"/>
      <color theme="1"/>
      <name val="Cambria"/>
      <family val="1"/>
    </font>
    <font>
      <sz val="14"/>
      <color rgb="FF000000"/>
      <name val="Cambria"/>
      <family val="1"/>
    </font>
    <font>
      <b/>
      <sz val="10"/>
      <name val="Calibri"/>
      <family val="2"/>
    </font>
    <font>
      <b/>
      <sz val="11"/>
      <name val="Calibri"/>
      <family val="2"/>
    </font>
    <font>
      <sz val="10"/>
      <name val="Calibri"/>
      <family val="2"/>
    </font>
    <font>
      <b/>
      <sz val="11"/>
      <name val="Arial"/>
      <family val="2"/>
    </font>
    <font>
      <sz val="11"/>
      <color theme="0"/>
      <name val="Calibri"/>
      <family val="2"/>
    </font>
    <font>
      <b/>
      <i/>
      <sz val="11"/>
      <color rgb="FFFF0000"/>
      <name val="Calibri"/>
      <family val="2"/>
      <scheme val="minor"/>
    </font>
    <font>
      <i/>
      <sz val="10"/>
      <color rgb="FFFF0000"/>
      <name val="Century Gothic"/>
      <family val="2"/>
    </font>
    <font>
      <sz val="10"/>
      <color theme="1"/>
      <name val="Arial"/>
      <family val="2"/>
    </font>
    <font>
      <b/>
      <u/>
      <sz val="10"/>
      <name val="Century Gothic"/>
      <family val="2"/>
    </font>
    <font>
      <b/>
      <sz val="10"/>
      <name val="Calibri"/>
      <family val="2"/>
      <scheme val="minor"/>
    </font>
    <font>
      <b/>
      <i/>
      <sz val="10"/>
      <color theme="1"/>
      <name val="Century Gothic"/>
      <family val="2"/>
    </font>
    <font>
      <b/>
      <sz val="8"/>
      <color rgb="FFFF0000"/>
      <name val="Calibri"/>
      <family val="2"/>
    </font>
    <font>
      <sz val="11"/>
      <color rgb="FFFF0000"/>
      <name val="Calibri"/>
      <family val="2"/>
    </font>
    <font>
      <b/>
      <sz val="11"/>
      <color rgb="FFFF0000"/>
      <name val="Calibri"/>
      <family val="2"/>
    </font>
    <font>
      <sz val="8"/>
      <color rgb="FFFF0000"/>
      <name val="Calibri"/>
      <family val="2"/>
      <scheme val="minor"/>
    </font>
    <font>
      <b/>
      <sz val="11"/>
      <color rgb="FFFF0000"/>
      <name val="Calibri"/>
      <family val="2"/>
      <scheme val="minor"/>
    </font>
    <font>
      <b/>
      <sz val="9"/>
      <color rgb="FFFF0000"/>
      <name val="Calibri"/>
      <family val="2"/>
    </font>
    <font>
      <sz val="10"/>
      <color rgb="FF000000"/>
      <name val="Calibri"/>
      <family val="2"/>
    </font>
    <font>
      <sz val="10"/>
      <color rgb="FFFF0000"/>
      <name val="Calibri"/>
      <family val="2"/>
    </font>
    <font>
      <sz val="10"/>
      <color theme="1"/>
      <name val="Calibri"/>
      <family val="2"/>
    </font>
    <font>
      <sz val="9"/>
      <color theme="1"/>
      <name val="Calibri"/>
      <family val="2"/>
      <scheme val="minor"/>
    </font>
    <font>
      <b/>
      <sz val="9"/>
      <color theme="1"/>
      <name val="Calibri"/>
      <family val="2"/>
      <scheme val="minor"/>
    </font>
    <font>
      <b/>
      <sz val="8"/>
      <color theme="1"/>
      <name val="Calibri"/>
      <family val="2"/>
    </font>
    <font>
      <b/>
      <sz val="10"/>
      <color rgb="FFFF0000"/>
      <name val="Calibri"/>
      <family val="2"/>
    </font>
    <font>
      <b/>
      <sz val="10"/>
      <color theme="0"/>
      <name val="Calibri"/>
      <family val="2"/>
    </font>
    <font>
      <b/>
      <sz val="10"/>
      <color theme="0"/>
      <name val="Calibri"/>
      <family val="2"/>
      <scheme val="minor"/>
    </font>
    <font>
      <b/>
      <sz val="18"/>
      <name val="Arial"/>
      <family val="2"/>
    </font>
    <font>
      <b/>
      <sz val="10"/>
      <name val="Arial"/>
      <family val="2"/>
    </font>
    <font>
      <b/>
      <sz val="14"/>
      <color theme="0"/>
      <name val="Arial"/>
      <family val="2"/>
    </font>
    <font>
      <b/>
      <sz val="9"/>
      <name val="Arial"/>
      <family val="2"/>
    </font>
    <font>
      <sz val="10"/>
      <color theme="0"/>
      <name val="Arial"/>
      <family val="2"/>
    </font>
    <font>
      <b/>
      <sz val="10"/>
      <color rgb="FFFF0000"/>
      <name val="Arial"/>
      <family val="2"/>
    </font>
    <font>
      <b/>
      <sz val="9"/>
      <color rgb="FFFF0000"/>
      <name val="Calibri"/>
      <family val="2"/>
      <scheme val="minor"/>
    </font>
    <font>
      <b/>
      <sz val="11"/>
      <name val="Calibri"/>
      <family val="2"/>
      <scheme val="minor"/>
    </font>
    <font>
      <b/>
      <i/>
      <sz val="9"/>
      <color theme="0"/>
      <name val="Century Gothic"/>
      <family val="2"/>
    </font>
  </fonts>
  <fills count="3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7" tint="0.79998168889431442"/>
        <bgColor rgb="FFFFC000"/>
      </patternFill>
    </fill>
    <fill>
      <patternFill patternType="solid">
        <fgColor theme="0"/>
        <bgColor indexed="51"/>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008000"/>
        <bgColor indexed="64"/>
      </patternFill>
    </fill>
    <fill>
      <patternFill patternType="solid">
        <fgColor rgb="FF92D050"/>
        <bgColor indexed="64"/>
      </patternFill>
    </fill>
    <fill>
      <patternFill patternType="solid">
        <fgColor rgb="FF33CC33"/>
        <bgColor indexed="64"/>
      </patternFill>
    </fill>
    <fill>
      <patternFill patternType="solid">
        <fgColor rgb="FF006600"/>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rgb="FFFFC000"/>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indexed="9"/>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8" tint="0.39997558519241921"/>
        <bgColor indexed="64"/>
      </patternFill>
    </fill>
  </fills>
  <borders count="192">
    <border>
      <left/>
      <right/>
      <top/>
      <bottom/>
      <diagonal/>
    </border>
    <border>
      <left style="thin">
        <color auto="1"/>
      </left>
      <right style="thin">
        <color auto="1"/>
      </right>
      <top style="thin">
        <color auto="1"/>
      </top>
      <bottom style="thin">
        <color auto="1"/>
      </bottom>
      <diagonal/>
    </border>
    <border>
      <left/>
      <right style="thin">
        <color theme="2" tint="-0.499984740745262"/>
      </right>
      <top/>
      <bottom/>
      <diagonal/>
    </border>
    <border>
      <left/>
      <right/>
      <top/>
      <bottom style="thin">
        <color theme="0"/>
      </bottom>
      <diagonal/>
    </border>
    <border>
      <left/>
      <right/>
      <top/>
      <bottom style="medium">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theme="0"/>
      </top>
      <bottom style="thin">
        <color theme="0"/>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0"/>
      </right>
      <top style="thin">
        <color theme="1" tint="0.34998626667073579"/>
      </top>
      <bottom style="thin">
        <color theme="1" tint="0.34998626667073579"/>
      </bottom>
      <diagonal/>
    </border>
    <border>
      <left style="thin">
        <color theme="0"/>
      </left>
      <right style="thin">
        <color theme="0"/>
      </right>
      <top style="thin">
        <color theme="1" tint="0.34998626667073579"/>
      </top>
      <bottom style="thin">
        <color theme="1" tint="0.34998626667073579"/>
      </bottom>
      <diagonal/>
    </border>
    <border>
      <left style="thin">
        <color theme="0"/>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right/>
      <top/>
      <bottom style="thin">
        <color theme="1" tint="0.34998626667073579"/>
      </bottom>
      <diagonal/>
    </border>
    <border>
      <left style="thin">
        <color auto="1"/>
      </left>
      <right/>
      <top style="thin">
        <color auto="1"/>
      </top>
      <bottom/>
      <diagonal/>
    </border>
    <border>
      <left/>
      <right style="thin">
        <color theme="0"/>
      </right>
      <top style="thin">
        <color theme="1" tint="0.34998626667073579"/>
      </top>
      <bottom style="thin">
        <color theme="1" tint="0.34998626667073579"/>
      </bottom>
      <diagonal/>
    </border>
    <border>
      <left/>
      <right style="thin">
        <color theme="1" tint="0.34998626667073579"/>
      </right>
      <top/>
      <bottom/>
      <diagonal/>
    </border>
    <border>
      <left/>
      <right style="thin">
        <color theme="0"/>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1" tint="0.34998626667073579"/>
      </top>
      <bottom style="thin">
        <color auto="1"/>
      </bottom>
      <diagonal/>
    </border>
    <border>
      <left style="thin">
        <color theme="1" tint="0.34998626667073579"/>
      </left>
      <right/>
      <top/>
      <bottom/>
      <diagonal/>
    </border>
    <border>
      <left style="thin">
        <color theme="1" tint="0.34998626667073579"/>
      </left>
      <right/>
      <top style="thin">
        <color auto="1"/>
      </top>
      <bottom style="thin">
        <color auto="1"/>
      </bottom>
      <diagonal/>
    </border>
    <border>
      <left/>
      <right/>
      <top style="thin">
        <color auto="1"/>
      </top>
      <bottom style="thin">
        <color theme="1" tint="0.34998626667073579"/>
      </bottom>
      <diagonal/>
    </border>
    <border>
      <left style="thin">
        <color auto="1"/>
      </left>
      <right/>
      <top/>
      <bottom/>
      <diagonal/>
    </border>
    <border>
      <left/>
      <right style="thin">
        <color theme="0"/>
      </right>
      <top style="thin">
        <color auto="1"/>
      </top>
      <bottom style="thin">
        <color auto="1"/>
      </bottom>
      <diagonal/>
    </border>
    <border>
      <left/>
      <right/>
      <top style="thin">
        <color theme="1" tint="0.34998626667073579"/>
      </top>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right style="thin">
        <color theme="1" tint="0.34998626667073579"/>
      </right>
      <top style="thin">
        <color theme="0"/>
      </top>
      <bottom style="thin">
        <color theme="0"/>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auto="1"/>
      </top>
      <bottom style="thin">
        <color theme="1" tint="0.34998626667073579"/>
      </bottom>
      <diagonal/>
    </border>
    <border>
      <left style="thin">
        <color theme="1" tint="0.34998626667073579"/>
      </left>
      <right/>
      <top/>
      <bottom style="thin">
        <color auto="1"/>
      </bottom>
      <diagonal/>
    </border>
    <border>
      <left/>
      <right style="thin">
        <color theme="0"/>
      </right>
      <top/>
      <bottom style="thin">
        <color auto="1"/>
      </bottom>
      <diagonal/>
    </border>
    <border>
      <left style="thin">
        <color theme="1" tint="0.34998626667073579"/>
      </left>
      <right style="thin">
        <color theme="1" tint="0.34998626667073579"/>
      </right>
      <top/>
      <bottom style="thin">
        <color theme="1" tint="0.34998626667073579"/>
      </bottom>
      <diagonal/>
    </border>
    <border>
      <left style="thin">
        <color auto="1"/>
      </left>
      <right/>
      <top/>
      <bottom style="thin">
        <color auto="1"/>
      </bottom>
      <diagonal/>
    </border>
    <border>
      <left/>
      <right style="thin">
        <color auto="1"/>
      </right>
      <top style="thin">
        <color auto="1"/>
      </top>
      <bottom/>
      <diagonal/>
    </border>
    <border>
      <left/>
      <right style="thin">
        <color theme="0"/>
      </right>
      <top style="thin">
        <color theme="1" tint="0.34998626667073579"/>
      </top>
      <bottom/>
      <diagonal/>
    </border>
    <border>
      <left style="thin">
        <color theme="0"/>
      </left>
      <right/>
      <top style="thin">
        <color theme="1" tint="0.34998626667073579"/>
      </top>
      <bottom style="thin">
        <color theme="1" tint="0.34998626667073579"/>
      </bottom>
      <diagonal/>
    </border>
    <border>
      <left style="thin">
        <color theme="1" tint="0.34998626667073579"/>
      </left>
      <right style="thin">
        <color theme="1" tint="0.34998626667073579"/>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theme="0"/>
      </left>
      <right style="thin">
        <color theme="0"/>
      </right>
      <top/>
      <bottom/>
      <diagonal/>
    </border>
    <border>
      <left/>
      <right/>
      <top style="thin">
        <color theme="0"/>
      </top>
      <bottom/>
      <diagonal/>
    </border>
    <border>
      <left style="thin">
        <color auto="1"/>
      </left>
      <right style="thin">
        <color theme="1" tint="0.34998626667073579"/>
      </right>
      <top style="thin">
        <color theme="1" tint="0.34998626667073579"/>
      </top>
      <bottom style="thin">
        <color theme="1" tint="0.34998626667073579"/>
      </bottom>
      <diagonal/>
    </border>
    <border>
      <left style="hair">
        <color theme="1" tint="0.34998626667073579"/>
      </left>
      <right/>
      <top style="hair">
        <color theme="1" tint="0.34998626667073579"/>
      </top>
      <bottom/>
      <diagonal/>
    </border>
    <border>
      <left/>
      <right/>
      <top style="hair">
        <color theme="1" tint="0.34998626667073579"/>
      </top>
      <bottom/>
      <diagonal/>
    </border>
    <border>
      <left/>
      <right style="hair">
        <color theme="1" tint="0.34998626667073579"/>
      </right>
      <top style="hair">
        <color theme="1" tint="0.34998626667073579"/>
      </top>
      <bottom/>
      <diagonal/>
    </border>
    <border>
      <left style="hair">
        <color theme="1" tint="0.34998626667073579"/>
      </left>
      <right/>
      <top/>
      <bottom style="hair">
        <color theme="1" tint="0.34998626667073579"/>
      </bottom>
      <diagonal/>
    </border>
    <border>
      <left/>
      <right/>
      <top/>
      <bottom style="hair">
        <color theme="1" tint="0.34998626667073579"/>
      </bottom>
      <diagonal/>
    </border>
    <border>
      <left/>
      <right style="hair">
        <color theme="1" tint="0.34998626667073579"/>
      </right>
      <top/>
      <bottom style="hair">
        <color theme="1" tint="0.34998626667073579"/>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2" tint="-0.499984740745262"/>
      </right>
      <top style="thin">
        <color theme="1" tint="0.34998626667073579"/>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theme="0"/>
      </right>
      <top style="thin">
        <color theme="0"/>
      </top>
      <bottom style="thin">
        <color theme="0"/>
      </bottom>
      <diagonal/>
    </border>
    <border>
      <left style="thin">
        <color indexed="64"/>
      </left>
      <right style="thin">
        <color theme="1" tint="0.34998626667073579"/>
      </right>
      <top style="thin">
        <color indexed="64"/>
      </top>
      <bottom style="thin">
        <color theme="1" tint="0.34998626667073579"/>
      </bottom>
      <diagonal/>
    </border>
    <border>
      <left/>
      <right style="thin">
        <color indexed="64"/>
      </right>
      <top style="thin">
        <color indexed="64"/>
      </top>
      <bottom style="thin">
        <color theme="1" tint="0.34998626667073579"/>
      </bottom>
      <diagonal/>
    </border>
    <border>
      <left style="thin">
        <color indexed="64"/>
      </left>
      <right style="thin">
        <color theme="1" tint="0.34998626667073579"/>
      </right>
      <top style="thin">
        <color theme="1" tint="0.34998626667073579"/>
      </top>
      <bottom style="thin">
        <color indexed="64"/>
      </bottom>
      <diagonal/>
    </border>
    <border>
      <left style="thin">
        <color indexed="64"/>
      </left>
      <right style="thin">
        <color theme="1" tint="0.34998626667073579"/>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bottom>
      <diagonal/>
    </border>
    <border>
      <left/>
      <right/>
      <top style="thin">
        <color theme="1" tint="0.249977111117893"/>
      </top>
      <bottom style="thin">
        <color indexed="64"/>
      </bottom>
      <diagonal/>
    </border>
    <border>
      <left style="thin">
        <color theme="0"/>
      </left>
      <right style="thin">
        <color theme="0"/>
      </right>
      <top style="thin">
        <color theme="0"/>
      </top>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style="thin">
        <color rgb="FF006600"/>
      </left>
      <right style="thin">
        <color rgb="FF006600"/>
      </right>
      <top style="thin">
        <color rgb="FF006600"/>
      </top>
      <bottom style="thin">
        <color rgb="FF006600"/>
      </bottom>
      <diagonal/>
    </border>
    <border>
      <left style="medium">
        <color rgb="FF006600"/>
      </left>
      <right style="thin">
        <color rgb="FF006600"/>
      </right>
      <top style="medium">
        <color rgb="FF006600"/>
      </top>
      <bottom style="thin">
        <color rgb="FF006600"/>
      </bottom>
      <diagonal/>
    </border>
    <border>
      <left style="thin">
        <color rgb="FF006600"/>
      </left>
      <right style="thin">
        <color rgb="FF006600"/>
      </right>
      <top style="medium">
        <color rgb="FF006600"/>
      </top>
      <bottom style="thin">
        <color rgb="FF006600"/>
      </bottom>
      <diagonal/>
    </border>
    <border>
      <left style="thin">
        <color rgb="FF006600"/>
      </left>
      <right style="medium">
        <color rgb="FF006600"/>
      </right>
      <top style="medium">
        <color rgb="FF006600"/>
      </top>
      <bottom style="thin">
        <color rgb="FF006600"/>
      </bottom>
      <diagonal/>
    </border>
    <border>
      <left style="medium">
        <color rgb="FF006600"/>
      </left>
      <right style="thin">
        <color rgb="FF006600"/>
      </right>
      <top style="thin">
        <color rgb="FF006600"/>
      </top>
      <bottom style="thin">
        <color rgb="FF006600"/>
      </bottom>
      <diagonal/>
    </border>
    <border>
      <left style="thin">
        <color rgb="FF006600"/>
      </left>
      <right style="medium">
        <color rgb="FF006600"/>
      </right>
      <top style="thin">
        <color rgb="FF006600"/>
      </top>
      <bottom style="thin">
        <color rgb="FF006600"/>
      </bottom>
      <diagonal/>
    </border>
    <border>
      <left style="medium">
        <color rgb="FF006600"/>
      </left>
      <right style="thin">
        <color rgb="FF006600"/>
      </right>
      <top style="thin">
        <color rgb="FF006600"/>
      </top>
      <bottom style="medium">
        <color rgb="FF006600"/>
      </bottom>
      <diagonal/>
    </border>
    <border>
      <left style="thin">
        <color rgb="FF006600"/>
      </left>
      <right style="thin">
        <color rgb="FF006600"/>
      </right>
      <top style="thin">
        <color rgb="FF006600"/>
      </top>
      <bottom style="medium">
        <color rgb="FF006600"/>
      </bottom>
      <diagonal/>
    </border>
    <border>
      <left style="thin">
        <color rgb="FF006600"/>
      </left>
      <right style="medium">
        <color rgb="FF006600"/>
      </right>
      <top style="thin">
        <color rgb="FF006600"/>
      </top>
      <bottom style="medium">
        <color rgb="FF006600"/>
      </bottom>
      <diagonal/>
    </border>
    <border>
      <left style="dotted">
        <color indexed="64"/>
      </left>
      <right style="dotted">
        <color indexed="64"/>
      </right>
      <top style="dotted">
        <color indexed="64"/>
      </top>
      <bottom style="dotted">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thin">
        <color rgb="FF000000"/>
      </left>
      <right style="thin">
        <color rgb="FF000000"/>
      </right>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thin">
        <color rgb="FF000000"/>
      </top>
      <bottom style="medium">
        <color indexed="64"/>
      </bottom>
      <diagonal/>
    </border>
    <border>
      <left/>
      <right style="thin">
        <color rgb="FF000000"/>
      </right>
      <top style="thin">
        <color rgb="FF000000"/>
      </top>
      <bottom style="medium">
        <color rgb="FF000000"/>
      </bottom>
      <diagonal/>
    </border>
    <border>
      <left/>
      <right style="thin">
        <color rgb="FF000000"/>
      </right>
      <top style="thin">
        <color rgb="FF000000"/>
      </top>
      <bottom/>
      <diagonal/>
    </border>
    <border>
      <left/>
      <right style="thin">
        <color rgb="FF000000"/>
      </right>
      <top style="medium">
        <color indexed="64"/>
      </top>
      <bottom style="thin">
        <color rgb="FF000000"/>
      </bottom>
      <diagonal/>
    </border>
    <border>
      <left/>
      <right style="thin">
        <color rgb="FF000000"/>
      </right>
      <top style="thin">
        <color rgb="FF000000"/>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auto="1"/>
      </left>
      <right style="thin">
        <color auto="1"/>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indexed="64"/>
      </bottom>
      <diagonal/>
    </border>
    <border>
      <left/>
      <right style="thin">
        <color rgb="FF000000"/>
      </right>
      <top/>
      <bottom/>
      <diagonal/>
    </border>
    <border>
      <left style="thin">
        <color rgb="FF000000"/>
      </left>
      <right style="medium">
        <color indexed="64"/>
      </right>
      <top style="medium">
        <color indexed="64"/>
      </top>
      <bottom style="medium">
        <color indexed="64"/>
      </bottom>
      <diagonal/>
    </border>
    <border>
      <left style="thin">
        <color rgb="FF000000"/>
      </left>
      <right style="medium">
        <color indexed="64"/>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diagonal/>
    </border>
    <border>
      <left style="medium">
        <color indexed="64"/>
      </left>
      <right/>
      <top style="medium">
        <color indexed="64"/>
      </top>
      <bottom style="thin">
        <color rgb="FF000000"/>
      </bottom>
      <diagonal/>
    </border>
    <border>
      <left style="medium">
        <color indexed="64"/>
      </left>
      <right/>
      <top style="thin">
        <color rgb="FF000000"/>
      </top>
      <bottom style="medium">
        <color indexed="64"/>
      </bottom>
      <diagonal/>
    </border>
    <border>
      <left style="medium">
        <color indexed="64"/>
      </left>
      <right/>
      <top/>
      <bottom style="thin">
        <color rgb="FF000000"/>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bottom style="medium">
        <color indexed="64"/>
      </bottom>
      <diagonal/>
    </border>
    <border>
      <left style="thin">
        <color rgb="FF000000"/>
      </left>
      <right/>
      <top/>
      <bottom style="thin">
        <color rgb="FF000000"/>
      </bottom>
      <diagonal/>
    </border>
    <border>
      <left style="thin">
        <color auto="1"/>
      </left>
      <right/>
      <top style="thin">
        <color theme="1" tint="0.34998626667073579"/>
      </top>
      <bottom style="thin">
        <color theme="1" tint="0.34998626667073579"/>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diagonal/>
    </border>
    <border>
      <left/>
      <right style="thin">
        <color rgb="FF000000"/>
      </right>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right/>
      <top/>
      <bottom style="thin">
        <color rgb="FF000000"/>
      </bottom>
      <diagonal/>
    </border>
    <border>
      <left/>
      <right/>
      <top style="medium">
        <color indexed="64"/>
      </top>
      <bottom style="medium">
        <color indexed="64"/>
      </bottom>
      <diagonal/>
    </border>
    <border>
      <left style="thin">
        <color rgb="FF000000"/>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rgb="FF000000"/>
      </bottom>
      <diagonal/>
    </border>
    <border>
      <left/>
      <right style="medium">
        <color indexed="64"/>
      </right>
      <top/>
      <bottom/>
      <diagonal/>
    </border>
    <border>
      <left/>
      <right style="medium">
        <color indexed="64"/>
      </right>
      <top style="medium">
        <color indexed="64"/>
      </top>
      <bottom style="thin">
        <color rgb="FF000000"/>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rgb="FF000000"/>
      </left>
      <right style="thin">
        <color rgb="FF000000"/>
      </right>
      <top style="medium">
        <color indexed="64"/>
      </top>
      <bottom/>
      <diagonal/>
    </border>
    <border>
      <left/>
      <right/>
      <top style="thin">
        <color auto="1"/>
      </top>
      <bottom style="medium">
        <color indexed="64"/>
      </bottom>
      <diagonal/>
    </border>
    <border>
      <left/>
      <right/>
      <top/>
      <bottom style="medium">
        <color rgb="FFFF0000"/>
      </bottom>
      <diagonal/>
    </border>
    <border>
      <left/>
      <right/>
      <top/>
      <bottom style="hair">
        <color indexed="16"/>
      </bottom>
      <diagonal/>
    </border>
    <border>
      <left/>
      <right/>
      <top style="medium">
        <color rgb="FFFF0000"/>
      </top>
      <bottom style="hair">
        <color indexed="16"/>
      </bottom>
      <diagonal/>
    </border>
    <border>
      <left/>
      <right/>
      <top style="hair">
        <color indexed="16"/>
      </top>
      <bottom/>
      <diagonal/>
    </border>
    <border>
      <left style="hair">
        <color indexed="16"/>
      </left>
      <right/>
      <top style="hair">
        <color indexed="16"/>
      </top>
      <bottom style="hair">
        <color indexed="16"/>
      </bottom>
      <diagonal/>
    </border>
    <border>
      <left/>
      <right/>
      <top style="hair">
        <color indexed="16"/>
      </top>
      <bottom style="hair">
        <color indexed="16"/>
      </bottom>
      <diagonal/>
    </border>
    <border>
      <left/>
      <right style="hair">
        <color indexed="16"/>
      </right>
      <top style="hair">
        <color indexed="16"/>
      </top>
      <bottom style="hair">
        <color indexed="16"/>
      </bottom>
      <diagonal/>
    </border>
    <border>
      <left style="hair">
        <color indexed="16"/>
      </left>
      <right/>
      <top/>
      <bottom/>
      <diagonal/>
    </border>
    <border>
      <left style="hair">
        <color indexed="16"/>
      </left>
      <right style="hair">
        <color indexed="16"/>
      </right>
      <top style="hair">
        <color indexed="16"/>
      </top>
      <bottom style="hair">
        <color indexed="16"/>
      </bottom>
      <diagonal/>
    </border>
    <border>
      <left style="hair">
        <color indexed="16"/>
      </left>
      <right/>
      <top/>
      <bottom style="hair">
        <color indexed="16"/>
      </bottom>
      <diagonal/>
    </border>
    <border>
      <left/>
      <right/>
      <top style="hair">
        <color indexed="16"/>
      </top>
      <bottom style="medium">
        <color rgb="FFFF0000"/>
      </bottom>
      <diagonal/>
    </border>
    <border>
      <left/>
      <right/>
      <top style="medium">
        <color rgb="FFFF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3">
    <xf numFmtId="0" fontId="0" fillId="0" borderId="0"/>
    <xf numFmtId="167" fontId="4" fillId="0" borderId="0" applyFont="0" applyFill="0" applyBorder="0" applyAlignment="0" applyProtection="0"/>
    <xf numFmtId="9" fontId="4" fillId="0" borderId="0" applyFont="0" applyFill="0" applyBorder="0" applyAlignment="0" applyProtection="0"/>
    <xf numFmtId="0" fontId="22" fillId="0" borderId="0"/>
    <xf numFmtId="43" fontId="26"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0" fontId="14" fillId="0" borderId="0"/>
    <xf numFmtId="167" fontId="4" fillId="0" borderId="0" applyFont="0" applyFill="0" applyBorder="0" applyAlignment="0" applyProtection="0"/>
    <xf numFmtId="167" fontId="4" fillId="0" borderId="0" applyFont="0" applyFill="0" applyBorder="0" applyAlignment="0" applyProtection="0"/>
    <xf numFmtId="0" fontId="26" fillId="0" borderId="0"/>
    <xf numFmtId="43" fontId="26" fillId="0" borderId="0" applyFont="0" applyFill="0" applyBorder="0" applyAlignment="0" applyProtection="0"/>
    <xf numFmtId="44" fontId="26" fillId="0" borderId="0" applyFont="0" applyFill="0" applyBorder="0" applyAlignment="0" applyProtection="0"/>
  </cellStyleXfs>
  <cellXfs count="1934">
    <xf numFmtId="0" fontId="0" fillId="0" borderId="0" xfId="0"/>
    <xf numFmtId="0" fontId="26" fillId="0" borderId="0" xfId="0" applyFont="1"/>
    <xf numFmtId="0" fontId="31" fillId="0" borderId="0" xfId="0" applyFont="1"/>
    <xf numFmtId="0" fontId="15" fillId="0" borderId="0" xfId="0" applyFont="1"/>
    <xf numFmtId="0" fontId="15" fillId="0" borderId="0" xfId="0" applyFont="1" applyAlignment="1" applyProtection="1">
      <alignment horizontal="center" vertical="center"/>
      <protection locked="0"/>
    </xf>
    <xf numFmtId="0" fontId="31" fillId="0" borderId="17" xfId="0" applyFont="1" applyBorder="1"/>
    <xf numFmtId="0" fontId="44" fillId="0" borderId="0" xfId="0" applyFont="1"/>
    <xf numFmtId="0" fontId="44" fillId="0" borderId="0" xfId="0" applyFont="1" applyAlignment="1">
      <alignment vertical="center"/>
    </xf>
    <xf numFmtId="0" fontId="45" fillId="0" borderId="0" xfId="0" applyFont="1" applyAlignment="1">
      <alignment vertical="center"/>
    </xf>
    <xf numFmtId="169" fontId="45" fillId="0" borderId="0" xfId="0" applyNumberFormat="1" applyFont="1" applyAlignment="1">
      <alignment vertical="center"/>
    </xf>
    <xf numFmtId="169" fontId="45" fillId="0" borderId="0" xfId="0" applyNumberFormat="1" applyFont="1" applyAlignment="1">
      <alignment horizontal="center" vertical="center"/>
    </xf>
    <xf numFmtId="169" fontId="45" fillId="0" borderId="51" xfId="0" applyNumberFormat="1" applyFont="1" applyBorder="1" applyAlignment="1">
      <alignment horizontal="center" vertical="center"/>
    </xf>
    <xf numFmtId="0" fontId="45" fillId="0" borderId="0" xfId="0" applyFont="1" applyAlignment="1">
      <alignment horizontal="right"/>
    </xf>
    <xf numFmtId="0" fontId="45" fillId="0" borderId="0" xfId="0" applyFont="1" applyAlignment="1">
      <alignment horizontal="center" vertical="center"/>
    </xf>
    <xf numFmtId="0" fontId="31" fillId="0" borderId="0" xfId="0" applyFont="1" applyProtection="1">
      <protection locked="0"/>
    </xf>
    <xf numFmtId="0" fontId="18" fillId="0" borderId="0" xfId="0" applyFont="1" applyAlignment="1" applyProtection="1">
      <alignment vertical="center"/>
      <protection locked="0"/>
    </xf>
    <xf numFmtId="0" fontId="13" fillId="0" borderId="0" xfId="0" applyFont="1" applyProtection="1">
      <protection locked="0"/>
    </xf>
    <xf numFmtId="0" fontId="18" fillId="0" borderId="0" xfId="0" applyFont="1" applyProtection="1">
      <protection locked="0"/>
    </xf>
    <xf numFmtId="0" fontId="25" fillId="0" borderId="0" xfId="0" applyFont="1"/>
    <xf numFmtId="0" fontId="31" fillId="0" borderId="0" xfId="0" applyFont="1" applyAlignment="1" applyProtection="1">
      <alignment horizontal="center"/>
      <protection locked="0"/>
    </xf>
    <xf numFmtId="0" fontId="44" fillId="0" borderId="0" xfId="0" applyFont="1" applyAlignment="1">
      <alignment horizontal="center" vertical="center"/>
    </xf>
    <xf numFmtId="0" fontId="45" fillId="0" borderId="0" xfId="0" applyFont="1" applyAlignment="1">
      <alignment horizontal="center" vertical="center" wrapText="1"/>
    </xf>
    <xf numFmtId="0" fontId="7" fillId="0" borderId="0" xfId="0" applyFont="1"/>
    <xf numFmtId="0" fontId="7" fillId="0" borderId="17" xfId="0" applyFont="1" applyBorder="1"/>
    <xf numFmtId="0" fontId="7" fillId="0" borderId="0" xfId="0" applyFont="1" applyAlignment="1">
      <alignment horizontal="right"/>
    </xf>
    <xf numFmtId="0" fontId="7" fillId="0" borderId="18" xfId="0" applyFont="1" applyBorder="1"/>
    <xf numFmtId="0" fontId="16" fillId="0" borderId="15" xfId="0" applyFont="1" applyBorder="1"/>
    <xf numFmtId="0" fontId="16" fillId="0" borderId="18" xfId="0" applyFont="1" applyBorder="1"/>
    <xf numFmtId="0" fontId="16" fillId="0" borderId="20" xfId="0" applyFont="1" applyBorder="1"/>
    <xf numFmtId="0" fontId="16" fillId="0" borderId="70" xfId="0" applyFont="1" applyBorder="1"/>
    <xf numFmtId="0" fontId="31" fillId="0" borderId="70" xfId="0" applyFont="1" applyBorder="1"/>
    <xf numFmtId="0" fontId="25" fillId="0" borderId="70" xfId="0" applyFont="1" applyBorder="1"/>
    <xf numFmtId="0" fontId="31" fillId="0" borderId="42" xfId="0" applyFont="1" applyBorder="1"/>
    <xf numFmtId="0" fontId="25" fillId="0" borderId="17" xfId="0" applyFont="1" applyBorder="1"/>
    <xf numFmtId="0" fontId="31" fillId="0" borderId="71" xfId="0" applyFont="1" applyBorder="1"/>
    <xf numFmtId="0" fontId="25" fillId="0" borderId="30" xfId="0" applyFont="1" applyBorder="1"/>
    <xf numFmtId="0" fontId="25" fillId="0" borderId="72" xfId="0" applyFont="1" applyBorder="1"/>
    <xf numFmtId="0" fontId="51" fillId="5" borderId="30" xfId="0" applyFont="1" applyFill="1" applyBorder="1"/>
    <xf numFmtId="0" fontId="51" fillId="5" borderId="0" xfId="0" applyFont="1" applyFill="1"/>
    <xf numFmtId="0" fontId="51" fillId="5" borderId="15" xfId="0" applyFont="1" applyFill="1" applyBorder="1"/>
    <xf numFmtId="0" fontId="51" fillId="5" borderId="18" xfId="0" applyFont="1" applyFill="1" applyBorder="1"/>
    <xf numFmtId="0" fontId="51" fillId="5" borderId="24" xfId="0" applyFont="1" applyFill="1" applyBorder="1"/>
    <xf numFmtId="0" fontId="37" fillId="5" borderId="18" xfId="0" applyFont="1" applyFill="1" applyBorder="1"/>
    <xf numFmtId="0" fontId="37" fillId="5" borderId="24" xfId="0" applyFont="1" applyFill="1" applyBorder="1"/>
    <xf numFmtId="0" fontId="6" fillId="5" borderId="70" xfId="0" applyFont="1" applyFill="1" applyBorder="1" applyAlignment="1">
      <alignment horizontal="left"/>
    </xf>
    <xf numFmtId="0" fontId="31" fillId="5" borderId="70" xfId="0" applyFont="1" applyFill="1" applyBorder="1" applyAlignment="1">
      <alignment horizontal="left"/>
    </xf>
    <xf numFmtId="0" fontId="31" fillId="5" borderId="43" xfId="0" applyFont="1" applyFill="1" applyBorder="1" applyAlignment="1">
      <alignment horizontal="left"/>
    </xf>
    <xf numFmtId="0" fontId="25" fillId="0" borderId="0" xfId="0" applyFont="1" applyAlignment="1">
      <alignment wrapText="1"/>
    </xf>
    <xf numFmtId="0" fontId="37" fillId="5" borderId="43" xfId="0" applyFont="1" applyFill="1" applyBorder="1"/>
    <xf numFmtId="0" fontId="51" fillId="5" borderId="20" xfId="0" applyFont="1" applyFill="1" applyBorder="1"/>
    <xf numFmtId="0" fontId="51" fillId="5" borderId="70" xfId="0" applyFont="1" applyFill="1" applyBorder="1"/>
    <xf numFmtId="0" fontId="37" fillId="5" borderId="70" xfId="0" applyFont="1" applyFill="1" applyBorder="1"/>
    <xf numFmtId="0" fontId="43" fillId="0" borderId="0" xfId="0" applyFont="1"/>
    <xf numFmtId="0" fontId="31" fillId="0" borderId="0" xfId="0" applyFont="1" applyAlignment="1">
      <alignment vertical="center" wrapText="1"/>
    </xf>
    <xf numFmtId="0" fontId="7" fillId="0" borderId="0" xfId="0" applyFont="1" applyAlignment="1">
      <alignment horizontal="justify" vertical="center"/>
    </xf>
    <xf numFmtId="0" fontId="31" fillId="0" borderId="43" xfId="0" applyFont="1" applyBorder="1"/>
    <xf numFmtId="0" fontId="24" fillId="0" borderId="70" xfId="0" applyFont="1" applyBorder="1"/>
    <xf numFmtId="0" fontId="52" fillId="0" borderId="0" xfId="0" applyFont="1" applyAlignment="1">
      <alignment horizontal="right" vertical="top" wrapText="1"/>
    </xf>
    <xf numFmtId="0" fontId="7" fillId="0" borderId="24" xfId="0" applyFont="1" applyBorder="1"/>
    <xf numFmtId="0" fontId="52" fillId="0" borderId="0" xfId="0" applyFont="1"/>
    <xf numFmtId="0" fontId="52" fillId="0" borderId="20" xfId="0" applyFont="1" applyBorder="1" applyAlignment="1">
      <alignment wrapText="1"/>
    </xf>
    <xf numFmtId="0" fontId="53" fillId="0" borderId="70" xfId="0" applyFont="1" applyBorder="1" applyAlignment="1">
      <alignment vertical="center"/>
    </xf>
    <xf numFmtId="0" fontId="52" fillId="0" borderId="70" xfId="0" applyFont="1" applyBorder="1" applyAlignment="1">
      <alignment wrapText="1"/>
    </xf>
    <xf numFmtId="0" fontId="52" fillId="0" borderId="43" xfId="0" applyFont="1" applyBorder="1" applyAlignment="1">
      <alignment wrapText="1"/>
    </xf>
    <xf numFmtId="0" fontId="52" fillId="0" borderId="30" xfId="0" applyFont="1" applyBorder="1"/>
    <xf numFmtId="0" fontId="52" fillId="0" borderId="72" xfId="0" applyFont="1" applyBorder="1"/>
    <xf numFmtId="0" fontId="53" fillId="0" borderId="0" xfId="0" applyFont="1"/>
    <xf numFmtId="0" fontId="52" fillId="0" borderId="42" xfId="0" applyFont="1" applyBorder="1"/>
    <xf numFmtId="0" fontId="52" fillId="0" borderId="17" xfId="0" applyFont="1" applyBorder="1"/>
    <xf numFmtId="0" fontId="52" fillId="0" borderId="71" xfId="0" applyFont="1" applyBorder="1"/>
    <xf numFmtId="0" fontId="54" fillId="5" borderId="20" xfId="0" applyFont="1" applyFill="1" applyBorder="1" applyAlignment="1">
      <alignment horizontal="left"/>
    </xf>
    <xf numFmtId="0" fontId="25" fillId="0" borderId="42" xfId="0" applyFont="1" applyBorder="1"/>
    <xf numFmtId="0" fontId="25" fillId="0" borderId="71" xfId="0" applyFont="1" applyBorder="1"/>
    <xf numFmtId="0" fontId="52" fillId="0" borderId="0" xfId="0" quotePrefix="1" applyFont="1" applyAlignment="1">
      <alignment horizontal="center" vertical="top"/>
    </xf>
    <xf numFmtId="0" fontId="52" fillId="0" borderId="0" xfId="0" applyFont="1" applyAlignment="1">
      <alignment horizontal="left" vertical="center" wrapText="1"/>
    </xf>
    <xf numFmtId="0" fontId="52" fillId="0" borderId="0" xfId="0" quotePrefix="1" applyFont="1" applyAlignment="1">
      <alignment horizontal="right" vertical="center"/>
    </xf>
    <xf numFmtId="0" fontId="20" fillId="0" borderId="0" xfId="0" applyFont="1"/>
    <xf numFmtId="0" fontId="52" fillId="0" borderId="0" xfId="0" applyFont="1" applyAlignment="1">
      <alignment horizontal="center" vertical="top" wrapText="1"/>
    </xf>
    <xf numFmtId="182" fontId="52" fillId="0" borderId="0" xfId="1" applyNumberFormat="1" applyFont="1" applyBorder="1" applyAlignment="1">
      <alignment horizontal="center" vertical="top" wrapText="1"/>
    </xf>
    <xf numFmtId="0" fontId="53" fillId="0" borderId="0" xfId="0" applyFont="1" applyAlignment="1">
      <alignment horizontal="right" vertical="top" wrapText="1"/>
    </xf>
    <xf numFmtId="0" fontId="51" fillId="5" borderId="15" xfId="0" applyFont="1" applyFill="1" applyBorder="1" applyAlignment="1">
      <alignment horizontal="left"/>
    </xf>
    <xf numFmtId="0" fontId="51" fillId="5" borderId="24" xfId="0" applyFont="1" applyFill="1" applyBorder="1" applyAlignment="1">
      <alignment horizontal="left"/>
    </xf>
    <xf numFmtId="0" fontId="53" fillId="0" borderId="0" xfId="0" applyFont="1" applyAlignment="1">
      <alignment horizontal="center" vertical="top" wrapText="1"/>
    </xf>
    <xf numFmtId="0" fontId="31" fillId="0" borderId="0" xfId="0" applyFont="1" applyAlignment="1">
      <alignment horizontal="center"/>
    </xf>
    <xf numFmtId="0" fontId="9" fillId="5" borderId="0" xfId="0" applyFont="1" applyFill="1"/>
    <xf numFmtId="0" fontId="9" fillId="5" borderId="0" xfId="0" applyFont="1" applyFill="1" applyAlignment="1">
      <alignment horizontal="center"/>
    </xf>
    <xf numFmtId="0" fontId="18" fillId="0" borderId="0" xfId="0" applyFont="1"/>
    <xf numFmtId="0" fontId="18" fillId="0" borderId="0" xfId="0" applyFont="1" applyAlignment="1">
      <alignment horizontal="center"/>
    </xf>
    <xf numFmtId="0" fontId="18" fillId="0" borderId="0" xfId="0" applyFont="1" applyAlignment="1">
      <alignment vertical="center"/>
    </xf>
    <xf numFmtId="0" fontId="18" fillId="0" borderId="19" xfId="0" applyFont="1" applyBorder="1"/>
    <xf numFmtId="0" fontId="18" fillId="0" borderId="19" xfId="0" applyFont="1" applyBorder="1" applyAlignment="1">
      <alignment horizontal="center"/>
    </xf>
    <xf numFmtId="172" fontId="18" fillId="0" borderId="19" xfId="0" applyNumberFormat="1" applyFont="1" applyBorder="1" applyAlignment="1">
      <alignment horizontal="center"/>
    </xf>
    <xf numFmtId="0" fontId="18" fillId="0" borderId="0" xfId="0" applyFont="1" applyAlignment="1">
      <alignment horizontal="center" vertical="center"/>
    </xf>
    <xf numFmtId="167" fontId="18" fillId="0" borderId="0" xfId="1" applyFont="1" applyAlignment="1" applyProtection="1">
      <alignment vertical="center"/>
    </xf>
    <xf numFmtId="0" fontId="21" fillId="0" borderId="0" xfId="0" applyFont="1" applyAlignment="1">
      <alignment vertical="center"/>
    </xf>
    <xf numFmtId="172" fontId="35" fillId="0" borderId="0" xfId="1" applyNumberFormat="1" applyFont="1" applyAlignment="1" applyProtection="1">
      <alignment vertical="center"/>
    </xf>
    <xf numFmtId="167" fontId="35" fillId="0" borderId="0" xfId="1" applyFont="1" applyAlignment="1" applyProtection="1">
      <alignment vertical="center"/>
    </xf>
    <xf numFmtId="0" fontId="20" fillId="0" borderId="0" xfId="0" applyFont="1" applyAlignment="1">
      <alignment vertical="center"/>
    </xf>
    <xf numFmtId="0" fontId="7" fillId="0" borderId="0" xfId="0" applyFont="1" applyAlignment="1">
      <alignment vertical="center"/>
    </xf>
    <xf numFmtId="0" fontId="13" fillId="0" borderId="0" xfId="0" applyFont="1"/>
    <xf numFmtId="0" fontId="15" fillId="0" borderId="0" xfId="0" applyFont="1" applyAlignment="1">
      <alignment vertical="center"/>
    </xf>
    <xf numFmtId="0" fontId="9" fillId="5" borderId="0" xfId="0" applyFont="1" applyFill="1" applyAlignment="1">
      <alignment vertical="center"/>
    </xf>
    <xf numFmtId="0" fontId="31" fillId="0" borderId="0" xfId="0" applyFont="1" applyAlignment="1">
      <alignment vertical="center"/>
    </xf>
    <xf numFmtId="0" fontId="0" fillId="0" borderId="0" xfId="0" applyAlignment="1">
      <alignment horizontal="center"/>
    </xf>
    <xf numFmtId="167" fontId="0" fillId="0" borderId="0" xfId="1" applyFont="1" applyProtection="1"/>
    <xf numFmtId="0" fontId="48" fillId="0" borderId="0" xfId="0" applyFont="1"/>
    <xf numFmtId="0" fontId="26" fillId="0" borderId="0" xfId="0" applyFont="1" applyAlignment="1">
      <alignment horizontal="center"/>
    </xf>
    <xf numFmtId="0" fontId="26" fillId="0" borderId="0" xfId="0" applyFont="1" applyAlignment="1">
      <alignment vertical="center"/>
    </xf>
    <xf numFmtId="0" fontId="26" fillId="0" borderId="0" xfId="0" applyFont="1" applyAlignment="1">
      <alignment horizontal="center" vertical="center"/>
    </xf>
    <xf numFmtId="0" fontId="49" fillId="0" borderId="0" xfId="0" applyFont="1"/>
    <xf numFmtId="0" fontId="28" fillId="0" borderId="0" xfId="0" applyFont="1" applyAlignment="1">
      <alignment horizontal="center" vertical="center"/>
    </xf>
    <xf numFmtId="0" fontId="23" fillId="0" borderId="0" xfId="0" applyFont="1"/>
    <xf numFmtId="0" fontId="29" fillId="0" borderId="0" xfId="0" applyFont="1"/>
    <xf numFmtId="0" fontId="23" fillId="0" borderId="0" xfId="0" applyFont="1" applyAlignment="1">
      <alignment vertical="center"/>
    </xf>
    <xf numFmtId="0" fontId="23" fillId="0" borderId="0" xfId="0" applyFont="1" applyAlignment="1">
      <alignment horizontal="center" vertical="center"/>
    </xf>
    <xf numFmtId="167" fontId="23" fillId="0" borderId="0" xfId="1" applyFont="1" applyAlignment="1" applyProtection="1">
      <alignment vertical="center"/>
    </xf>
    <xf numFmtId="0" fontId="17" fillId="0" borderId="0" xfId="0" applyFont="1" applyAlignment="1">
      <alignment vertical="center"/>
    </xf>
    <xf numFmtId="167" fontId="29" fillId="0" borderId="0" xfId="1" applyFont="1" applyAlignment="1" applyProtection="1">
      <alignment vertical="center"/>
    </xf>
    <xf numFmtId="0" fontId="8" fillId="0" borderId="0" xfId="0" applyFont="1" applyAlignment="1">
      <alignment vertical="center"/>
    </xf>
    <xf numFmtId="0" fontId="8" fillId="0" borderId="0" xfId="0" applyFont="1"/>
    <xf numFmtId="0" fontId="11" fillId="0" borderId="0" xfId="0" applyFont="1" applyAlignment="1">
      <alignment vertical="center"/>
    </xf>
    <xf numFmtId="0" fontId="11" fillId="0" borderId="0" xfId="0" applyFont="1"/>
    <xf numFmtId="0" fontId="50" fillId="0" borderId="0" xfId="0" applyFont="1"/>
    <xf numFmtId="0" fontId="23" fillId="0" borderId="0" xfId="0" applyFont="1" applyAlignment="1">
      <alignment horizontal="left" vertical="center"/>
    </xf>
    <xf numFmtId="0" fontId="8" fillId="0" borderId="0" xfId="0" applyFont="1" applyAlignment="1">
      <alignment horizontal="center" vertical="center"/>
    </xf>
    <xf numFmtId="180" fontId="8" fillId="0" borderId="0" xfId="0" applyNumberFormat="1" applyFont="1" applyAlignment="1">
      <alignment vertical="center"/>
    </xf>
    <xf numFmtId="0" fontId="21" fillId="5" borderId="0" xfId="0" applyFont="1" applyFill="1" applyAlignment="1">
      <alignment vertical="center"/>
    </xf>
    <xf numFmtId="0" fontId="21" fillId="0" borderId="0" xfId="0" applyFont="1" applyAlignment="1">
      <alignment horizontal="center" vertical="center"/>
    </xf>
    <xf numFmtId="0" fontId="23" fillId="0" borderId="0" xfId="3" applyFont="1" applyAlignment="1">
      <alignment vertical="center"/>
    </xf>
    <xf numFmtId="0" fontId="9" fillId="5" borderId="0" xfId="0" applyFont="1" applyFill="1" applyAlignment="1">
      <alignment horizontal="left" vertical="center"/>
    </xf>
    <xf numFmtId="180" fontId="8" fillId="0" borderId="0" xfId="0" applyNumberFormat="1" applyFont="1"/>
    <xf numFmtId="0" fontId="13" fillId="0" borderId="0" xfId="0" applyFont="1" applyAlignment="1">
      <alignment horizontal="center"/>
    </xf>
    <xf numFmtId="0" fontId="9" fillId="5" borderId="80" xfId="0" applyFont="1" applyFill="1" applyBorder="1" applyAlignment="1">
      <alignment horizontal="center" vertical="center"/>
    </xf>
    <xf numFmtId="169" fontId="15" fillId="0" borderId="0" xfId="0" applyNumberFormat="1" applyFont="1"/>
    <xf numFmtId="0" fontId="9" fillId="5" borderId="80" xfId="0" applyFont="1" applyFill="1" applyBorder="1"/>
    <xf numFmtId="0" fontId="9" fillId="5" borderId="0" xfId="0" applyFont="1" applyFill="1" applyAlignment="1">
      <alignment horizontal="center" vertical="center"/>
    </xf>
    <xf numFmtId="169" fontId="15" fillId="0" borderId="0" xfId="0" applyNumberFormat="1" applyFont="1" applyAlignment="1">
      <alignment vertical="center"/>
    </xf>
    <xf numFmtId="0" fontId="33" fillId="0" borderId="0" xfId="0" applyFont="1" applyAlignment="1">
      <alignment vertical="center"/>
    </xf>
    <xf numFmtId="0" fontId="33" fillId="0" borderId="0" xfId="0" applyFont="1" applyAlignment="1">
      <alignment horizontal="center" vertical="center"/>
    </xf>
    <xf numFmtId="0" fontId="34" fillId="0" borderId="0" xfId="0" applyFont="1" applyAlignment="1">
      <alignment vertical="center"/>
    </xf>
    <xf numFmtId="0" fontId="34" fillId="0" borderId="0" xfId="0" applyFont="1" applyAlignment="1">
      <alignment horizontal="center" vertical="center"/>
    </xf>
    <xf numFmtId="0" fontId="9" fillId="5" borderId="3" xfId="0" applyFont="1" applyFill="1" applyBorder="1" applyAlignment="1">
      <alignment horizontal="left" vertical="center"/>
    </xf>
    <xf numFmtId="0" fontId="15" fillId="0" borderId="0" xfId="0" applyFont="1" applyAlignment="1">
      <alignment horizontal="center" vertical="center"/>
    </xf>
    <xf numFmtId="0" fontId="15" fillId="0" borderId="9" xfId="0" applyFont="1" applyBorder="1" applyAlignment="1">
      <alignment vertical="center"/>
    </xf>
    <xf numFmtId="0" fontId="21" fillId="5" borderId="6" xfId="0" applyFont="1" applyFill="1" applyBorder="1" applyAlignment="1">
      <alignment horizontal="left" vertical="center"/>
    </xf>
    <xf numFmtId="9" fontId="18" fillId="0" borderId="5" xfId="2" applyFont="1" applyBorder="1" applyAlignment="1" applyProtection="1">
      <alignment horizontal="center" vertical="center"/>
    </xf>
    <xf numFmtId="9" fontId="32" fillId="0" borderId="5" xfId="2" applyFont="1" applyBorder="1" applyAlignment="1" applyProtection="1">
      <alignment horizontal="center" vertical="center"/>
    </xf>
    <xf numFmtId="0" fontId="18" fillId="0" borderId="0" xfId="0" applyFont="1" applyAlignment="1">
      <alignment horizontal="left" vertical="center"/>
    </xf>
    <xf numFmtId="0" fontId="21" fillId="5" borderId="6" xfId="0" applyFont="1" applyFill="1" applyBorder="1" applyAlignment="1">
      <alignment vertical="center"/>
    </xf>
    <xf numFmtId="0" fontId="21" fillId="5" borderId="59" xfId="0" applyFont="1" applyFill="1" applyBorder="1" applyAlignment="1">
      <alignment vertical="center"/>
    </xf>
    <xf numFmtId="0" fontId="21" fillId="5" borderId="59" xfId="0" applyFont="1" applyFill="1" applyBorder="1" applyAlignment="1">
      <alignment horizontal="left" vertical="center"/>
    </xf>
    <xf numFmtId="0" fontId="18" fillId="0" borderId="59" xfId="0" applyFont="1" applyBorder="1" applyAlignment="1">
      <alignment horizontal="left" vertical="center"/>
    </xf>
    <xf numFmtId="0" fontId="15" fillId="0" borderId="10" xfId="0" applyFont="1" applyBorder="1" applyAlignment="1">
      <alignment vertical="center"/>
    </xf>
    <xf numFmtId="9" fontId="15" fillId="0" borderId="7" xfId="0" applyNumberFormat="1" applyFont="1" applyBorder="1" applyAlignment="1">
      <alignment horizontal="center" vertical="center"/>
    </xf>
    <xf numFmtId="0" fontId="15" fillId="0" borderId="5" xfId="0" applyFont="1" applyBorder="1" applyAlignment="1">
      <alignment vertical="center"/>
    </xf>
    <xf numFmtId="0" fontId="31" fillId="0" borderId="0" xfId="0" applyFont="1" applyAlignment="1">
      <alignment horizontal="center" vertical="center"/>
    </xf>
    <xf numFmtId="0" fontId="40" fillId="0" borderId="0" xfId="0" applyFont="1" applyAlignment="1">
      <alignment vertical="center"/>
    </xf>
    <xf numFmtId="167" fontId="31" fillId="0" borderId="0" xfId="1" applyFont="1" applyProtection="1"/>
    <xf numFmtId="175" fontId="5" fillId="0" borderId="0" xfId="0" applyNumberFormat="1" applyFont="1"/>
    <xf numFmtId="167" fontId="3" fillId="0" borderId="0" xfId="1" applyFont="1" applyProtection="1"/>
    <xf numFmtId="0" fontId="9" fillId="5" borderId="80" xfId="0" applyFont="1" applyFill="1" applyBorder="1" applyAlignment="1">
      <alignment vertical="center"/>
    </xf>
    <xf numFmtId="0" fontId="38" fillId="0" borderId="0" xfId="0" applyFont="1" applyAlignment="1">
      <alignment vertical="center"/>
    </xf>
    <xf numFmtId="0" fontId="8" fillId="0" borderId="0" xfId="0" applyFont="1" applyAlignment="1">
      <alignment horizontal="center"/>
    </xf>
    <xf numFmtId="0" fontId="15" fillId="5" borderId="0" xfId="0" applyFont="1" applyFill="1" applyAlignment="1">
      <alignment vertical="center"/>
    </xf>
    <xf numFmtId="180" fontId="15" fillId="0" borderId="0" xfId="0" applyNumberFormat="1" applyFont="1" applyAlignment="1">
      <alignment vertical="center"/>
    </xf>
    <xf numFmtId="0" fontId="9" fillId="5" borderId="81" xfId="0" applyFont="1" applyFill="1" applyBorder="1" applyAlignment="1">
      <alignment vertical="center"/>
    </xf>
    <xf numFmtId="0" fontId="46" fillId="0" borderId="0" xfId="3" applyFont="1" applyAlignment="1">
      <alignment vertical="center"/>
    </xf>
    <xf numFmtId="167" fontId="15" fillId="0" borderId="0" xfId="1" applyFont="1" applyBorder="1" applyAlignment="1" applyProtection="1">
      <alignment vertical="center"/>
    </xf>
    <xf numFmtId="172" fontId="12" fillId="0" borderId="16" xfId="1" applyNumberFormat="1" applyFont="1" applyBorder="1" applyAlignment="1" applyProtection="1">
      <alignment horizontal="center" vertical="center"/>
    </xf>
    <xf numFmtId="180" fontId="44" fillId="0" borderId="0" xfId="0" applyNumberFormat="1" applyFont="1"/>
    <xf numFmtId="0" fontId="32" fillId="0" borderId="0" xfId="0" applyFont="1" applyAlignment="1">
      <alignment vertical="center"/>
    </xf>
    <xf numFmtId="0" fontId="7" fillId="0" borderId="0" xfId="0" applyFont="1" applyAlignment="1">
      <alignment horizontal="center" vertical="center"/>
    </xf>
    <xf numFmtId="173" fontId="18" fillId="0" borderId="0" xfId="2" applyNumberFormat="1" applyFont="1" applyBorder="1" applyAlignment="1" applyProtection="1">
      <alignment horizontal="center" vertical="center"/>
    </xf>
    <xf numFmtId="176" fontId="18" fillId="7" borderId="0" xfId="3" applyNumberFormat="1" applyFont="1" applyFill="1" applyAlignment="1">
      <alignment horizontal="center" vertical="center"/>
    </xf>
    <xf numFmtId="0" fontId="42" fillId="0" borderId="0" xfId="0" applyFont="1" applyAlignment="1">
      <alignment vertical="center"/>
    </xf>
    <xf numFmtId="0" fontId="9" fillId="0" borderId="0" xfId="0" applyFont="1" applyAlignment="1">
      <alignment vertical="center"/>
    </xf>
    <xf numFmtId="0" fontId="15" fillId="0" borderId="2" xfId="0" applyFont="1" applyBorder="1" applyAlignment="1">
      <alignment vertical="center"/>
    </xf>
    <xf numFmtId="43" fontId="15" fillId="0" borderId="0" xfId="0" applyNumberFormat="1" applyFont="1" applyAlignment="1">
      <alignment vertical="center"/>
    </xf>
    <xf numFmtId="0" fontId="15" fillId="0" borderId="0" xfId="0" applyFont="1" applyAlignment="1">
      <alignment horizontal="left" vertical="center"/>
    </xf>
    <xf numFmtId="0" fontId="9" fillId="0" borderId="0" xfId="0" applyFont="1" applyAlignment="1">
      <alignment horizontal="center" vertical="center"/>
    </xf>
    <xf numFmtId="17" fontId="18" fillId="0" borderId="0" xfId="0" applyNumberFormat="1" applyFont="1" applyAlignment="1">
      <alignment vertical="center"/>
    </xf>
    <xf numFmtId="43" fontId="21" fillId="0" borderId="0" xfId="0" applyNumberFormat="1" applyFont="1" applyAlignment="1">
      <alignment vertical="center"/>
    </xf>
    <xf numFmtId="0" fontId="32" fillId="0" borderId="0" xfId="0" applyFont="1" applyAlignment="1">
      <alignment horizontal="center" vertical="center"/>
    </xf>
    <xf numFmtId="17" fontId="18" fillId="0" borderId="0" xfId="0" applyNumberFormat="1" applyFont="1"/>
    <xf numFmtId="43" fontId="21" fillId="0" borderId="0" xfId="0" applyNumberFormat="1" applyFont="1"/>
    <xf numFmtId="0" fontId="21" fillId="0" borderId="0" xfId="0" applyFont="1"/>
    <xf numFmtId="0" fontId="21" fillId="0" borderId="0" xfId="0" applyFont="1" applyAlignment="1">
      <alignment horizontal="center"/>
    </xf>
    <xf numFmtId="0" fontId="52" fillId="0" borderId="30" xfId="0" applyFont="1" applyBorder="1" applyProtection="1">
      <protection locked="0"/>
    </xf>
    <xf numFmtId="0" fontId="52" fillId="0" borderId="0" xfId="0" applyFont="1" applyAlignment="1" applyProtection="1">
      <alignment horizontal="right"/>
      <protection locked="0"/>
    </xf>
    <xf numFmtId="0" fontId="52" fillId="0" borderId="0" xfId="0" applyFont="1" applyProtection="1">
      <protection locked="0"/>
    </xf>
    <xf numFmtId="0" fontId="33" fillId="0" borderId="0" xfId="0" applyFont="1" applyAlignment="1" applyProtection="1">
      <alignment vertical="center"/>
      <protection locked="0"/>
    </xf>
    <xf numFmtId="0" fontId="41" fillId="0" borderId="0" xfId="0" applyFont="1" applyAlignment="1" applyProtection="1">
      <alignment horizontal="center" vertical="center"/>
      <protection locked="0"/>
    </xf>
    <xf numFmtId="0" fontId="42" fillId="0" borderId="0" xfId="0" applyFont="1" applyAlignment="1" applyProtection="1">
      <alignment vertical="center"/>
      <protection locked="0"/>
    </xf>
    <xf numFmtId="167" fontId="42" fillId="0" borderId="0" xfId="1" applyFont="1" applyProtection="1">
      <protection locked="0"/>
    </xf>
    <xf numFmtId="0" fontId="37" fillId="0" borderId="0" xfId="0" applyFont="1" applyProtection="1">
      <protection locked="0"/>
    </xf>
    <xf numFmtId="167" fontId="43" fillId="0" borderId="0" xfId="1" applyFont="1" applyProtection="1">
      <protection locked="0"/>
    </xf>
    <xf numFmtId="0" fontId="21" fillId="5" borderId="3" xfId="0" applyFont="1" applyFill="1" applyBorder="1" applyAlignment="1" applyProtection="1">
      <alignment horizontal="left" vertical="center"/>
      <protection locked="0"/>
    </xf>
    <xf numFmtId="0" fontId="21" fillId="5" borderId="3" xfId="0" applyFont="1" applyFill="1" applyBorder="1" applyAlignment="1" applyProtection="1">
      <alignment vertical="center"/>
      <protection locked="0"/>
    </xf>
    <xf numFmtId="0" fontId="21" fillId="5" borderId="6" xfId="0" applyFont="1" applyFill="1" applyBorder="1" applyAlignment="1" applyProtection="1">
      <alignment horizontal="left" vertical="center"/>
      <protection locked="0"/>
    </xf>
    <xf numFmtId="0" fontId="21" fillId="5" borderId="6" xfId="0" applyFont="1" applyFill="1" applyBorder="1" applyAlignment="1" applyProtection="1">
      <alignment vertical="center"/>
      <protection locked="0"/>
    </xf>
    <xf numFmtId="0" fontId="21" fillId="5" borderId="0" xfId="0" applyFont="1" applyFill="1" applyAlignment="1" applyProtection="1">
      <alignment horizontal="left" vertical="center"/>
      <protection locked="0"/>
    </xf>
    <xf numFmtId="0" fontId="21" fillId="5" borderId="0" xfId="0" applyFont="1" applyFill="1" applyAlignment="1" applyProtection="1">
      <alignment vertical="center"/>
      <protection locked="0"/>
    </xf>
    <xf numFmtId="167" fontId="31" fillId="0" borderId="0" xfId="1" applyFont="1" applyProtection="1">
      <protection locked="0"/>
    </xf>
    <xf numFmtId="0" fontId="15" fillId="0" borderId="0" xfId="0" applyFont="1" applyProtection="1">
      <protection locked="0"/>
    </xf>
    <xf numFmtId="0" fontId="9" fillId="5" borderId="7" xfId="0" applyFont="1" applyFill="1" applyBorder="1" applyAlignment="1" applyProtection="1">
      <alignment vertical="center"/>
      <protection locked="0"/>
    </xf>
    <xf numFmtId="0" fontId="9" fillId="5" borderId="8" xfId="0" applyFont="1" applyFill="1" applyBorder="1" applyAlignment="1" applyProtection="1">
      <alignment vertical="center"/>
      <protection locked="0"/>
    </xf>
    <xf numFmtId="180" fontId="31" fillId="0" borderId="0" xfId="0" applyNumberFormat="1" applyFont="1" applyProtection="1">
      <protection locked="0"/>
    </xf>
    <xf numFmtId="0" fontId="42" fillId="0" borderId="0" xfId="0" applyFont="1" applyAlignment="1">
      <alignment horizontal="center" vertical="center"/>
    </xf>
    <xf numFmtId="0" fontId="9" fillId="5" borderId="1" xfId="0" applyFont="1" applyFill="1" applyBorder="1" applyAlignment="1">
      <alignment horizontal="center" vertical="center"/>
    </xf>
    <xf numFmtId="0" fontId="9" fillId="5" borderId="78" xfId="0" applyFont="1" applyFill="1" applyBorder="1" applyAlignment="1">
      <alignment horizontal="left" vertical="center"/>
    </xf>
    <xf numFmtId="171" fontId="18" fillId="0" borderId="21" xfId="0" applyNumberFormat="1" applyFont="1" applyBorder="1" applyAlignment="1">
      <alignment horizontal="left" vertical="center"/>
    </xf>
    <xf numFmtId="0" fontId="21" fillId="5" borderId="78" xfId="0" applyFont="1" applyFill="1" applyBorder="1" applyAlignment="1">
      <alignment horizontal="left" vertical="center"/>
    </xf>
    <xf numFmtId="0" fontId="9" fillId="0" borderId="0" xfId="0" applyFont="1" applyAlignment="1">
      <alignment horizontal="center"/>
    </xf>
    <xf numFmtId="180" fontId="9" fillId="0" borderId="0" xfId="0" applyNumberFormat="1" applyFont="1" applyAlignment="1">
      <alignment horizontal="center"/>
    </xf>
    <xf numFmtId="0" fontId="9" fillId="0" borderId="0" xfId="0" applyFont="1"/>
    <xf numFmtId="168" fontId="9" fillId="0" borderId="0" xfId="1" applyNumberFormat="1" applyFont="1" applyAlignment="1" applyProtection="1">
      <alignment horizontal="center"/>
    </xf>
    <xf numFmtId="9" fontId="9" fillId="0" borderId="0" xfId="0" applyNumberFormat="1" applyFont="1"/>
    <xf numFmtId="169" fontId="21" fillId="0" borderId="0" xfId="0" applyNumberFormat="1" applyFont="1"/>
    <xf numFmtId="0" fontId="13" fillId="4" borderId="0" xfId="0" applyFont="1" applyFill="1"/>
    <xf numFmtId="170" fontId="13" fillId="0" borderId="0" xfId="0" applyNumberFormat="1" applyFont="1" applyAlignment="1">
      <alignment horizontal="center"/>
    </xf>
    <xf numFmtId="10" fontId="13" fillId="0" borderId="0" xfId="0" applyNumberFormat="1" applyFont="1" applyAlignment="1">
      <alignment horizontal="center"/>
    </xf>
    <xf numFmtId="49" fontId="13" fillId="0" borderId="0" xfId="0" applyNumberFormat="1" applyFont="1" applyAlignment="1">
      <alignment horizontal="center"/>
    </xf>
    <xf numFmtId="0" fontId="15" fillId="0" borderId="19" xfId="0" applyFont="1" applyBorder="1" applyAlignment="1">
      <alignment horizontal="center" vertical="center"/>
    </xf>
    <xf numFmtId="0" fontId="15" fillId="0" borderId="19" xfId="0" applyFont="1" applyBorder="1" applyAlignment="1">
      <alignment horizontal="center"/>
    </xf>
    <xf numFmtId="43" fontId="15" fillId="0" borderId="19" xfId="0" applyNumberFormat="1" applyFont="1" applyBorder="1"/>
    <xf numFmtId="0" fontId="21" fillId="5" borderId="3" xfId="0" applyFont="1" applyFill="1" applyBorder="1" applyAlignment="1">
      <alignment horizontal="left" vertical="center"/>
    </xf>
    <xf numFmtId="0" fontId="9" fillId="5" borderId="3" xfId="0" applyFont="1" applyFill="1" applyBorder="1" applyAlignment="1">
      <alignment vertical="center"/>
    </xf>
    <xf numFmtId="0" fontId="9" fillId="5" borderId="6" xfId="0" applyFont="1" applyFill="1" applyBorder="1" applyAlignment="1">
      <alignment vertical="center"/>
    </xf>
    <xf numFmtId="0" fontId="21" fillId="5" borderId="3" xfId="0" applyFont="1" applyFill="1" applyBorder="1" applyAlignment="1">
      <alignment vertical="center"/>
    </xf>
    <xf numFmtId="0" fontId="15" fillId="0" borderId="0" xfId="1" applyNumberFormat="1" applyFont="1" applyAlignment="1" applyProtection="1">
      <alignment vertical="center"/>
    </xf>
    <xf numFmtId="0" fontId="15" fillId="0" borderId="0" xfId="1" applyNumberFormat="1" applyFont="1" applyBorder="1" applyAlignment="1" applyProtection="1">
      <alignment vertical="center"/>
    </xf>
    <xf numFmtId="0" fontId="15" fillId="0" borderId="0" xfId="1" applyNumberFormat="1" applyFont="1" applyBorder="1" applyAlignment="1" applyProtection="1">
      <alignment horizontal="right"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9" fontId="15" fillId="0" borderId="7" xfId="2" applyFont="1" applyBorder="1" applyAlignment="1" applyProtection="1">
      <alignment horizontal="center" vertical="center"/>
    </xf>
    <xf numFmtId="171" fontId="15" fillId="0" borderId="0" xfId="0" applyNumberFormat="1" applyFont="1" applyAlignment="1">
      <alignment horizontal="left" vertical="center"/>
    </xf>
    <xf numFmtId="171" fontId="15" fillId="0" borderId="0" xfId="1" applyNumberFormat="1" applyFont="1" applyAlignment="1" applyProtection="1">
      <alignment vertical="center"/>
    </xf>
    <xf numFmtId="171" fontId="15" fillId="0" borderId="0" xfId="1" applyNumberFormat="1" applyFont="1" applyBorder="1" applyAlignment="1" applyProtection="1">
      <alignment vertical="center"/>
    </xf>
    <xf numFmtId="0" fontId="21" fillId="5" borderId="0" xfId="0" applyFont="1" applyFill="1" applyAlignment="1">
      <alignment horizontal="left" vertical="center"/>
    </xf>
    <xf numFmtId="0" fontId="15" fillId="0" borderId="5" xfId="0" applyFont="1" applyBorder="1" applyAlignment="1">
      <alignment horizontal="center" vertical="center"/>
    </xf>
    <xf numFmtId="171" fontId="15" fillId="0" borderId="0" xfId="0" applyNumberFormat="1" applyFont="1" applyAlignment="1">
      <alignment vertical="center"/>
    </xf>
    <xf numFmtId="173" fontId="15" fillId="0" borderId="5" xfId="2" applyNumberFormat="1" applyFont="1" applyBorder="1" applyAlignment="1" applyProtection="1">
      <alignment horizontal="center" vertical="center"/>
    </xf>
    <xf numFmtId="3" fontId="32" fillId="0" borderId="5" xfId="1" applyNumberFormat="1" applyFont="1" applyBorder="1" applyAlignment="1" applyProtection="1">
      <alignment horizontal="center" vertical="center"/>
    </xf>
    <xf numFmtId="17" fontId="15" fillId="0" borderId="0" xfId="0" applyNumberFormat="1" applyFont="1" applyAlignment="1">
      <alignment horizontal="center" vertical="center"/>
    </xf>
    <xf numFmtId="167" fontId="15" fillId="0" borderId="0" xfId="1" applyFont="1" applyAlignment="1" applyProtection="1">
      <alignment vertical="center"/>
    </xf>
    <xf numFmtId="0" fontId="21" fillId="0" borderId="0" xfId="0" applyFont="1" applyAlignment="1">
      <alignment horizontal="left" vertical="center"/>
    </xf>
    <xf numFmtId="0" fontId="18" fillId="0" borderId="1" xfId="0" applyFont="1" applyBorder="1" applyAlignment="1">
      <alignment horizontal="center" vertical="center"/>
    </xf>
    <xf numFmtId="173" fontId="18" fillId="0" borderId="1" xfId="2" applyNumberFormat="1" applyFont="1" applyBorder="1" applyAlignment="1" applyProtection="1">
      <alignment horizontal="center" vertical="center"/>
    </xf>
    <xf numFmtId="176" fontId="18" fillId="7" borderId="1" xfId="3" applyNumberFormat="1" applyFont="1" applyFill="1" applyBorder="1" applyAlignment="1">
      <alignment horizontal="center" vertical="center"/>
    </xf>
    <xf numFmtId="0" fontId="18" fillId="0" borderId="0" xfId="3" applyFont="1" applyAlignment="1">
      <alignment vertical="center"/>
    </xf>
    <xf numFmtId="0" fontId="60" fillId="0" borderId="0" xfId="0" applyFont="1" applyAlignment="1">
      <alignment vertical="center"/>
    </xf>
    <xf numFmtId="172" fontId="15" fillId="9" borderId="1" xfId="0" applyNumberFormat="1" applyFont="1" applyFill="1" applyBorder="1" applyAlignment="1">
      <alignment horizontal="center" vertical="center"/>
    </xf>
    <xf numFmtId="172" fontId="15" fillId="0" borderId="0" xfId="0" applyNumberFormat="1" applyFont="1" applyAlignment="1">
      <alignment horizontal="center" vertical="center"/>
    </xf>
    <xf numFmtId="180" fontId="61" fillId="0" borderId="0" xfId="0" applyNumberFormat="1" applyFont="1" applyAlignment="1">
      <alignment vertical="center"/>
    </xf>
    <xf numFmtId="167" fontId="21" fillId="0" borderId="0" xfId="1" applyFont="1" applyAlignment="1" applyProtection="1">
      <alignment horizontal="center"/>
    </xf>
    <xf numFmtId="167" fontId="18" fillId="0" borderId="0" xfId="1" applyFont="1" applyProtection="1"/>
    <xf numFmtId="178" fontId="62" fillId="0" borderId="0" xfId="3" applyNumberFormat="1" applyFont="1" applyAlignment="1">
      <alignment vertical="top" wrapText="1"/>
    </xf>
    <xf numFmtId="43" fontId="18" fillId="0" borderId="16" xfId="4" applyFont="1" applyBorder="1" applyProtection="1"/>
    <xf numFmtId="178" fontId="18" fillId="0" borderId="13" xfId="0" applyNumberFormat="1" applyFont="1" applyBorder="1" applyAlignment="1">
      <alignment vertical="top" wrapText="1"/>
    </xf>
    <xf numFmtId="178" fontId="18" fillId="0" borderId="0" xfId="0" applyNumberFormat="1" applyFont="1" applyAlignment="1">
      <alignment vertical="top" wrapText="1"/>
    </xf>
    <xf numFmtId="0" fontId="39" fillId="0" borderId="0" xfId="0" applyFont="1" applyAlignment="1">
      <alignment vertical="center"/>
    </xf>
    <xf numFmtId="172" fontId="13" fillId="0" borderId="0" xfId="1" applyNumberFormat="1" applyFont="1" applyProtection="1"/>
    <xf numFmtId="172" fontId="21" fillId="0" borderId="16" xfId="1" applyNumberFormat="1" applyFont="1" applyBorder="1" applyAlignment="1" applyProtection="1">
      <alignment horizontal="center" vertical="center"/>
    </xf>
    <xf numFmtId="172" fontId="15" fillId="9" borderId="1" xfId="1" applyNumberFormat="1" applyFont="1" applyFill="1" applyBorder="1" applyAlignment="1" applyProtection="1">
      <alignment horizontal="center" vertical="center"/>
    </xf>
    <xf numFmtId="172" fontId="15" fillId="0" borderId="0" xfId="0" applyNumberFormat="1" applyFont="1" applyAlignment="1">
      <alignment vertical="center"/>
    </xf>
    <xf numFmtId="173" fontId="32" fillId="0" borderId="74" xfId="0" applyNumberFormat="1" applyFont="1" applyBorder="1" applyAlignment="1">
      <alignment horizontal="center" vertical="center"/>
    </xf>
    <xf numFmtId="0" fontId="18" fillId="0" borderId="60" xfId="0" applyFont="1" applyBorder="1" applyAlignment="1">
      <alignment vertical="center"/>
    </xf>
    <xf numFmtId="171" fontId="32" fillId="0" borderId="76" xfId="0" applyNumberFormat="1" applyFont="1" applyBorder="1" applyAlignment="1">
      <alignment horizontal="left" vertical="center"/>
    </xf>
    <xf numFmtId="173" fontId="32" fillId="0" borderId="77" xfId="0" applyNumberFormat="1" applyFont="1" applyBorder="1" applyAlignment="1">
      <alignment horizontal="center" vertical="center"/>
    </xf>
    <xf numFmtId="180" fontId="21" fillId="0" borderId="0" xfId="0" applyNumberFormat="1" applyFont="1"/>
    <xf numFmtId="0" fontId="9" fillId="5" borderId="35" xfId="0" applyFont="1" applyFill="1" applyBorder="1" applyAlignment="1">
      <alignment vertical="center"/>
    </xf>
    <xf numFmtId="173" fontId="15" fillId="0" borderId="5" xfId="0" applyNumberFormat="1" applyFont="1" applyBorder="1" applyAlignment="1">
      <alignment horizontal="center" vertical="center"/>
    </xf>
    <xf numFmtId="0" fontId="15" fillId="0" borderId="8" xfId="0" applyFont="1" applyBorder="1" applyAlignment="1">
      <alignment vertical="center"/>
    </xf>
    <xf numFmtId="0" fontId="15" fillId="0" borderId="41" xfId="0" applyFont="1" applyBorder="1" applyAlignment="1">
      <alignment horizontal="center" vertical="center"/>
    </xf>
    <xf numFmtId="173" fontId="15" fillId="0" borderId="7" xfId="0" applyNumberFormat="1" applyFont="1" applyBorder="1" applyAlignment="1">
      <alignment horizontal="center" vertical="center"/>
    </xf>
    <xf numFmtId="172" fontId="15" fillId="0" borderId="0" xfId="1" applyNumberFormat="1" applyFont="1" applyFill="1" applyBorder="1" applyAlignment="1" applyProtection="1">
      <alignment horizontal="center" vertical="center"/>
    </xf>
    <xf numFmtId="172" fontId="18" fillId="0" borderId="1" xfId="0" applyNumberFormat="1" applyFont="1" applyBorder="1" applyAlignment="1" applyProtection="1">
      <alignment horizontal="center" vertical="center"/>
      <protection locked="0"/>
    </xf>
    <xf numFmtId="0" fontId="38" fillId="0" borderId="0" xfId="0" applyFont="1"/>
    <xf numFmtId="167" fontId="5" fillId="0" borderId="0" xfId="1" applyFont="1" applyProtection="1"/>
    <xf numFmtId="0" fontId="63" fillId="0" borderId="0" xfId="0" applyFont="1"/>
    <xf numFmtId="0" fontId="21" fillId="5" borderId="12" xfId="0" applyFont="1" applyFill="1" applyBorder="1" applyAlignment="1">
      <alignment vertical="center"/>
    </xf>
    <xf numFmtId="0" fontId="21" fillId="5" borderId="73" xfId="0" applyFont="1" applyFill="1" applyBorder="1" applyAlignment="1">
      <alignment vertical="center"/>
    </xf>
    <xf numFmtId="10" fontId="15" fillId="0" borderId="5" xfId="2" applyNumberFormat="1" applyFont="1" applyBorder="1" applyAlignment="1" applyProtection="1">
      <alignment horizontal="center" vertical="center"/>
    </xf>
    <xf numFmtId="173" fontId="18" fillId="0" borderId="5" xfId="0" applyNumberFormat="1" applyFont="1" applyBorder="1" applyAlignment="1">
      <alignment horizontal="center" vertical="center"/>
    </xf>
    <xf numFmtId="183" fontId="18" fillId="0" borderId="0" xfId="0" applyNumberFormat="1" applyFont="1"/>
    <xf numFmtId="0" fontId="41" fillId="0" borderId="0" xfId="0" applyFont="1" applyAlignment="1">
      <alignment horizontal="center" vertical="center"/>
    </xf>
    <xf numFmtId="167" fontId="42" fillId="0" borderId="0" xfId="1" applyFont="1" applyProtection="1"/>
    <xf numFmtId="0" fontId="37" fillId="0" borderId="0" xfId="0" applyFont="1"/>
    <xf numFmtId="167" fontId="43" fillId="0" borderId="0" xfId="1" applyFont="1" applyProtection="1"/>
    <xf numFmtId="183" fontId="31" fillId="0" borderId="0" xfId="0" applyNumberFormat="1" applyFont="1"/>
    <xf numFmtId="0" fontId="42" fillId="0" borderId="0" xfId="0" applyFont="1"/>
    <xf numFmtId="170" fontId="31" fillId="0" borderId="0" xfId="0" applyNumberFormat="1" applyFont="1" applyAlignment="1">
      <alignment horizontal="center"/>
    </xf>
    <xf numFmtId="10" fontId="31" fillId="0" borderId="0" xfId="0" applyNumberFormat="1" applyFont="1" applyAlignment="1">
      <alignment horizontal="center"/>
    </xf>
    <xf numFmtId="49" fontId="31" fillId="0" borderId="0" xfId="0" applyNumberFormat="1" applyFont="1" applyAlignment="1">
      <alignment horizontal="center"/>
    </xf>
    <xf numFmtId="0" fontId="6" fillId="5" borderId="0" xfId="0" applyFont="1" applyFill="1" applyAlignment="1">
      <alignment vertical="center"/>
    </xf>
    <xf numFmtId="0" fontId="16" fillId="0" borderId="0" xfId="0" applyFont="1" applyAlignment="1">
      <alignment horizontal="center" vertical="center"/>
    </xf>
    <xf numFmtId="0" fontId="36" fillId="0" borderId="0" xfId="0" applyFont="1"/>
    <xf numFmtId="183" fontId="36" fillId="0" borderId="0" xfId="0" applyNumberFormat="1" applyFont="1"/>
    <xf numFmtId="0" fontId="66" fillId="0" borderId="0" xfId="0" applyFont="1"/>
    <xf numFmtId="0" fontId="16" fillId="0" borderId="0" xfId="0" applyFont="1"/>
    <xf numFmtId="183" fontId="7" fillId="0" borderId="1" xfId="0" applyNumberFormat="1" applyFont="1" applyBorder="1" applyAlignment="1">
      <alignment horizontal="center" vertical="center"/>
    </xf>
    <xf numFmtId="183" fontId="7" fillId="0" borderId="0" xfId="0" applyNumberFormat="1" applyFont="1"/>
    <xf numFmtId="172" fontId="20" fillId="0" borderId="1" xfId="0" applyNumberFormat="1" applyFont="1" applyBorder="1" applyAlignment="1">
      <alignment horizontal="center" vertical="center"/>
    </xf>
    <xf numFmtId="183" fontId="16" fillId="0" borderId="1" xfId="0" applyNumberFormat="1" applyFont="1" applyBorder="1" applyAlignment="1">
      <alignment horizontal="center"/>
    </xf>
    <xf numFmtId="0" fontId="56" fillId="0" borderId="0" xfId="0" applyFont="1"/>
    <xf numFmtId="183" fontId="7" fillId="0" borderId="1" xfId="0" applyNumberFormat="1" applyFont="1" applyBorder="1" applyAlignment="1">
      <alignment horizontal="center"/>
    </xf>
    <xf numFmtId="183" fontId="7" fillId="0" borderId="1" xfId="0" applyNumberFormat="1" applyFont="1" applyBorder="1"/>
    <xf numFmtId="0" fontId="16" fillId="0" borderId="27" xfId="0" applyFont="1" applyBorder="1"/>
    <xf numFmtId="0" fontId="6" fillId="0" borderId="0" xfId="0" applyFont="1" applyAlignment="1">
      <alignment vertical="center"/>
    </xf>
    <xf numFmtId="0" fontId="39" fillId="0" borderId="0" xfId="0" applyFont="1"/>
    <xf numFmtId="0" fontId="20" fillId="0" borderId="0" xfId="3" applyFont="1"/>
    <xf numFmtId="0" fontId="46" fillId="0" borderId="0" xfId="3" applyFont="1"/>
    <xf numFmtId="0" fontId="16" fillId="5" borderId="0" xfId="0" applyFont="1" applyFill="1" applyAlignment="1">
      <alignment vertical="center"/>
    </xf>
    <xf numFmtId="172" fontId="18" fillId="0" borderId="1" xfId="0" applyNumberFormat="1" applyFont="1" applyBorder="1" applyAlignment="1">
      <alignment horizontal="center" vertical="center"/>
    </xf>
    <xf numFmtId="0" fontId="30" fillId="0" borderId="0" xfId="0" applyFont="1"/>
    <xf numFmtId="167" fontId="7" fillId="0" borderId="0" xfId="1" applyFont="1" applyProtection="1"/>
    <xf numFmtId="183" fontId="7" fillId="0" borderId="0" xfId="0" applyNumberFormat="1" applyFont="1" applyAlignment="1">
      <alignment horizontal="center"/>
    </xf>
    <xf numFmtId="180" fontId="31" fillId="0" borderId="0" xfId="0" applyNumberFormat="1" applyFont="1"/>
    <xf numFmtId="0" fontId="44" fillId="0" borderId="0" xfId="0" applyFont="1" applyAlignment="1" applyProtection="1">
      <alignment horizontal="center" vertical="center"/>
      <protection locked="0"/>
    </xf>
    <xf numFmtId="0" fontId="44" fillId="0" borderId="0" xfId="5" applyNumberFormat="1" applyFont="1" applyBorder="1" applyAlignment="1" applyProtection="1">
      <alignment horizontal="center" vertical="center" wrapText="1"/>
      <protection locked="0"/>
    </xf>
    <xf numFmtId="0" fontId="71" fillId="0" borderId="0" xfId="0" applyFont="1"/>
    <xf numFmtId="0" fontId="72" fillId="0" borderId="0" xfId="0" applyFont="1" applyAlignment="1">
      <alignment horizontal="center"/>
    </xf>
    <xf numFmtId="184" fontId="73" fillId="0" borderId="0" xfId="0" applyNumberFormat="1" applyFont="1"/>
    <xf numFmtId="0" fontId="74" fillId="0" borderId="0" xfId="0" applyFont="1"/>
    <xf numFmtId="184" fontId="73" fillId="0" borderId="0" xfId="0" applyNumberFormat="1" applyFont="1" applyAlignment="1">
      <alignment horizontal="center"/>
    </xf>
    <xf numFmtId="185" fontId="75" fillId="0" borderId="0" xfId="0" applyNumberFormat="1" applyFont="1" applyAlignment="1">
      <alignment horizontal="center"/>
    </xf>
    <xf numFmtId="0" fontId="76" fillId="0" borderId="0" xfId="0" applyFont="1" applyAlignment="1">
      <alignment vertical="center"/>
    </xf>
    <xf numFmtId="0" fontId="76" fillId="0" borderId="101" xfId="0" applyFont="1" applyBorder="1"/>
    <xf numFmtId="184" fontId="76" fillId="0" borderId="102" xfId="0" applyNumberFormat="1" applyFont="1" applyBorder="1"/>
    <xf numFmtId="0" fontId="72" fillId="0" borderId="102" xfId="0" applyFont="1" applyBorder="1"/>
    <xf numFmtId="184" fontId="72" fillId="0" borderId="13" xfId="0" applyNumberFormat="1" applyFont="1" applyBorder="1"/>
    <xf numFmtId="9" fontId="72" fillId="0" borderId="13" xfId="0" applyNumberFormat="1" applyFont="1" applyBorder="1" applyAlignment="1">
      <alignment horizontal="center"/>
    </xf>
    <xf numFmtId="0" fontId="72" fillId="0" borderId="13" xfId="0" applyFont="1" applyBorder="1" applyAlignment="1">
      <alignment horizontal="center"/>
    </xf>
    <xf numFmtId="0" fontId="72" fillId="0" borderId="104" xfId="0" applyFont="1" applyBorder="1"/>
    <xf numFmtId="0" fontId="76" fillId="0" borderId="13" xfId="0" applyFont="1" applyBorder="1" applyAlignment="1">
      <alignment horizontal="center"/>
    </xf>
    <xf numFmtId="0" fontId="76" fillId="0" borderId="105" xfId="0" applyFont="1" applyBorder="1" applyAlignment="1">
      <alignment horizontal="center"/>
    </xf>
    <xf numFmtId="0" fontId="76" fillId="0" borderId="109" xfId="0" applyFont="1" applyBorder="1"/>
    <xf numFmtId="0" fontId="76" fillId="0" borderId="110" xfId="0" applyFont="1" applyBorder="1" applyAlignment="1">
      <alignment horizontal="center"/>
    </xf>
    <xf numFmtId="9" fontId="76" fillId="0" borderId="110" xfId="0" applyNumberFormat="1" applyFont="1" applyBorder="1" applyAlignment="1">
      <alignment horizontal="center"/>
    </xf>
    <xf numFmtId="184" fontId="76" fillId="0" borderId="110" xfId="0" applyNumberFormat="1" applyFont="1" applyBorder="1"/>
    <xf numFmtId="0" fontId="72" fillId="0" borderId="112" xfId="0" applyFont="1" applyBorder="1"/>
    <xf numFmtId="0" fontId="72" fillId="0" borderId="0" xfId="0" applyFont="1"/>
    <xf numFmtId="0" fontId="72" fillId="0" borderId="115" xfId="0" applyFont="1" applyBorder="1"/>
    <xf numFmtId="0" fontId="72" fillId="0" borderId="116" xfId="0" applyFont="1" applyBorder="1"/>
    <xf numFmtId="0" fontId="72" fillId="0" borderId="0" xfId="0" applyFont="1" applyAlignment="1">
      <alignment horizontal="left"/>
    </xf>
    <xf numFmtId="184" fontId="72" fillId="0" borderId="0" xfId="0" applyNumberFormat="1" applyFont="1"/>
    <xf numFmtId="0" fontId="2" fillId="3" borderId="0" xfId="0" applyFont="1" applyFill="1" applyAlignment="1">
      <alignment horizontal="center"/>
    </xf>
    <xf numFmtId="10" fontId="72" fillId="0" borderId="0" xfId="2" applyNumberFormat="1" applyFont="1" applyAlignment="1">
      <alignment horizontal="center"/>
    </xf>
    <xf numFmtId="10" fontId="0" fillId="0" borderId="0" xfId="2" applyNumberFormat="1" applyFont="1"/>
    <xf numFmtId="0" fontId="81" fillId="0" borderId="0" xfId="0" applyFont="1"/>
    <xf numFmtId="0" fontId="80" fillId="0" borderId="0" xfId="0" applyFont="1" applyAlignment="1">
      <alignment horizontal="center"/>
    </xf>
    <xf numFmtId="0" fontId="82" fillId="0" borderId="0" xfId="0" applyFont="1" applyAlignment="1">
      <alignment horizontal="center"/>
    </xf>
    <xf numFmtId="184" fontId="77" fillId="0" borderId="1" xfId="0" applyNumberFormat="1" applyFont="1" applyBorder="1"/>
    <xf numFmtId="0" fontId="14" fillId="0" borderId="1" xfId="0" applyFont="1" applyBorder="1" applyAlignment="1">
      <alignment horizontal="center"/>
    </xf>
    <xf numFmtId="173" fontId="18" fillId="0" borderId="1" xfId="0" applyNumberFormat="1" applyFont="1" applyBorder="1" applyAlignment="1">
      <alignment horizontal="center" vertical="center"/>
    </xf>
    <xf numFmtId="0" fontId="15" fillId="0" borderId="1" xfId="0" applyFont="1" applyBorder="1"/>
    <xf numFmtId="167" fontId="25" fillId="0" borderId="17" xfId="1" applyFont="1" applyBorder="1" applyAlignment="1"/>
    <xf numFmtId="0" fontId="70" fillId="0" borderId="0" xfId="0" applyFont="1" applyAlignment="1">
      <alignment horizontal="center" vertical="center"/>
    </xf>
    <xf numFmtId="9" fontId="70" fillId="0" borderId="0" xfId="0" applyNumberFormat="1" applyFont="1" applyAlignment="1">
      <alignment horizontal="center" vertical="center"/>
    </xf>
    <xf numFmtId="0" fontId="3" fillId="0" borderId="0" xfId="0" applyFont="1"/>
    <xf numFmtId="0" fontId="84" fillId="3" borderId="0" xfId="0" applyFont="1" applyFill="1" applyAlignment="1">
      <alignment vertical="center"/>
    </xf>
    <xf numFmtId="0" fontId="85" fillId="3" borderId="0" xfId="0" applyFont="1" applyFill="1" applyAlignment="1">
      <alignment vertical="center"/>
    </xf>
    <xf numFmtId="167" fontId="72" fillId="0" borderId="0" xfId="0" applyNumberFormat="1" applyFont="1" applyAlignment="1">
      <alignment horizontal="center"/>
    </xf>
    <xf numFmtId="0" fontId="77" fillId="0" borderId="1" xfId="0" applyFont="1" applyBorder="1" applyAlignment="1">
      <alignment horizontal="center"/>
    </xf>
    <xf numFmtId="0" fontId="77" fillId="0" borderId="16" xfId="0" applyFont="1" applyBorder="1" applyAlignment="1">
      <alignment horizontal="center"/>
    </xf>
    <xf numFmtId="0" fontId="77" fillId="0" borderId="134" xfId="0" applyFont="1" applyBorder="1" applyAlignment="1">
      <alignment horizontal="center"/>
    </xf>
    <xf numFmtId="0" fontId="77" fillId="0" borderId="114" xfId="0" applyFont="1" applyBorder="1" applyAlignment="1">
      <alignment horizontal="center"/>
    </xf>
    <xf numFmtId="0" fontId="77" fillId="0" borderId="131" xfId="0" applyFont="1" applyBorder="1" applyAlignment="1">
      <alignment horizontal="center"/>
    </xf>
    <xf numFmtId="0" fontId="77" fillId="0" borderId="106" xfId="0" applyFont="1" applyBorder="1" applyAlignment="1">
      <alignment horizontal="center"/>
    </xf>
    <xf numFmtId="0" fontId="77" fillId="0" borderId="122" xfId="0" applyFont="1" applyBorder="1" applyAlignment="1">
      <alignment horizontal="center"/>
    </xf>
    <xf numFmtId="0" fontId="77" fillId="0" borderId="13" xfId="0" applyFont="1" applyBorder="1" applyAlignment="1">
      <alignment horizontal="center"/>
    </xf>
    <xf numFmtId="0" fontId="88" fillId="0" borderId="1" xfId="0" applyFont="1" applyBorder="1" applyAlignment="1">
      <alignment horizontal="center"/>
    </xf>
    <xf numFmtId="184" fontId="77" fillId="0" borderId="13" xfId="0" applyNumberFormat="1" applyFont="1" applyBorder="1"/>
    <xf numFmtId="184" fontId="77" fillId="0" borderId="107" xfId="0" applyNumberFormat="1" applyFont="1" applyBorder="1"/>
    <xf numFmtId="184" fontId="77" fillId="0" borderId="106" xfId="0" applyNumberFormat="1" applyFont="1" applyBorder="1"/>
    <xf numFmtId="10" fontId="77" fillId="0" borderId="1" xfId="2" applyNumberFormat="1" applyFont="1" applyFill="1" applyBorder="1" applyAlignment="1">
      <alignment horizontal="center"/>
    </xf>
    <xf numFmtId="184" fontId="77" fillId="0" borderId="108" xfId="0" applyNumberFormat="1" applyFont="1" applyBorder="1"/>
    <xf numFmtId="0" fontId="88" fillId="0" borderId="107" xfId="0" applyFont="1" applyBorder="1" applyAlignment="1">
      <alignment horizontal="center"/>
    </xf>
    <xf numFmtId="184" fontId="77" fillId="0" borderId="24" xfId="0" applyNumberFormat="1" applyFont="1" applyBorder="1"/>
    <xf numFmtId="184" fontId="77" fillId="0" borderId="125" xfId="0" applyNumberFormat="1" applyFont="1" applyBorder="1"/>
    <xf numFmtId="184" fontId="77" fillId="0" borderId="118" xfId="0" applyNumberFormat="1" applyFont="1" applyBorder="1"/>
    <xf numFmtId="184" fontId="77" fillId="0" borderId="119" xfId="0" applyNumberFormat="1" applyFont="1" applyBorder="1"/>
    <xf numFmtId="0" fontId="77" fillId="0" borderId="132" xfId="0" applyFont="1" applyBorder="1" applyAlignment="1">
      <alignment horizontal="center"/>
    </xf>
    <xf numFmtId="184" fontId="77" fillId="0" borderId="114" xfId="0" applyNumberFormat="1" applyFont="1" applyBorder="1"/>
    <xf numFmtId="0" fontId="77" fillId="0" borderId="121" xfId="0" applyFont="1" applyBorder="1" applyAlignment="1">
      <alignment horizontal="center"/>
    </xf>
    <xf numFmtId="0" fontId="77" fillId="0" borderId="133" xfId="0" applyFont="1" applyBorder="1" applyAlignment="1">
      <alignment horizontal="center"/>
    </xf>
    <xf numFmtId="0" fontId="88" fillId="0" borderId="120" xfId="0" applyFont="1" applyBorder="1" applyAlignment="1">
      <alignment horizontal="center"/>
    </xf>
    <xf numFmtId="184" fontId="77" fillId="0" borderId="137" xfId="0" applyNumberFormat="1" applyFont="1" applyBorder="1"/>
    <xf numFmtId="184" fontId="77" fillId="0" borderId="120" xfId="0" applyNumberFormat="1" applyFont="1" applyBorder="1"/>
    <xf numFmtId="0" fontId="88" fillId="0" borderId="135" xfId="0" applyFont="1" applyBorder="1" applyAlignment="1">
      <alignment horizontal="center"/>
    </xf>
    <xf numFmtId="184" fontId="77" fillId="0" borderId="126" xfId="0" applyNumberFormat="1" applyFont="1" applyBorder="1"/>
    <xf numFmtId="184" fontId="77" fillId="0" borderId="122" xfId="0" applyNumberFormat="1" applyFont="1" applyBorder="1"/>
    <xf numFmtId="184" fontId="77" fillId="0" borderId="135" xfId="0" applyNumberFormat="1" applyFont="1" applyBorder="1"/>
    <xf numFmtId="0" fontId="88" fillId="0" borderId="136" xfId="0" applyFont="1" applyBorder="1" applyAlignment="1">
      <alignment horizontal="center"/>
    </xf>
    <xf numFmtId="184" fontId="77" fillId="0" borderId="127" xfId="0" applyNumberFormat="1" applyFont="1" applyBorder="1"/>
    <xf numFmtId="184" fontId="77" fillId="0" borderId="123" xfId="0" applyNumberFormat="1" applyFont="1" applyBorder="1"/>
    <xf numFmtId="184" fontId="77" fillId="0" borderId="136" xfId="0" applyNumberFormat="1" applyFont="1" applyBorder="1"/>
    <xf numFmtId="186" fontId="17" fillId="0" borderId="0" xfId="1" applyNumberFormat="1" applyFont="1" applyFill="1"/>
    <xf numFmtId="184" fontId="77" fillId="0" borderId="139" xfId="0" applyNumberFormat="1" applyFont="1" applyBorder="1"/>
    <xf numFmtId="0" fontId="2" fillId="0" borderId="1" xfId="0" applyFont="1" applyBorder="1" applyAlignment="1">
      <alignment horizontal="center"/>
    </xf>
    <xf numFmtId="0" fontId="2" fillId="0" borderId="0" xfId="0" applyFont="1"/>
    <xf numFmtId="0" fontId="86" fillId="0" borderId="138" xfId="0" applyFont="1" applyBorder="1" applyAlignment="1">
      <alignment horizontal="center" vertical="center" wrapText="1"/>
    </xf>
    <xf numFmtId="0" fontId="90" fillId="0" borderId="0" xfId="0" applyFont="1" applyAlignment="1">
      <alignment horizontal="center"/>
    </xf>
    <xf numFmtId="0" fontId="75" fillId="0" borderId="0" xfId="0" applyFont="1" applyAlignment="1">
      <alignment horizontal="center"/>
    </xf>
    <xf numFmtId="0" fontId="88" fillId="0" borderId="140" xfId="0" applyFont="1" applyBorder="1"/>
    <xf numFmtId="0" fontId="88" fillId="0" borderId="141" xfId="0" applyFont="1" applyBorder="1"/>
    <xf numFmtId="0" fontId="88" fillId="0" borderId="142" xfId="0" applyFont="1" applyBorder="1"/>
    <xf numFmtId="0" fontId="88" fillId="0" borderId="143" xfId="0" applyFont="1" applyBorder="1"/>
    <xf numFmtId="0" fontId="88" fillId="0" borderId="108" xfId="0" quotePrefix="1" applyFont="1" applyBorder="1" applyAlignment="1">
      <alignment horizontal="center"/>
    </xf>
    <xf numFmtId="0" fontId="88" fillId="0" borderId="108" xfId="0" applyFont="1" applyBorder="1" applyAlignment="1">
      <alignment horizontal="center"/>
    </xf>
    <xf numFmtId="0" fontId="88" fillId="0" borderId="125" xfId="0" applyFont="1" applyBorder="1" applyAlignment="1">
      <alignment horizontal="center"/>
    </xf>
    <xf numFmtId="0" fontId="88" fillId="0" borderId="126" xfId="0" applyFont="1" applyBorder="1" applyAlignment="1">
      <alignment horizontal="center"/>
    </xf>
    <xf numFmtId="0" fontId="88" fillId="0" borderId="127" xfId="0" applyFont="1" applyBorder="1" applyAlignment="1">
      <alignment horizontal="center"/>
    </xf>
    <xf numFmtId="167" fontId="88" fillId="0" borderId="1" xfId="1" quotePrefix="1" applyFont="1" applyFill="1" applyBorder="1" applyAlignment="1">
      <alignment horizontal="center"/>
    </xf>
    <xf numFmtId="0" fontId="88" fillId="0" borderId="144" xfId="0" applyFont="1" applyBorder="1"/>
    <xf numFmtId="167" fontId="88" fillId="0" borderId="25" xfId="1" quotePrefix="1" applyFont="1" applyFill="1" applyBorder="1" applyAlignment="1">
      <alignment horizontal="center"/>
    </xf>
    <xf numFmtId="0" fontId="88" fillId="0" borderId="119" xfId="0" quotePrefix="1" applyFont="1" applyBorder="1" applyAlignment="1">
      <alignment horizontal="center"/>
    </xf>
    <xf numFmtId="10" fontId="77" fillId="0" borderId="114" xfId="2" applyNumberFormat="1" applyFont="1" applyFill="1" applyBorder="1" applyAlignment="1">
      <alignment horizontal="center"/>
    </xf>
    <xf numFmtId="0" fontId="86" fillId="0" borderId="145" xfId="0" applyFont="1" applyBorder="1" applyAlignment="1">
      <alignment horizontal="center" vertical="center"/>
    </xf>
    <xf numFmtId="167" fontId="86" fillId="0" borderId="146" xfId="1" applyFont="1" applyFill="1" applyBorder="1" applyAlignment="1">
      <alignment horizontal="center" vertical="center"/>
    </xf>
    <xf numFmtId="0" fontId="86" fillId="0" borderId="146" xfId="0" applyFont="1" applyBorder="1" applyAlignment="1">
      <alignment horizontal="center" vertical="center"/>
    </xf>
    <xf numFmtId="0" fontId="87" fillId="0" borderId="146" xfId="0" applyFont="1" applyBorder="1" applyAlignment="1">
      <alignment horizontal="center" vertical="center"/>
    </xf>
    <xf numFmtId="0" fontId="87" fillId="0" borderId="146" xfId="0" applyFont="1" applyBorder="1" applyAlignment="1">
      <alignment horizontal="center" vertical="center" wrapText="1"/>
    </xf>
    <xf numFmtId="167" fontId="88" fillId="0" borderId="131" xfId="1" quotePrefix="1" applyFont="1" applyFill="1" applyBorder="1" applyAlignment="1">
      <alignment horizontal="center"/>
    </xf>
    <xf numFmtId="184" fontId="77" fillId="0" borderId="147" xfId="0" applyNumberFormat="1" applyFont="1" applyBorder="1"/>
    <xf numFmtId="0" fontId="88" fillId="0" borderId="25" xfId="0" applyFont="1" applyBorder="1" applyAlignment="1">
      <alignment horizontal="center"/>
    </xf>
    <xf numFmtId="184" fontId="77" fillId="0" borderId="148" xfId="0" applyNumberFormat="1" applyFont="1" applyBorder="1"/>
    <xf numFmtId="167" fontId="0" fillId="0" borderId="0" xfId="1" applyFont="1"/>
    <xf numFmtId="0" fontId="76" fillId="0" borderId="102" xfId="0" applyFont="1" applyBorder="1"/>
    <xf numFmtId="0" fontId="72" fillId="0" borderId="108" xfId="0" applyFont="1" applyBorder="1"/>
    <xf numFmtId="0" fontId="76" fillId="0" borderId="124" xfId="0" applyFont="1" applyBorder="1"/>
    <xf numFmtId="0" fontId="72" fillId="3" borderId="108" xfId="0" applyFont="1" applyFill="1" applyBorder="1" applyAlignment="1">
      <alignment horizontal="center"/>
    </xf>
    <xf numFmtId="171" fontId="9" fillId="0" borderId="0" xfId="0" applyNumberFormat="1" applyFont="1" applyAlignment="1">
      <alignment horizontal="left" vertical="center"/>
    </xf>
    <xf numFmtId="180" fontId="21" fillId="0" borderId="0" xfId="0" applyNumberFormat="1" applyFont="1" applyAlignment="1">
      <alignment vertical="center"/>
    </xf>
    <xf numFmtId="0" fontId="7" fillId="0" borderId="0" xfId="0" applyFont="1" applyAlignment="1">
      <alignment horizontal="center"/>
    </xf>
    <xf numFmtId="173" fontId="21" fillId="0" borderId="5" xfId="0" applyNumberFormat="1" applyFont="1" applyBorder="1" applyAlignment="1">
      <alignment horizontal="center" vertical="center"/>
    </xf>
    <xf numFmtId="171" fontId="32" fillId="0" borderId="1" xfId="0" applyNumberFormat="1" applyFont="1" applyBorder="1" applyAlignment="1">
      <alignment vertical="center"/>
    </xf>
    <xf numFmtId="9" fontId="18" fillId="0" borderId="1" xfId="2" applyFont="1" applyBorder="1" applyAlignment="1" applyProtection="1">
      <alignment horizontal="center" vertical="center"/>
    </xf>
    <xf numFmtId="0" fontId="0" fillId="3" borderId="30" xfId="0" applyFill="1" applyBorder="1"/>
    <xf numFmtId="0" fontId="0" fillId="3" borderId="0" xfId="0" applyFill="1"/>
    <xf numFmtId="0" fontId="91" fillId="0" borderId="0" xfId="0" applyFont="1"/>
    <xf numFmtId="0" fontId="88" fillId="0" borderId="148" xfId="0" applyFont="1" applyBorder="1" applyAlignment="1">
      <alignment horizontal="center"/>
    </xf>
    <xf numFmtId="167" fontId="88" fillId="0" borderId="130" xfId="1" quotePrefix="1" applyFont="1" applyFill="1" applyBorder="1" applyAlignment="1">
      <alignment horizontal="center"/>
    </xf>
    <xf numFmtId="184" fontId="77" fillId="0" borderId="150" xfId="0" applyNumberFormat="1" applyFont="1" applyBorder="1"/>
    <xf numFmtId="167" fontId="88" fillId="0" borderId="16" xfId="1" quotePrefix="1" applyFont="1" applyFill="1" applyBorder="1" applyAlignment="1">
      <alignment horizontal="center"/>
    </xf>
    <xf numFmtId="0" fontId="88" fillId="0" borderId="125" xfId="0" quotePrefix="1" applyFont="1" applyBorder="1" applyAlignment="1">
      <alignment horizontal="center"/>
    </xf>
    <xf numFmtId="184" fontId="77" fillId="0" borderId="151" xfId="0" applyNumberFormat="1" applyFont="1" applyBorder="1"/>
    <xf numFmtId="0" fontId="88" fillId="0" borderId="119" xfId="0" applyFont="1" applyBorder="1" applyAlignment="1">
      <alignment horizontal="center"/>
    </xf>
    <xf numFmtId="0" fontId="88" fillId="0" borderId="1" xfId="0" applyFont="1" applyBorder="1"/>
    <xf numFmtId="184" fontId="77" fillId="0" borderId="152" xfId="0" applyNumberFormat="1" applyFont="1" applyBorder="1"/>
    <xf numFmtId="0" fontId="87" fillId="0" borderId="153" xfId="0" applyFont="1" applyBorder="1" applyAlignment="1">
      <alignment horizontal="center" vertical="center"/>
    </xf>
    <xf numFmtId="0" fontId="87" fillId="0" borderId="129" xfId="0" applyFont="1" applyBorder="1" applyAlignment="1">
      <alignment horizontal="center" vertical="center"/>
    </xf>
    <xf numFmtId="0" fontId="87" fillId="0" borderId="154" xfId="0" applyFont="1" applyBorder="1" applyAlignment="1">
      <alignment horizontal="center" vertical="center"/>
    </xf>
    <xf numFmtId="187" fontId="0" fillId="0" borderId="0" xfId="0" applyNumberFormat="1"/>
    <xf numFmtId="187" fontId="0" fillId="3" borderId="0" xfId="0" applyNumberFormat="1" applyFill="1"/>
    <xf numFmtId="0" fontId="0" fillId="0" borderId="1" xfId="0" applyBorder="1"/>
    <xf numFmtId="0" fontId="21" fillId="5" borderId="12" xfId="0" applyFont="1" applyFill="1" applyBorder="1" applyAlignment="1">
      <alignment horizontal="left" vertical="center"/>
    </xf>
    <xf numFmtId="171" fontId="15" fillId="0" borderId="0" xfId="0" applyNumberFormat="1" applyFont="1" applyAlignment="1">
      <alignment horizontal="center" vertical="center"/>
    </xf>
    <xf numFmtId="184" fontId="77" fillId="0" borderId="71" xfId="0" applyNumberFormat="1" applyFont="1" applyBorder="1"/>
    <xf numFmtId="0" fontId="16" fillId="0" borderId="1" xfId="0" applyFont="1" applyBorder="1" applyAlignment="1">
      <alignment horizontal="center" vertical="center"/>
    </xf>
    <xf numFmtId="171" fontId="32" fillId="0" borderId="5" xfId="0" applyNumberFormat="1" applyFont="1" applyBorder="1" applyAlignment="1">
      <alignment vertical="center"/>
    </xf>
    <xf numFmtId="171" fontId="18" fillId="0" borderId="5" xfId="0" applyNumberFormat="1" applyFont="1" applyBorder="1" applyAlignment="1">
      <alignment vertical="center"/>
    </xf>
    <xf numFmtId="171" fontId="32" fillId="0" borderId="27" xfId="0" applyNumberFormat="1" applyFont="1" applyBorder="1" applyAlignment="1">
      <alignment vertical="center"/>
    </xf>
    <xf numFmtId="173" fontId="15" fillId="0" borderId="87" xfId="0" applyNumberFormat="1" applyFont="1" applyBorder="1" applyAlignment="1">
      <alignment horizontal="center" vertical="center"/>
    </xf>
    <xf numFmtId="171" fontId="32" fillId="0" borderId="87" xfId="0" applyNumberFormat="1" applyFont="1" applyBorder="1" applyAlignment="1">
      <alignment horizontal="center" vertical="center"/>
    </xf>
    <xf numFmtId="0" fontId="18" fillId="0" borderId="87" xfId="0" applyFont="1" applyBorder="1" applyAlignment="1">
      <alignment horizontal="center" vertical="center"/>
    </xf>
    <xf numFmtId="0" fontId="17" fillId="0" borderId="0" xfId="0" applyFont="1"/>
    <xf numFmtId="0" fontId="18" fillId="0" borderId="5" xfId="0" applyFont="1" applyBorder="1" applyAlignment="1">
      <alignment horizontal="center" vertical="center"/>
    </xf>
    <xf numFmtId="173" fontId="18" fillId="0" borderId="5" xfId="2" applyNumberFormat="1" applyFont="1" applyBorder="1" applyAlignment="1" applyProtection="1">
      <alignment horizontal="center" vertical="center"/>
    </xf>
    <xf numFmtId="0" fontId="40" fillId="0" borderId="0" xfId="0" applyFont="1"/>
    <xf numFmtId="0" fontId="92" fillId="0" borderId="0" xfId="0" applyFont="1" applyAlignment="1">
      <alignment vertical="center"/>
    </xf>
    <xf numFmtId="169" fontId="15" fillId="0" borderId="0" xfId="0" applyNumberFormat="1" applyFont="1" applyAlignment="1">
      <alignment horizontal="center" vertical="center"/>
    </xf>
    <xf numFmtId="167" fontId="35" fillId="0" borderId="0" xfId="1" applyFont="1" applyProtection="1"/>
    <xf numFmtId="183" fontId="15" fillId="0" borderId="0" xfId="0" applyNumberFormat="1" applyFont="1"/>
    <xf numFmtId="0" fontId="32" fillId="0" borderId="0" xfId="0" applyFont="1"/>
    <xf numFmtId="183" fontId="15" fillId="0" borderId="1" xfId="0" applyNumberFormat="1" applyFont="1" applyBorder="1" applyAlignment="1">
      <alignment horizontal="center"/>
    </xf>
    <xf numFmtId="0" fontId="21" fillId="5" borderId="6" xfId="0" applyFont="1" applyFill="1" applyBorder="1" applyAlignment="1" applyProtection="1">
      <alignment horizontal="right" vertical="center"/>
      <protection locked="0"/>
    </xf>
    <xf numFmtId="171" fontId="18" fillId="0" borderId="7" xfId="0" applyNumberFormat="1" applyFont="1" applyBorder="1" applyAlignment="1">
      <alignment horizontal="left" vertical="center"/>
    </xf>
    <xf numFmtId="171" fontId="18" fillId="0" borderId="8" xfId="0" applyNumberFormat="1" applyFont="1" applyBorder="1" applyAlignment="1">
      <alignment horizontal="left" vertical="center"/>
    </xf>
    <xf numFmtId="171" fontId="18" fillId="0" borderId="9" xfId="0" applyNumberFormat="1" applyFont="1" applyBorder="1" applyAlignment="1">
      <alignment horizontal="left" vertical="center"/>
    </xf>
    <xf numFmtId="0" fontId="15" fillId="0" borderId="27" xfId="0" applyFont="1" applyBorder="1"/>
    <xf numFmtId="0" fontId="18" fillId="0" borderId="0" xfId="3" applyFont="1"/>
    <xf numFmtId="0" fontId="60" fillId="0" borderId="0" xfId="3" applyFont="1" applyAlignment="1">
      <alignment vertical="center"/>
    </xf>
    <xf numFmtId="179" fontId="8" fillId="0" borderId="0" xfId="0" applyNumberFormat="1" applyFont="1"/>
    <xf numFmtId="0" fontId="15" fillId="0" borderId="1" xfId="0" applyFont="1" applyBorder="1" applyAlignment="1">
      <alignment horizontal="center" vertical="center"/>
    </xf>
    <xf numFmtId="167" fontId="8" fillId="0" borderId="0" xfId="1" applyFont="1" applyProtection="1"/>
    <xf numFmtId="180" fontId="17" fillId="0" borderId="0" xfId="0" applyNumberFormat="1" applyFont="1"/>
    <xf numFmtId="0" fontId="9" fillId="5" borderId="80" xfId="0" applyFont="1" applyFill="1" applyBorder="1" applyAlignment="1">
      <alignment horizontal="center"/>
    </xf>
    <xf numFmtId="0" fontId="93" fillId="0" borderId="0" xfId="0" applyFont="1" applyAlignment="1">
      <alignment vertical="center"/>
    </xf>
    <xf numFmtId="0" fontId="93" fillId="0" borderId="0" xfId="0" applyFont="1"/>
    <xf numFmtId="170" fontId="93" fillId="0" borderId="0" xfId="0" applyNumberFormat="1" applyFont="1" applyAlignment="1">
      <alignment horizontal="center"/>
    </xf>
    <xf numFmtId="10" fontId="93" fillId="0" borderId="0" xfId="0" applyNumberFormat="1" applyFont="1" applyAlignment="1">
      <alignment horizontal="center"/>
    </xf>
    <xf numFmtId="49" fontId="93" fillId="0" borderId="0" xfId="0" applyNumberFormat="1" applyFont="1" applyAlignment="1">
      <alignment horizontal="center"/>
    </xf>
    <xf numFmtId="0" fontId="15" fillId="0" borderId="9" xfId="0" applyFont="1" applyBorder="1" applyAlignment="1">
      <alignment horizontal="center" vertical="center"/>
    </xf>
    <xf numFmtId="43" fontId="32" fillId="0" borderId="34" xfId="0" applyNumberFormat="1" applyFont="1" applyBorder="1" applyAlignment="1">
      <alignment horizontal="center" vertical="center"/>
    </xf>
    <xf numFmtId="43" fontId="32" fillId="0" borderId="9" xfId="0" applyNumberFormat="1" applyFont="1" applyBorder="1" applyAlignment="1">
      <alignment horizontal="center" vertical="center"/>
    </xf>
    <xf numFmtId="167" fontId="15" fillId="0" borderId="0" xfId="1" applyFont="1" applyFill="1" applyBorder="1" applyAlignment="1" applyProtection="1">
      <alignment vertical="center"/>
    </xf>
    <xf numFmtId="174" fontId="15" fillId="0" borderId="0" xfId="0" applyNumberFormat="1" applyFont="1" applyAlignment="1">
      <alignment horizontal="center" vertical="center"/>
    </xf>
    <xf numFmtId="9" fontId="32" fillId="0" borderId="1" xfId="2" applyFont="1" applyBorder="1" applyAlignment="1" applyProtection="1">
      <alignment horizontal="center" vertical="center"/>
    </xf>
    <xf numFmtId="171" fontId="21" fillId="0" borderId="0" xfId="0" applyNumberFormat="1" applyFont="1" applyAlignment="1">
      <alignment horizontal="left" vertical="center"/>
    </xf>
    <xf numFmtId="173" fontId="21" fillId="0" borderId="1" xfId="0" applyNumberFormat="1" applyFont="1" applyBorder="1" applyAlignment="1">
      <alignment horizontal="center" vertical="center"/>
    </xf>
    <xf numFmtId="175" fontId="17" fillId="0" borderId="0" xfId="0" applyNumberFormat="1" applyFont="1"/>
    <xf numFmtId="0" fontId="0" fillId="2" borderId="0" xfId="0" applyFill="1"/>
    <xf numFmtId="0" fontId="23" fillId="2" borderId="0" xfId="0" applyFont="1" applyFill="1" applyAlignment="1">
      <alignment vertical="center"/>
    </xf>
    <xf numFmtId="167" fontId="15" fillId="2" borderId="0" xfId="1" applyFont="1" applyFill="1" applyBorder="1" applyAlignment="1" applyProtection="1">
      <alignment vertical="center"/>
    </xf>
    <xf numFmtId="0" fontId="15" fillId="2" borderId="0" xfId="0" applyFont="1" applyFill="1" applyAlignment="1">
      <alignment vertical="center"/>
    </xf>
    <xf numFmtId="0" fontId="15" fillId="2" borderId="0" xfId="0" applyFont="1" applyFill="1" applyAlignment="1">
      <alignment horizontal="center" vertical="center"/>
    </xf>
    <xf numFmtId="167" fontId="0" fillId="2" borderId="0" xfId="1" applyFont="1" applyFill="1" applyProtection="1"/>
    <xf numFmtId="0" fontId="3" fillId="2" borderId="0" xfId="0" applyFont="1" applyFill="1"/>
    <xf numFmtId="0" fontId="18" fillId="2" borderId="0" xfId="0" applyFont="1" applyFill="1"/>
    <xf numFmtId="0" fontId="18" fillId="2" borderId="0" xfId="0" applyFont="1" applyFill="1" applyAlignment="1">
      <alignment horizontal="center"/>
    </xf>
    <xf numFmtId="0" fontId="18" fillId="2" borderId="0" xfId="0" applyFont="1" applyFill="1" applyAlignment="1">
      <alignment vertical="center"/>
    </xf>
    <xf numFmtId="0" fontId="34" fillId="2" borderId="0" xfId="0" applyFont="1" applyFill="1" applyAlignment="1">
      <alignment vertical="center"/>
    </xf>
    <xf numFmtId="0" fontId="34" fillId="2" borderId="0" xfId="0" applyFont="1" applyFill="1" applyAlignment="1">
      <alignment horizontal="center" vertical="center"/>
    </xf>
    <xf numFmtId="167" fontId="18" fillId="2" borderId="0" xfId="1" applyFont="1" applyFill="1" applyAlignment="1" applyProtection="1">
      <alignment vertical="center"/>
    </xf>
    <xf numFmtId="171" fontId="32" fillId="2" borderId="1" xfId="0" applyNumberFormat="1" applyFont="1" applyFill="1" applyBorder="1" applyAlignment="1">
      <alignment horizontal="center" vertical="center"/>
    </xf>
    <xf numFmtId="0" fontId="42" fillId="2" borderId="0" xfId="0" applyFont="1" applyFill="1"/>
    <xf numFmtId="183" fontId="18" fillId="2" borderId="80" xfId="0" applyNumberFormat="1" applyFont="1" applyFill="1" applyBorder="1" applyAlignment="1">
      <alignment horizontal="center" vertical="center"/>
    </xf>
    <xf numFmtId="169" fontId="18" fillId="2" borderId="0" xfId="0" applyNumberFormat="1" applyFont="1" applyFill="1" applyAlignment="1">
      <alignment vertical="center"/>
    </xf>
    <xf numFmtId="169" fontId="18" fillId="2" borderId="80" xfId="0" applyNumberFormat="1" applyFont="1" applyFill="1" applyBorder="1" applyAlignment="1">
      <alignment horizontal="center" vertical="center"/>
    </xf>
    <xf numFmtId="183" fontId="20" fillId="2" borderId="80" xfId="0" applyNumberFormat="1" applyFont="1" applyFill="1" applyBorder="1" applyAlignment="1">
      <alignment horizontal="center" vertical="center"/>
    </xf>
    <xf numFmtId="169" fontId="42" fillId="2" borderId="0" xfId="0" applyNumberFormat="1" applyFont="1" applyFill="1"/>
    <xf numFmtId="0" fontId="32" fillId="2" borderId="0" xfId="0" applyFont="1" applyFill="1" applyAlignment="1">
      <alignment vertical="center"/>
    </xf>
    <xf numFmtId="0" fontId="18" fillId="2" borderId="0" xfId="0" applyFont="1" applyFill="1" applyAlignment="1">
      <alignment horizontal="center" vertical="center"/>
    </xf>
    <xf numFmtId="0" fontId="26" fillId="2" borderId="0" xfId="0" applyFont="1" applyFill="1"/>
    <xf numFmtId="0" fontId="18" fillId="2" borderId="18" xfId="0" applyFont="1" applyFill="1" applyBorder="1" applyAlignment="1">
      <alignment vertical="center"/>
    </xf>
    <xf numFmtId="0" fontId="18" fillId="2" borderId="24" xfId="0" applyFont="1" applyFill="1" applyBorder="1" applyAlignment="1">
      <alignment vertical="center"/>
    </xf>
    <xf numFmtId="0" fontId="94" fillId="2" borderId="0" xfId="0" applyFont="1" applyFill="1" applyAlignment="1">
      <alignment vertical="center"/>
    </xf>
    <xf numFmtId="0" fontId="23" fillId="2" borderId="0" xfId="0" applyFont="1" applyFill="1"/>
    <xf numFmtId="170" fontId="26" fillId="2" borderId="0" xfId="0" applyNumberFormat="1" applyFont="1" applyFill="1" applyAlignment="1">
      <alignment horizontal="center"/>
    </xf>
    <xf numFmtId="10" fontId="26" fillId="2" borderId="0" xfId="0" applyNumberFormat="1" applyFont="1" applyFill="1" applyAlignment="1">
      <alignment horizontal="center"/>
    </xf>
    <xf numFmtId="49" fontId="26" fillId="2" borderId="0" xfId="0" applyNumberFormat="1" applyFont="1" applyFill="1" applyAlignment="1">
      <alignment horizontal="center"/>
    </xf>
    <xf numFmtId="0" fontId="18" fillId="2" borderId="0" xfId="0" applyFont="1" applyFill="1" applyAlignment="1">
      <alignment horizontal="left" vertical="center"/>
    </xf>
    <xf numFmtId="0" fontId="32" fillId="2" borderId="0" xfId="0" applyFont="1" applyFill="1" applyAlignment="1">
      <alignment horizontal="center" vertical="center"/>
    </xf>
    <xf numFmtId="172" fontId="26" fillId="2" borderId="0" xfId="0" applyNumberFormat="1" applyFont="1" applyFill="1" applyAlignment="1">
      <alignment horizontal="center"/>
    </xf>
    <xf numFmtId="9" fontId="18" fillId="2" borderId="1" xfId="2" applyFont="1" applyFill="1" applyBorder="1" applyAlignment="1" applyProtection="1">
      <alignment horizontal="center" vertical="center"/>
    </xf>
    <xf numFmtId="172" fontId="18" fillId="2" borderId="1" xfId="1" applyNumberFormat="1" applyFont="1" applyFill="1" applyBorder="1" applyAlignment="1" applyProtection="1">
      <alignment horizontal="center" vertical="center"/>
    </xf>
    <xf numFmtId="9" fontId="32" fillId="2" borderId="1" xfId="2" applyFont="1" applyFill="1" applyBorder="1" applyAlignment="1" applyProtection="1">
      <alignment horizontal="center" vertical="center"/>
    </xf>
    <xf numFmtId="171" fontId="18" fillId="2" borderId="0" xfId="0" applyNumberFormat="1" applyFont="1" applyFill="1" applyAlignment="1">
      <alignment horizontal="left" vertical="center"/>
    </xf>
    <xf numFmtId="172" fontId="18" fillId="2" borderId="0" xfId="1" applyNumberFormat="1" applyFont="1" applyFill="1" applyBorder="1" applyAlignment="1" applyProtection="1">
      <alignment horizontal="center" vertical="center"/>
    </xf>
    <xf numFmtId="0" fontId="32" fillId="2" borderId="24" xfId="0" applyFont="1" applyFill="1" applyBorder="1"/>
    <xf numFmtId="183" fontId="18" fillId="2" borderId="1" xfId="0" applyNumberFormat="1" applyFont="1" applyFill="1" applyBorder="1"/>
    <xf numFmtId="173" fontId="18" fillId="2" borderId="1" xfId="0" applyNumberFormat="1" applyFont="1" applyFill="1" applyBorder="1" applyAlignment="1">
      <alignment horizontal="center" vertical="center"/>
    </xf>
    <xf numFmtId="0" fontId="95" fillId="2" borderId="0" xfId="0" applyFont="1" applyFill="1"/>
    <xf numFmtId="0" fontId="32" fillId="2" borderId="1" xfId="0" applyFont="1" applyFill="1" applyBorder="1" applyAlignment="1">
      <alignment horizontal="center" vertical="center"/>
    </xf>
    <xf numFmtId="0" fontId="18" fillId="2" borderId="1" xfId="0" applyFont="1" applyFill="1" applyBorder="1" applyAlignment="1">
      <alignment horizontal="center" vertical="center"/>
    </xf>
    <xf numFmtId="0" fontId="9" fillId="5" borderId="6" xfId="0" applyFont="1" applyFill="1" applyBorder="1" applyAlignment="1">
      <alignment horizontal="left" vertical="center"/>
    </xf>
    <xf numFmtId="0" fontId="32" fillId="2" borderId="59" xfId="0" applyFont="1" applyFill="1" applyBorder="1" applyAlignment="1">
      <alignment horizontal="left" vertical="center"/>
    </xf>
    <xf numFmtId="0" fontId="32" fillId="2" borderId="59" xfId="0" applyFont="1" applyFill="1" applyBorder="1" applyAlignment="1">
      <alignment vertical="center"/>
    </xf>
    <xf numFmtId="171" fontId="32" fillId="2" borderId="0" xfId="0" applyNumberFormat="1" applyFont="1" applyFill="1" applyAlignment="1">
      <alignment horizontal="left" vertical="center"/>
    </xf>
    <xf numFmtId="0" fontId="60" fillId="2" borderId="0" xfId="3" applyFont="1" applyFill="1" applyAlignment="1">
      <alignment vertical="center"/>
    </xf>
    <xf numFmtId="0" fontId="23" fillId="2" borderId="0" xfId="0" applyFont="1" applyFill="1" applyAlignment="1">
      <alignment horizontal="center"/>
    </xf>
    <xf numFmtId="0" fontId="8" fillId="2" borderId="0" xfId="0" applyFont="1" applyFill="1"/>
    <xf numFmtId="0" fontId="8" fillId="2" borderId="0" xfId="0" applyFont="1" applyFill="1" applyAlignment="1">
      <alignment horizontal="center"/>
    </xf>
    <xf numFmtId="167" fontId="23" fillId="2" borderId="0" xfId="1" applyFont="1" applyFill="1" applyProtection="1"/>
    <xf numFmtId="0" fontId="60" fillId="2" borderId="0" xfId="0" applyFont="1" applyFill="1" applyAlignment="1">
      <alignment vertical="center"/>
    </xf>
    <xf numFmtId="167" fontId="8" fillId="2" borderId="0" xfId="1" applyFont="1" applyFill="1" applyProtection="1"/>
    <xf numFmtId="0" fontId="21" fillId="2" borderId="0" xfId="0" applyFont="1" applyFill="1" applyAlignment="1">
      <alignment horizontal="center" vertical="center"/>
    </xf>
    <xf numFmtId="171" fontId="21" fillId="2" borderId="0" xfId="0" applyNumberFormat="1" applyFont="1" applyFill="1" applyAlignment="1">
      <alignment horizontal="left" vertical="center"/>
    </xf>
    <xf numFmtId="0" fontId="5" fillId="0" borderId="0" xfId="0" applyFont="1"/>
    <xf numFmtId="0" fontId="5" fillId="0" borderId="0" xfId="0" applyFont="1" applyAlignment="1">
      <alignment horizontal="center"/>
    </xf>
    <xf numFmtId="0" fontId="5" fillId="2" borderId="0" xfId="0" applyFont="1" applyFill="1"/>
    <xf numFmtId="0" fontId="5" fillId="2" borderId="0" xfId="0" applyFont="1" applyFill="1" applyAlignment="1">
      <alignment horizontal="center"/>
    </xf>
    <xf numFmtId="167" fontId="5" fillId="2" borderId="0" xfId="1" applyFont="1" applyFill="1" applyProtection="1"/>
    <xf numFmtId="0" fontId="9" fillId="5" borderId="3" xfId="0" applyFont="1" applyFill="1" applyBorder="1" applyAlignment="1" applyProtection="1">
      <alignment horizontal="left" vertical="center"/>
      <protection locked="0"/>
    </xf>
    <xf numFmtId="0" fontId="9" fillId="5" borderId="3" xfId="0" applyFont="1" applyFill="1" applyBorder="1" applyAlignment="1" applyProtection="1">
      <alignment vertical="center"/>
      <protection locked="0"/>
    </xf>
    <xf numFmtId="171" fontId="32" fillId="0" borderId="5" xfId="0" applyNumberFormat="1" applyFont="1" applyBorder="1" applyAlignment="1" applyProtection="1">
      <alignment vertical="center"/>
      <protection locked="0"/>
    </xf>
    <xf numFmtId="9" fontId="18" fillId="0" borderId="5" xfId="2" applyFont="1" applyBorder="1" applyAlignment="1" applyProtection="1">
      <alignment horizontal="center" vertical="center"/>
      <protection locked="0"/>
    </xf>
    <xf numFmtId="0" fontId="9" fillId="5" borderId="8" xfId="0" applyFont="1" applyFill="1" applyBorder="1" applyProtection="1">
      <protection locked="0"/>
    </xf>
    <xf numFmtId="0" fontId="9" fillId="5" borderId="9" xfId="0" applyFont="1" applyFill="1" applyBorder="1" applyProtection="1">
      <protection locked="0"/>
    </xf>
    <xf numFmtId="171" fontId="18" fillId="0" borderId="5" xfId="0" applyNumberFormat="1" applyFont="1" applyBorder="1" applyAlignment="1" applyProtection="1">
      <alignment vertical="center"/>
      <protection locked="0"/>
    </xf>
    <xf numFmtId="171" fontId="18" fillId="0" borderId="8" xfId="0" applyNumberFormat="1" applyFont="1" applyBorder="1" applyAlignment="1" applyProtection="1">
      <alignment horizontal="left" vertical="center"/>
      <protection locked="0"/>
    </xf>
    <xf numFmtId="171" fontId="18" fillId="0" borderId="9" xfId="0" applyNumberFormat="1" applyFont="1" applyBorder="1" applyAlignment="1" applyProtection="1">
      <alignment horizontal="left" vertical="center"/>
      <protection locked="0"/>
    </xf>
    <xf numFmtId="0" fontId="9" fillId="5" borderId="0" xfId="0" applyFont="1" applyFill="1" applyAlignment="1" applyProtection="1">
      <alignment horizontal="left" vertical="center"/>
      <protection locked="0"/>
    </xf>
    <xf numFmtId="0" fontId="9" fillId="5" borderId="0" xfId="0" applyFont="1" applyFill="1" applyAlignment="1" applyProtection="1">
      <alignment vertical="center"/>
      <protection locked="0"/>
    </xf>
    <xf numFmtId="0" fontId="93" fillId="0" borderId="0" xfId="0" applyFont="1" applyProtection="1">
      <protection locked="0"/>
    </xf>
    <xf numFmtId="0" fontId="18" fillId="0" borderId="0" xfId="0" applyFont="1" applyAlignment="1" applyProtection="1">
      <alignment horizontal="left" vertical="center"/>
      <protection locked="0"/>
    </xf>
    <xf numFmtId="0" fontId="15" fillId="0" borderId="18" xfId="0" applyFont="1" applyBorder="1" applyProtection="1">
      <protection locked="0"/>
    </xf>
    <xf numFmtId="0" fontId="15" fillId="0" borderId="27" xfId="0" applyFont="1" applyBorder="1" applyProtection="1">
      <protection locked="0"/>
    </xf>
    <xf numFmtId="0" fontId="15" fillId="0" borderId="0" xfId="0" applyFont="1" applyAlignment="1" applyProtection="1">
      <alignment horizontal="center"/>
      <protection locked="0"/>
    </xf>
    <xf numFmtId="0" fontId="15" fillId="0" borderId="22" xfId="0" applyFont="1" applyBorder="1" applyProtection="1">
      <protection locked="0"/>
    </xf>
    <xf numFmtId="0" fontId="9" fillId="5" borderId="7" xfId="0" applyFont="1" applyFill="1" applyBorder="1" applyAlignment="1" applyProtection="1">
      <alignment horizontal="left"/>
      <protection locked="0"/>
    </xf>
    <xf numFmtId="0" fontId="9" fillId="5" borderId="8" xfId="0" applyFont="1" applyFill="1" applyBorder="1" applyAlignment="1" applyProtection="1">
      <alignment horizontal="left"/>
      <protection locked="0"/>
    </xf>
    <xf numFmtId="0" fontId="9" fillId="5" borderId="8" xfId="0" applyFont="1" applyFill="1" applyBorder="1" applyAlignment="1" applyProtection="1">
      <alignment horizontal="center"/>
      <protection locked="0"/>
    </xf>
    <xf numFmtId="0" fontId="15" fillId="0" borderId="41" xfId="0" applyFont="1" applyBorder="1" applyAlignment="1" applyProtection="1">
      <alignment horizontal="center" vertical="center"/>
      <protection locked="0"/>
    </xf>
    <xf numFmtId="173" fontId="15" fillId="0" borderId="5" xfId="0" applyNumberFormat="1" applyFont="1" applyBorder="1" applyAlignment="1" applyProtection="1">
      <alignment horizontal="center" vertical="center"/>
      <protection locked="0"/>
    </xf>
    <xf numFmtId="171" fontId="18" fillId="0" borderId="7" xfId="0" applyNumberFormat="1" applyFont="1" applyBorder="1" applyAlignment="1" applyProtection="1">
      <alignment horizontal="left" vertical="center"/>
      <protection locked="0"/>
    </xf>
    <xf numFmtId="0" fontId="15" fillId="0" borderId="36" xfId="0" applyFont="1" applyBorder="1" applyProtection="1">
      <protection locked="0"/>
    </xf>
    <xf numFmtId="0" fontId="15" fillId="0" borderId="19" xfId="0" applyFont="1" applyBorder="1" applyAlignment="1" applyProtection="1">
      <alignment horizontal="center"/>
      <protection locked="0"/>
    </xf>
    <xf numFmtId="0" fontId="15" fillId="0" borderId="5" xfId="0" applyFont="1" applyBorder="1" applyAlignment="1" applyProtection="1">
      <alignment horizontal="center" vertical="center"/>
      <protection locked="0"/>
    </xf>
    <xf numFmtId="0" fontId="15" fillId="0" borderId="0" xfId="0" applyFont="1" applyAlignment="1" applyProtection="1">
      <alignment vertical="center"/>
      <protection locked="0"/>
    </xf>
    <xf numFmtId="173" fontId="15" fillId="0" borderId="87" xfId="0" applyNumberFormat="1" applyFont="1" applyBorder="1" applyAlignment="1" applyProtection="1">
      <alignment horizontal="center" vertical="center"/>
      <protection locked="0"/>
    </xf>
    <xf numFmtId="171" fontId="32" fillId="0" borderId="87" xfId="0" applyNumberFormat="1" applyFont="1" applyBorder="1" applyAlignment="1" applyProtection="1">
      <alignment horizontal="center" vertical="center"/>
      <protection locked="0"/>
    </xf>
    <xf numFmtId="0" fontId="18" fillId="0" borderId="87" xfId="0" applyFont="1" applyBorder="1" applyAlignment="1" applyProtection="1">
      <alignment horizontal="center" vertical="center"/>
      <protection locked="0"/>
    </xf>
    <xf numFmtId="0" fontId="9" fillId="0" borderId="0" xfId="0" applyFont="1" applyAlignment="1" applyProtection="1">
      <alignment vertical="center"/>
      <protection locked="0"/>
    </xf>
    <xf numFmtId="0" fontId="18" fillId="0" borderId="5" xfId="0" applyFont="1" applyBorder="1" applyAlignment="1" applyProtection="1">
      <alignment horizontal="center" vertical="center"/>
      <protection locked="0"/>
    </xf>
    <xf numFmtId="0" fontId="38" fillId="0" borderId="0" xfId="0" applyFont="1" applyProtection="1">
      <protection locked="0"/>
    </xf>
    <xf numFmtId="0" fontId="18" fillId="0" borderId="0" xfId="3" applyFont="1" applyProtection="1">
      <protection locked="0"/>
    </xf>
    <xf numFmtId="0" fontId="60" fillId="0" borderId="0" xfId="3" applyFont="1" applyProtection="1">
      <protection locked="0"/>
    </xf>
    <xf numFmtId="0" fontId="15" fillId="5" borderId="0" xfId="0" applyFont="1" applyFill="1" applyAlignment="1" applyProtection="1">
      <alignment vertical="center"/>
      <protection locked="0"/>
    </xf>
    <xf numFmtId="0" fontId="40" fillId="0" borderId="0" xfId="0" applyFont="1" applyProtection="1">
      <protection locked="0"/>
    </xf>
    <xf numFmtId="0" fontId="60" fillId="0" borderId="0" xfId="0" applyFont="1" applyAlignment="1" applyProtection="1">
      <alignment vertical="center"/>
      <protection locked="0"/>
    </xf>
    <xf numFmtId="0" fontId="38" fillId="0" borderId="0" xfId="0" applyFont="1" applyAlignment="1" applyProtection="1">
      <alignment vertical="center"/>
      <protection locked="0"/>
    </xf>
    <xf numFmtId="0" fontId="92" fillId="0" borderId="0" xfId="0" applyFont="1" applyAlignment="1" applyProtection="1">
      <alignment vertical="center"/>
      <protection locked="0"/>
    </xf>
    <xf numFmtId="0" fontId="9" fillId="5" borderId="80" xfId="0" applyFont="1" applyFill="1" applyBorder="1" applyAlignment="1" applyProtection="1">
      <alignment vertical="center"/>
      <protection locked="0"/>
    </xf>
    <xf numFmtId="169" fontId="15" fillId="0" borderId="0" xfId="0" applyNumberFormat="1" applyFont="1" applyAlignment="1" applyProtection="1">
      <alignment horizontal="center" vertical="center"/>
      <protection locked="0"/>
    </xf>
    <xf numFmtId="0" fontId="9" fillId="5" borderId="80" xfId="0" applyFont="1" applyFill="1" applyBorder="1" applyAlignment="1" applyProtection="1">
      <alignment horizontal="center" vertical="center"/>
      <protection locked="0"/>
    </xf>
    <xf numFmtId="0" fontId="9" fillId="5" borderId="1" xfId="0" applyFont="1" applyFill="1" applyBorder="1" applyAlignment="1" applyProtection="1">
      <alignment horizontal="center" vertical="center"/>
      <protection locked="0"/>
    </xf>
    <xf numFmtId="0" fontId="9" fillId="5" borderId="5" xfId="0" applyFont="1" applyFill="1" applyBorder="1" applyAlignment="1">
      <alignment horizontal="center" vertical="center"/>
    </xf>
    <xf numFmtId="0" fontId="9" fillId="2" borderId="0" xfId="0" applyFont="1" applyFill="1" applyAlignment="1">
      <alignment vertical="center"/>
    </xf>
    <xf numFmtId="0" fontId="18" fillId="0" borderId="41" xfId="0" applyFont="1" applyBorder="1" applyAlignment="1" applyProtection="1">
      <alignment horizontal="center" vertical="center"/>
      <protection locked="0"/>
    </xf>
    <xf numFmtId="173" fontId="18" fillId="0" borderId="41" xfId="2" applyNumberFormat="1" applyFont="1" applyBorder="1" applyAlignment="1" applyProtection="1">
      <alignment horizontal="center" vertical="center"/>
      <protection locked="0"/>
    </xf>
    <xf numFmtId="184" fontId="97" fillId="0" borderId="0" xfId="0" applyNumberFormat="1" applyFont="1" applyAlignment="1">
      <alignment horizontal="center"/>
    </xf>
    <xf numFmtId="167" fontId="48" fillId="0" borderId="0" xfId="1" applyFont="1"/>
    <xf numFmtId="167" fontId="99" fillId="0" borderId="153" xfId="1" applyFont="1" applyFill="1" applyBorder="1" applyAlignment="1">
      <alignment horizontal="center" vertical="center" wrapText="1"/>
    </xf>
    <xf numFmtId="0" fontId="99" fillId="0" borderId="156" xfId="0" applyFont="1" applyBorder="1" applyAlignment="1">
      <alignment horizontal="center" vertical="center"/>
    </xf>
    <xf numFmtId="167" fontId="98" fillId="0" borderId="155" xfId="1" applyFont="1" applyFill="1" applyBorder="1"/>
    <xf numFmtId="184" fontId="98" fillId="0" borderId="155" xfId="0" applyNumberFormat="1" applyFont="1" applyBorder="1"/>
    <xf numFmtId="167" fontId="100" fillId="0" borderId="0" xfId="1" applyFont="1" applyAlignment="1">
      <alignment horizontal="center"/>
    </xf>
    <xf numFmtId="0" fontId="101" fillId="0" borderId="0" xfId="0" applyFont="1"/>
    <xf numFmtId="9" fontId="97" fillId="0" borderId="0" xfId="2" applyFont="1" applyAlignment="1">
      <alignment horizontal="center"/>
    </xf>
    <xf numFmtId="0" fontId="99" fillId="0" borderId="153" xfId="0" applyFont="1" applyBorder="1" applyAlignment="1">
      <alignment horizontal="center" vertical="center" wrapText="1"/>
    </xf>
    <xf numFmtId="184" fontId="98" fillId="0" borderId="1" xfId="0" applyNumberFormat="1" applyFont="1" applyBorder="1"/>
    <xf numFmtId="10" fontId="97" fillId="0" borderId="0" xfId="2" applyNumberFormat="1" applyFont="1" applyAlignment="1">
      <alignment horizontal="center"/>
    </xf>
    <xf numFmtId="10" fontId="102" fillId="0" borderId="0" xfId="2" applyNumberFormat="1" applyFont="1" applyAlignment="1">
      <alignment horizontal="center"/>
    </xf>
    <xf numFmtId="0" fontId="88" fillId="0" borderId="16" xfId="0" applyFont="1" applyBorder="1"/>
    <xf numFmtId="0" fontId="88" fillId="0" borderId="25" xfId="0" applyFont="1" applyBorder="1"/>
    <xf numFmtId="184" fontId="77" fillId="0" borderId="157" xfId="0" applyNumberFormat="1" applyFont="1" applyBorder="1"/>
    <xf numFmtId="184" fontId="77" fillId="0" borderId="15" xfId="0" applyNumberFormat="1" applyFont="1" applyBorder="1"/>
    <xf numFmtId="184" fontId="77" fillId="0" borderId="20" xfId="0" applyNumberFormat="1" applyFont="1" applyBorder="1"/>
    <xf numFmtId="184" fontId="77" fillId="0" borderId="42" xfId="0" applyNumberFormat="1" applyFont="1" applyBorder="1"/>
    <xf numFmtId="184" fontId="77" fillId="0" borderId="158" xfId="0" applyNumberFormat="1" applyFont="1" applyBorder="1"/>
    <xf numFmtId="184" fontId="77" fillId="0" borderId="159" xfId="0" applyNumberFormat="1" applyFont="1" applyBorder="1"/>
    <xf numFmtId="184" fontId="77" fillId="0" borderId="160" xfId="0" applyNumberFormat="1" applyFont="1" applyBorder="1"/>
    <xf numFmtId="184" fontId="77" fillId="0" borderId="161" xfId="0" applyNumberFormat="1" applyFont="1" applyBorder="1"/>
    <xf numFmtId="184" fontId="77" fillId="0" borderId="162" xfId="0" applyNumberFormat="1" applyFont="1" applyBorder="1"/>
    <xf numFmtId="184" fontId="77" fillId="0" borderId="163" xfId="0" applyNumberFormat="1" applyFont="1" applyBorder="1"/>
    <xf numFmtId="0" fontId="86" fillId="0" borderId="165" xfId="0" applyFont="1" applyBorder="1" applyAlignment="1">
      <alignment horizontal="center" vertical="center" wrapText="1"/>
    </xf>
    <xf numFmtId="184" fontId="77" fillId="0" borderId="166" xfId="0" applyNumberFormat="1" applyFont="1" applyBorder="1"/>
    <xf numFmtId="184" fontId="77" fillId="0" borderId="167" xfId="0" applyNumberFormat="1" applyFont="1" applyBorder="1"/>
    <xf numFmtId="184" fontId="77" fillId="0" borderId="168" xfId="0" applyNumberFormat="1" applyFont="1" applyBorder="1"/>
    <xf numFmtId="0" fontId="86" fillId="0" borderId="164" xfId="0" applyFont="1" applyBorder="1" applyAlignment="1">
      <alignment horizontal="center" vertical="center" wrapText="1"/>
    </xf>
    <xf numFmtId="0" fontId="88" fillId="0" borderId="25" xfId="0" quotePrefix="1" applyFont="1" applyBorder="1" applyAlignment="1">
      <alignment horizontal="center"/>
    </xf>
    <xf numFmtId="0" fontId="65" fillId="0" borderId="0" xfId="0" applyFont="1" applyAlignment="1">
      <alignment horizontal="center"/>
    </xf>
    <xf numFmtId="0" fontId="9" fillId="0" borderId="5" xfId="0" applyFont="1" applyBorder="1" applyAlignment="1">
      <alignment vertical="center"/>
    </xf>
    <xf numFmtId="0" fontId="9" fillId="0" borderId="1" xfId="0" applyFont="1" applyBorder="1" applyAlignment="1">
      <alignment horizontal="center" vertical="center"/>
    </xf>
    <xf numFmtId="0" fontId="102" fillId="0" borderId="153" xfId="0" applyFont="1" applyBorder="1" applyAlignment="1">
      <alignment horizontal="center" vertical="center" wrapText="1"/>
    </xf>
    <xf numFmtId="0" fontId="0" fillId="15" borderId="0" xfId="0" applyFill="1"/>
    <xf numFmtId="0" fontId="2" fillId="15" borderId="0" xfId="0" applyFont="1" applyFill="1"/>
    <xf numFmtId="184" fontId="73" fillId="15" borderId="0" xfId="0" applyNumberFormat="1" applyFont="1" applyFill="1" applyAlignment="1">
      <alignment horizontal="center"/>
    </xf>
    <xf numFmtId="184" fontId="77" fillId="15" borderId="1" xfId="0" applyNumberFormat="1" applyFont="1" applyFill="1" applyBorder="1"/>
    <xf numFmtId="184" fontId="77" fillId="0" borderId="114" xfId="0" applyNumberFormat="1" applyFont="1" applyBorder="1" applyAlignment="1">
      <alignment horizontal="center"/>
    </xf>
    <xf numFmtId="184" fontId="77" fillId="0" borderId="155" xfId="0" applyNumberFormat="1" applyFont="1" applyBorder="1"/>
    <xf numFmtId="0" fontId="0" fillId="0" borderId="1" xfId="0" applyBorder="1" applyAlignment="1">
      <alignment horizontal="center"/>
    </xf>
    <xf numFmtId="0" fontId="100" fillId="0" borderId="0" xfId="0" applyFont="1"/>
    <xf numFmtId="14" fontId="0" fillId="0" borderId="0" xfId="0" applyNumberFormat="1"/>
    <xf numFmtId="0" fontId="2" fillId="0" borderId="1" xfId="0" applyFont="1" applyBorder="1" applyAlignment="1">
      <alignment horizontal="center" wrapText="1"/>
    </xf>
    <xf numFmtId="0" fontId="71" fillId="2" borderId="0" xfId="0" applyFont="1" applyFill="1"/>
    <xf numFmtId="0" fontId="14" fillId="16" borderId="1" xfId="0" applyFont="1" applyFill="1" applyBorder="1" applyAlignment="1">
      <alignment horizontal="center"/>
    </xf>
    <xf numFmtId="184" fontId="98" fillId="0" borderId="15" xfId="0" applyNumberFormat="1" applyFont="1" applyBorder="1"/>
    <xf numFmtId="0" fontId="87" fillId="0" borderId="156" xfId="0" applyFont="1" applyBorder="1" applyAlignment="1">
      <alignment horizontal="center" vertical="center" wrapText="1"/>
    </xf>
    <xf numFmtId="184" fontId="98" fillId="0" borderId="25" xfId="0" applyNumberFormat="1" applyFont="1" applyBorder="1"/>
    <xf numFmtId="184" fontId="98" fillId="0" borderId="42" xfId="0" applyNumberFormat="1" applyFont="1" applyBorder="1"/>
    <xf numFmtId="184" fontId="77" fillId="15" borderId="25" xfId="0" applyNumberFormat="1" applyFont="1" applyFill="1" applyBorder="1"/>
    <xf numFmtId="0" fontId="87" fillId="15" borderId="156" xfId="0" applyFont="1" applyFill="1" applyBorder="1" applyAlignment="1">
      <alignment horizontal="center" vertical="center" wrapText="1"/>
    </xf>
    <xf numFmtId="2" fontId="103" fillId="0" borderId="1" xfId="3" applyNumberFormat="1" applyFont="1" applyBorder="1" applyAlignment="1">
      <alignment horizontal="center" wrapText="1"/>
    </xf>
    <xf numFmtId="0" fontId="104" fillId="0" borderId="1" xfId="3" applyFont="1" applyBorder="1" applyAlignment="1">
      <alignment horizontal="center"/>
    </xf>
    <xf numFmtId="167" fontId="0" fillId="0" borderId="0" xfId="0" applyNumberFormat="1"/>
    <xf numFmtId="167" fontId="48" fillId="0" borderId="0" xfId="0" applyNumberFormat="1" applyFont="1"/>
    <xf numFmtId="0" fontId="103" fillId="0" borderId="1" xfId="3" applyFont="1" applyBorder="1" applyAlignment="1">
      <alignment horizontal="center"/>
    </xf>
    <xf numFmtId="0" fontId="103" fillId="0" borderId="1" xfId="3" applyFont="1" applyBorder="1" applyAlignment="1">
      <alignment horizontal="center" wrapText="1"/>
    </xf>
    <xf numFmtId="0" fontId="104" fillId="0" borderId="1" xfId="3" applyFont="1" applyBorder="1" applyAlignment="1">
      <alignment horizontal="center" wrapText="1"/>
    </xf>
    <xf numFmtId="0" fontId="105" fillId="0" borderId="1" xfId="3" applyFont="1" applyBorder="1" applyAlignment="1">
      <alignment horizontal="center" wrapText="1"/>
    </xf>
    <xf numFmtId="0" fontId="48" fillId="15" borderId="0" xfId="0" applyFont="1" applyFill="1"/>
    <xf numFmtId="0" fontId="101" fillId="15" borderId="0" xfId="0" applyFont="1" applyFill="1"/>
    <xf numFmtId="167" fontId="100" fillId="15" borderId="0" xfId="1" applyFont="1" applyFill="1" applyAlignment="1">
      <alignment horizontal="center"/>
    </xf>
    <xf numFmtId="9" fontId="97" fillId="15" borderId="0" xfId="2" applyFont="1" applyFill="1" applyAlignment="1">
      <alignment horizontal="center"/>
    </xf>
    <xf numFmtId="184" fontId="98" fillId="15" borderId="1" xfId="0" applyNumberFormat="1" applyFont="1" applyFill="1" applyBorder="1"/>
    <xf numFmtId="17" fontId="71" fillId="0" borderId="0" xfId="0" quotePrefix="1" applyNumberFormat="1" applyFont="1" applyAlignment="1">
      <alignment horizontal="left"/>
    </xf>
    <xf numFmtId="167" fontId="97" fillId="0" borderId="0" xfId="1" applyFont="1"/>
    <xf numFmtId="0" fontId="106" fillId="0" borderId="171" xfId="0" applyFont="1" applyBorder="1"/>
    <xf numFmtId="0" fontId="106" fillId="0" borderId="173" xfId="0" applyFont="1" applyBorder="1"/>
    <xf numFmtId="0" fontId="107" fillId="16" borderId="169" xfId="0" applyFont="1" applyFill="1" applyBorder="1"/>
    <xf numFmtId="0" fontId="107" fillId="16" borderId="170" xfId="0" applyFont="1" applyFill="1" applyBorder="1" applyAlignment="1">
      <alignment horizontal="center"/>
    </xf>
    <xf numFmtId="167" fontId="107" fillId="0" borderId="172" xfId="1" applyFont="1" applyBorder="1"/>
    <xf numFmtId="167" fontId="107" fillId="0" borderId="174" xfId="1" applyFont="1" applyBorder="1"/>
    <xf numFmtId="167" fontId="82" fillId="0" borderId="0" xfId="1" applyFont="1" applyAlignment="1">
      <alignment horizontal="center"/>
    </xf>
    <xf numFmtId="10" fontId="108" fillId="0" borderId="1" xfId="2" applyNumberFormat="1" applyFont="1" applyBorder="1" applyAlignment="1">
      <alignment horizontal="center"/>
    </xf>
    <xf numFmtId="10" fontId="97" fillId="16" borderId="1" xfId="2" applyNumberFormat="1" applyFont="1" applyFill="1" applyBorder="1" applyAlignment="1">
      <alignment horizontal="center"/>
    </xf>
    <xf numFmtId="184" fontId="77" fillId="0" borderId="148" xfId="0" applyNumberFormat="1" applyFont="1" applyBorder="1" applyAlignment="1">
      <alignment horizontal="center"/>
    </xf>
    <xf numFmtId="10" fontId="77" fillId="0" borderId="175" xfId="2" applyNumberFormat="1" applyFont="1" applyFill="1" applyBorder="1" applyAlignment="1">
      <alignment horizontal="center"/>
    </xf>
    <xf numFmtId="180" fontId="7" fillId="0" borderId="0" xfId="0" applyNumberFormat="1" applyFont="1"/>
    <xf numFmtId="0" fontId="2" fillId="0" borderId="0" xfId="0" applyFont="1" applyAlignment="1">
      <alignment horizontal="center"/>
    </xf>
    <xf numFmtId="0" fontId="12" fillId="5" borderId="0" xfId="0" applyFont="1" applyFill="1" applyAlignment="1">
      <alignment vertical="center"/>
    </xf>
    <xf numFmtId="184" fontId="77" fillId="15" borderId="71" xfId="0" applyNumberFormat="1" applyFont="1" applyFill="1" applyBorder="1"/>
    <xf numFmtId="184" fontId="77" fillId="15" borderId="24" xfId="0" applyNumberFormat="1" applyFont="1" applyFill="1" applyBorder="1"/>
    <xf numFmtId="10" fontId="97" fillId="16" borderId="16" xfId="2" applyNumberFormat="1" applyFont="1" applyFill="1" applyBorder="1" applyAlignment="1">
      <alignment horizontal="center"/>
    </xf>
    <xf numFmtId="184" fontId="98" fillId="15" borderId="25" xfId="0" applyNumberFormat="1" applyFont="1" applyFill="1" applyBorder="1"/>
    <xf numFmtId="184" fontId="77" fillId="0" borderId="25" xfId="0" applyNumberFormat="1" applyFont="1" applyBorder="1"/>
    <xf numFmtId="0" fontId="102" fillId="15" borderId="129" xfId="0" applyFont="1" applyFill="1" applyBorder="1" applyAlignment="1">
      <alignment horizontal="center" vertical="center" wrapText="1"/>
    </xf>
    <xf numFmtId="0" fontId="87" fillId="17" borderId="129" xfId="0" applyFont="1" applyFill="1" applyBorder="1" applyAlignment="1">
      <alignment horizontal="center" vertical="center" wrapText="1"/>
    </xf>
    <xf numFmtId="0" fontId="87" fillId="0" borderId="129" xfId="0" applyFont="1" applyBorder="1" applyAlignment="1">
      <alignment horizontal="center" vertical="center" wrapText="1"/>
    </xf>
    <xf numFmtId="10" fontId="87" fillId="0" borderId="146" xfId="2" applyNumberFormat="1" applyFont="1" applyFill="1" applyBorder="1" applyAlignment="1">
      <alignment horizontal="center" vertical="center"/>
    </xf>
    <xf numFmtId="0" fontId="2" fillId="3" borderId="0" xfId="0" applyFont="1" applyFill="1"/>
    <xf numFmtId="0" fontId="64" fillId="3" borderId="0" xfId="0" applyFont="1" applyFill="1" applyAlignment="1">
      <alignment horizontal="center" vertical="center"/>
    </xf>
    <xf numFmtId="0" fontId="1" fillId="0" borderId="0" xfId="0" applyFont="1" applyAlignment="1">
      <alignment horizontal="center" vertical="center"/>
    </xf>
    <xf numFmtId="0" fontId="12" fillId="0" borderId="0" xfId="0" applyFont="1" applyAlignment="1">
      <alignment vertical="center"/>
    </xf>
    <xf numFmtId="17" fontId="71" fillId="2" borderId="0" xfId="0" quotePrefix="1" applyNumberFormat="1" applyFont="1" applyFill="1" applyAlignment="1">
      <alignment horizontal="left"/>
    </xf>
    <xf numFmtId="189" fontId="0" fillId="0" borderId="0" xfId="0" applyNumberFormat="1"/>
    <xf numFmtId="0" fontId="72" fillId="0" borderId="103" xfId="0" applyFont="1" applyBorder="1" applyAlignment="1">
      <alignment horizontal="center"/>
    </xf>
    <xf numFmtId="184" fontId="72" fillId="0" borderId="105" xfId="0" applyNumberFormat="1" applyFont="1" applyBorder="1" applyAlignment="1">
      <alignment horizontal="center"/>
    </xf>
    <xf numFmtId="0" fontId="76" fillId="0" borderId="111" xfId="0" applyFont="1" applyBorder="1" applyAlignment="1">
      <alignment horizontal="center"/>
    </xf>
    <xf numFmtId="0" fontId="72" fillId="0" borderId="113" xfId="0" applyFont="1" applyBorder="1" applyAlignment="1">
      <alignment horizontal="center"/>
    </xf>
    <xf numFmtId="0" fontId="72" fillId="0" borderId="117" xfId="0" applyFont="1" applyBorder="1" applyAlignment="1">
      <alignment horizontal="center"/>
    </xf>
    <xf numFmtId="0" fontId="29" fillId="2" borderId="0" xfId="0" applyFont="1" applyFill="1"/>
    <xf numFmtId="167" fontId="104" fillId="2" borderId="0" xfId="1" applyFont="1" applyFill="1" applyAlignment="1">
      <alignment horizontal="center" vertical="center"/>
    </xf>
    <xf numFmtId="167" fontId="104" fillId="2" borderId="1" xfId="1" applyFont="1" applyFill="1" applyBorder="1" applyAlignment="1">
      <alignment horizontal="center" vertical="center"/>
    </xf>
    <xf numFmtId="167" fontId="104" fillId="2" borderId="16" xfId="1" applyFont="1" applyFill="1" applyBorder="1" applyAlignment="1">
      <alignment horizontal="center" vertical="center"/>
    </xf>
    <xf numFmtId="167" fontId="109" fillId="2" borderId="16" xfId="8" applyFont="1" applyFill="1" applyBorder="1" applyAlignment="1">
      <alignment horizontal="center" vertical="center" wrapText="1"/>
    </xf>
    <xf numFmtId="167" fontId="50" fillId="2" borderId="16" xfId="8" applyFont="1" applyFill="1" applyBorder="1" applyAlignment="1">
      <alignment vertical="center" wrapText="1"/>
    </xf>
    <xf numFmtId="189" fontId="95" fillId="2" borderId="15" xfId="8" applyNumberFormat="1" applyFont="1" applyFill="1" applyBorder="1" applyAlignment="1">
      <alignment horizontal="center" vertical="center" wrapText="1"/>
    </xf>
    <xf numFmtId="173" fontId="95" fillId="2" borderId="1" xfId="2" applyNumberFormat="1" applyFont="1" applyFill="1" applyBorder="1" applyAlignment="1">
      <alignment horizontal="center" vertical="center" wrapText="1"/>
    </xf>
    <xf numFmtId="189" fontId="95" fillId="2" borderId="1" xfId="8" applyNumberFormat="1" applyFont="1" applyFill="1" applyBorder="1" applyAlignment="1">
      <alignment horizontal="center" vertical="center" wrapText="1"/>
    </xf>
    <xf numFmtId="0" fontId="109" fillId="2" borderId="1" xfId="1" applyNumberFormat="1" applyFont="1" applyFill="1" applyBorder="1" applyAlignment="1">
      <alignment horizontal="center" vertical="center" wrapText="1"/>
    </xf>
    <xf numFmtId="167" fontId="109" fillId="2" borderId="1" xfId="1" applyFont="1" applyFill="1" applyBorder="1" applyAlignment="1">
      <alignment horizontal="center" vertical="center" wrapText="1"/>
    </xf>
    <xf numFmtId="167" fontId="110" fillId="5" borderId="1" xfId="1" applyFont="1" applyFill="1" applyBorder="1" applyAlignment="1">
      <alignment horizontal="center" vertical="center" wrapText="1"/>
    </xf>
    <xf numFmtId="0" fontId="86" fillId="2" borderId="1" xfId="1" applyNumberFormat="1" applyFont="1" applyFill="1" applyBorder="1" applyAlignment="1">
      <alignment horizontal="center" vertical="center"/>
    </xf>
    <xf numFmtId="0" fontId="110" fillId="5" borderId="1" xfId="0" applyFont="1" applyFill="1" applyBorder="1" applyAlignment="1">
      <alignment horizontal="center" vertical="center"/>
    </xf>
    <xf numFmtId="0" fontId="110" fillId="5" borderId="1" xfId="0" applyFont="1" applyFill="1" applyBorder="1" applyAlignment="1">
      <alignment horizontal="center" vertical="center" wrapText="1"/>
    </xf>
    <xf numFmtId="167" fontId="110" fillId="5" borderId="1" xfId="1" applyFont="1" applyFill="1" applyBorder="1" applyAlignment="1">
      <alignment horizontal="center" vertical="center"/>
    </xf>
    <xf numFmtId="0" fontId="109" fillId="2" borderId="1" xfId="0" applyFont="1" applyFill="1" applyBorder="1" applyAlignment="1">
      <alignment horizontal="center" vertical="center"/>
    </xf>
    <xf numFmtId="0" fontId="109" fillId="2" borderId="1" xfId="7" applyFont="1" applyFill="1" applyBorder="1" applyAlignment="1">
      <alignment horizontal="center" vertical="center" wrapText="1"/>
    </xf>
    <xf numFmtId="167" fontId="109" fillId="2" borderId="1" xfId="8" applyFont="1" applyFill="1" applyBorder="1" applyAlignment="1">
      <alignment horizontal="center" vertical="center" wrapText="1"/>
    </xf>
    <xf numFmtId="0" fontId="86" fillId="2" borderId="18" xfId="7" applyFont="1" applyFill="1" applyBorder="1" applyAlignment="1">
      <alignment horizontal="center" vertical="center" wrapText="1"/>
    </xf>
    <xf numFmtId="0" fontId="86" fillId="2" borderId="1" xfId="7" applyFont="1" applyFill="1" applyBorder="1" applyAlignment="1">
      <alignment horizontal="center" vertical="center" wrapText="1"/>
    </xf>
    <xf numFmtId="10" fontId="110" fillId="5" borderId="1" xfId="2" applyNumberFormat="1" applyFont="1" applyFill="1" applyBorder="1" applyAlignment="1">
      <alignment horizontal="center" vertical="center"/>
    </xf>
    <xf numFmtId="0" fontId="86" fillId="2" borderId="0" xfId="0" applyFont="1" applyFill="1" applyAlignment="1">
      <alignment vertical="center"/>
    </xf>
    <xf numFmtId="0" fontId="86" fillId="2" borderId="0" xfId="7" applyFont="1" applyFill="1" applyAlignment="1">
      <alignment horizontal="center" vertical="center" wrapText="1"/>
    </xf>
    <xf numFmtId="17" fontId="86" fillId="2" borderId="1" xfId="7" applyNumberFormat="1" applyFont="1" applyFill="1" applyBorder="1" applyAlignment="1">
      <alignment horizontal="center" vertical="center" wrapText="1"/>
    </xf>
    <xf numFmtId="167" fontId="86" fillId="2" borderId="1" xfId="1" applyFont="1" applyFill="1" applyBorder="1" applyAlignment="1">
      <alignment horizontal="center" vertical="center" wrapText="1"/>
    </xf>
    <xf numFmtId="0" fontId="86" fillId="2" borderId="1" xfId="0" applyFont="1" applyFill="1" applyBorder="1" applyAlignment="1">
      <alignment horizontal="center" vertical="center" wrapText="1"/>
    </xf>
    <xf numFmtId="0" fontId="104" fillId="2" borderId="1" xfId="1" applyNumberFormat="1" applyFont="1" applyFill="1" applyBorder="1" applyAlignment="1">
      <alignment horizontal="center" vertical="center" wrapText="1"/>
    </xf>
    <xf numFmtId="167" fontId="104" fillId="2" borderId="1" xfId="1" applyFont="1" applyFill="1" applyBorder="1" applyAlignment="1">
      <alignment horizontal="center" vertical="center" wrapText="1"/>
    </xf>
    <xf numFmtId="167" fontId="88" fillId="2" borderId="1" xfId="1" applyFont="1" applyFill="1" applyBorder="1" applyAlignment="1">
      <alignment horizontal="center" vertical="center" wrapText="1"/>
    </xf>
    <xf numFmtId="0" fontId="88" fillId="2" borderId="1" xfId="1" applyNumberFormat="1" applyFont="1" applyFill="1" applyBorder="1" applyAlignment="1">
      <alignment horizontal="center" vertical="center"/>
    </xf>
    <xf numFmtId="0" fontId="88" fillId="2" borderId="1" xfId="0" applyFont="1" applyFill="1" applyBorder="1" applyAlignment="1">
      <alignment horizontal="center" vertical="center"/>
    </xf>
    <xf numFmtId="167" fontId="88" fillId="2" borderId="1" xfId="1" applyFont="1" applyFill="1" applyBorder="1" applyAlignment="1">
      <alignment horizontal="center" vertical="center"/>
    </xf>
    <xf numFmtId="0" fontId="104" fillId="2" borderId="1" xfId="0" applyFont="1" applyFill="1" applyBorder="1" applyAlignment="1">
      <alignment horizontal="center" vertical="center"/>
    </xf>
    <xf numFmtId="0" fontId="104" fillId="2" borderId="1" xfId="7" applyFont="1" applyFill="1" applyBorder="1" applyAlignment="1">
      <alignment horizontal="center" vertical="center" wrapText="1"/>
    </xf>
    <xf numFmtId="167" fontId="104" fillId="2" borderId="1" xfId="8" applyFont="1" applyFill="1" applyBorder="1" applyAlignment="1">
      <alignment horizontal="center" vertical="center" wrapText="1"/>
    </xf>
    <xf numFmtId="0" fontId="88" fillId="2" borderId="1" xfId="7" applyFont="1" applyFill="1" applyBorder="1" applyAlignment="1">
      <alignment horizontal="center" vertical="center" wrapText="1"/>
    </xf>
    <xf numFmtId="167" fontId="88" fillId="2" borderId="1" xfId="1" applyFont="1" applyFill="1" applyBorder="1" applyAlignment="1">
      <alignment vertical="center" wrapText="1"/>
    </xf>
    <xf numFmtId="9" fontId="88" fillId="2" borderId="1" xfId="2" applyFont="1" applyFill="1" applyBorder="1" applyAlignment="1">
      <alignment horizontal="center" vertical="center" wrapText="1"/>
    </xf>
    <xf numFmtId="17" fontId="86" fillId="2" borderId="0" xfId="7" applyNumberFormat="1" applyFont="1" applyFill="1" applyAlignment="1">
      <alignment horizontal="center" vertical="center" wrapText="1"/>
    </xf>
    <xf numFmtId="0" fontId="88" fillId="2" borderId="0" xfId="0" applyFont="1" applyFill="1" applyAlignment="1">
      <alignment vertical="center"/>
    </xf>
    <xf numFmtId="167" fontId="95" fillId="2" borderId="1" xfId="1" applyFont="1" applyFill="1" applyBorder="1" applyAlignment="1">
      <alignment horizontal="center" vertical="center" wrapText="1"/>
    </xf>
    <xf numFmtId="167" fontId="95" fillId="2" borderId="1" xfId="1" applyFont="1" applyFill="1" applyBorder="1" applyAlignment="1">
      <alignment horizontal="center" vertical="center"/>
    </xf>
    <xf numFmtId="167" fontId="88" fillId="0" borderId="25" xfId="0" applyNumberFormat="1" applyFont="1" applyBorder="1" applyAlignment="1">
      <alignment horizontal="center"/>
    </xf>
    <xf numFmtId="0" fontId="88" fillId="2" borderId="25" xfId="0" applyFont="1" applyFill="1" applyBorder="1" applyAlignment="1">
      <alignment horizontal="center"/>
    </xf>
    <xf numFmtId="10" fontId="8" fillId="2" borderId="0" xfId="2" applyNumberFormat="1" applyFont="1" applyFill="1"/>
    <xf numFmtId="0" fontId="17" fillId="2" borderId="0" xfId="0" applyFont="1" applyFill="1"/>
    <xf numFmtId="10" fontId="8" fillId="2" borderId="0" xfId="2" applyNumberFormat="1" applyFont="1" applyFill="1" applyAlignment="1">
      <alignment horizontal="center"/>
    </xf>
    <xf numFmtId="0" fontId="11" fillId="2" borderId="0" xfId="0" applyFont="1" applyFill="1" applyAlignment="1">
      <alignment horizontal="center"/>
    </xf>
    <xf numFmtId="0" fontId="29" fillId="15" borderId="0" xfId="0" applyFont="1" applyFill="1" applyAlignment="1">
      <alignment horizontal="center"/>
    </xf>
    <xf numFmtId="0" fontId="11" fillId="3" borderId="164" xfId="0" applyFont="1" applyFill="1" applyBorder="1" applyAlignment="1">
      <alignment horizontal="center"/>
    </xf>
    <xf numFmtId="0" fontId="11" fillId="3" borderId="156" xfId="0" applyFont="1" applyFill="1" applyBorder="1" applyAlignment="1">
      <alignment horizontal="center" wrapText="1"/>
    </xf>
    <xf numFmtId="0" fontId="71" fillId="15" borderId="146" xfId="0" applyFont="1" applyFill="1" applyBorder="1" applyAlignment="1">
      <alignment horizontal="center" vertical="center" wrapText="1"/>
    </xf>
    <xf numFmtId="0" fontId="8" fillId="3" borderId="25" xfId="0" applyFont="1" applyFill="1" applyBorder="1" applyAlignment="1">
      <alignment horizontal="center"/>
    </xf>
    <xf numFmtId="167" fontId="8" fillId="3" borderId="42" xfId="0" applyNumberFormat="1" applyFont="1" applyFill="1" applyBorder="1" applyAlignment="1">
      <alignment horizontal="center"/>
    </xf>
    <xf numFmtId="184" fontId="88" fillId="0" borderId="25" xfId="0" applyNumberFormat="1" applyFont="1" applyBorder="1"/>
    <xf numFmtId="184" fontId="88" fillId="15" borderId="25" xfId="0" applyNumberFormat="1" applyFont="1" applyFill="1" applyBorder="1"/>
    <xf numFmtId="10" fontId="88" fillId="0" borderId="25" xfId="2" applyNumberFormat="1" applyFont="1" applyFill="1" applyBorder="1" applyAlignment="1">
      <alignment horizontal="center"/>
    </xf>
    <xf numFmtId="167" fontId="88" fillId="0" borderId="25" xfId="1" applyFont="1" applyFill="1" applyBorder="1"/>
    <xf numFmtId="167" fontId="23" fillId="0" borderId="25" xfId="1" applyFont="1" applyFill="1" applyBorder="1"/>
    <xf numFmtId="167" fontId="17" fillId="2" borderId="0" xfId="0" applyNumberFormat="1" applyFont="1" applyFill="1"/>
    <xf numFmtId="0" fontId="17" fillId="2" borderId="0" xfId="0" applyFont="1" applyFill="1" applyAlignment="1">
      <alignment horizontal="center"/>
    </xf>
    <xf numFmtId="10" fontId="17" fillId="2" borderId="0" xfId="2" applyNumberFormat="1" applyFont="1" applyFill="1"/>
    <xf numFmtId="10" fontId="21" fillId="0" borderId="46" xfId="0" applyNumberFormat="1" applyFont="1" applyBorder="1" applyAlignment="1" applyProtection="1">
      <alignment horizontal="center" vertical="center"/>
      <protection locked="0"/>
    </xf>
    <xf numFmtId="10" fontId="21" fillId="2" borderId="1" xfId="0" applyNumberFormat="1" applyFont="1" applyFill="1" applyBorder="1" applyAlignment="1">
      <alignment horizontal="center" vertical="center"/>
    </xf>
    <xf numFmtId="190" fontId="18" fillId="2" borderId="0" xfId="0" applyNumberFormat="1" applyFont="1" applyFill="1" applyAlignment="1">
      <alignment horizontal="center" vertical="center"/>
    </xf>
    <xf numFmtId="0" fontId="104" fillId="2" borderId="1" xfId="1" applyNumberFormat="1" applyFont="1" applyFill="1" applyBorder="1" applyAlignment="1">
      <alignment horizontal="center" vertical="center"/>
    </xf>
    <xf numFmtId="0" fontId="112" fillId="20" borderId="0" xfId="10" applyFont="1" applyFill="1" applyAlignment="1">
      <alignment horizontal="left"/>
    </xf>
    <xf numFmtId="0" fontId="26" fillId="20" borderId="0" xfId="10" applyFill="1" applyAlignment="1">
      <alignment horizontal="left"/>
    </xf>
    <xf numFmtId="0" fontId="26" fillId="20" borderId="0" xfId="10" applyFill="1"/>
    <xf numFmtId="0" fontId="113" fillId="20" borderId="0" xfId="10" applyFont="1" applyFill="1" applyAlignment="1">
      <alignment horizontal="center"/>
    </xf>
    <xf numFmtId="0" fontId="26" fillId="2" borderId="0" xfId="10" applyFill="1"/>
    <xf numFmtId="0" fontId="26" fillId="0" borderId="0" xfId="10" applyAlignment="1">
      <alignment horizontal="center"/>
    </xf>
    <xf numFmtId="0" fontId="26" fillId="0" borderId="0" xfId="10"/>
    <xf numFmtId="0" fontId="113" fillId="0" borderId="0" xfId="10" applyFont="1" applyAlignment="1">
      <alignment horizontal="center"/>
    </xf>
    <xf numFmtId="43" fontId="113" fillId="0" borderId="0" xfId="11" applyFont="1" applyBorder="1" applyAlignment="1">
      <alignment horizontal="left"/>
    </xf>
    <xf numFmtId="0" fontId="56" fillId="0" borderId="0" xfId="10" applyFont="1" applyAlignment="1">
      <alignment horizontal="center"/>
    </xf>
    <xf numFmtId="22" fontId="26" fillId="0" borderId="0" xfId="10" applyNumberFormat="1" applyAlignment="1">
      <alignment horizontal="center"/>
    </xf>
    <xf numFmtId="22" fontId="113" fillId="0" borderId="0" xfId="10" applyNumberFormat="1" applyFont="1" applyAlignment="1">
      <alignment horizontal="center"/>
    </xf>
    <xf numFmtId="0" fontId="26" fillId="20" borderId="177" xfId="10" applyFill="1" applyBorder="1" applyAlignment="1">
      <alignment horizontal="left"/>
    </xf>
    <xf numFmtId="0" fontId="26" fillId="20" borderId="177" xfId="10" applyFill="1" applyBorder="1"/>
    <xf numFmtId="0" fontId="113" fillId="2" borderId="0" xfId="10" applyFont="1" applyFill="1"/>
    <xf numFmtId="0" fontId="26" fillId="20" borderId="178" xfId="10" applyFill="1" applyBorder="1"/>
    <xf numFmtId="0" fontId="26" fillId="20" borderId="179" xfId="10" applyFill="1" applyBorder="1"/>
    <xf numFmtId="0" fontId="113" fillId="20" borderId="179" xfId="10" applyFont="1" applyFill="1" applyBorder="1"/>
    <xf numFmtId="43" fontId="26" fillId="0" borderId="0" xfId="11" applyFont="1" applyBorder="1" applyAlignment="1">
      <alignment horizontal="left"/>
    </xf>
    <xf numFmtId="0" fontId="87" fillId="0" borderId="0" xfId="10" applyFont="1"/>
    <xf numFmtId="0" fontId="113" fillId="0" borderId="0" xfId="10" applyFont="1" applyAlignment="1">
      <alignment horizontal="left"/>
    </xf>
    <xf numFmtId="43" fontId="26" fillId="20" borderId="0" xfId="11" applyFont="1" applyFill="1" applyBorder="1" applyAlignment="1">
      <alignment horizontal="left"/>
    </xf>
    <xf numFmtId="0" fontId="115" fillId="20" borderId="0" xfId="10" applyFont="1" applyFill="1" applyAlignment="1">
      <alignment horizontal="left" wrapText="1"/>
    </xf>
    <xf numFmtId="0" fontId="113" fillId="20" borderId="0" xfId="10" applyFont="1" applyFill="1" applyAlignment="1">
      <alignment horizontal="left"/>
    </xf>
    <xf numFmtId="43" fontId="26" fillId="20" borderId="177" xfId="11" applyFont="1" applyFill="1" applyBorder="1" applyAlignment="1">
      <alignment horizontal="left"/>
    </xf>
    <xf numFmtId="0" fontId="26" fillId="20" borderId="0" xfId="10" applyFill="1" applyAlignment="1">
      <alignment horizontal="center"/>
    </xf>
    <xf numFmtId="0" fontId="26" fillId="2" borderId="184" xfId="10" applyFill="1" applyBorder="1" applyAlignment="1">
      <alignment horizontal="left"/>
    </xf>
    <xf numFmtId="0" fontId="26" fillId="2" borderId="0" xfId="10" applyFill="1" applyAlignment="1">
      <alignment horizontal="right"/>
    </xf>
    <xf numFmtId="43" fontId="26" fillId="2" borderId="0" xfId="11" applyFont="1" applyFill="1"/>
    <xf numFmtId="191" fontId="26" fillId="2" borderId="0" xfId="12" applyNumberFormat="1" applyFont="1" applyFill="1" applyBorder="1" applyAlignment="1">
      <alignment horizontal="right"/>
    </xf>
    <xf numFmtId="0" fontId="26" fillId="20" borderId="184" xfId="10" applyFill="1" applyBorder="1" applyAlignment="1">
      <alignment horizontal="left"/>
    </xf>
    <xf numFmtId="0" fontId="26" fillId="20" borderId="0" xfId="10" applyFill="1" applyAlignment="1">
      <alignment horizontal="right"/>
    </xf>
    <xf numFmtId="192" fontId="26" fillId="20" borderId="185" xfId="10" applyNumberFormat="1" applyFill="1" applyBorder="1" applyAlignment="1" applyProtection="1">
      <alignment horizontal="right"/>
      <protection locked="0"/>
    </xf>
    <xf numFmtId="193" fontId="26" fillId="2" borderId="0" xfId="10" applyNumberFormat="1" applyFill="1" applyAlignment="1">
      <alignment horizontal="right"/>
    </xf>
    <xf numFmtId="193" fontId="26" fillId="20" borderId="185" xfId="10" applyNumberFormat="1" applyFill="1" applyBorder="1" applyAlignment="1" applyProtection="1">
      <alignment horizontal="right"/>
      <protection locked="0"/>
    </xf>
    <xf numFmtId="0" fontId="116" fillId="2" borderId="0" xfId="10" applyFont="1" applyFill="1"/>
    <xf numFmtId="0" fontId="116" fillId="2" borderId="0" xfId="10" applyFont="1" applyFill="1" applyAlignment="1">
      <alignment horizontal="right"/>
    </xf>
    <xf numFmtId="43" fontId="116" fillId="2" borderId="0" xfId="11" applyFont="1" applyFill="1" applyBorder="1" applyAlignment="1">
      <alignment horizontal="right"/>
    </xf>
    <xf numFmtId="0" fontId="116" fillId="20" borderId="0" xfId="10" applyFont="1" applyFill="1" applyAlignment="1">
      <alignment horizontal="left"/>
    </xf>
    <xf numFmtId="0" fontId="49" fillId="0" borderId="0" xfId="10" applyFont="1"/>
    <xf numFmtId="187" fontId="26" fillId="20" borderId="185" xfId="10" applyNumberFormat="1" applyFill="1" applyBorder="1" applyAlignment="1" applyProtection="1">
      <alignment horizontal="right"/>
      <protection locked="0"/>
    </xf>
    <xf numFmtId="194" fontId="116" fillId="2" borderId="0" xfId="12" applyNumberFormat="1" applyFont="1" applyFill="1" applyBorder="1" applyAlignment="1">
      <alignment horizontal="right"/>
    </xf>
    <xf numFmtId="0" fontId="26" fillId="20" borderId="186" xfId="10" applyFill="1" applyBorder="1" applyAlignment="1">
      <alignment horizontal="left"/>
    </xf>
    <xf numFmtId="0" fontId="26" fillId="20" borderId="178" xfId="10" applyFill="1" applyBorder="1" applyAlignment="1">
      <alignment horizontal="right"/>
    </xf>
    <xf numFmtId="44" fontId="26" fillId="20" borderId="185" xfId="12" applyFont="1" applyFill="1" applyBorder="1" applyAlignment="1" applyProtection="1">
      <alignment horizontal="right"/>
      <protection locked="0"/>
    </xf>
    <xf numFmtId="0" fontId="113" fillId="20" borderId="177" xfId="10" applyFont="1" applyFill="1" applyBorder="1"/>
    <xf numFmtId="0" fontId="26" fillId="20" borderId="187" xfId="10" applyFill="1" applyBorder="1"/>
    <xf numFmtId="0" fontId="26" fillId="20" borderId="180" xfId="10" applyFill="1" applyBorder="1"/>
    <xf numFmtId="0" fontId="113" fillId="20" borderId="177" xfId="10" applyFont="1" applyFill="1" applyBorder="1" applyAlignment="1">
      <alignment horizontal="center"/>
    </xf>
    <xf numFmtId="0" fontId="113" fillId="0" borderId="0" xfId="10" applyFont="1" applyAlignment="1">
      <alignment horizontal="center" vertical="center"/>
    </xf>
    <xf numFmtId="195" fontId="113" fillId="0" borderId="1" xfId="10" applyNumberFormat="1" applyFont="1" applyBorder="1" applyAlignment="1">
      <alignment horizontal="center" vertical="center" wrapText="1"/>
    </xf>
    <xf numFmtId="0" fontId="49" fillId="0" borderId="0" xfId="10" applyFont="1" applyAlignment="1">
      <alignment horizontal="center" wrapText="1"/>
    </xf>
    <xf numFmtId="0" fontId="26" fillId="20" borderId="188" xfId="10" applyFill="1" applyBorder="1"/>
    <xf numFmtId="0" fontId="113" fillId="20" borderId="1" xfId="10" applyFont="1" applyFill="1" applyBorder="1" applyAlignment="1">
      <alignment horizontal="center" vertical="center" wrapText="1"/>
    </xf>
    <xf numFmtId="0" fontId="113" fillId="2" borderId="0" xfId="10" applyFont="1" applyFill="1" applyAlignment="1">
      <alignment horizontal="center" wrapText="1"/>
    </xf>
    <xf numFmtId="196" fontId="26" fillId="0" borderId="0" xfId="10" applyNumberFormat="1" applyAlignment="1">
      <alignment horizontal="center" vertical="center" wrapText="1"/>
    </xf>
    <xf numFmtId="0" fontId="26" fillId="0" borderId="1" xfId="10" applyBorder="1" applyAlignment="1">
      <alignment horizontal="center" vertical="center" wrapText="1"/>
    </xf>
    <xf numFmtId="0" fontId="26" fillId="0" borderId="0" xfId="10" applyAlignment="1">
      <alignment horizontal="center" wrapText="1"/>
    </xf>
    <xf numFmtId="165" fontId="26" fillId="0" borderId="0" xfId="10" applyNumberFormat="1" applyAlignment="1">
      <alignment horizontal="center" wrapText="1"/>
    </xf>
    <xf numFmtId="0" fontId="113" fillId="20" borderId="178" xfId="10" applyFont="1" applyFill="1" applyBorder="1" applyAlignment="1">
      <alignment horizontal="left" wrapText="1" indent="2"/>
    </xf>
    <xf numFmtId="0" fontId="113" fillId="20" borderId="178" xfId="10" applyFont="1" applyFill="1" applyBorder="1" applyAlignment="1">
      <alignment wrapText="1"/>
    </xf>
    <xf numFmtId="0" fontId="113" fillId="20" borderId="178" xfId="10" applyFont="1" applyFill="1" applyBorder="1" applyAlignment="1">
      <alignment horizontal="left" wrapText="1" indent="3"/>
    </xf>
    <xf numFmtId="0" fontId="26" fillId="2" borderId="0" xfId="10" applyFill="1" applyAlignment="1">
      <alignment wrapText="1"/>
    </xf>
    <xf numFmtId="0" fontId="26" fillId="0" borderId="0" xfId="10" applyAlignment="1">
      <alignment wrapText="1"/>
    </xf>
    <xf numFmtId="0" fontId="49" fillId="0" borderId="0" xfId="10" applyFont="1" applyAlignment="1">
      <alignment wrapText="1"/>
    </xf>
    <xf numFmtId="189" fontId="26" fillId="20" borderId="0" xfId="10" applyNumberFormat="1" applyFill="1" applyAlignment="1">
      <alignment horizontal="center"/>
    </xf>
    <xf numFmtId="194" fontId="26" fillId="2" borderId="0" xfId="12" applyNumberFormat="1" applyFont="1" applyFill="1" applyBorder="1" applyAlignment="1">
      <alignment horizontal="right"/>
    </xf>
    <xf numFmtId="194" fontId="26" fillId="20" borderId="0" xfId="12" applyNumberFormat="1" applyFont="1" applyFill="1" applyBorder="1" applyAlignment="1" applyProtection="1">
      <alignment horizontal="right"/>
      <protection locked="0"/>
    </xf>
    <xf numFmtId="194" fontId="26" fillId="2" borderId="0" xfId="12" applyNumberFormat="1" applyFont="1" applyFill="1" applyBorder="1" applyAlignment="1"/>
    <xf numFmtId="43" fontId="113" fillId="20" borderId="0" xfId="6" applyFont="1" applyFill="1" applyBorder="1" applyAlignment="1">
      <alignment horizontal="center"/>
    </xf>
    <xf numFmtId="0" fontId="26" fillId="0" borderId="0" xfId="10" applyAlignment="1">
      <alignment horizontal="left" wrapText="1" indent="11"/>
    </xf>
    <xf numFmtId="194" fontId="26" fillId="0" borderId="1" xfId="10" applyNumberFormat="1" applyBorder="1" applyAlignment="1">
      <alignment wrapText="1"/>
    </xf>
    <xf numFmtId="43" fontId="49" fillId="0" borderId="0" xfId="6" applyFont="1" applyAlignment="1">
      <alignment wrapText="1"/>
    </xf>
    <xf numFmtId="167" fontId="49" fillId="0" borderId="0" xfId="10" applyNumberFormat="1" applyFont="1" applyAlignment="1">
      <alignment wrapText="1"/>
    </xf>
    <xf numFmtId="39" fontId="26" fillId="20" borderId="0" xfId="12" applyNumberFormat="1" applyFont="1" applyFill="1" applyBorder="1" applyAlignment="1">
      <alignment horizontal="right"/>
    </xf>
    <xf numFmtId="43" fontId="26" fillId="20" borderId="0" xfId="12" applyNumberFormat="1" applyFont="1" applyFill="1" applyBorder="1" applyAlignment="1" applyProtection="1">
      <alignment horizontal="right"/>
      <protection locked="0"/>
    </xf>
    <xf numFmtId="39" fontId="26" fillId="20" borderId="0" xfId="12" applyNumberFormat="1" applyFont="1" applyFill="1" applyBorder="1" applyAlignment="1"/>
    <xf numFmtId="43" fontId="49" fillId="0" borderId="0" xfId="11" applyFont="1" applyBorder="1" applyAlignment="1">
      <alignment horizontal="left" wrapText="1" indent="11"/>
    </xf>
    <xf numFmtId="194" fontId="117" fillId="0" borderId="1" xfId="10" applyNumberFormat="1" applyFont="1" applyBorder="1" applyAlignment="1">
      <alignment wrapText="1"/>
    </xf>
    <xf numFmtId="194" fontId="49" fillId="0" borderId="1" xfId="10" applyNumberFormat="1" applyFont="1" applyBorder="1" applyAlignment="1">
      <alignment wrapText="1"/>
    </xf>
    <xf numFmtId="39" fontId="26" fillId="3" borderId="0" xfId="12" applyNumberFormat="1" applyFont="1" applyFill="1" applyBorder="1" applyAlignment="1">
      <alignment horizontal="right"/>
    </xf>
    <xf numFmtId="0" fontId="26" fillId="3" borderId="0" xfId="10" applyFill="1" applyAlignment="1">
      <alignment horizontal="left" wrapText="1" indent="12"/>
    </xf>
    <xf numFmtId="194" fontId="26" fillId="3" borderId="176" xfId="10" applyNumberFormat="1" applyFill="1" applyBorder="1" applyAlignment="1">
      <alignment wrapText="1"/>
    </xf>
    <xf numFmtId="194" fontId="26" fillId="0" borderId="0" xfId="10" applyNumberFormat="1" applyAlignment="1">
      <alignment wrapText="1"/>
    </xf>
    <xf numFmtId="39" fontId="26" fillId="0" borderId="0" xfId="10" applyNumberFormat="1"/>
    <xf numFmtId="43" fontId="26" fillId="2" borderId="0" xfId="10" applyNumberFormat="1" applyFill="1" applyAlignment="1">
      <alignment wrapText="1"/>
    </xf>
    <xf numFmtId="0" fontId="113" fillId="0" borderId="0" xfId="10" applyFont="1" applyAlignment="1">
      <alignment horizontal="center" wrapText="1"/>
    </xf>
    <xf numFmtId="0" fontId="26" fillId="3" borderId="0" xfId="10" applyFill="1" applyAlignment="1">
      <alignment horizontal="right"/>
    </xf>
    <xf numFmtId="39" fontId="26" fillId="3" borderId="0" xfId="12" applyNumberFormat="1" applyFont="1" applyFill="1" applyBorder="1" applyAlignment="1"/>
    <xf numFmtId="43" fontId="113" fillId="3" borderId="0" xfId="6" applyFont="1" applyFill="1" applyBorder="1" applyAlignment="1">
      <alignment horizontal="center"/>
    </xf>
    <xf numFmtId="0" fontId="26" fillId="3" borderId="0" xfId="10" applyFill="1" applyAlignment="1">
      <alignment wrapText="1"/>
    </xf>
    <xf numFmtId="39" fontId="26" fillId="3" borderId="0" xfId="10" applyNumberFormat="1" applyFill="1"/>
    <xf numFmtId="0" fontId="26" fillId="3" borderId="0" xfId="10" applyFill="1"/>
    <xf numFmtId="43" fontId="49" fillId="3" borderId="0" xfId="6" applyFont="1" applyFill="1" applyAlignment="1">
      <alignment wrapText="1"/>
    </xf>
    <xf numFmtId="167" fontId="49" fillId="3" borderId="0" xfId="10" applyNumberFormat="1" applyFont="1" applyFill="1" applyAlignment="1">
      <alignment wrapText="1"/>
    </xf>
    <xf numFmtId="194" fontId="26" fillId="0" borderId="0" xfId="10" applyNumberFormat="1"/>
    <xf numFmtId="39" fontId="113" fillId="20" borderId="0" xfId="12" applyNumberFormat="1" applyFont="1" applyFill="1" applyBorder="1" applyAlignment="1">
      <alignment horizontal="center"/>
    </xf>
    <xf numFmtId="14" fontId="26" fillId="20" borderId="0" xfId="10" applyNumberFormat="1" applyFill="1" applyAlignment="1">
      <alignment horizontal="center"/>
    </xf>
    <xf numFmtId="14" fontId="26" fillId="20" borderId="0" xfId="10" applyNumberFormat="1" applyFill="1" applyAlignment="1">
      <alignment horizontal="right"/>
    </xf>
    <xf numFmtId="39" fontId="113" fillId="3" borderId="0" xfId="12" applyNumberFormat="1" applyFont="1" applyFill="1" applyBorder="1" applyAlignment="1">
      <alignment horizontal="center"/>
    </xf>
    <xf numFmtId="43" fontId="89" fillId="20" borderId="0" xfId="11" applyFont="1" applyFill="1" applyBorder="1" applyAlignment="1">
      <alignment horizontal="right"/>
    </xf>
    <xf numFmtId="194" fontId="49" fillId="19" borderId="0" xfId="12" applyNumberFormat="1" applyFont="1" applyFill="1" applyBorder="1" applyAlignment="1">
      <alignment horizontal="right"/>
    </xf>
    <xf numFmtId="39" fontId="49" fillId="19" borderId="0" xfId="12" applyNumberFormat="1" applyFont="1" applyFill="1" applyBorder="1" applyAlignment="1">
      <alignment horizontal="right"/>
    </xf>
    <xf numFmtId="0" fontId="113" fillId="19" borderId="0" xfId="10" applyFont="1" applyFill="1"/>
    <xf numFmtId="0" fontId="26" fillId="19" borderId="0" xfId="10" applyFill="1"/>
    <xf numFmtId="194" fontId="113" fillId="19" borderId="0" xfId="10" applyNumberFormat="1" applyFont="1" applyFill="1"/>
    <xf numFmtId="173" fontId="50" fillId="25" borderId="1" xfId="2" applyNumberFormat="1" applyFont="1" applyFill="1" applyBorder="1" applyAlignment="1">
      <alignment horizontal="center" vertical="center" wrapText="1"/>
    </xf>
    <xf numFmtId="167" fontId="50" fillId="25" borderId="1" xfId="1" applyFont="1" applyFill="1" applyBorder="1" applyAlignment="1">
      <alignment horizontal="center" vertical="center" wrapText="1"/>
    </xf>
    <xf numFmtId="43" fontId="95" fillId="26" borderId="15" xfId="4" applyFont="1" applyFill="1" applyBorder="1" applyAlignment="1">
      <alignment horizontal="center" vertical="center" wrapText="1"/>
    </xf>
    <xf numFmtId="43" fontId="95" fillId="26" borderId="1" xfId="4" quotePrefix="1" applyFont="1" applyFill="1" applyBorder="1" applyAlignment="1">
      <alignment horizontal="center" vertical="center"/>
    </xf>
    <xf numFmtId="43" fontId="95" fillId="26" borderId="1" xfId="4" quotePrefix="1" applyFont="1" applyFill="1" applyBorder="1" applyAlignment="1">
      <alignment horizontal="center" vertical="center" wrapText="1"/>
    </xf>
    <xf numFmtId="17" fontId="0" fillId="0" borderId="0" xfId="0" applyNumberFormat="1"/>
    <xf numFmtId="0" fontId="0" fillId="16" borderId="0" xfId="0" applyFill="1"/>
    <xf numFmtId="17" fontId="0" fillId="16" borderId="0" xfId="0" applyNumberFormat="1" applyFill="1"/>
    <xf numFmtId="17" fontId="0" fillId="27" borderId="0" xfId="0" applyNumberFormat="1" applyFill="1"/>
    <xf numFmtId="0" fontId="110" fillId="5" borderId="145" xfId="0" applyFont="1" applyFill="1" applyBorder="1" applyAlignment="1">
      <alignment horizontal="center" vertical="center"/>
    </xf>
    <xf numFmtId="0" fontId="110" fillId="5" borderId="146" xfId="0" applyFont="1" applyFill="1" applyBorder="1" applyAlignment="1">
      <alignment horizontal="center" vertical="center"/>
    </xf>
    <xf numFmtId="0" fontId="110" fillId="5" borderId="138" xfId="0" applyFont="1" applyFill="1" applyBorder="1" applyAlignment="1">
      <alignment horizontal="center" vertical="center"/>
    </xf>
    <xf numFmtId="0" fontId="110" fillId="5" borderId="156" xfId="0" applyFont="1" applyFill="1" applyBorder="1" applyAlignment="1">
      <alignment horizontal="center" vertical="center"/>
    </xf>
    <xf numFmtId="0" fontId="110" fillId="5" borderId="146" xfId="0" applyFont="1" applyFill="1" applyBorder="1" applyAlignment="1">
      <alignment horizontal="center" vertical="center" wrapText="1"/>
    </xf>
    <xf numFmtId="10" fontId="110" fillId="5" borderId="146" xfId="2" applyNumberFormat="1" applyFont="1" applyFill="1" applyBorder="1" applyAlignment="1">
      <alignment horizontal="center" vertical="center"/>
    </xf>
    <xf numFmtId="0" fontId="110" fillId="5" borderId="153" xfId="0" applyFont="1" applyFill="1" applyBorder="1" applyAlignment="1">
      <alignment horizontal="center" vertical="center"/>
    </xf>
    <xf numFmtId="0" fontId="110" fillId="5" borderId="164" xfId="0" applyFont="1" applyFill="1" applyBorder="1" applyAlignment="1">
      <alignment horizontal="center" vertical="center" wrapText="1"/>
    </xf>
    <xf numFmtId="0" fontId="110" fillId="5" borderId="138" xfId="0" applyFont="1" applyFill="1" applyBorder="1" applyAlignment="1">
      <alignment horizontal="center" vertical="center" wrapText="1"/>
    </xf>
    <xf numFmtId="0" fontId="95" fillId="2" borderId="1" xfId="0" applyFont="1" applyFill="1" applyBorder="1" applyAlignment="1">
      <alignment horizontal="center" vertical="center"/>
    </xf>
    <xf numFmtId="0" fontId="0" fillId="5" borderId="0" xfId="0" applyFill="1"/>
    <xf numFmtId="0" fontId="86" fillId="28" borderId="0" xfId="0" applyFont="1" applyFill="1" applyAlignment="1">
      <alignment horizontal="center" vertical="center" wrapText="1"/>
    </xf>
    <xf numFmtId="17" fontId="86" fillId="28" borderId="1" xfId="7" applyNumberFormat="1" applyFont="1" applyFill="1" applyBorder="1" applyAlignment="1">
      <alignment horizontal="center" vertical="center"/>
    </xf>
    <xf numFmtId="0" fontId="86" fillId="28" borderId="1" xfId="7" applyFont="1" applyFill="1" applyBorder="1" applyAlignment="1">
      <alignment horizontal="center" vertical="center" wrapText="1"/>
    </xf>
    <xf numFmtId="0" fontId="86" fillId="28" borderId="0" xfId="0" applyFont="1" applyFill="1" applyAlignment="1">
      <alignment vertical="center"/>
    </xf>
    <xf numFmtId="2" fontId="86" fillId="28" borderId="1" xfId="7" applyNumberFormat="1" applyFont="1" applyFill="1" applyBorder="1" applyAlignment="1">
      <alignment horizontal="center" vertical="center" wrapText="1"/>
    </xf>
    <xf numFmtId="0" fontId="88" fillId="28" borderId="1" xfId="8" applyNumberFormat="1" applyFont="1" applyFill="1" applyBorder="1" applyAlignment="1">
      <alignment horizontal="center" vertical="center"/>
    </xf>
    <xf numFmtId="17" fontId="88" fillId="28" borderId="1" xfId="7" applyNumberFormat="1" applyFont="1" applyFill="1" applyBorder="1" applyAlignment="1">
      <alignment horizontal="center" vertical="center" wrapText="1"/>
    </xf>
    <xf numFmtId="0" fontId="95" fillId="2" borderId="1" xfId="0" applyFont="1" applyFill="1" applyBorder="1" applyAlignment="1">
      <alignment horizontal="center" vertical="center" wrapText="1"/>
    </xf>
    <xf numFmtId="0" fontId="95" fillId="5" borderId="0" xfId="0" applyFont="1" applyFill="1" applyAlignment="1">
      <alignment horizontal="center" vertical="center"/>
    </xf>
    <xf numFmtId="0" fontId="95" fillId="2" borderId="1" xfId="0" applyFont="1" applyFill="1" applyBorder="1" applyAlignment="1">
      <alignment vertical="center"/>
    </xf>
    <xf numFmtId="10" fontId="95" fillId="2" borderId="1" xfId="2" applyNumberFormat="1" applyFont="1" applyFill="1" applyBorder="1" applyAlignment="1">
      <alignment horizontal="center" vertical="center"/>
    </xf>
    <xf numFmtId="0" fontId="95" fillId="2" borderId="1" xfId="0" applyFont="1" applyFill="1" applyBorder="1" applyAlignment="1">
      <alignment vertical="center" wrapText="1"/>
    </xf>
    <xf numFmtId="10" fontId="95" fillId="15" borderId="1" xfId="2" applyNumberFormat="1" applyFont="1" applyFill="1" applyBorder="1" applyAlignment="1">
      <alignment horizontal="center" vertical="center" wrapText="1"/>
    </xf>
    <xf numFmtId="0" fontId="86" fillId="15" borderId="1" xfId="7" applyFont="1" applyFill="1" applyBorder="1" applyAlignment="1">
      <alignment horizontal="center" vertical="center" wrapText="1"/>
    </xf>
    <xf numFmtId="0" fontId="86" fillId="2" borderId="1" xfId="0" applyFont="1" applyFill="1" applyBorder="1" applyAlignment="1">
      <alignment vertical="center"/>
    </xf>
    <xf numFmtId="0" fontId="109" fillId="18" borderId="1" xfId="0" applyFont="1" applyFill="1" applyBorder="1" applyAlignment="1">
      <alignment horizontal="center" vertical="center"/>
    </xf>
    <xf numFmtId="0" fontId="109" fillId="18" borderId="1" xfId="0" applyFont="1" applyFill="1" applyBorder="1" applyAlignment="1">
      <alignment vertical="center"/>
    </xf>
    <xf numFmtId="167" fontId="15" fillId="0" borderId="0" xfId="1" applyFont="1" applyBorder="1" applyAlignment="1" applyProtection="1">
      <alignment horizontal="center" vertical="center"/>
    </xf>
    <xf numFmtId="43" fontId="95" fillId="3" borderId="1" xfId="4" applyFont="1" applyFill="1" applyBorder="1" applyAlignment="1">
      <alignment horizontal="center" vertical="center" wrapText="1"/>
    </xf>
    <xf numFmtId="0" fontId="86" fillId="2" borderId="0" xfId="1" applyNumberFormat="1" applyFont="1" applyFill="1" applyAlignment="1">
      <alignment horizontal="left" vertical="center"/>
    </xf>
    <xf numFmtId="167" fontId="109" fillId="2" borderId="0" xfId="1" applyFont="1" applyFill="1" applyAlignment="1">
      <alignment vertical="center"/>
    </xf>
    <xf numFmtId="0" fontId="109" fillId="2" borderId="0" xfId="1" applyNumberFormat="1" applyFont="1" applyFill="1" applyAlignment="1">
      <alignment vertical="center"/>
    </xf>
    <xf numFmtId="0" fontId="88" fillId="2" borderId="0" xfId="0" applyFont="1" applyFill="1" applyAlignment="1">
      <alignment horizontal="center" vertical="center"/>
    </xf>
    <xf numFmtId="167" fontId="23" fillId="2" borderId="0" xfId="1" applyFont="1" applyFill="1" applyAlignment="1">
      <alignment vertical="center"/>
    </xf>
    <xf numFmtId="0" fontId="29" fillId="2" borderId="0" xfId="0" applyFont="1" applyFill="1" applyAlignment="1">
      <alignment vertical="center"/>
    </xf>
    <xf numFmtId="0" fontId="23" fillId="2" borderId="0" xfId="0" applyFont="1" applyFill="1" applyAlignment="1">
      <alignment horizontal="center" vertical="center"/>
    </xf>
    <xf numFmtId="167" fontId="29" fillId="2" borderId="0" xfId="1" applyFont="1" applyFill="1" applyAlignment="1">
      <alignment vertical="center"/>
    </xf>
    <xf numFmtId="167" fontId="104" fillId="2" borderId="1" xfId="1" applyFont="1" applyFill="1" applyBorder="1" applyAlignment="1">
      <alignment vertical="center"/>
    </xf>
    <xf numFmtId="184" fontId="88" fillId="2" borderId="1" xfId="0" applyNumberFormat="1" applyFont="1" applyFill="1" applyBorder="1" applyAlignment="1">
      <alignment vertical="center"/>
    </xf>
    <xf numFmtId="10" fontId="88" fillId="2" borderId="0" xfId="2" applyNumberFormat="1" applyFont="1" applyFill="1" applyAlignment="1">
      <alignment horizontal="center" vertical="center"/>
    </xf>
    <xf numFmtId="10" fontId="23" fillId="2" borderId="0" xfId="2" applyNumberFormat="1" applyFont="1" applyFill="1" applyAlignment="1">
      <alignment vertical="center"/>
    </xf>
    <xf numFmtId="0" fontId="23" fillId="28" borderId="0" xfId="0" applyFont="1" applyFill="1" applyAlignment="1">
      <alignment horizontal="center" vertical="center"/>
    </xf>
    <xf numFmtId="0" fontId="23" fillId="28" borderId="0" xfId="0" applyFont="1" applyFill="1" applyAlignment="1">
      <alignment vertical="center"/>
    </xf>
    <xf numFmtId="0" fontId="29" fillId="2" borderId="0" xfId="0" applyFont="1" applyFill="1" applyAlignment="1">
      <alignment horizontal="center" vertical="center"/>
    </xf>
    <xf numFmtId="0" fontId="29" fillId="5" borderId="0" xfId="0" applyFont="1" applyFill="1" applyAlignment="1">
      <alignment horizontal="center" vertical="center"/>
    </xf>
    <xf numFmtId="0" fontId="101" fillId="25" borderId="0" xfId="0" applyFont="1" applyFill="1" applyAlignment="1">
      <alignment horizontal="center" vertical="center"/>
    </xf>
    <xf numFmtId="0" fontId="29" fillId="22" borderId="0" xfId="0" applyFont="1" applyFill="1" applyAlignment="1">
      <alignment horizontal="center" vertical="center"/>
    </xf>
    <xf numFmtId="0" fontId="29" fillId="23" borderId="0" xfId="0" applyFont="1" applyFill="1" applyAlignment="1">
      <alignment horizontal="center" vertical="center"/>
    </xf>
    <xf numFmtId="0" fontId="23" fillId="5" borderId="0" xfId="0" applyFont="1" applyFill="1" applyAlignment="1">
      <alignment vertical="center"/>
    </xf>
    <xf numFmtId="0" fontId="95" fillId="16" borderId="0" xfId="0" applyFont="1" applyFill="1" applyAlignment="1">
      <alignment horizontal="center" vertical="center"/>
    </xf>
    <xf numFmtId="0" fontId="95" fillId="11" borderId="0" xfId="0" applyFont="1" applyFill="1" applyAlignment="1">
      <alignment horizontal="center" vertical="center"/>
    </xf>
    <xf numFmtId="167" fontId="88" fillId="2" borderId="0" xfId="1" applyFont="1" applyFill="1" applyAlignment="1">
      <alignment horizontal="center" vertical="center"/>
    </xf>
    <xf numFmtId="167" fontId="50" fillId="2" borderId="0" xfId="1" applyFont="1" applyFill="1" applyAlignment="1">
      <alignment vertical="center"/>
    </xf>
    <xf numFmtId="10" fontId="86" fillId="2" borderId="0" xfId="2" applyNumberFormat="1" applyFont="1" applyFill="1" applyBorder="1" applyAlignment="1">
      <alignment horizontal="center" vertical="center"/>
    </xf>
    <xf numFmtId="167" fontId="23" fillId="2" borderId="1" xfId="1" applyFont="1" applyFill="1" applyBorder="1" applyAlignment="1">
      <alignment vertical="center"/>
    </xf>
    <xf numFmtId="10" fontId="23" fillId="2" borderId="0" xfId="2" applyNumberFormat="1" applyFont="1" applyFill="1" applyAlignment="1">
      <alignment horizontal="center" vertical="center"/>
    </xf>
    <xf numFmtId="167" fontId="95" fillId="3" borderId="0" xfId="1" applyFont="1" applyFill="1" applyAlignment="1">
      <alignment horizontal="center" vertical="center"/>
    </xf>
    <xf numFmtId="0" fontId="95" fillId="2" borderId="0" xfId="0" applyFont="1" applyFill="1" applyAlignment="1">
      <alignment vertical="center"/>
    </xf>
    <xf numFmtId="9" fontId="23" fillId="2" borderId="0" xfId="0" applyNumberFormat="1" applyFont="1" applyFill="1" applyAlignment="1">
      <alignment vertical="center"/>
    </xf>
    <xf numFmtId="167" fontId="23" fillId="2" borderId="0" xfId="0" applyNumberFormat="1" applyFont="1" applyFill="1" applyAlignment="1">
      <alignment vertical="center"/>
    </xf>
    <xf numFmtId="0" fontId="86" fillId="2" borderId="0" xfId="0" quotePrefix="1" applyFont="1" applyFill="1" applyAlignment="1">
      <alignment horizontal="center" vertical="center"/>
    </xf>
    <xf numFmtId="167" fontId="109" fillId="2" borderId="0" xfId="1" quotePrefix="1" applyFont="1" applyFill="1" applyAlignment="1">
      <alignment horizontal="left" vertical="center"/>
    </xf>
    <xf numFmtId="0" fontId="109" fillId="2" borderId="0" xfId="1" quotePrefix="1" applyNumberFormat="1" applyFont="1" applyFill="1" applyAlignment="1">
      <alignment horizontal="left" vertical="center"/>
    </xf>
    <xf numFmtId="167" fontId="88" fillId="2" borderId="0" xfId="0" applyNumberFormat="1" applyFont="1" applyFill="1" applyAlignment="1">
      <alignment horizontal="center" vertical="center"/>
    </xf>
    <xf numFmtId="167" fontId="29" fillId="2" borderId="0" xfId="1" applyFont="1" applyFill="1" applyAlignment="1">
      <alignment horizontal="center" vertical="center"/>
    </xf>
    <xf numFmtId="167" fontId="23" fillId="2" borderId="0" xfId="1" applyFont="1" applyFill="1" applyAlignment="1">
      <alignment horizontal="center" vertical="center"/>
    </xf>
    <xf numFmtId="184" fontId="86" fillId="2" borderId="0" xfId="0" applyNumberFormat="1" applyFont="1" applyFill="1" applyAlignment="1">
      <alignment vertical="center"/>
    </xf>
    <xf numFmtId="0" fontId="26" fillId="2" borderId="0" xfId="0" applyFont="1" applyFill="1" applyAlignment="1">
      <alignment vertical="center"/>
    </xf>
    <xf numFmtId="0" fontId="95" fillId="3" borderId="0" xfId="0" applyFont="1" applyFill="1" applyAlignment="1">
      <alignment vertical="center"/>
    </xf>
    <xf numFmtId="17" fontId="23" fillId="28" borderId="1" xfId="0" applyNumberFormat="1" applyFont="1" applyFill="1" applyBorder="1" applyAlignment="1">
      <alignment horizontal="center" vertical="center"/>
    </xf>
    <xf numFmtId="0" fontId="86" fillId="28" borderId="0" xfId="7" applyFont="1" applyFill="1" applyAlignment="1">
      <alignment horizontal="center" vertical="center" wrapText="1"/>
    </xf>
    <xf numFmtId="0" fontId="95" fillId="2" borderId="0" xfId="0" applyFont="1" applyFill="1" applyAlignment="1">
      <alignment horizontal="center" vertical="center"/>
    </xf>
    <xf numFmtId="0" fontId="104" fillId="2" borderId="0" xfId="0" applyFont="1" applyFill="1" applyAlignment="1">
      <alignment horizontal="center" vertical="center"/>
    </xf>
    <xf numFmtId="184" fontId="86" fillId="2" borderId="0" xfId="0" applyNumberFormat="1" applyFont="1" applyFill="1" applyAlignment="1">
      <alignment horizontal="center" vertical="center"/>
    </xf>
    <xf numFmtId="9" fontId="86" fillId="2" borderId="0" xfId="2" applyFont="1" applyFill="1" applyAlignment="1">
      <alignment horizontal="center" vertical="center"/>
    </xf>
    <xf numFmtId="10" fontId="86" fillId="2" borderId="0" xfId="2" applyNumberFormat="1" applyFont="1" applyFill="1" applyAlignment="1">
      <alignment horizontal="center" vertical="center"/>
    </xf>
    <xf numFmtId="10" fontId="86" fillId="16" borderId="0" xfId="2" applyNumberFormat="1" applyFont="1" applyFill="1" applyBorder="1" applyAlignment="1">
      <alignment horizontal="center" vertical="center"/>
    </xf>
    <xf numFmtId="167" fontId="88" fillId="16" borderId="0" xfId="1" applyFont="1" applyFill="1" applyAlignment="1">
      <alignment horizontal="center" vertical="center"/>
    </xf>
    <xf numFmtId="0" fontId="88" fillId="16" borderId="0" xfId="0" applyFont="1" applyFill="1" applyAlignment="1">
      <alignment horizontal="center" vertical="center"/>
    </xf>
    <xf numFmtId="10" fontId="86" fillId="3" borderId="0" xfId="0" applyNumberFormat="1" applyFont="1" applyFill="1" applyAlignment="1">
      <alignment horizontal="center" vertical="center"/>
    </xf>
    <xf numFmtId="185" fontId="88" fillId="2" borderId="0" xfId="0" applyNumberFormat="1" applyFont="1" applyFill="1" applyAlignment="1">
      <alignment horizontal="center" vertical="center"/>
    </xf>
    <xf numFmtId="186" fontId="23" fillId="2" borderId="0" xfId="1" applyNumberFormat="1" applyFont="1" applyFill="1" applyAlignment="1">
      <alignment vertical="center"/>
    </xf>
    <xf numFmtId="0" fontId="88" fillId="28" borderId="0" xfId="0" applyFont="1" applyFill="1" applyAlignment="1">
      <alignment horizontal="center" vertical="center"/>
    </xf>
    <xf numFmtId="0" fontId="86" fillId="28" borderId="1" xfId="0" applyFont="1" applyFill="1" applyBorder="1" applyAlignment="1">
      <alignment horizontal="center" vertical="center" wrapText="1"/>
    </xf>
    <xf numFmtId="0" fontId="86" fillId="2" borderId="0" xfId="0" applyFont="1" applyFill="1" applyAlignment="1">
      <alignment horizontal="center" vertical="center"/>
    </xf>
    <xf numFmtId="0" fontId="88" fillId="2" borderId="0" xfId="0" applyFont="1" applyFill="1" applyAlignment="1">
      <alignment horizontal="center" vertical="center" wrapText="1"/>
    </xf>
    <xf numFmtId="9" fontId="29" fillId="2" borderId="0" xfId="0" applyNumberFormat="1" applyFont="1" applyFill="1" applyAlignment="1">
      <alignment horizontal="center" vertical="center"/>
    </xf>
    <xf numFmtId="0" fontId="29" fillId="2" borderId="0" xfId="0" quotePrefix="1" applyFont="1" applyFill="1" applyAlignment="1">
      <alignment horizontal="center" vertical="center"/>
    </xf>
    <xf numFmtId="9" fontId="29" fillId="22" borderId="0" xfId="0" applyNumberFormat="1" applyFont="1" applyFill="1" applyAlignment="1">
      <alignment horizontal="center" vertical="center"/>
    </xf>
    <xf numFmtId="10" fontId="29" fillId="22" borderId="0" xfId="0" applyNumberFormat="1" applyFont="1" applyFill="1" applyAlignment="1">
      <alignment horizontal="center" vertical="center"/>
    </xf>
    <xf numFmtId="9" fontId="29" fillId="23" borderId="0" xfId="0" applyNumberFormat="1" applyFont="1" applyFill="1" applyAlignment="1">
      <alignment horizontal="center" vertical="center"/>
    </xf>
    <xf numFmtId="10" fontId="29" fillId="23" borderId="0" xfId="0" applyNumberFormat="1" applyFont="1" applyFill="1" applyAlignment="1">
      <alignment horizontal="center" vertical="center"/>
    </xf>
    <xf numFmtId="167" fontId="29" fillId="24" borderId="0" xfId="1" quotePrefix="1" applyFont="1" applyFill="1" applyAlignment="1">
      <alignment horizontal="center" vertical="center"/>
    </xf>
    <xf numFmtId="9" fontId="23" fillId="2" borderId="0" xfId="0" applyNumberFormat="1" applyFont="1" applyFill="1" applyAlignment="1">
      <alignment horizontal="center" vertical="center"/>
    </xf>
    <xf numFmtId="0" fontId="23" fillId="2" borderId="0" xfId="0" applyFont="1" applyFill="1" applyAlignment="1">
      <alignment horizontal="right" vertical="center"/>
    </xf>
    <xf numFmtId="167" fontId="95" fillId="2" borderId="0" xfId="0" applyNumberFormat="1" applyFont="1" applyFill="1" applyAlignment="1">
      <alignment vertical="center"/>
    </xf>
    <xf numFmtId="10" fontId="23" fillId="5" borderId="0" xfId="0" applyNumberFormat="1" applyFont="1" applyFill="1" applyAlignment="1">
      <alignment vertical="center"/>
    </xf>
    <xf numFmtId="0" fontId="2" fillId="16" borderId="1" xfId="0" applyFont="1" applyFill="1" applyBorder="1" applyAlignment="1">
      <alignment horizontal="center" vertical="center"/>
    </xf>
    <xf numFmtId="0" fontId="50" fillId="2" borderId="1" xfId="0" applyFont="1" applyFill="1" applyBorder="1" applyAlignment="1">
      <alignment horizontal="center" vertical="center"/>
    </xf>
    <xf numFmtId="0" fontId="50" fillId="2" borderId="0" xfId="0" applyFont="1" applyFill="1" applyAlignment="1">
      <alignment horizontal="center" vertical="center"/>
    </xf>
    <xf numFmtId="0" fontId="50" fillId="5" borderId="0" xfId="0" applyFont="1" applyFill="1" applyAlignment="1">
      <alignment horizontal="center" vertical="center"/>
    </xf>
    <xf numFmtId="0" fontId="50" fillId="22" borderId="1" xfId="0" applyFont="1" applyFill="1" applyBorder="1" applyAlignment="1">
      <alignment horizontal="center" vertical="center"/>
    </xf>
    <xf numFmtId="0" fontId="50" fillId="23" borderId="1" xfId="0" applyFont="1" applyFill="1" applyBorder="1" applyAlignment="1">
      <alignment horizontal="center" vertical="center"/>
    </xf>
    <xf numFmtId="0" fontId="118" fillId="2" borderId="1" xfId="0" applyFont="1" applyFill="1" applyBorder="1" applyAlignment="1">
      <alignment horizontal="center" vertical="center" wrapText="1"/>
    </xf>
    <xf numFmtId="0" fontId="50" fillId="2" borderId="1" xfId="0" applyFont="1" applyFill="1" applyBorder="1" applyAlignment="1">
      <alignment horizontal="center" vertical="center" wrapText="1"/>
    </xf>
    <xf numFmtId="0" fontId="50" fillId="2" borderId="0" xfId="0" applyFont="1" applyFill="1" applyAlignment="1">
      <alignment horizontal="center" vertical="center" wrapText="1"/>
    </xf>
    <xf numFmtId="0" fontId="95" fillId="2" borderId="0" xfId="0" applyFont="1" applyFill="1" applyAlignment="1">
      <alignment horizontal="center" vertical="center" wrapText="1"/>
    </xf>
    <xf numFmtId="0" fontId="95" fillId="5" borderId="0" xfId="0" applyFont="1" applyFill="1" applyAlignment="1">
      <alignment vertical="center"/>
    </xf>
    <xf numFmtId="167" fontId="88" fillId="2" borderId="1" xfId="1" applyFont="1" applyFill="1" applyBorder="1" applyAlignment="1">
      <alignment vertical="center"/>
    </xf>
    <xf numFmtId="184" fontId="88" fillId="2" borderId="1" xfId="0" applyNumberFormat="1" applyFont="1" applyFill="1" applyBorder="1" applyAlignment="1">
      <alignment horizontal="center" vertical="center"/>
    </xf>
    <xf numFmtId="10" fontId="88" fillId="2" borderId="1" xfId="2" applyNumberFormat="1" applyFont="1" applyFill="1" applyBorder="1" applyAlignment="1">
      <alignment horizontal="center" vertical="center"/>
    </xf>
    <xf numFmtId="43" fontId="23" fillId="2" borderId="1" xfId="4" applyFont="1" applyFill="1" applyBorder="1" applyAlignment="1">
      <alignment vertical="center"/>
    </xf>
    <xf numFmtId="167" fontId="23" fillId="2" borderId="1" xfId="0" applyNumberFormat="1" applyFont="1" applyFill="1" applyBorder="1" applyAlignment="1">
      <alignment vertical="center"/>
    </xf>
    <xf numFmtId="0" fontId="88" fillId="3" borderId="1" xfId="0" applyFont="1" applyFill="1" applyBorder="1" applyAlignment="1">
      <alignment horizontal="center" vertical="center"/>
    </xf>
    <xf numFmtId="0" fontId="23" fillId="2" borderId="1" xfId="0" applyFont="1" applyFill="1" applyBorder="1" applyAlignment="1">
      <alignment vertical="center"/>
    </xf>
    <xf numFmtId="0" fontId="76" fillId="0" borderId="101" xfId="0" applyFont="1" applyBorder="1" applyAlignment="1">
      <alignment vertical="center"/>
    </xf>
    <xf numFmtId="0" fontId="76" fillId="0" borderId="102" xfId="0" applyFont="1" applyBorder="1" applyAlignment="1">
      <alignment vertical="center"/>
    </xf>
    <xf numFmtId="184" fontId="76" fillId="0" borderId="102" xfId="0" applyNumberFormat="1" applyFont="1" applyBorder="1" applyAlignment="1">
      <alignment vertical="center"/>
    </xf>
    <xf numFmtId="0" fontId="72" fillId="0" borderId="102" xfId="0" applyFont="1" applyBorder="1" applyAlignment="1">
      <alignment vertical="center"/>
    </xf>
    <xf numFmtId="0" fontId="72" fillId="0" borderId="103" xfId="0" applyFont="1" applyBorder="1" applyAlignment="1">
      <alignment horizontal="center" vertical="center"/>
    </xf>
    <xf numFmtId="167" fontId="23" fillId="2" borderId="1" xfId="0" applyNumberFormat="1" applyFont="1" applyFill="1" applyBorder="1" applyAlignment="1">
      <alignment horizontal="center" vertical="center"/>
    </xf>
    <xf numFmtId="0" fontId="29" fillId="2" borderId="1" xfId="0" applyFont="1" applyFill="1" applyBorder="1" applyAlignment="1">
      <alignment horizontal="center" vertical="center"/>
    </xf>
    <xf numFmtId="167" fontId="29" fillId="2" borderId="1" xfId="1" applyFont="1" applyFill="1" applyBorder="1" applyAlignment="1">
      <alignment horizontal="center" vertical="center"/>
    </xf>
    <xf numFmtId="167" fontId="29" fillId="5" borderId="0" xfId="1" applyFont="1" applyFill="1" applyBorder="1" applyAlignment="1">
      <alignment horizontal="center" vertical="center"/>
    </xf>
    <xf numFmtId="167" fontId="29" fillId="2" borderId="0" xfId="1" applyFont="1" applyFill="1" applyBorder="1" applyAlignment="1">
      <alignment horizontal="center" vertical="center"/>
    </xf>
    <xf numFmtId="167" fontId="29" fillId="22" borderId="1" xfId="1" applyFont="1" applyFill="1" applyBorder="1" applyAlignment="1">
      <alignment horizontal="center" vertical="center"/>
    </xf>
    <xf numFmtId="167" fontId="29" fillId="23" borderId="1" xfId="1" applyFont="1" applyFill="1" applyBorder="1" applyAlignment="1">
      <alignment horizontal="center" vertical="center"/>
    </xf>
    <xf numFmtId="184" fontId="23" fillId="2" borderId="1" xfId="0" applyNumberFormat="1" applyFont="1" applyFill="1" applyBorder="1" applyAlignment="1">
      <alignment vertical="center"/>
    </xf>
    <xf numFmtId="10" fontId="23" fillId="2" borderId="1" xfId="2" applyNumberFormat="1" applyFont="1" applyFill="1" applyBorder="1" applyAlignment="1">
      <alignment horizontal="center" vertical="center"/>
    </xf>
    <xf numFmtId="0" fontId="23" fillId="2" borderId="1" xfId="0" applyFont="1" applyFill="1" applyBorder="1" applyAlignment="1">
      <alignment horizontal="center" vertical="center"/>
    </xf>
    <xf numFmtId="173" fontId="23" fillId="2" borderId="1" xfId="2" applyNumberFormat="1" applyFont="1" applyFill="1" applyBorder="1" applyAlignment="1">
      <alignment horizontal="center" vertical="center"/>
    </xf>
    <xf numFmtId="10" fontId="23" fillId="2" borderId="1" xfId="2" applyNumberFormat="1" applyFont="1" applyFill="1" applyBorder="1" applyAlignment="1">
      <alignment vertical="center"/>
    </xf>
    <xf numFmtId="14" fontId="23" fillId="2" borderId="0" xfId="0" applyNumberFormat="1" applyFont="1" applyFill="1" applyAlignment="1">
      <alignment vertical="center"/>
    </xf>
    <xf numFmtId="0" fontId="72" fillId="0" borderId="104" xfId="0" applyFont="1" applyBorder="1" applyAlignment="1">
      <alignment vertical="center"/>
    </xf>
    <xf numFmtId="0" fontId="76" fillId="0" borderId="13" xfId="0" applyFont="1" applyBorder="1" applyAlignment="1">
      <alignment horizontal="center" vertical="center"/>
    </xf>
    <xf numFmtId="0" fontId="76" fillId="0" borderId="105" xfId="0" applyFont="1" applyBorder="1" applyAlignment="1">
      <alignment horizontal="center" vertical="center"/>
    </xf>
    <xf numFmtId="1" fontId="23" fillId="26" borderId="1" xfId="1" applyNumberFormat="1" applyFont="1" applyFill="1" applyBorder="1" applyAlignment="1">
      <alignment horizontal="center" vertical="center"/>
    </xf>
    <xf numFmtId="17" fontId="23" fillId="26" borderId="1" xfId="0" applyNumberFormat="1" applyFont="1" applyFill="1" applyBorder="1" applyAlignment="1">
      <alignment horizontal="center" vertical="center"/>
    </xf>
    <xf numFmtId="0" fontId="23" fillId="26" borderId="1" xfId="0" applyFont="1" applyFill="1" applyBorder="1" applyAlignment="1">
      <alignment vertical="center"/>
    </xf>
    <xf numFmtId="17" fontId="29" fillId="26" borderId="1" xfId="0" applyNumberFormat="1" applyFont="1" applyFill="1" applyBorder="1" applyAlignment="1">
      <alignment horizontal="center" vertical="center"/>
    </xf>
    <xf numFmtId="17" fontId="23" fillId="2" borderId="1" xfId="0" applyNumberFormat="1" applyFont="1" applyFill="1" applyBorder="1" applyAlignment="1">
      <alignment horizontal="center" vertical="center"/>
    </xf>
    <xf numFmtId="167" fontId="72" fillId="0" borderId="13" xfId="1" applyFont="1" applyBorder="1" applyAlignment="1">
      <alignment vertical="center"/>
    </xf>
    <xf numFmtId="184" fontId="72" fillId="0" borderId="105" xfId="0" applyNumberFormat="1" applyFont="1" applyBorder="1" applyAlignment="1">
      <alignment horizontal="center" vertical="center"/>
    </xf>
    <xf numFmtId="189" fontId="23" fillId="2" borderId="0" xfId="0" applyNumberFormat="1" applyFont="1" applyFill="1" applyAlignment="1">
      <alignment vertical="center"/>
    </xf>
    <xf numFmtId="184" fontId="72" fillId="0" borderId="13" xfId="0" applyNumberFormat="1" applyFont="1" applyBorder="1" applyAlignment="1">
      <alignment vertical="center"/>
    </xf>
    <xf numFmtId="0" fontId="76" fillId="0" borderId="109" xfId="0" applyFont="1" applyBorder="1" applyAlignment="1">
      <alignment vertical="center"/>
    </xf>
    <xf numFmtId="0" fontId="76" fillId="0" borderId="124" xfId="0" applyFont="1" applyBorder="1" applyAlignment="1">
      <alignment vertical="center"/>
    </xf>
    <xf numFmtId="0" fontId="76" fillId="0" borderId="110" xfId="0" applyFont="1" applyBorder="1" applyAlignment="1">
      <alignment horizontal="center" vertical="center"/>
    </xf>
    <xf numFmtId="9" fontId="76" fillId="0" borderId="110" xfId="0" applyNumberFormat="1" applyFont="1" applyBorder="1" applyAlignment="1">
      <alignment horizontal="center" vertical="center"/>
    </xf>
    <xf numFmtId="184" fontId="76" fillId="0" borderId="110" xfId="0" applyNumberFormat="1" applyFont="1" applyBorder="1" applyAlignment="1">
      <alignment vertical="center"/>
    </xf>
    <xf numFmtId="0" fontId="76" fillId="0" borderId="111" xfId="0" applyFont="1" applyBorder="1" applyAlignment="1">
      <alignment horizontal="center" vertical="center"/>
    </xf>
    <xf numFmtId="0" fontId="88" fillId="2" borderId="1" xfId="1" quotePrefix="1" applyNumberFormat="1" applyFont="1" applyFill="1" applyBorder="1" applyAlignment="1">
      <alignment horizontal="center" vertical="center"/>
    </xf>
    <xf numFmtId="184" fontId="104" fillId="2" borderId="1" xfId="0" applyNumberFormat="1" applyFont="1" applyFill="1" applyBorder="1" applyAlignment="1">
      <alignment vertical="center"/>
    </xf>
    <xf numFmtId="167" fontId="104" fillId="2" borderId="1" xfId="1" quotePrefix="1" applyFont="1" applyFill="1" applyBorder="1" applyAlignment="1">
      <alignment horizontal="center" vertical="center"/>
    </xf>
    <xf numFmtId="0" fontId="23" fillId="3" borderId="0" xfId="0" applyFont="1" applyFill="1" applyAlignment="1">
      <alignment vertical="center"/>
    </xf>
    <xf numFmtId="0" fontId="23" fillId="3" borderId="1" xfId="0" applyFont="1" applyFill="1" applyBorder="1" applyAlignment="1">
      <alignment vertical="center"/>
    </xf>
    <xf numFmtId="0" fontId="103" fillId="3" borderId="1" xfId="0" applyFont="1" applyFill="1" applyBorder="1" applyAlignment="1">
      <alignment vertical="center"/>
    </xf>
    <xf numFmtId="0" fontId="72" fillId="2" borderId="0" xfId="0" applyFont="1" applyFill="1" applyAlignment="1">
      <alignment vertical="center"/>
    </xf>
    <xf numFmtId="167" fontId="23" fillId="2" borderId="0" xfId="0" applyNumberFormat="1" applyFont="1" applyFill="1" applyAlignment="1">
      <alignment horizontal="center" vertical="center"/>
    </xf>
    <xf numFmtId="165" fontId="23" fillId="2" borderId="0" xfId="0" applyNumberFormat="1" applyFont="1" applyFill="1" applyAlignment="1">
      <alignment horizontal="center" vertical="center"/>
    </xf>
    <xf numFmtId="1" fontId="23" fillId="2" borderId="0" xfId="0" applyNumberFormat="1" applyFont="1" applyFill="1" applyAlignment="1">
      <alignment vertical="center"/>
    </xf>
    <xf numFmtId="167" fontId="23" fillId="5" borderId="0" xfId="0" applyNumberFormat="1" applyFont="1" applyFill="1" applyAlignment="1">
      <alignment vertical="center"/>
    </xf>
    <xf numFmtId="17" fontId="23" fillId="2" borderId="0" xfId="0" applyNumberFormat="1" applyFont="1" applyFill="1" applyAlignment="1">
      <alignment vertical="center"/>
    </xf>
    <xf numFmtId="0" fontId="0" fillId="2" borderId="0" xfId="0" applyFill="1" applyAlignment="1">
      <alignment vertical="center"/>
    </xf>
    <xf numFmtId="0" fontId="91" fillId="2" borderId="0" xfId="0" applyFont="1" applyFill="1" applyAlignment="1">
      <alignment vertical="center"/>
    </xf>
    <xf numFmtId="0" fontId="0" fillId="2" borderId="0" xfId="0" applyFill="1" applyAlignment="1">
      <alignment horizontal="center" vertical="center"/>
    </xf>
    <xf numFmtId="0" fontId="0" fillId="3" borderId="0" xfId="0" applyFill="1" applyAlignment="1">
      <alignment vertical="center"/>
    </xf>
    <xf numFmtId="0" fontId="2" fillId="2" borderId="0" xfId="0" applyFont="1" applyFill="1" applyAlignment="1">
      <alignment vertical="center"/>
    </xf>
    <xf numFmtId="0" fontId="2" fillId="3" borderId="0" xfId="0" applyFont="1" applyFill="1" applyAlignment="1">
      <alignment vertical="center"/>
    </xf>
    <xf numFmtId="189" fontId="0" fillId="2" borderId="0" xfId="0" applyNumberFormat="1" applyFill="1" applyAlignment="1">
      <alignment vertical="center"/>
    </xf>
    <xf numFmtId="14" fontId="23" fillId="18" borderId="0" xfId="0" applyNumberFormat="1" applyFont="1" applyFill="1" applyAlignment="1">
      <alignment vertical="center"/>
    </xf>
    <xf numFmtId="0" fontId="23" fillId="18" borderId="0" xfId="0" applyFont="1" applyFill="1" applyAlignment="1">
      <alignment vertical="center"/>
    </xf>
    <xf numFmtId="0" fontId="2" fillId="2" borderId="0" xfId="0" applyFont="1" applyFill="1" applyAlignment="1">
      <alignment horizontal="center" vertical="center"/>
    </xf>
    <xf numFmtId="0" fontId="23" fillId="19" borderId="0" xfId="0" applyFont="1" applyFill="1" applyAlignment="1">
      <alignment vertical="center"/>
    </xf>
    <xf numFmtId="189" fontId="23" fillId="19" borderId="0" xfId="0" applyNumberFormat="1" applyFont="1" applyFill="1" applyAlignment="1">
      <alignment vertical="center"/>
    </xf>
    <xf numFmtId="0" fontId="105" fillId="3" borderId="1" xfId="0" applyFont="1" applyFill="1" applyBorder="1" applyAlignment="1">
      <alignment vertical="center"/>
    </xf>
    <xf numFmtId="0" fontId="50" fillId="2" borderId="176" xfId="1" applyNumberFormat="1" applyFont="1" applyFill="1" applyBorder="1" applyAlignment="1">
      <alignment horizontal="center" vertical="center"/>
    </xf>
    <xf numFmtId="167" fontId="50" fillId="2" borderId="176" xfId="1" applyFont="1" applyFill="1" applyBorder="1" applyAlignment="1">
      <alignment vertical="center"/>
    </xf>
    <xf numFmtId="0" fontId="50" fillId="2" borderId="176" xfId="1" applyNumberFormat="1" applyFont="1" applyFill="1" applyBorder="1" applyAlignment="1">
      <alignment vertical="center"/>
    </xf>
    <xf numFmtId="167" fontId="95" fillId="2" borderId="176" xfId="1" applyFont="1" applyFill="1" applyBorder="1" applyAlignment="1">
      <alignment vertical="center"/>
    </xf>
    <xf numFmtId="10" fontId="95" fillId="2" borderId="176" xfId="2" applyNumberFormat="1" applyFont="1" applyFill="1" applyBorder="1" applyAlignment="1">
      <alignment vertical="center"/>
    </xf>
    <xf numFmtId="167" fontId="95" fillId="2" borderId="0" xfId="1" applyFont="1" applyFill="1" applyBorder="1" applyAlignment="1">
      <alignment vertical="center"/>
    </xf>
    <xf numFmtId="0" fontId="23" fillId="28" borderId="176" xfId="0" applyFont="1" applyFill="1" applyBorder="1" applyAlignment="1">
      <alignment horizontal="center" vertical="center"/>
    </xf>
    <xf numFmtId="0" fontId="23" fillId="28" borderId="176" xfId="0" applyFont="1" applyFill="1" applyBorder="1" applyAlignment="1">
      <alignment vertical="center"/>
    </xf>
    <xf numFmtId="0" fontId="23" fillId="2" borderId="176" xfId="0" applyFont="1" applyFill="1" applyBorder="1" applyAlignment="1">
      <alignment vertical="center"/>
    </xf>
    <xf numFmtId="0" fontId="23" fillId="2" borderId="176" xfId="0" applyFont="1" applyFill="1" applyBorder="1" applyAlignment="1">
      <alignment horizontal="center" vertical="center"/>
    </xf>
    <xf numFmtId="167" fontId="50" fillId="2" borderId="1" xfId="1" applyFont="1" applyFill="1" applyBorder="1" applyAlignment="1">
      <alignment horizontal="center" vertical="center"/>
    </xf>
    <xf numFmtId="167" fontId="50" fillId="5" borderId="0" xfId="1" applyFont="1" applyFill="1" applyAlignment="1">
      <alignment horizontal="center" vertical="center"/>
    </xf>
    <xf numFmtId="167" fontId="50" fillId="2" borderId="0" xfId="1" applyFont="1" applyFill="1" applyAlignment="1">
      <alignment horizontal="center" vertical="center"/>
    </xf>
    <xf numFmtId="167" fontId="50" fillId="22" borderId="1" xfId="1" applyFont="1" applyFill="1" applyBorder="1" applyAlignment="1">
      <alignment horizontal="center" vertical="center"/>
    </xf>
    <xf numFmtId="167" fontId="50" fillId="23" borderId="1" xfId="1" applyFont="1" applyFill="1" applyBorder="1" applyAlignment="1">
      <alignment horizontal="center" vertical="center"/>
    </xf>
    <xf numFmtId="167" fontId="50" fillId="2" borderId="0" xfId="1" applyFont="1" applyFill="1" applyBorder="1" applyAlignment="1">
      <alignment horizontal="center" vertical="center"/>
    </xf>
    <xf numFmtId="167" fontId="50" fillId="2" borderId="25" xfId="1" applyFont="1" applyFill="1" applyBorder="1" applyAlignment="1">
      <alignment horizontal="center" vertical="center"/>
    </xf>
    <xf numFmtId="167" fontId="95" fillId="2" borderId="0" xfId="1" applyFont="1" applyFill="1" applyAlignment="1">
      <alignment vertical="center"/>
    </xf>
    <xf numFmtId="167" fontId="111" fillId="5" borderId="0" xfId="1" applyFont="1" applyFill="1" applyAlignment="1">
      <alignment vertical="center"/>
    </xf>
    <xf numFmtId="0" fontId="29" fillId="2" borderId="0" xfId="1" applyNumberFormat="1" applyFont="1" applyFill="1" applyAlignment="1">
      <alignment horizontal="center" vertical="center"/>
    </xf>
    <xf numFmtId="167" fontId="23" fillId="2" borderId="0" xfId="9" applyFont="1" applyFill="1" applyBorder="1" applyAlignment="1">
      <alignment horizontal="left" vertical="center"/>
    </xf>
    <xf numFmtId="167" fontId="23" fillId="2" borderId="0" xfId="1" applyFont="1" applyFill="1" applyBorder="1" applyAlignment="1">
      <alignment vertical="center"/>
    </xf>
    <xf numFmtId="167" fontId="111" fillId="5" borderId="0" xfId="1" applyFont="1" applyFill="1" applyAlignment="1">
      <alignment horizontal="center" vertical="center"/>
    </xf>
    <xf numFmtId="0" fontId="0" fillId="0" borderId="1" xfId="0" applyBorder="1" applyAlignment="1">
      <alignment vertical="center"/>
    </xf>
    <xf numFmtId="0" fontId="0" fillId="0" borderId="1" xfId="0" applyBorder="1" applyAlignment="1">
      <alignment horizontal="center" vertical="center"/>
    </xf>
    <xf numFmtId="0" fontId="29" fillId="3" borderId="0" xfId="0" applyFont="1" applyFill="1" applyAlignment="1">
      <alignment horizontal="center" vertical="center"/>
    </xf>
    <xf numFmtId="0" fontId="48" fillId="0" borderId="1" xfId="0" applyFont="1" applyBorder="1" applyAlignment="1">
      <alignment horizontal="center" vertical="center"/>
    </xf>
    <xf numFmtId="167" fontId="95" fillId="2" borderId="0" xfId="1" applyFont="1" applyFill="1" applyAlignment="1">
      <alignment horizontal="center" vertical="center"/>
    </xf>
    <xf numFmtId="167" fontId="95" fillId="2" borderId="1" xfId="1" applyFont="1" applyFill="1" applyBorder="1" applyAlignment="1">
      <alignment vertical="center"/>
    </xf>
    <xf numFmtId="43" fontId="95" fillId="2" borderId="0" xfId="4" applyFont="1" applyFill="1" applyAlignment="1">
      <alignment vertical="center"/>
    </xf>
    <xf numFmtId="43" fontId="23" fillId="2" borderId="0" xfId="4" applyFont="1" applyFill="1" applyAlignment="1">
      <alignment vertical="center"/>
    </xf>
    <xf numFmtId="167" fontId="50" fillId="2" borderId="128" xfId="1" applyFont="1" applyFill="1" applyBorder="1" applyAlignment="1">
      <alignment horizontal="center" vertical="center"/>
    </xf>
    <xf numFmtId="167" fontId="111" fillId="2" borderId="0" xfId="1" applyFont="1" applyFill="1" applyAlignment="1">
      <alignment horizontal="center" vertical="center"/>
    </xf>
    <xf numFmtId="167" fontId="17" fillId="2" borderId="0" xfId="1" applyFont="1" applyFill="1" applyAlignment="1">
      <alignment vertical="center"/>
    </xf>
    <xf numFmtId="10" fontId="23" fillId="2" borderId="0" xfId="0" applyNumberFormat="1" applyFont="1" applyFill="1" applyAlignment="1">
      <alignment vertical="center"/>
    </xf>
    <xf numFmtId="17" fontId="95" fillId="2" borderId="0" xfId="0" applyNumberFormat="1" applyFont="1" applyFill="1" applyAlignment="1">
      <alignment horizontal="center" vertical="center"/>
    </xf>
    <xf numFmtId="10" fontId="23" fillId="2" borderId="0" xfId="0" applyNumberFormat="1" applyFont="1" applyFill="1" applyAlignment="1">
      <alignment horizontal="center" vertical="center"/>
    </xf>
    <xf numFmtId="0" fontId="50" fillId="2" borderId="0" xfId="0" applyFont="1" applyFill="1" applyAlignment="1">
      <alignment horizontal="left" vertical="center"/>
    </xf>
    <xf numFmtId="167" fontId="95" fillId="2" borderId="0" xfId="0" applyNumberFormat="1" applyFont="1" applyFill="1" applyAlignment="1">
      <alignment horizontal="center" vertical="center"/>
    </xf>
    <xf numFmtId="10" fontId="88" fillId="2" borderId="0" xfId="0" applyNumberFormat="1" applyFont="1" applyFill="1" applyAlignment="1">
      <alignment horizontal="center" vertical="center"/>
    </xf>
    <xf numFmtId="167" fontId="50" fillId="2" borderId="0" xfId="0" applyNumberFormat="1" applyFont="1" applyFill="1" applyAlignment="1">
      <alignment horizontal="center" vertical="center"/>
    </xf>
    <xf numFmtId="167" fontId="29" fillId="2" borderId="0" xfId="0" applyNumberFormat="1" applyFont="1" applyFill="1" applyAlignment="1">
      <alignment horizontal="center" vertical="center"/>
    </xf>
    <xf numFmtId="184" fontId="119" fillId="2" borderId="176" xfId="0" applyNumberFormat="1" applyFont="1" applyFill="1" applyBorder="1" applyAlignment="1">
      <alignment vertical="center"/>
    </xf>
    <xf numFmtId="0" fontId="110" fillId="5" borderId="15" xfId="0" applyFont="1" applyFill="1" applyBorder="1" applyAlignment="1">
      <alignment horizontal="center" vertical="center" wrapText="1"/>
    </xf>
    <xf numFmtId="0" fontId="86" fillId="2" borderId="24" xfId="0" applyFont="1" applyFill="1" applyBorder="1" applyAlignment="1">
      <alignment horizontal="center" vertical="center"/>
    </xf>
    <xf numFmtId="186" fontId="23" fillId="0" borderId="1" xfId="4" applyNumberFormat="1" applyFont="1" applyFill="1" applyBorder="1" applyAlignment="1">
      <alignment horizontal="center" vertical="center"/>
    </xf>
    <xf numFmtId="43" fontId="23" fillId="3" borderId="1" xfId="4" applyFont="1" applyFill="1" applyBorder="1" applyAlignment="1">
      <alignment vertical="center"/>
    </xf>
    <xf numFmtId="167" fontId="1" fillId="0" borderId="0" xfId="1" applyFont="1" applyBorder="1" applyAlignment="1" applyProtection="1">
      <alignment horizontal="left" vertical="center"/>
    </xf>
    <xf numFmtId="167" fontId="1" fillId="0" borderId="0" xfId="1" applyFont="1" applyFill="1" applyBorder="1" applyAlignment="1" applyProtection="1">
      <alignment horizontal="left" vertical="center"/>
    </xf>
    <xf numFmtId="167" fontId="15" fillId="0" borderId="0" xfId="1" applyFont="1" applyFill="1" applyBorder="1" applyAlignment="1" applyProtection="1">
      <alignment horizontal="center" vertical="center"/>
    </xf>
    <xf numFmtId="0" fontId="1" fillId="0" borderId="0" xfId="0" applyFont="1" applyAlignment="1">
      <alignment vertical="center"/>
    </xf>
    <xf numFmtId="167" fontId="1" fillId="0" borderId="0" xfId="1" applyFont="1" applyBorder="1" applyAlignment="1" applyProtection="1">
      <alignment horizontal="right" vertical="center"/>
    </xf>
    <xf numFmtId="0" fontId="1" fillId="0" borderId="0" xfId="0" applyFont="1" applyAlignment="1">
      <alignment horizontal="left" vertical="center"/>
    </xf>
    <xf numFmtId="173" fontId="20" fillId="0" borderId="5" xfId="2" applyNumberFormat="1" applyFont="1" applyBorder="1" applyAlignment="1" applyProtection="1">
      <alignment horizontal="center" vertical="center"/>
    </xf>
    <xf numFmtId="171" fontId="1" fillId="0" borderId="1" xfId="1" applyNumberFormat="1" applyFont="1" applyBorder="1" applyAlignment="1" applyProtection="1">
      <alignment horizontal="center" vertical="center"/>
    </xf>
    <xf numFmtId="0" fontId="1" fillId="0" borderId="128" xfId="0" applyFont="1" applyBorder="1" applyAlignment="1">
      <alignment vertical="center"/>
    </xf>
    <xf numFmtId="0" fontId="95" fillId="3" borderId="1" xfId="0" applyFont="1" applyFill="1" applyBorder="1" applyAlignment="1">
      <alignment horizontal="center" vertical="center" wrapText="1"/>
    </xf>
    <xf numFmtId="167" fontId="23" fillId="2" borderId="1" xfId="0" applyNumberFormat="1" applyFont="1" applyFill="1" applyBorder="1" applyAlignment="1">
      <alignment horizontal="center"/>
    </xf>
    <xf numFmtId="167" fontId="23" fillId="23" borderId="0" xfId="1" applyFont="1" applyFill="1" applyAlignment="1">
      <alignment vertical="center"/>
    </xf>
    <xf numFmtId="167" fontId="23" fillId="23" borderId="0" xfId="1" applyFont="1" applyFill="1" applyAlignment="1">
      <alignment horizontal="center" vertical="center"/>
    </xf>
    <xf numFmtId="167" fontId="88" fillId="23" borderId="0" xfId="1" applyFont="1" applyFill="1" applyBorder="1" applyAlignment="1">
      <alignment horizontal="center" vertical="center"/>
    </xf>
    <xf numFmtId="0" fontId="86" fillId="23" borderId="1" xfId="0" applyFont="1" applyFill="1" applyBorder="1" applyAlignment="1">
      <alignment horizontal="center" vertical="center" wrapText="1"/>
    </xf>
    <xf numFmtId="167" fontId="88" fillId="23" borderId="1" xfId="1" applyFont="1" applyFill="1" applyBorder="1" applyAlignment="1">
      <alignment vertical="center"/>
    </xf>
    <xf numFmtId="167" fontId="95" fillId="23" borderId="176" xfId="1" applyFont="1" applyFill="1" applyBorder="1" applyAlignment="1">
      <alignment vertical="center"/>
    </xf>
    <xf numFmtId="10" fontId="88" fillId="17" borderId="0" xfId="1" applyNumberFormat="1" applyFont="1" applyFill="1" applyBorder="1" applyAlignment="1">
      <alignment horizontal="center" vertical="center"/>
    </xf>
    <xf numFmtId="0" fontId="86" fillId="17" borderId="1" xfId="0" applyFont="1" applyFill="1" applyBorder="1" applyAlignment="1">
      <alignment horizontal="center" vertical="center" wrapText="1"/>
    </xf>
    <xf numFmtId="167" fontId="23" fillId="29" borderId="0" xfId="1" applyFont="1" applyFill="1" applyAlignment="1">
      <alignment vertical="center"/>
    </xf>
    <xf numFmtId="167" fontId="29" fillId="29" borderId="0" xfId="1" applyFont="1" applyFill="1" applyAlignment="1">
      <alignment vertical="center"/>
    </xf>
    <xf numFmtId="167" fontId="29" fillId="29" borderId="0" xfId="1" applyFont="1" applyFill="1" applyAlignment="1">
      <alignment horizontal="center" vertical="center"/>
    </xf>
    <xf numFmtId="189" fontId="95" fillId="29" borderId="1" xfId="8" applyNumberFormat="1" applyFont="1" applyFill="1" applyBorder="1" applyAlignment="1">
      <alignment horizontal="center" vertical="center" wrapText="1"/>
    </xf>
    <xf numFmtId="167" fontId="104" fillId="29" borderId="1" xfId="1" applyFont="1" applyFill="1" applyBorder="1" applyAlignment="1">
      <alignment horizontal="center" vertical="center"/>
    </xf>
    <xf numFmtId="9" fontId="104" fillId="29" borderId="1" xfId="1" applyNumberFormat="1" applyFont="1" applyFill="1" applyBorder="1" applyAlignment="1">
      <alignment horizontal="center" vertical="center"/>
    </xf>
    <xf numFmtId="0" fontId="86" fillId="29" borderId="1" xfId="7" applyFont="1" applyFill="1" applyBorder="1" applyAlignment="1">
      <alignment horizontal="center" vertical="center" wrapText="1"/>
    </xf>
    <xf numFmtId="167" fontId="109" fillId="29" borderId="1" xfId="1" applyFont="1" applyFill="1" applyBorder="1" applyAlignment="1">
      <alignment horizontal="center" vertical="center" wrapText="1"/>
    </xf>
    <xf numFmtId="167" fontId="88" fillId="29" borderId="1" xfId="1" applyFont="1" applyFill="1" applyBorder="1" applyAlignment="1">
      <alignment vertical="center"/>
    </xf>
    <xf numFmtId="167" fontId="104" fillId="29" borderId="1" xfId="1" applyFont="1" applyFill="1" applyBorder="1" applyAlignment="1">
      <alignment vertical="center"/>
    </xf>
    <xf numFmtId="167" fontId="95" fillId="29" borderId="176" xfId="1" applyFont="1" applyFill="1" applyBorder="1" applyAlignment="1">
      <alignment vertical="center"/>
    </xf>
    <xf numFmtId="167" fontId="50" fillId="29" borderId="176" xfId="1" applyFont="1" applyFill="1" applyBorder="1" applyAlignment="1">
      <alignment vertical="center"/>
    </xf>
    <xf numFmtId="167" fontId="23" fillId="29" borderId="0" xfId="1" applyFont="1" applyFill="1" applyAlignment="1">
      <alignment horizontal="center" vertical="center"/>
    </xf>
    <xf numFmtId="167" fontId="88" fillId="29" borderId="0" xfId="1" applyFont="1" applyFill="1" applyBorder="1" applyAlignment="1">
      <alignment horizontal="center" vertical="center"/>
    </xf>
    <xf numFmtId="0" fontId="86" fillId="29" borderId="1" xfId="0" applyFont="1" applyFill="1" applyBorder="1" applyAlignment="1">
      <alignment horizontal="center" vertical="center" wrapText="1"/>
    </xf>
    <xf numFmtId="167" fontId="88" fillId="14" borderId="1" xfId="1" applyFont="1" applyFill="1" applyBorder="1" applyAlignment="1">
      <alignment vertical="center"/>
    </xf>
    <xf numFmtId="167" fontId="23" fillId="14" borderId="0" xfId="1" applyFont="1" applyFill="1" applyAlignment="1">
      <alignment vertical="center"/>
    </xf>
    <xf numFmtId="167" fontId="23" fillId="14" borderId="0" xfId="1" applyFont="1" applyFill="1" applyAlignment="1">
      <alignment horizontal="center" vertical="center"/>
    </xf>
    <xf numFmtId="167" fontId="88" fillId="14" borderId="0" xfId="1" applyFont="1" applyFill="1" applyBorder="1" applyAlignment="1">
      <alignment horizontal="center" vertical="center"/>
    </xf>
    <xf numFmtId="0" fontId="86" fillId="14" borderId="1" xfId="0" applyFont="1" applyFill="1" applyBorder="1" applyAlignment="1">
      <alignment horizontal="center" vertical="center" wrapText="1"/>
    </xf>
    <xf numFmtId="167" fontId="29" fillId="23" borderId="0" xfId="1" applyFont="1" applyFill="1" applyAlignment="1">
      <alignment vertical="center"/>
    </xf>
    <xf numFmtId="167" fontId="29" fillId="23" borderId="0" xfId="1" applyFont="1" applyFill="1" applyAlignment="1">
      <alignment horizontal="center" vertical="center"/>
    </xf>
    <xf numFmtId="167" fontId="104" fillId="23" borderId="1" xfId="1" applyFont="1" applyFill="1" applyBorder="1" applyAlignment="1">
      <alignment horizontal="center" vertical="center"/>
    </xf>
    <xf numFmtId="9" fontId="104" fillId="23" borderId="1" xfId="1" applyNumberFormat="1" applyFont="1" applyFill="1" applyBorder="1" applyAlignment="1">
      <alignment horizontal="center" vertical="center"/>
    </xf>
    <xf numFmtId="167" fontId="109" fillId="23" borderId="1" xfId="1" applyFont="1" applyFill="1" applyBorder="1" applyAlignment="1">
      <alignment horizontal="center" vertical="center" wrapText="1"/>
    </xf>
    <xf numFmtId="167" fontId="104" fillId="23" borderId="1" xfId="1" applyFont="1" applyFill="1" applyBorder="1" applyAlignment="1">
      <alignment vertical="center"/>
    </xf>
    <xf numFmtId="167" fontId="50" fillId="23" borderId="176" xfId="1" applyFont="1" applyFill="1" applyBorder="1" applyAlignment="1">
      <alignment vertical="center"/>
    </xf>
    <xf numFmtId="0" fontId="29" fillId="2" borderId="0" xfId="0" applyFont="1" applyFill="1" applyAlignment="1">
      <alignment horizontal="center"/>
    </xf>
    <xf numFmtId="0" fontId="120" fillId="0" borderId="128" xfId="0" applyFont="1" applyBorder="1" applyAlignment="1">
      <alignment vertical="center"/>
    </xf>
    <xf numFmtId="0" fontId="23" fillId="17" borderId="0" xfId="0" applyFont="1" applyFill="1" applyAlignment="1">
      <alignment horizontal="center"/>
    </xf>
    <xf numFmtId="167" fontId="23" fillId="17" borderId="0" xfId="1" applyFont="1" applyFill="1" applyAlignment="1">
      <alignment horizontal="center"/>
    </xf>
    <xf numFmtId="0" fontId="95" fillId="17" borderId="1" xfId="0" applyFont="1" applyFill="1" applyBorder="1" applyAlignment="1">
      <alignment horizontal="center"/>
    </xf>
    <xf numFmtId="0" fontId="95" fillId="17" borderId="1" xfId="0" applyFont="1" applyFill="1" applyBorder="1" applyAlignment="1">
      <alignment horizontal="center" wrapText="1"/>
    </xf>
    <xf numFmtId="167" fontId="95" fillId="17" borderId="1" xfId="1" applyFont="1" applyFill="1" applyBorder="1" applyAlignment="1">
      <alignment horizontal="center"/>
    </xf>
    <xf numFmtId="167" fontId="23" fillId="17" borderId="1" xfId="1" applyFont="1" applyFill="1" applyBorder="1" applyAlignment="1">
      <alignment horizontal="center"/>
    </xf>
    <xf numFmtId="184" fontId="23" fillId="17" borderId="1" xfId="0" applyNumberFormat="1" applyFont="1" applyFill="1" applyBorder="1" applyAlignment="1">
      <alignment horizontal="center"/>
    </xf>
    <xf numFmtId="17" fontId="0" fillId="0" borderId="1" xfId="0" applyNumberFormat="1" applyBorder="1"/>
    <xf numFmtId="167" fontId="0" fillId="0" borderId="1" xfId="1" applyFont="1" applyBorder="1"/>
    <xf numFmtId="167" fontId="2" fillId="0" borderId="1" xfId="0" applyNumberFormat="1" applyFont="1" applyBorder="1"/>
    <xf numFmtId="167" fontId="88" fillId="17" borderId="0" xfId="1" applyFont="1" applyFill="1" applyBorder="1" applyAlignment="1">
      <alignment horizontal="center" vertical="center"/>
    </xf>
    <xf numFmtId="189" fontId="0" fillId="0" borderId="1" xfId="0" applyNumberFormat="1" applyBorder="1"/>
    <xf numFmtId="167" fontId="2" fillId="3" borderId="1" xfId="0" applyNumberFormat="1" applyFont="1" applyFill="1" applyBorder="1"/>
    <xf numFmtId="17" fontId="0" fillId="0" borderId="0" xfId="0" applyNumberFormat="1" applyAlignment="1">
      <alignment horizontal="center"/>
    </xf>
    <xf numFmtId="167" fontId="0" fillId="0" borderId="0" xfId="1" applyFont="1" applyAlignment="1">
      <alignment horizontal="center"/>
    </xf>
    <xf numFmtId="167" fontId="0" fillId="0" borderId="1" xfId="1" applyFont="1" applyBorder="1" applyAlignment="1">
      <alignment horizontal="center"/>
    </xf>
    <xf numFmtId="167" fontId="2" fillId="3" borderId="0" xfId="0" applyNumberFormat="1" applyFont="1" applyFill="1"/>
    <xf numFmtId="17" fontId="23" fillId="2" borderId="1" xfId="0" applyNumberFormat="1" applyFont="1" applyFill="1" applyBorder="1" applyAlignment="1">
      <alignment vertical="center"/>
    </xf>
    <xf numFmtId="0" fontId="95" fillId="30" borderId="0" xfId="0" applyFont="1" applyFill="1" applyAlignment="1">
      <alignment vertical="center"/>
    </xf>
    <xf numFmtId="0" fontId="23" fillId="30" borderId="0" xfId="0" applyFont="1" applyFill="1" applyAlignment="1">
      <alignment vertical="center"/>
    </xf>
    <xf numFmtId="0" fontId="1" fillId="0" borderId="1" xfId="0" applyFont="1" applyBorder="1" applyAlignment="1">
      <alignment horizontal="center" vertical="center"/>
    </xf>
    <xf numFmtId="0" fontId="1" fillId="0" borderId="0" xfId="0" applyFont="1"/>
    <xf numFmtId="169" fontId="1" fillId="0" borderId="0" xfId="0" applyNumberFormat="1" applyFont="1"/>
    <xf numFmtId="183" fontId="1" fillId="0" borderId="80" xfId="0" applyNumberFormat="1" applyFont="1" applyBorder="1" applyAlignment="1">
      <alignment horizontal="center" vertical="center"/>
    </xf>
    <xf numFmtId="169" fontId="1" fillId="0" borderId="0" xfId="0" applyNumberFormat="1" applyFont="1" applyAlignment="1">
      <alignment vertical="center"/>
    </xf>
    <xf numFmtId="169" fontId="1" fillId="0" borderId="80" xfId="0" applyNumberFormat="1" applyFont="1" applyBorder="1" applyAlignment="1">
      <alignment horizontal="center" vertical="center"/>
    </xf>
    <xf numFmtId="169" fontId="1" fillId="0" borderId="80" xfId="0" applyNumberFormat="1" applyFont="1" applyBorder="1" applyAlignment="1">
      <alignment horizontal="center"/>
    </xf>
    <xf numFmtId="0" fontId="1" fillId="0" borderId="19" xfId="0" applyFont="1" applyBorder="1"/>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4" xfId="0" applyFont="1" applyBorder="1" applyAlignment="1">
      <alignment horizontal="center" vertical="center"/>
    </xf>
    <xf numFmtId="0" fontId="1" fillId="0" borderId="3" xfId="0" applyFont="1" applyBorder="1" applyAlignment="1">
      <alignment vertical="center"/>
    </xf>
    <xf numFmtId="0" fontId="1" fillId="0" borderId="6" xfId="0" applyFont="1" applyBorder="1" applyAlignment="1">
      <alignment vertical="center"/>
    </xf>
    <xf numFmtId="167" fontId="1" fillId="0" borderId="0" xfId="1" applyFont="1" applyAlignment="1" applyProtection="1">
      <alignment vertical="center"/>
    </xf>
    <xf numFmtId="0" fontId="1" fillId="0" borderId="6" xfId="0" applyFont="1" applyBorder="1" applyAlignment="1">
      <alignment horizontal="center" vertical="center"/>
    </xf>
    <xf numFmtId="172" fontId="1" fillId="0" borderId="1" xfId="0" applyNumberFormat="1" applyFont="1" applyBorder="1" applyAlignment="1">
      <alignment horizontal="center" vertical="center"/>
    </xf>
    <xf numFmtId="0" fontId="1" fillId="4" borderId="0" xfId="0" applyFont="1" applyFill="1"/>
    <xf numFmtId="172" fontId="1" fillId="0" borderId="0" xfId="0" applyNumberFormat="1" applyFont="1"/>
    <xf numFmtId="170" fontId="1" fillId="0" borderId="0" xfId="0" applyNumberFormat="1" applyFont="1" applyAlignment="1">
      <alignment horizontal="center"/>
    </xf>
    <xf numFmtId="10" fontId="1" fillId="0" borderId="0" xfId="0" applyNumberFormat="1" applyFont="1" applyAlignment="1">
      <alignment horizontal="center"/>
    </xf>
    <xf numFmtId="49" fontId="1" fillId="0" borderId="0" xfId="0" applyNumberFormat="1" applyFont="1" applyAlignment="1">
      <alignment horizontal="center"/>
    </xf>
    <xf numFmtId="173" fontId="1" fillId="0" borderId="5" xfId="0" applyNumberFormat="1" applyFont="1" applyBorder="1" applyAlignment="1">
      <alignment horizontal="center" vertical="center"/>
    </xf>
    <xf numFmtId="171" fontId="1" fillId="0" borderId="8" xfId="0" applyNumberFormat="1" applyFont="1" applyBorder="1" applyAlignment="1">
      <alignment horizontal="left" vertical="center"/>
    </xf>
    <xf numFmtId="171" fontId="1" fillId="0" borderId="11" xfId="0" applyNumberFormat="1" applyFont="1" applyBorder="1" applyAlignment="1">
      <alignment horizontal="left" vertical="center"/>
    </xf>
    <xf numFmtId="171" fontId="1" fillId="0" borderId="45" xfId="0" applyNumberFormat="1" applyFont="1" applyBorder="1" applyAlignment="1">
      <alignment vertical="center"/>
    </xf>
    <xf numFmtId="171" fontId="1" fillId="0" borderId="9" xfId="0" applyNumberFormat="1" applyFont="1" applyBorder="1" applyAlignment="1">
      <alignment vertical="center"/>
    </xf>
    <xf numFmtId="0" fontId="1" fillId="0" borderId="12" xfId="0" applyFont="1" applyBorder="1" applyAlignment="1">
      <alignment vertical="center"/>
    </xf>
    <xf numFmtId="167" fontId="1" fillId="0" borderId="0" xfId="1" applyFont="1" applyAlignment="1" applyProtection="1">
      <alignment horizontal="left" vertical="center"/>
    </xf>
    <xf numFmtId="167" fontId="1" fillId="0" borderId="0" xfId="1" applyFont="1" applyAlignment="1" applyProtection="1">
      <alignment horizontal="right" vertical="center"/>
    </xf>
    <xf numFmtId="167" fontId="1" fillId="0" borderId="0" xfId="1" applyFont="1" applyBorder="1" applyAlignment="1" applyProtection="1">
      <alignment vertical="center"/>
    </xf>
    <xf numFmtId="43" fontId="1" fillId="0" borderId="0" xfId="0" applyNumberFormat="1" applyFont="1" applyAlignment="1">
      <alignment horizontal="center" vertical="center"/>
    </xf>
    <xf numFmtId="43" fontId="1" fillId="6" borderId="13" xfId="0" applyNumberFormat="1" applyFont="1" applyFill="1" applyBorder="1"/>
    <xf numFmtId="0" fontId="1" fillId="0" borderId="1" xfId="0" applyFont="1" applyBorder="1" applyAlignment="1">
      <alignment vertical="center"/>
    </xf>
    <xf numFmtId="0" fontId="1" fillId="0" borderId="0" xfId="0" applyFont="1" applyAlignment="1">
      <alignment horizontal="center"/>
    </xf>
    <xf numFmtId="0" fontId="1" fillId="0" borderId="17" xfId="0" applyFont="1" applyBorder="1" applyAlignment="1">
      <alignment vertical="center"/>
    </xf>
    <xf numFmtId="0" fontId="1" fillId="0" borderId="8" xfId="0" applyFont="1" applyBorder="1" applyAlignment="1">
      <alignment horizontal="left" vertical="center"/>
    </xf>
    <xf numFmtId="0" fontId="1" fillId="0" borderId="0" xfId="0" applyFont="1" applyAlignment="1" applyProtection="1">
      <alignment horizontal="center" vertical="center"/>
      <protection locked="0"/>
    </xf>
    <xf numFmtId="0" fontId="1" fillId="0" borderId="18" xfId="0" applyFont="1" applyBorder="1" applyAlignment="1">
      <alignment vertical="center"/>
    </xf>
    <xf numFmtId="43" fontId="1" fillId="0" borderId="0" xfId="0" applyNumberFormat="1" applyFont="1"/>
    <xf numFmtId="17" fontId="1" fillId="0" borderId="0" xfId="0" applyNumberFormat="1" applyFont="1"/>
    <xf numFmtId="0" fontId="1" fillId="0" borderId="16" xfId="0" applyFont="1" applyBorder="1" applyAlignment="1">
      <alignment horizontal="center" vertical="center" wrapText="1"/>
    </xf>
    <xf numFmtId="0" fontId="1" fillId="0" borderId="16" xfId="0" applyFont="1" applyBorder="1" applyAlignment="1">
      <alignment horizontal="center"/>
    </xf>
    <xf numFmtId="0" fontId="1" fillId="0" borderId="1" xfId="0" applyFont="1" applyBorder="1" applyAlignment="1">
      <alignment horizontal="center"/>
    </xf>
    <xf numFmtId="170" fontId="1" fillId="0" borderId="16" xfId="0" applyNumberFormat="1" applyFont="1" applyBorder="1" applyAlignment="1">
      <alignment horizontal="right"/>
    </xf>
    <xf numFmtId="167" fontId="1" fillId="0" borderId="16" xfId="1" applyFont="1" applyBorder="1" applyProtection="1"/>
    <xf numFmtId="177" fontId="1" fillId="0" borderId="16" xfId="1" applyNumberFormat="1" applyFont="1" applyBorder="1" applyProtection="1"/>
    <xf numFmtId="173" fontId="1" fillId="0" borderId="16" xfId="2" applyNumberFormat="1" applyFont="1" applyBorder="1" applyAlignment="1" applyProtection="1">
      <alignment horizontal="center"/>
    </xf>
    <xf numFmtId="167" fontId="1" fillId="0" borderId="1" xfId="1" applyFont="1" applyBorder="1" applyProtection="1"/>
    <xf numFmtId="167" fontId="1" fillId="0" borderId="20" xfId="1" applyFont="1" applyBorder="1" applyProtection="1"/>
    <xf numFmtId="10" fontId="1" fillId="0" borderId="20" xfId="2" applyNumberFormat="1" applyFont="1" applyBorder="1" applyAlignment="1" applyProtection="1">
      <alignment horizontal="center"/>
    </xf>
    <xf numFmtId="170" fontId="1" fillId="0" borderId="1" xfId="0" applyNumberFormat="1" applyFont="1" applyBorder="1" applyAlignment="1">
      <alignment horizontal="right"/>
    </xf>
    <xf numFmtId="177" fontId="1" fillId="0" borderId="1" xfId="1" applyNumberFormat="1" applyFont="1" applyBorder="1" applyProtection="1"/>
    <xf numFmtId="173" fontId="1" fillId="0" borderId="1" xfId="2" applyNumberFormat="1" applyFont="1" applyBorder="1" applyAlignment="1" applyProtection="1">
      <alignment horizontal="center"/>
    </xf>
    <xf numFmtId="167" fontId="1" fillId="0" borderId="15" xfId="1" applyFont="1" applyBorder="1" applyProtection="1"/>
    <xf numFmtId="10" fontId="1" fillId="0" borderId="15" xfId="2" applyNumberFormat="1" applyFont="1" applyBorder="1" applyAlignment="1" applyProtection="1">
      <alignment horizontal="center"/>
    </xf>
    <xf numFmtId="170" fontId="1" fillId="0" borderId="0" xfId="0" applyNumberFormat="1" applyFont="1" applyAlignment="1">
      <alignment horizontal="right"/>
    </xf>
    <xf numFmtId="167" fontId="1" fillId="0" borderId="0" xfId="1" applyFont="1" applyProtection="1"/>
    <xf numFmtId="0" fontId="1" fillId="3" borderId="0" xfId="0" applyFont="1" applyFill="1"/>
    <xf numFmtId="169" fontId="1" fillId="0" borderId="0" xfId="0" applyNumberFormat="1" applyFont="1" applyAlignment="1">
      <alignment horizontal="center" vertical="center"/>
    </xf>
    <xf numFmtId="0" fontId="1" fillId="0" borderId="24" xfId="0" applyFont="1" applyBorder="1" applyAlignment="1">
      <alignment vertical="center"/>
    </xf>
    <xf numFmtId="171" fontId="1" fillId="0" borderId="19" xfId="0" applyNumberFormat="1" applyFont="1" applyBorder="1" applyAlignment="1">
      <alignment horizontal="left" vertical="center"/>
    </xf>
    <xf numFmtId="0" fontId="1" fillId="0" borderId="37" xfId="0" applyFont="1" applyBorder="1" applyAlignment="1">
      <alignment vertical="center"/>
    </xf>
    <xf numFmtId="173" fontId="1" fillId="0" borderId="46" xfId="0" applyNumberFormat="1" applyFont="1" applyBorder="1" applyAlignment="1">
      <alignment horizontal="center" vertical="center"/>
    </xf>
    <xf numFmtId="0" fontId="1" fillId="0" borderId="11" xfId="0" applyFont="1" applyBorder="1" applyAlignment="1">
      <alignment horizontal="center" vertical="center"/>
    </xf>
    <xf numFmtId="171" fontId="1" fillId="0" borderId="45" xfId="0" applyNumberFormat="1" applyFont="1" applyBorder="1" applyAlignment="1">
      <alignment horizontal="left" vertical="center"/>
    </xf>
    <xf numFmtId="171" fontId="1" fillId="0" borderId="0" xfId="0" applyNumberFormat="1" applyFont="1" applyAlignment="1">
      <alignment horizontal="left" vertical="center"/>
    </xf>
    <xf numFmtId="9" fontId="1" fillId="0" borderId="87" xfId="0" applyNumberFormat="1" applyFont="1" applyBorder="1" applyAlignment="1">
      <alignment horizontal="center" vertical="center"/>
    </xf>
    <xf numFmtId="171" fontId="1" fillId="0" borderId="5" xfId="1" applyNumberFormat="1" applyFont="1" applyBorder="1" applyAlignment="1" applyProtection="1">
      <alignment horizontal="center" vertical="center"/>
    </xf>
    <xf numFmtId="0" fontId="1" fillId="0" borderId="17" xfId="0" applyFont="1" applyBorder="1"/>
    <xf numFmtId="0" fontId="1" fillId="0" borderId="18" xfId="0" applyFont="1" applyBorder="1" applyAlignment="1">
      <alignment horizontal="center"/>
    </xf>
    <xf numFmtId="167" fontId="1" fillId="0" borderId="0" xfId="1" applyFont="1" applyBorder="1" applyAlignment="1" applyProtection="1"/>
    <xf numFmtId="9" fontId="1" fillId="0" borderId="5" xfId="0" applyNumberFormat="1" applyFont="1" applyBorder="1" applyAlignment="1">
      <alignment horizontal="center" vertical="center"/>
    </xf>
    <xf numFmtId="180" fontId="1" fillId="0" borderId="0" xfId="0" applyNumberFormat="1" applyFont="1" applyAlignment="1">
      <alignment horizontal="center" vertical="center"/>
    </xf>
    <xf numFmtId="173" fontId="1" fillId="0" borderId="5" xfId="2" applyNumberFormat="1" applyFont="1" applyBorder="1" applyAlignment="1" applyProtection="1">
      <alignment horizontal="center" vertical="center"/>
    </xf>
    <xf numFmtId="10" fontId="1" fillId="0" borderId="5" xfId="0" applyNumberFormat="1" applyFont="1" applyBorder="1" applyAlignment="1">
      <alignment horizontal="center" vertical="center"/>
    </xf>
    <xf numFmtId="183" fontId="1" fillId="0" borderId="0" xfId="0" applyNumberFormat="1" applyFont="1"/>
    <xf numFmtId="183" fontId="1" fillId="0" borderId="1" xfId="0" applyNumberFormat="1" applyFont="1" applyBorder="1" applyAlignment="1">
      <alignment horizontal="center" vertical="center"/>
    </xf>
    <xf numFmtId="183" fontId="1" fillId="0" borderId="1" xfId="0" applyNumberFormat="1" applyFont="1" applyBorder="1" applyAlignment="1">
      <alignment horizontal="center"/>
    </xf>
    <xf numFmtId="0" fontId="1" fillId="0" borderId="24" xfId="0" applyFont="1" applyBorder="1"/>
    <xf numFmtId="183" fontId="1" fillId="0" borderId="1" xfId="0" applyNumberFormat="1" applyFont="1" applyBorder="1"/>
    <xf numFmtId="173" fontId="1" fillId="0" borderId="5" xfId="2" applyNumberFormat="1" applyFont="1" applyFill="1" applyBorder="1" applyAlignment="1">
      <alignment horizontal="center" vertical="center"/>
    </xf>
    <xf numFmtId="0" fontId="1" fillId="0" borderId="0" xfId="0" applyFont="1" applyAlignment="1">
      <alignment horizontal="right"/>
    </xf>
    <xf numFmtId="183" fontId="1" fillId="0" borderId="0" xfId="0" applyNumberFormat="1" applyFont="1" applyAlignment="1">
      <alignment horizontal="center"/>
    </xf>
    <xf numFmtId="172" fontId="1" fillId="0" borderId="0" xfId="1" applyNumberFormat="1" applyFont="1" applyProtection="1"/>
    <xf numFmtId="183" fontId="1" fillId="0" borderId="80" xfId="0" applyNumberFormat="1" applyFont="1" applyBorder="1" applyAlignment="1">
      <alignment horizontal="center"/>
    </xf>
    <xf numFmtId="169" fontId="1" fillId="0" borderId="7" xfId="0" applyNumberFormat="1" applyFont="1" applyBorder="1" applyAlignment="1">
      <alignment horizontal="center"/>
    </xf>
    <xf numFmtId="172" fontId="1" fillId="0" borderId="0" xfId="0" applyNumberFormat="1" applyFont="1" applyAlignment="1">
      <alignment horizontal="center" vertical="center"/>
    </xf>
    <xf numFmtId="0" fontId="1" fillId="0" borderId="3" xfId="0" applyFont="1" applyBorder="1"/>
    <xf numFmtId="179" fontId="1" fillId="0" borderId="0" xfId="0" applyNumberFormat="1" applyFont="1"/>
    <xf numFmtId="0" fontId="1" fillId="0" borderId="67" xfId="0" applyFont="1" applyBorder="1" applyAlignment="1">
      <alignment vertical="center"/>
    </xf>
    <xf numFmtId="0" fontId="1" fillId="0" borderId="68" xfId="0" applyFont="1" applyBorder="1" applyAlignment="1">
      <alignment horizontal="center" vertical="center"/>
    </xf>
    <xf numFmtId="172" fontId="1" fillId="0" borderId="22" xfId="0" applyNumberFormat="1" applyFont="1" applyBorder="1" applyAlignment="1">
      <alignment horizontal="center" vertical="center"/>
    </xf>
    <xf numFmtId="0" fontId="1" fillId="0" borderId="68" xfId="0" applyFont="1" applyBorder="1" applyAlignment="1">
      <alignment vertical="center"/>
    </xf>
    <xf numFmtId="0" fontId="1" fillId="0" borderId="7" xfId="0" applyFont="1" applyBorder="1" applyAlignment="1">
      <alignment vertical="center"/>
    </xf>
    <xf numFmtId="172" fontId="1" fillId="0" borderId="0" xfId="1" applyNumberFormat="1" applyFont="1" applyAlignment="1" applyProtection="1">
      <alignment vertical="center"/>
    </xf>
    <xf numFmtId="0" fontId="1" fillId="0" borderId="1" xfId="0" applyFont="1" applyBorder="1"/>
    <xf numFmtId="172" fontId="1" fillId="0" borderId="1" xfId="1" applyNumberFormat="1" applyFont="1" applyBorder="1" applyAlignment="1" applyProtection="1">
      <alignment horizontal="center" vertical="center"/>
    </xf>
    <xf numFmtId="173" fontId="1" fillId="0" borderId="1" xfId="0" applyNumberFormat="1" applyFont="1" applyBorder="1" applyAlignment="1">
      <alignment horizontal="center" vertical="center"/>
    </xf>
    <xf numFmtId="172" fontId="1" fillId="0" borderId="0" xfId="1" applyNumberFormat="1" applyFont="1" applyBorder="1" applyAlignment="1" applyProtection="1">
      <alignment horizontal="center" vertical="center"/>
    </xf>
    <xf numFmtId="171" fontId="1" fillId="0" borderId="0" xfId="0" applyNumberFormat="1" applyFont="1" applyAlignment="1">
      <alignment horizontal="center" vertical="center"/>
    </xf>
    <xf numFmtId="9" fontId="1" fillId="0" borderId="0" xfId="0" applyNumberFormat="1" applyFont="1" applyAlignment="1">
      <alignment horizontal="center" vertical="center"/>
    </xf>
    <xf numFmtId="166" fontId="1" fillId="0" borderId="0" xfId="5" applyFont="1" applyAlignment="1" applyProtection="1">
      <alignment vertical="center"/>
    </xf>
    <xf numFmtId="172" fontId="1" fillId="0" borderId="18" xfId="0" applyNumberFormat="1" applyFont="1" applyBorder="1" applyAlignment="1">
      <alignment horizontal="center" vertical="center"/>
    </xf>
    <xf numFmtId="172" fontId="1" fillId="0" borderId="0" xfId="0" applyNumberFormat="1" applyFont="1" applyAlignment="1">
      <alignment vertical="center"/>
    </xf>
    <xf numFmtId="171" fontId="1" fillId="0" borderId="0" xfId="5" applyNumberFormat="1" applyFont="1" applyBorder="1" applyAlignment="1" applyProtection="1">
      <alignment horizontal="center" vertical="center"/>
    </xf>
    <xf numFmtId="0" fontId="1" fillId="0" borderId="18" xfId="0" applyFont="1" applyBorder="1"/>
    <xf numFmtId="0" fontId="1" fillId="0" borderId="22" xfId="0" applyFont="1" applyBorder="1" applyAlignment="1">
      <alignment horizontal="center" vertical="center"/>
    </xf>
    <xf numFmtId="0" fontId="1" fillId="0" borderId="19" xfId="0" applyFont="1" applyBorder="1" applyAlignment="1">
      <alignment vertical="center"/>
    </xf>
    <xf numFmtId="172" fontId="1" fillId="0" borderId="0" xfId="1" applyNumberFormat="1" applyFont="1" applyFill="1" applyBorder="1" applyAlignment="1" applyProtection="1">
      <alignment horizontal="center" vertical="center"/>
    </xf>
    <xf numFmtId="171" fontId="1" fillId="0" borderId="23" xfId="0" applyNumberFormat="1" applyFont="1" applyBorder="1" applyAlignment="1">
      <alignment horizontal="left" vertical="center"/>
    </xf>
    <xf numFmtId="0" fontId="1" fillId="0" borderId="41" xfId="0" applyFont="1" applyBorder="1" applyAlignment="1">
      <alignment horizontal="center" vertical="center"/>
    </xf>
    <xf numFmtId="0" fontId="1" fillId="0" borderId="83" xfId="0" applyFont="1" applyBorder="1"/>
    <xf numFmtId="0" fontId="1" fillId="0" borderId="44" xfId="0" applyFont="1" applyBorder="1" applyAlignment="1">
      <alignment horizontal="center" vertical="center"/>
    </xf>
    <xf numFmtId="0" fontId="1" fillId="0" borderId="8" xfId="0" applyFont="1" applyBorder="1"/>
    <xf numFmtId="0" fontId="1" fillId="0" borderId="32" xfId="0" applyFont="1" applyBorder="1" applyAlignment="1">
      <alignment vertical="center"/>
    </xf>
    <xf numFmtId="0" fontId="1" fillId="0" borderId="44" xfId="0" applyFont="1" applyBorder="1" applyAlignment="1">
      <alignment vertical="center"/>
    </xf>
    <xf numFmtId="0" fontId="1" fillId="0" borderId="0" xfId="0" applyFont="1" applyAlignment="1">
      <alignment horizontal="right" vertical="center"/>
    </xf>
    <xf numFmtId="0" fontId="1" fillId="0" borderId="34" xfId="0" applyFont="1" applyBorder="1" applyAlignment="1">
      <alignment vertical="center"/>
    </xf>
    <xf numFmtId="0" fontId="1" fillId="0" borderId="58" xfId="0" applyFont="1" applyBorder="1" applyAlignment="1">
      <alignment vertical="center"/>
    </xf>
    <xf numFmtId="0" fontId="1" fillId="0" borderId="14" xfId="0" applyFont="1" applyBorder="1" applyAlignment="1">
      <alignment vertical="center"/>
    </xf>
    <xf numFmtId="173" fontId="1" fillId="0" borderId="7" xfId="0" applyNumberFormat="1" applyFont="1" applyBorder="1" applyAlignment="1">
      <alignment horizontal="center" vertical="center"/>
    </xf>
    <xf numFmtId="0" fontId="1" fillId="0" borderId="59" xfId="0" applyFont="1" applyBorder="1" applyAlignment="1">
      <alignment vertical="center"/>
    </xf>
    <xf numFmtId="190" fontId="1" fillId="0" borderId="0" xfId="0" applyNumberFormat="1" applyFont="1" applyAlignment="1">
      <alignment vertical="center"/>
    </xf>
    <xf numFmtId="0" fontId="1" fillId="0" borderId="5" xfId="0" applyFont="1" applyBorder="1" applyAlignment="1">
      <alignment vertical="center"/>
    </xf>
    <xf numFmtId="9" fontId="1" fillId="0" borderId="1" xfId="0" applyNumberFormat="1" applyFont="1" applyBorder="1" applyAlignment="1">
      <alignment horizontal="center" vertical="center"/>
    </xf>
    <xf numFmtId="190" fontId="1" fillId="0" borderId="0" xfId="0" applyNumberFormat="1" applyFont="1" applyAlignment="1">
      <alignment horizontal="center" vertical="center"/>
    </xf>
    <xf numFmtId="0" fontId="1" fillId="2" borderId="0" xfId="0" applyFont="1" applyFill="1" applyAlignment="1">
      <alignment vertical="center"/>
    </xf>
    <xf numFmtId="0" fontId="1" fillId="2" borderId="0" xfId="0" applyFont="1" applyFill="1"/>
    <xf numFmtId="0" fontId="1" fillId="2" borderId="0" xfId="0" applyFont="1" applyFill="1" applyAlignment="1">
      <alignment horizontal="center"/>
    </xf>
    <xf numFmtId="172" fontId="1" fillId="2" borderId="1" xfId="1" applyNumberFormat="1" applyFont="1" applyFill="1" applyBorder="1" applyAlignment="1" applyProtection="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18" xfId="0" applyFont="1" applyFill="1" applyBorder="1" applyAlignment="1">
      <alignment vertical="center"/>
    </xf>
    <xf numFmtId="0" fontId="1" fillId="2" borderId="17" xfId="0" applyFont="1" applyFill="1" applyBorder="1" applyAlignment="1">
      <alignment vertical="center"/>
    </xf>
    <xf numFmtId="183" fontId="1" fillId="0" borderId="80" xfId="0" applyNumberFormat="1" applyFont="1" applyBorder="1" applyAlignment="1" applyProtection="1">
      <alignment horizontal="center" vertical="center"/>
      <protection locked="0"/>
    </xf>
    <xf numFmtId="169" fontId="1" fillId="0" borderId="0" xfId="0" applyNumberFormat="1" applyFont="1" applyAlignment="1" applyProtection="1">
      <alignment horizontal="center" vertical="center"/>
      <protection locked="0"/>
    </xf>
    <xf numFmtId="169" fontId="1" fillId="0" borderId="80" xfId="0" applyNumberFormat="1" applyFont="1" applyBorder="1" applyAlignment="1" applyProtection="1">
      <alignment horizontal="center" vertical="center"/>
      <protection locked="0"/>
    </xf>
    <xf numFmtId="169" fontId="1" fillId="0" borderId="0" xfId="0" applyNumberFormat="1" applyFont="1" applyAlignment="1" applyProtection="1">
      <alignment vertical="center"/>
      <protection locked="0"/>
    </xf>
    <xf numFmtId="0" fontId="1" fillId="0" borderId="0" xfId="0" applyFont="1" applyAlignment="1" applyProtection="1">
      <alignment vertical="center"/>
      <protection locked="0"/>
    </xf>
    <xf numFmtId="0" fontId="1" fillId="0" borderId="0" xfId="0" applyFont="1" applyProtection="1">
      <protection locked="0"/>
    </xf>
    <xf numFmtId="0" fontId="1" fillId="0" borderId="0" xfId="0" applyFont="1" applyAlignment="1" applyProtection="1">
      <alignment horizontal="center"/>
      <protection locked="0"/>
    </xf>
    <xf numFmtId="0" fontId="1" fillId="0" borderId="15"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170" fontId="1"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49" fontId="1" fillId="0" borderId="0" xfId="0" applyNumberFormat="1" applyFont="1" applyAlignment="1" applyProtection="1">
      <alignment horizontal="center"/>
      <protection locked="0"/>
    </xf>
    <xf numFmtId="0" fontId="1" fillId="0" borderId="67" xfId="0" applyFont="1" applyBorder="1" applyAlignment="1" applyProtection="1">
      <alignment vertical="center"/>
      <protection locked="0"/>
    </xf>
    <xf numFmtId="0" fontId="1" fillId="0" borderId="79" xfId="0" applyFont="1" applyBorder="1" applyAlignment="1" applyProtection="1">
      <alignment vertical="center"/>
      <protection locked="0"/>
    </xf>
    <xf numFmtId="0" fontId="1" fillId="0" borderId="68" xfId="0" applyFont="1" applyBorder="1" applyAlignment="1" applyProtection="1">
      <alignment vertical="center"/>
      <protection locked="0"/>
    </xf>
    <xf numFmtId="167" fontId="1" fillId="0" borderId="0" xfId="1" applyFont="1" applyProtection="1">
      <protection locked="0"/>
    </xf>
    <xf numFmtId="172" fontId="1" fillId="0" borderId="1" xfId="0" applyNumberFormat="1" applyFont="1" applyBorder="1" applyAlignment="1" applyProtection="1">
      <alignment horizontal="center" vertical="center"/>
      <protection locked="0"/>
    </xf>
    <xf numFmtId="0" fontId="1" fillId="0" borderId="33" xfId="0" applyFont="1" applyBorder="1" applyProtection="1">
      <protection locked="0"/>
    </xf>
    <xf numFmtId="0" fontId="1" fillId="0" borderId="32" xfId="0" applyFont="1" applyBorder="1" applyProtection="1">
      <protection locked="0"/>
    </xf>
    <xf numFmtId="0" fontId="1" fillId="0" borderId="34" xfId="0" applyFont="1" applyBorder="1" applyProtection="1">
      <protection locked="0"/>
    </xf>
    <xf numFmtId="0" fontId="1" fillId="0" borderId="27" xfId="0" applyFont="1" applyBorder="1" applyProtection="1">
      <protection locked="0"/>
    </xf>
    <xf numFmtId="0" fontId="1" fillId="0" borderId="0" xfId="0" applyFont="1" applyAlignment="1" applyProtection="1">
      <alignment horizontal="left"/>
      <protection locked="0"/>
    </xf>
    <xf numFmtId="0" fontId="1" fillId="0" borderId="18" xfId="0" applyFont="1" applyBorder="1" applyProtection="1">
      <protection locked="0"/>
    </xf>
    <xf numFmtId="0" fontId="1" fillId="0" borderId="22" xfId="0" applyFont="1" applyBorder="1" applyProtection="1">
      <protection locked="0"/>
    </xf>
    <xf numFmtId="0" fontId="1" fillId="0" borderId="8" xfId="0" applyFont="1" applyBorder="1" applyAlignment="1" applyProtection="1">
      <alignment vertical="center"/>
      <protection locked="0"/>
    </xf>
    <xf numFmtId="171" fontId="1" fillId="0" borderId="19" xfId="0" applyNumberFormat="1" applyFont="1" applyBorder="1" applyAlignment="1" applyProtection="1">
      <alignment horizontal="left" vertical="center"/>
      <protection locked="0"/>
    </xf>
    <xf numFmtId="0" fontId="1" fillId="0" borderId="37" xfId="0" applyFont="1" applyBorder="1" applyAlignment="1" applyProtection="1">
      <alignment vertical="center"/>
      <protection locked="0"/>
    </xf>
    <xf numFmtId="173" fontId="1" fillId="0" borderId="5" xfId="0" applyNumberFormat="1" applyFont="1" applyBorder="1" applyAlignment="1" applyProtection="1">
      <alignment horizontal="center" vertical="center"/>
      <protection locked="0"/>
    </xf>
    <xf numFmtId="0" fontId="1" fillId="0" borderId="19" xfId="0" applyFont="1" applyBorder="1" applyProtection="1">
      <protection locked="0"/>
    </xf>
    <xf numFmtId="0" fontId="1" fillId="0" borderId="11" xfId="0" applyFont="1" applyBorder="1" applyAlignment="1" applyProtection="1">
      <alignment horizontal="center" vertical="center"/>
      <protection locked="0"/>
    </xf>
    <xf numFmtId="171" fontId="1" fillId="0" borderId="45" xfId="0" applyNumberFormat="1" applyFont="1" applyBorder="1" applyAlignment="1" applyProtection="1">
      <alignment horizontal="left" vertical="center"/>
      <protection locked="0"/>
    </xf>
    <xf numFmtId="171" fontId="1" fillId="0" borderId="8" xfId="0" applyNumberFormat="1" applyFont="1" applyBorder="1" applyAlignment="1" applyProtection="1">
      <alignment horizontal="left" vertical="center"/>
      <protection locked="0"/>
    </xf>
    <xf numFmtId="0" fontId="1" fillId="0" borderId="9" xfId="0" applyFont="1" applyBorder="1" applyAlignment="1" applyProtection="1">
      <alignment vertical="center"/>
      <protection locked="0"/>
    </xf>
    <xf numFmtId="0" fontId="1" fillId="0" borderId="26" xfId="0" applyFont="1" applyBorder="1" applyProtection="1">
      <protection locked="0"/>
    </xf>
    <xf numFmtId="171" fontId="1" fillId="0" borderId="0" xfId="0" applyNumberFormat="1" applyFont="1" applyAlignment="1" applyProtection="1">
      <alignment horizontal="left" vertical="center"/>
      <protection locked="0"/>
    </xf>
    <xf numFmtId="0" fontId="1" fillId="0" borderId="5" xfId="0" applyFont="1" applyBorder="1" applyAlignment="1" applyProtection="1">
      <alignment horizontal="center" vertical="center"/>
      <protection locked="0"/>
    </xf>
    <xf numFmtId="10" fontId="1" fillId="0" borderId="5" xfId="0" applyNumberFormat="1" applyFont="1" applyBorder="1" applyAlignment="1" applyProtection="1">
      <alignment horizontal="center" vertical="center"/>
      <protection locked="0"/>
    </xf>
    <xf numFmtId="0" fontId="1" fillId="0" borderId="8" xfId="0" applyFont="1" applyBorder="1" applyProtection="1">
      <protection locked="0"/>
    </xf>
    <xf numFmtId="0" fontId="1" fillId="0" borderId="37" xfId="0" applyFont="1" applyBorder="1" applyProtection="1">
      <protection locked="0"/>
    </xf>
    <xf numFmtId="9" fontId="1" fillId="0" borderId="87" xfId="0" applyNumberFormat="1" applyFont="1" applyBorder="1" applyAlignment="1" applyProtection="1">
      <alignment horizontal="center" vertical="center"/>
      <protection locked="0"/>
    </xf>
    <xf numFmtId="0" fontId="1" fillId="0" borderId="0" xfId="0" applyFont="1" applyAlignment="1" applyProtection="1">
      <alignment horizontal="left" vertical="center"/>
      <protection locked="0"/>
    </xf>
    <xf numFmtId="171" fontId="1" fillId="0" borderId="41" xfId="1" applyNumberFormat="1" applyFont="1" applyBorder="1" applyAlignment="1" applyProtection="1">
      <alignment horizontal="center" vertical="center"/>
      <protection locked="0"/>
    </xf>
    <xf numFmtId="171" fontId="1" fillId="0" borderId="5" xfId="1" applyNumberFormat="1" applyFont="1" applyBorder="1" applyAlignment="1" applyProtection="1">
      <alignment horizontal="center" vertical="center"/>
      <protection locked="0"/>
    </xf>
    <xf numFmtId="0" fontId="1" fillId="0" borderId="0" xfId="0" applyFont="1" applyAlignment="1" applyProtection="1">
      <alignment horizontal="right"/>
      <protection locked="0"/>
    </xf>
    <xf numFmtId="0" fontId="1" fillId="0" borderId="17" xfId="0" applyFont="1" applyBorder="1" applyProtection="1">
      <protection locked="0"/>
    </xf>
    <xf numFmtId="0" fontId="1" fillId="0" borderId="18" xfId="0" applyFont="1" applyBorder="1" applyAlignment="1" applyProtection="1">
      <alignment horizontal="center"/>
      <protection locked="0"/>
    </xf>
    <xf numFmtId="167" fontId="1" fillId="0" borderId="0" xfId="1" applyFont="1" applyBorder="1" applyAlignment="1" applyProtection="1">
      <protection locked="0"/>
    </xf>
    <xf numFmtId="0" fontId="89" fillId="0" borderId="99" xfId="0" applyFont="1" applyBorder="1" applyAlignment="1">
      <alignment vertical="center"/>
    </xf>
    <xf numFmtId="0" fontId="89" fillId="0" borderId="100" xfId="0" applyFont="1" applyBorder="1" applyAlignment="1">
      <alignment vertical="center"/>
    </xf>
    <xf numFmtId="0" fontId="76" fillId="0" borderId="98" xfId="0" applyFont="1" applyBorder="1" applyAlignment="1">
      <alignment vertical="center"/>
    </xf>
    <xf numFmtId="0" fontId="76" fillId="0" borderId="99" xfId="0" applyFont="1" applyBorder="1" applyAlignment="1">
      <alignment vertical="center"/>
    </xf>
    <xf numFmtId="43" fontId="95" fillId="26" borderId="15" xfId="4" quotePrefix="1" applyFont="1" applyFill="1" applyBorder="1" applyAlignment="1">
      <alignment vertical="center"/>
    </xf>
    <xf numFmtId="43" fontId="95" fillId="26" borderId="24" xfId="4" applyFont="1" applyFill="1" applyBorder="1" applyAlignment="1">
      <alignment vertical="center"/>
    </xf>
    <xf numFmtId="43" fontId="95" fillId="26" borderId="24" xfId="4" quotePrefix="1" applyFont="1" applyFill="1" applyBorder="1" applyAlignment="1">
      <alignment vertical="center"/>
    </xf>
    <xf numFmtId="0" fontId="0" fillId="31" borderId="30" xfId="0" applyFill="1" applyBorder="1"/>
    <xf numFmtId="0" fontId="0" fillId="31" borderId="0" xfId="0" applyFill="1" applyAlignment="1">
      <alignment vertical="center"/>
    </xf>
    <xf numFmtId="0" fontId="72" fillId="31" borderId="108" xfId="0" applyFont="1" applyFill="1" applyBorder="1" applyAlignment="1">
      <alignment horizontal="center"/>
    </xf>
    <xf numFmtId="0" fontId="72" fillId="31" borderId="13" xfId="0" applyFont="1" applyFill="1" applyBorder="1" applyAlignment="1">
      <alignment horizontal="center"/>
    </xf>
    <xf numFmtId="9" fontId="72" fillId="31" borderId="13" xfId="0" applyNumberFormat="1" applyFont="1" applyFill="1" applyBorder="1" applyAlignment="1">
      <alignment horizontal="center" vertical="center"/>
    </xf>
    <xf numFmtId="0" fontId="72" fillId="2" borderId="108" xfId="0" applyFont="1" applyFill="1" applyBorder="1" applyAlignment="1">
      <alignment horizontal="center" vertical="center"/>
    </xf>
    <xf numFmtId="43" fontId="3" fillId="2" borderId="1" xfId="11" applyFont="1" applyFill="1" applyBorder="1"/>
    <xf numFmtId="43" fontId="0" fillId="0" borderId="0" xfId="0" applyNumberFormat="1"/>
    <xf numFmtId="43" fontId="2" fillId="3" borderId="0" xfId="0" applyNumberFormat="1" applyFont="1" applyFill="1"/>
    <xf numFmtId="167" fontId="86" fillId="23" borderId="131" xfId="1" applyFont="1" applyFill="1" applyBorder="1" applyAlignment="1">
      <alignment vertical="center"/>
    </xf>
    <xf numFmtId="167" fontId="23" fillId="3" borderId="1" xfId="0" applyNumberFormat="1" applyFont="1" applyFill="1" applyBorder="1" applyAlignment="1">
      <alignment horizontal="center" vertical="center"/>
    </xf>
    <xf numFmtId="0" fontId="29" fillId="3" borderId="1" xfId="0" applyFont="1" applyFill="1" applyBorder="1" applyAlignment="1">
      <alignment horizontal="center" vertical="center"/>
    </xf>
    <xf numFmtId="43" fontId="29" fillId="2" borderId="0" xfId="1" applyNumberFormat="1" applyFont="1" applyFill="1" applyAlignment="1">
      <alignment vertical="center"/>
    </xf>
    <xf numFmtId="197" fontId="23" fillId="2" borderId="0" xfId="0" applyNumberFormat="1" applyFont="1" applyFill="1" applyAlignment="1">
      <alignment vertical="center"/>
    </xf>
    <xf numFmtId="197" fontId="23" fillId="3" borderId="0" xfId="0" applyNumberFormat="1" applyFont="1" applyFill="1" applyAlignment="1">
      <alignment vertical="center"/>
    </xf>
    <xf numFmtId="198" fontId="23" fillId="2" borderId="0" xfId="0" applyNumberFormat="1" applyFont="1" applyFill="1" applyAlignment="1">
      <alignment vertical="center"/>
    </xf>
    <xf numFmtId="198" fontId="88" fillId="2" borderId="0" xfId="0" applyNumberFormat="1" applyFont="1" applyFill="1" applyAlignment="1">
      <alignment horizontal="center" vertical="center"/>
    </xf>
    <xf numFmtId="2" fontId="88" fillId="16" borderId="0" xfId="0" applyNumberFormat="1" applyFont="1" applyFill="1" applyAlignment="1">
      <alignment horizontal="center" vertical="center"/>
    </xf>
    <xf numFmtId="0" fontId="95" fillId="23" borderId="1" xfId="0" applyFont="1" applyFill="1" applyBorder="1" applyAlignment="1">
      <alignment vertical="center"/>
    </xf>
    <xf numFmtId="197" fontId="95" fillId="23" borderId="1" xfId="0" applyNumberFormat="1" applyFont="1" applyFill="1" applyBorder="1" applyAlignment="1">
      <alignment vertical="center"/>
    </xf>
    <xf numFmtId="0" fontId="23" fillId="23" borderId="1" xfId="0" applyFont="1" applyFill="1" applyBorder="1" applyAlignment="1">
      <alignment vertical="center"/>
    </xf>
    <xf numFmtId="197" fontId="23" fillId="23" borderId="1" xfId="0" applyNumberFormat="1" applyFont="1" applyFill="1" applyBorder="1" applyAlignment="1">
      <alignment vertical="center"/>
    </xf>
    <xf numFmtId="0" fontId="23" fillId="23" borderId="1" xfId="0" applyFont="1" applyFill="1" applyBorder="1" applyAlignment="1">
      <alignment horizontal="center" vertical="center"/>
    </xf>
    <xf numFmtId="43" fontId="0" fillId="3" borderId="0" xfId="0" applyNumberFormat="1" applyFill="1"/>
    <xf numFmtId="0" fontId="2" fillId="16" borderId="0" xfId="0" applyFont="1" applyFill="1"/>
    <xf numFmtId="167" fontId="2" fillId="16" borderId="0" xfId="0" applyNumberFormat="1" applyFont="1" applyFill="1"/>
    <xf numFmtId="0" fontId="114" fillId="21" borderId="0" xfId="10" applyFont="1" applyFill="1" applyAlignment="1">
      <alignment horizontal="center" vertical="center"/>
    </xf>
    <xf numFmtId="0" fontId="89" fillId="2" borderId="180" xfId="10" applyFont="1" applyFill="1" applyBorder="1" applyAlignment="1">
      <alignment horizontal="center" wrapText="1"/>
    </xf>
    <xf numFmtId="0" fontId="89" fillId="2" borderId="0" xfId="10" applyFont="1" applyFill="1" applyAlignment="1">
      <alignment horizontal="center" wrapText="1"/>
    </xf>
    <xf numFmtId="0" fontId="113" fillId="20" borderId="181" xfId="10" applyFont="1" applyFill="1" applyBorder="1" applyAlignment="1">
      <alignment horizontal="center"/>
    </xf>
    <xf numFmtId="0" fontId="113" fillId="20" borderId="182" xfId="10" applyFont="1" applyFill="1" applyBorder="1" applyAlignment="1">
      <alignment horizontal="center"/>
    </xf>
    <xf numFmtId="0" fontId="113" fillId="20" borderId="183" xfId="10" applyFont="1" applyFill="1" applyBorder="1" applyAlignment="1">
      <alignment horizontal="center"/>
    </xf>
    <xf numFmtId="0" fontId="113" fillId="2" borderId="0" xfId="10" applyFont="1" applyFill="1" applyAlignment="1">
      <alignment horizontal="center"/>
    </xf>
    <xf numFmtId="0" fontId="95" fillId="11" borderId="17" xfId="0" applyFont="1" applyFill="1" applyBorder="1" applyAlignment="1">
      <alignment horizontal="center" vertical="center"/>
    </xf>
    <xf numFmtId="0" fontId="50" fillId="22" borderId="1" xfId="0" applyFont="1" applyFill="1" applyBorder="1" applyAlignment="1">
      <alignment horizontal="center" vertical="center"/>
    </xf>
    <xf numFmtId="0" fontId="50" fillId="23" borderId="1" xfId="0" applyFont="1" applyFill="1" applyBorder="1" applyAlignment="1">
      <alignment horizontal="center" vertical="center"/>
    </xf>
    <xf numFmtId="0" fontId="109" fillId="2" borderId="1" xfId="7" applyFont="1" applyFill="1" applyBorder="1" applyAlignment="1">
      <alignment horizontal="center" vertical="center" wrapText="1"/>
    </xf>
    <xf numFmtId="167" fontId="95" fillId="2" borderId="1" xfId="1" applyFont="1" applyFill="1" applyBorder="1" applyAlignment="1">
      <alignment horizontal="center" vertical="center"/>
    </xf>
    <xf numFmtId="167" fontId="23" fillId="2" borderId="1" xfId="1" applyFont="1" applyFill="1" applyBorder="1" applyAlignment="1">
      <alignment horizontal="center" vertical="center"/>
    </xf>
    <xf numFmtId="0" fontId="95" fillId="16" borderId="17" xfId="0" applyFont="1" applyFill="1" applyBorder="1" applyAlignment="1">
      <alignment horizontal="center" vertical="center"/>
    </xf>
    <xf numFmtId="2" fontId="95" fillId="3" borderId="189" xfId="4" quotePrefix="1" applyNumberFormat="1" applyFont="1" applyFill="1" applyBorder="1" applyAlignment="1">
      <alignment horizontal="center" vertical="center"/>
    </xf>
    <xf numFmtId="2" fontId="95" fillId="3" borderId="190" xfId="4" quotePrefix="1" applyNumberFormat="1" applyFont="1" applyFill="1" applyBorder="1" applyAlignment="1">
      <alignment horizontal="center" vertical="center"/>
    </xf>
    <xf numFmtId="2" fontId="95" fillId="3" borderId="191" xfId="4" quotePrefix="1" applyNumberFormat="1" applyFont="1" applyFill="1" applyBorder="1" applyAlignment="1">
      <alignment horizontal="center" vertical="center"/>
    </xf>
    <xf numFmtId="167" fontId="23" fillId="29" borderId="15" xfId="1" applyFont="1" applyFill="1" applyBorder="1" applyAlignment="1">
      <alignment horizontal="center" vertical="center"/>
    </xf>
    <xf numFmtId="167" fontId="23" fillId="29" borderId="18" xfId="1" applyFont="1" applyFill="1" applyBorder="1" applyAlignment="1">
      <alignment horizontal="center" vertical="center"/>
    </xf>
    <xf numFmtId="167" fontId="23" fillId="29" borderId="24" xfId="1" applyFont="1" applyFill="1" applyBorder="1" applyAlignment="1">
      <alignment horizontal="center" vertical="center"/>
    </xf>
    <xf numFmtId="167" fontId="95" fillId="23" borderId="15" xfId="1" applyFont="1" applyFill="1" applyBorder="1" applyAlignment="1">
      <alignment horizontal="center" vertical="center"/>
    </xf>
    <xf numFmtId="167" fontId="95" fillId="23" borderId="18" xfId="1" applyFont="1" applyFill="1" applyBorder="1" applyAlignment="1">
      <alignment horizontal="center" vertical="center"/>
    </xf>
    <xf numFmtId="167" fontId="95" fillId="23" borderId="24" xfId="1" applyFont="1" applyFill="1" applyBorder="1" applyAlignment="1">
      <alignment horizontal="center" vertical="center"/>
    </xf>
    <xf numFmtId="0" fontId="76" fillId="0" borderId="98" xfId="0" applyFont="1" applyBorder="1" applyAlignment="1">
      <alignment horizontal="center" vertical="center"/>
    </xf>
    <xf numFmtId="0" fontId="76" fillId="0" borderId="99" xfId="0" applyFont="1" applyBorder="1" applyAlignment="1">
      <alignment horizontal="center" vertical="center"/>
    </xf>
    <xf numFmtId="0" fontId="2" fillId="0" borderId="1" xfId="0" applyFont="1" applyBorder="1" applyAlignment="1">
      <alignment horizontal="center"/>
    </xf>
    <xf numFmtId="0" fontId="11" fillId="3" borderId="128" xfId="0" applyFont="1" applyFill="1" applyBorder="1" applyAlignment="1">
      <alignment horizontal="center"/>
    </xf>
    <xf numFmtId="0" fontId="95" fillId="3" borderId="1" xfId="0" applyFont="1" applyFill="1" applyBorder="1" applyAlignment="1">
      <alignment horizontal="center"/>
    </xf>
    <xf numFmtId="0" fontId="95" fillId="2" borderId="1" xfId="0" applyFont="1" applyFill="1" applyBorder="1" applyAlignment="1">
      <alignment horizontal="center"/>
    </xf>
    <xf numFmtId="0" fontId="47" fillId="4" borderId="1" xfId="0" applyFont="1" applyFill="1" applyBorder="1" applyAlignment="1">
      <alignment horizontal="center" vertical="center"/>
    </xf>
    <xf numFmtId="9" fontId="69" fillId="0" borderId="1" xfId="2" applyFont="1" applyBorder="1" applyAlignment="1" applyProtection="1">
      <alignment horizontal="center" vertical="center"/>
    </xf>
    <xf numFmtId="0" fontId="68" fillId="4" borderId="1" xfId="0" applyFont="1" applyFill="1" applyBorder="1" applyAlignment="1">
      <alignment horizontal="center" vertical="center"/>
    </xf>
    <xf numFmtId="0" fontId="69" fillId="0" borderId="15" xfId="0" applyFont="1" applyBorder="1" applyAlignment="1">
      <alignment horizontal="center" vertical="center"/>
    </xf>
    <xf numFmtId="0" fontId="69" fillId="0" borderId="18" xfId="0" applyFont="1" applyBorder="1" applyAlignment="1">
      <alignment horizontal="center" vertical="center"/>
    </xf>
    <xf numFmtId="0" fontId="69" fillId="0" borderId="24" xfId="0" applyFont="1" applyBorder="1" applyAlignment="1">
      <alignment horizontal="center" vertical="center"/>
    </xf>
    <xf numFmtId="0" fontId="44" fillId="0" borderId="1" xfId="0" applyFont="1" applyBorder="1" applyAlignment="1">
      <alignment horizontal="center" vertical="center"/>
    </xf>
    <xf numFmtId="3" fontId="44" fillId="0" borderId="1" xfId="0" applyNumberFormat="1" applyFont="1" applyBorder="1" applyAlignment="1">
      <alignment horizontal="center" vertical="center"/>
    </xf>
    <xf numFmtId="0" fontId="45" fillId="14" borderId="47" xfId="0" applyFont="1" applyFill="1" applyBorder="1" applyAlignment="1">
      <alignment horizontal="center" vertical="center"/>
    </xf>
    <xf numFmtId="0" fontId="45" fillId="14" borderId="48" xfId="0" applyFont="1" applyFill="1" applyBorder="1" applyAlignment="1">
      <alignment horizontal="center" vertical="center"/>
    </xf>
    <xf numFmtId="0" fontId="45" fillId="14" borderId="49" xfId="0" applyFont="1" applyFill="1" applyBorder="1" applyAlignment="1">
      <alignment horizontal="center" vertical="center"/>
    </xf>
    <xf numFmtId="0" fontId="45" fillId="14" borderId="50" xfId="0" applyFont="1" applyFill="1" applyBorder="1" applyAlignment="1">
      <alignment horizontal="center" vertical="center"/>
    </xf>
    <xf numFmtId="0" fontId="45" fillId="14" borderId="51" xfId="0" applyFont="1" applyFill="1" applyBorder="1" applyAlignment="1">
      <alignment horizontal="center" vertical="center"/>
    </xf>
    <xf numFmtId="0" fontId="45" fillId="14" borderId="52" xfId="0" applyFont="1" applyFill="1" applyBorder="1" applyAlignment="1">
      <alignment horizontal="center" vertical="center"/>
    </xf>
    <xf numFmtId="169" fontId="45" fillId="11" borderId="55" xfId="0" applyNumberFormat="1" applyFont="1" applyFill="1" applyBorder="1" applyAlignment="1" applyProtection="1">
      <alignment horizontal="center" vertical="center"/>
      <protection locked="0"/>
    </xf>
    <xf numFmtId="169" fontId="45" fillId="11" borderId="56" xfId="0" applyNumberFormat="1" applyFont="1" applyFill="1" applyBorder="1" applyAlignment="1" applyProtection="1">
      <alignment horizontal="center" vertical="center"/>
      <protection locked="0"/>
    </xf>
    <xf numFmtId="169" fontId="45" fillId="11" borderId="57" xfId="0" applyNumberFormat="1" applyFont="1" applyFill="1" applyBorder="1" applyAlignment="1" applyProtection="1">
      <alignment horizontal="center" vertical="center"/>
      <protection locked="0"/>
    </xf>
    <xf numFmtId="0" fontId="45" fillId="11" borderId="55" xfId="0" applyFont="1" applyFill="1" applyBorder="1" applyAlignment="1" applyProtection="1">
      <alignment horizontal="center" vertical="center"/>
      <protection locked="0"/>
    </xf>
    <xf numFmtId="0" fontId="45" fillId="11" borderId="56" xfId="0" applyFont="1" applyFill="1" applyBorder="1" applyAlignment="1" applyProtection="1">
      <alignment horizontal="center" vertical="center"/>
      <protection locked="0"/>
    </xf>
    <xf numFmtId="0" fontId="45" fillId="11" borderId="57" xfId="0" applyFont="1" applyFill="1" applyBorder="1" applyAlignment="1" applyProtection="1">
      <alignment horizontal="center" vertical="center"/>
      <protection locked="0"/>
    </xf>
    <xf numFmtId="0" fontId="47" fillId="10" borderId="0" xfId="0" applyFont="1" applyFill="1" applyAlignment="1">
      <alignment horizontal="center" vertical="center"/>
    </xf>
    <xf numFmtId="0" fontId="45" fillId="0" borderId="53" xfId="0" applyFont="1" applyBorder="1" applyAlignment="1">
      <alignment horizontal="center" vertical="center"/>
    </xf>
    <xf numFmtId="0" fontId="47" fillId="10" borderId="0" xfId="0" applyFont="1" applyFill="1" applyAlignment="1">
      <alignment horizontal="center" vertical="center" wrapText="1"/>
    </xf>
    <xf numFmtId="0" fontId="45" fillId="14" borderId="54" xfId="0" applyFont="1" applyFill="1" applyBorder="1" applyAlignment="1">
      <alignment horizontal="center" vertical="center"/>
    </xf>
    <xf numFmtId="0" fontId="45" fillId="11" borderId="54" xfId="0" applyFont="1" applyFill="1" applyBorder="1" applyAlignment="1" applyProtection="1">
      <alignment horizontal="center" vertical="center"/>
      <protection locked="0"/>
    </xf>
    <xf numFmtId="181" fontId="45" fillId="14" borderId="55" xfId="0" applyNumberFormat="1" applyFont="1" applyFill="1" applyBorder="1" applyAlignment="1" applyProtection="1">
      <alignment horizontal="center" vertical="center"/>
      <protection locked="0"/>
    </xf>
    <xf numFmtId="181" fontId="45" fillId="14" borderId="56" xfId="0" applyNumberFormat="1" applyFont="1" applyFill="1" applyBorder="1" applyAlignment="1" applyProtection="1">
      <alignment horizontal="center" vertical="center"/>
      <protection locked="0"/>
    </xf>
    <xf numFmtId="181" fontId="45" fillId="14" borderId="57" xfId="0" applyNumberFormat="1" applyFont="1" applyFill="1" applyBorder="1" applyAlignment="1" applyProtection="1">
      <alignment horizontal="center" vertical="center"/>
      <protection locked="0"/>
    </xf>
    <xf numFmtId="10" fontId="45" fillId="14" borderId="55" xfId="2" applyNumberFormat="1" applyFont="1" applyFill="1" applyBorder="1" applyAlignment="1" applyProtection="1">
      <alignment horizontal="center" vertical="center"/>
    </xf>
    <xf numFmtId="10" fontId="45" fillId="14" borderId="56" xfId="2" applyNumberFormat="1" applyFont="1" applyFill="1" applyBorder="1" applyAlignment="1" applyProtection="1">
      <alignment horizontal="center" vertical="center"/>
    </xf>
    <xf numFmtId="10" fontId="45" fillId="14" borderId="57" xfId="2" applyNumberFormat="1" applyFont="1" applyFill="1" applyBorder="1" applyAlignment="1" applyProtection="1">
      <alignment horizontal="center" vertical="center"/>
    </xf>
    <xf numFmtId="0" fontId="47" fillId="12" borderId="88" xfId="0" applyFont="1" applyFill="1" applyBorder="1" applyAlignment="1">
      <alignment horizontal="center" vertical="center"/>
    </xf>
    <xf numFmtId="0" fontId="47" fillId="12" borderId="93" xfId="0" applyFont="1" applyFill="1" applyBorder="1" applyAlignment="1">
      <alignment horizontal="center" vertical="center"/>
    </xf>
    <xf numFmtId="0" fontId="44" fillId="0" borderId="88" xfId="5" applyNumberFormat="1" applyFont="1" applyBorder="1" applyAlignment="1" applyProtection="1">
      <alignment horizontal="center" vertical="center" wrapText="1"/>
      <protection locked="0"/>
    </xf>
    <xf numFmtId="0" fontId="44" fillId="0" borderId="92" xfId="0" applyFont="1" applyBorder="1" applyAlignment="1" applyProtection="1">
      <alignment horizontal="center" vertical="center"/>
      <protection locked="0"/>
    </xf>
    <xf numFmtId="0" fontId="44" fillId="0" borderId="88" xfId="0" applyFont="1" applyBorder="1" applyAlignment="1" applyProtection="1">
      <alignment horizontal="center" vertical="center"/>
      <protection locked="0"/>
    </xf>
    <xf numFmtId="180" fontId="44" fillId="0" borderId="88" xfId="0" applyNumberFormat="1" applyFont="1" applyBorder="1" applyAlignment="1" applyProtection="1">
      <alignment horizontal="center" vertical="center"/>
      <protection locked="0"/>
    </xf>
    <xf numFmtId="180" fontId="44" fillId="0" borderId="93" xfId="0" applyNumberFormat="1" applyFont="1" applyBorder="1" applyAlignment="1" applyProtection="1">
      <alignment horizontal="center" vertical="center"/>
      <protection locked="0"/>
    </xf>
    <xf numFmtId="0" fontId="47" fillId="12" borderId="92" xfId="0" applyFont="1" applyFill="1" applyBorder="1" applyAlignment="1">
      <alignment horizontal="center" vertical="center"/>
    </xf>
    <xf numFmtId="0" fontId="47" fillId="10" borderId="92" xfId="0" applyFont="1" applyFill="1" applyBorder="1" applyAlignment="1">
      <alignment horizontal="center" vertical="center"/>
    </xf>
    <xf numFmtId="0" fontId="47" fillId="10" borderId="88" xfId="0" applyFont="1" applyFill="1" applyBorder="1" applyAlignment="1">
      <alignment horizontal="center" vertical="center"/>
    </xf>
    <xf numFmtId="0" fontId="47" fillId="10" borderId="93" xfId="0" applyFont="1" applyFill="1" applyBorder="1" applyAlignment="1">
      <alignment horizontal="center" vertical="center"/>
    </xf>
    <xf numFmtId="0" fontId="44" fillId="0" borderId="93" xfId="0" applyFont="1" applyBorder="1" applyAlignment="1" applyProtection="1">
      <alignment horizontal="center" vertical="center"/>
      <protection locked="0"/>
    </xf>
    <xf numFmtId="0" fontId="44" fillId="0" borderId="95" xfId="0" applyFont="1" applyBorder="1" applyAlignment="1" applyProtection="1">
      <alignment horizontal="center" vertical="center"/>
      <protection locked="0"/>
    </xf>
    <xf numFmtId="0" fontId="44" fillId="0" borderId="96" xfId="0" applyFont="1" applyBorder="1" applyAlignment="1" applyProtection="1">
      <alignment horizontal="center" vertical="center"/>
      <protection locked="0"/>
    </xf>
    <xf numFmtId="0" fontId="44" fillId="0" borderId="95" xfId="5" applyNumberFormat="1" applyFont="1" applyBorder="1" applyAlignment="1" applyProtection="1">
      <alignment horizontal="center" vertical="center" wrapText="1"/>
      <protection locked="0"/>
    </xf>
    <xf numFmtId="0" fontId="44" fillId="0" borderId="94" xfId="0" applyFont="1" applyBorder="1" applyAlignment="1" applyProtection="1">
      <alignment horizontal="center" vertical="center"/>
      <protection locked="0"/>
    </xf>
    <xf numFmtId="0" fontId="45" fillId="11" borderId="61" xfId="0" applyFont="1" applyFill="1" applyBorder="1" applyAlignment="1" applyProtection="1">
      <alignment horizontal="center" vertical="center" wrapText="1"/>
      <protection locked="0"/>
    </xf>
    <xf numFmtId="0" fontId="45" fillId="11" borderId="62" xfId="0" applyFont="1" applyFill="1" applyBorder="1" applyAlignment="1" applyProtection="1">
      <alignment horizontal="center" vertical="center" wrapText="1"/>
      <protection locked="0"/>
    </xf>
    <xf numFmtId="0" fontId="45" fillId="11" borderId="63" xfId="0" applyFont="1" applyFill="1" applyBorder="1" applyAlignment="1" applyProtection="1">
      <alignment horizontal="center" vertical="center" wrapText="1"/>
      <protection locked="0"/>
    </xf>
    <xf numFmtId="0" fontId="45" fillId="11" borderId="64" xfId="0" applyFont="1" applyFill="1" applyBorder="1" applyAlignment="1" applyProtection="1">
      <alignment horizontal="center" vertical="center" wrapText="1"/>
      <protection locked="0"/>
    </xf>
    <xf numFmtId="0" fontId="45" fillId="11" borderId="65" xfId="0" applyFont="1" applyFill="1" applyBorder="1" applyAlignment="1" applyProtection="1">
      <alignment horizontal="center" vertical="center" wrapText="1"/>
      <protection locked="0"/>
    </xf>
    <xf numFmtId="0" fontId="45" fillId="11" borderId="66" xfId="0" applyFont="1" applyFill="1" applyBorder="1" applyAlignment="1" applyProtection="1">
      <alignment horizontal="center" vertical="center" wrapText="1"/>
      <protection locked="0"/>
    </xf>
    <xf numFmtId="0" fontId="83" fillId="0" borderId="15" xfId="0" applyFont="1" applyBorder="1" applyAlignment="1">
      <alignment horizontal="center" vertical="center"/>
    </xf>
    <xf numFmtId="0" fontId="83" fillId="0" borderId="18" xfId="0" applyFont="1" applyBorder="1" applyAlignment="1">
      <alignment horizontal="center" vertical="center"/>
    </xf>
    <xf numFmtId="0" fontId="83" fillId="0" borderId="24" xfId="0" applyFont="1" applyBorder="1" applyAlignment="1">
      <alignment horizontal="center" vertical="center"/>
    </xf>
    <xf numFmtId="0" fontId="83" fillId="0" borderId="15" xfId="0" applyFont="1" applyBorder="1" applyAlignment="1" applyProtection="1">
      <alignment horizontal="center" vertical="center"/>
      <protection locked="0"/>
    </xf>
    <xf numFmtId="0" fontId="83" fillId="0" borderId="18" xfId="0" applyFont="1" applyBorder="1" applyAlignment="1" applyProtection="1">
      <alignment horizontal="center" vertical="center"/>
      <protection locked="0"/>
    </xf>
    <xf numFmtId="0" fontId="83" fillId="0" borderId="24" xfId="0" applyFont="1" applyBorder="1" applyAlignment="1" applyProtection="1">
      <alignment horizontal="center" vertical="center"/>
      <protection locked="0"/>
    </xf>
    <xf numFmtId="0" fontId="67" fillId="3" borderId="97" xfId="0" applyFont="1" applyFill="1" applyBorder="1" applyAlignment="1">
      <alignment horizontal="center" vertical="center"/>
    </xf>
    <xf numFmtId="0" fontId="68" fillId="4" borderId="15" xfId="0" applyFont="1" applyFill="1" applyBorder="1" applyAlignment="1">
      <alignment horizontal="center" vertical="center"/>
    </xf>
    <xf numFmtId="0" fontId="68" fillId="4" borderId="18" xfId="0" applyFont="1" applyFill="1" applyBorder="1" applyAlignment="1">
      <alignment horizontal="center" vertical="center"/>
    </xf>
    <xf numFmtId="0" fontId="68" fillId="4" borderId="24" xfId="0" applyFont="1" applyFill="1" applyBorder="1" applyAlignment="1">
      <alignment horizontal="center" vertical="center"/>
    </xf>
    <xf numFmtId="0" fontId="58" fillId="4" borderId="15" xfId="0" applyFont="1" applyFill="1" applyBorder="1" applyAlignment="1">
      <alignment horizontal="center" vertical="center"/>
    </xf>
    <xf numFmtId="0" fontId="58" fillId="4" borderId="18" xfId="0" applyFont="1" applyFill="1" applyBorder="1" applyAlignment="1">
      <alignment horizontal="center" vertical="center"/>
    </xf>
    <xf numFmtId="0" fontId="58" fillId="4" borderId="24" xfId="0" applyFont="1" applyFill="1" applyBorder="1" applyAlignment="1">
      <alignment horizontal="center" vertical="center"/>
    </xf>
    <xf numFmtId="0" fontId="70" fillId="0" borderId="1" xfId="0" applyFont="1" applyBorder="1" applyAlignment="1">
      <alignment horizontal="center" vertical="center"/>
    </xf>
    <xf numFmtId="9" fontId="70" fillId="0" borderId="1" xfId="0" applyNumberFormat="1" applyFont="1" applyBorder="1" applyAlignment="1">
      <alignment horizontal="center" vertical="center"/>
    </xf>
    <xf numFmtId="0" fontId="58" fillId="13" borderId="89" xfId="0" applyFont="1" applyFill="1" applyBorder="1" applyAlignment="1">
      <alignment horizontal="center" vertical="center"/>
    </xf>
    <xf numFmtId="0" fontId="58" fillId="13" borderId="90" xfId="0" applyFont="1" applyFill="1" applyBorder="1" applyAlignment="1">
      <alignment horizontal="center" vertical="center"/>
    </xf>
    <xf numFmtId="0" fontId="58" fillId="13" borderId="91" xfId="0" applyFont="1" applyFill="1" applyBorder="1" applyAlignment="1">
      <alignment horizontal="center" vertical="center"/>
    </xf>
    <xf numFmtId="0" fontId="52" fillId="0" borderId="1" xfId="0" applyFont="1" applyBorder="1" applyAlignment="1">
      <alignment horizontal="center"/>
    </xf>
    <xf numFmtId="0" fontId="52" fillId="0" borderId="1" xfId="0" applyFont="1" applyBorder="1" applyAlignment="1" applyProtection="1">
      <alignment horizontal="center"/>
      <protection locked="0"/>
    </xf>
    <xf numFmtId="0" fontId="7" fillId="0" borderId="20"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2"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70" xfId="0" applyFont="1" applyBorder="1" applyAlignment="1">
      <alignment horizontal="center" vertical="center" wrapText="1"/>
    </xf>
    <xf numFmtId="0" fontId="7" fillId="0" borderId="17" xfId="0" applyFont="1" applyBorder="1" applyAlignment="1">
      <alignment horizontal="center" vertical="center" wrapText="1"/>
    </xf>
    <xf numFmtId="171" fontId="7" fillId="0" borderId="20" xfId="0" applyNumberFormat="1" applyFont="1" applyBorder="1" applyAlignment="1">
      <alignment horizontal="center" vertical="center" wrapText="1"/>
    </xf>
    <xf numFmtId="171" fontId="7" fillId="0" borderId="70" xfId="0" applyNumberFormat="1" applyFont="1" applyBorder="1" applyAlignment="1">
      <alignment horizontal="center" vertical="center" wrapText="1"/>
    </xf>
    <xf numFmtId="171" fontId="7" fillId="0" borderId="43" xfId="0" applyNumberFormat="1" applyFont="1" applyBorder="1" applyAlignment="1">
      <alignment horizontal="center" vertical="center" wrapText="1"/>
    </xf>
    <xf numFmtId="171" fontId="7" fillId="0" borderId="42" xfId="0" applyNumberFormat="1" applyFont="1" applyBorder="1" applyAlignment="1">
      <alignment horizontal="center" vertical="center" wrapText="1"/>
    </xf>
    <xf numFmtId="171" fontId="7" fillId="0" borderId="17" xfId="0" applyNumberFormat="1" applyFont="1" applyBorder="1" applyAlignment="1">
      <alignment horizontal="center" vertical="center" wrapText="1"/>
    </xf>
    <xf numFmtId="171" fontId="7" fillId="0" borderId="71" xfId="0" applyNumberFormat="1" applyFont="1" applyBorder="1" applyAlignment="1">
      <alignment horizontal="center" vertical="center" wrapText="1"/>
    </xf>
    <xf numFmtId="180" fontId="61" fillId="9" borderId="15" xfId="0" applyNumberFormat="1" applyFont="1" applyFill="1" applyBorder="1" applyAlignment="1">
      <alignment horizontal="center" vertical="center"/>
    </xf>
    <xf numFmtId="180" fontId="61" fillId="9" borderId="24" xfId="0" applyNumberFormat="1" applyFont="1" applyFill="1" applyBorder="1" applyAlignment="1">
      <alignment horizontal="center" vertical="center"/>
    </xf>
    <xf numFmtId="0" fontId="55" fillId="2" borderId="0" xfId="0" applyFont="1" applyFill="1" applyAlignment="1">
      <alignment horizontal="center"/>
    </xf>
    <xf numFmtId="183" fontId="7" fillId="0" borderId="15" xfId="0" applyNumberFormat="1" applyFont="1" applyBorder="1" applyAlignment="1">
      <alignment horizontal="center"/>
    </xf>
    <xf numFmtId="183" fontId="7" fillId="0" borderId="24" xfId="0" applyNumberFormat="1" applyFont="1" applyBorder="1" applyAlignment="1">
      <alignment horizontal="center"/>
    </xf>
    <xf numFmtId="0" fontId="1" fillId="0" borderId="15" xfId="0" applyFont="1" applyBorder="1" applyAlignment="1">
      <alignment horizontal="center" vertical="center"/>
    </xf>
    <xf numFmtId="0" fontId="1" fillId="0" borderId="24" xfId="0" applyFont="1" applyBorder="1" applyAlignment="1">
      <alignment horizontal="center" vertical="center"/>
    </xf>
    <xf numFmtId="0" fontId="1" fillId="0" borderId="1" xfId="0" applyFont="1" applyBorder="1" applyAlignment="1">
      <alignment horizontal="center" vertical="center"/>
    </xf>
    <xf numFmtId="169" fontId="1" fillId="0" borderId="80" xfId="0" applyNumberFormat="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5" xfId="0" applyFont="1" applyBorder="1" applyAlignment="1">
      <alignment horizontal="center" vertical="center"/>
    </xf>
    <xf numFmtId="0" fontId="21" fillId="5" borderId="78" xfId="0" applyFont="1" applyFill="1" applyBorder="1" applyAlignment="1">
      <alignment horizontal="left" vertical="center"/>
    </xf>
    <xf numFmtId="0" fontId="10" fillId="5" borderId="32" xfId="0" applyFont="1" applyFill="1" applyBorder="1" applyAlignment="1">
      <alignment horizontal="center" vertical="center"/>
    </xf>
    <xf numFmtId="0" fontId="10" fillId="5" borderId="69" xfId="0" applyFont="1" applyFill="1" applyBorder="1" applyAlignment="1">
      <alignment horizontal="center" vertical="center"/>
    </xf>
    <xf numFmtId="0" fontId="9" fillId="5" borderId="0" xfId="0" applyFont="1" applyFill="1" applyAlignment="1">
      <alignment horizontal="center" vertical="center"/>
    </xf>
    <xf numFmtId="2" fontId="18" fillId="0" borderId="7" xfId="0" applyNumberFormat="1" applyFont="1" applyBorder="1" applyAlignment="1">
      <alignment horizontal="center" vertical="center"/>
    </xf>
    <xf numFmtId="2" fontId="18" fillId="0" borderId="8" xfId="0" applyNumberFormat="1" applyFont="1" applyBorder="1" applyAlignment="1">
      <alignment horizontal="center" vertical="center"/>
    </xf>
    <xf numFmtId="2" fontId="1" fillId="0" borderId="7" xfId="0" applyNumberFormat="1" applyFont="1" applyBorder="1" applyAlignment="1">
      <alignment horizontal="center" vertical="center"/>
    </xf>
    <xf numFmtId="2" fontId="1" fillId="0" borderId="8" xfId="0" applyNumberFormat="1" applyFont="1" applyBorder="1" applyAlignment="1">
      <alignment horizontal="center"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2" fontId="1" fillId="0" borderId="7" xfId="1" applyNumberFormat="1" applyFont="1" applyBorder="1" applyAlignment="1" applyProtection="1">
      <alignment horizontal="center" vertical="center"/>
    </xf>
    <xf numFmtId="2" fontId="1" fillId="0" borderId="8" xfId="1" applyNumberFormat="1" applyFont="1" applyBorder="1" applyAlignment="1" applyProtection="1">
      <alignment horizontal="center" vertical="center"/>
    </xf>
    <xf numFmtId="2" fontId="18" fillId="0" borderId="7" xfId="1" applyNumberFormat="1" applyFont="1" applyBorder="1" applyAlignment="1" applyProtection="1">
      <alignment horizontal="center" vertical="center"/>
    </xf>
    <xf numFmtId="2" fontId="18" fillId="0" borderId="8" xfId="1" applyNumberFormat="1" applyFont="1" applyBorder="1" applyAlignment="1" applyProtection="1">
      <alignment horizontal="center" vertical="center"/>
    </xf>
    <xf numFmtId="0" fontId="9" fillId="5" borderId="1" xfId="0" applyFont="1" applyFill="1" applyBorder="1" applyAlignment="1">
      <alignment horizontal="center" vertical="center"/>
    </xf>
    <xf numFmtId="14" fontId="9" fillId="5" borderId="1" xfId="0" applyNumberFormat="1" applyFont="1" applyFill="1" applyBorder="1" applyAlignment="1">
      <alignment horizontal="center" vertical="center"/>
    </xf>
    <xf numFmtId="171" fontId="1" fillId="0" borderId="1" xfId="0" applyNumberFormat="1" applyFont="1" applyBorder="1" applyAlignment="1">
      <alignment horizontal="center" vertical="center"/>
    </xf>
    <xf numFmtId="0" fontId="21" fillId="4" borderId="0" xfId="0" applyFont="1" applyFill="1" applyAlignment="1">
      <alignment horizontal="center"/>
    </xf>
    <xf numFmtId="0" fontId="9" fillId="5" borderId="20" xfId="0" applyFont="1" applyFill="1" applyBorder="1" applyAlignment="1">
      <alignment horizontal="center" vertical="center"/>
    </xf>
    <xf numFmtId="0" fontId="9" fillId="5" borderId="43" xfId="0" applyFont="1" applyFill="1" applyBorder="1" applyAlignment="1">
      <alignment horizontal="center" vertical="center"/>
    </xf>
    <xf numFmtId="0" fontId="9" fillId="5" borderId="42" xfId="0" applyFont="1" applyFill="1" applyBorder="1" applyAlignment="1">
      <alignment horizontal="center" vertical="center"/>
    </xf>
    <xf numFmtId="0" fontId="9" fillId="5" borderId="71" xfId="0" applyFont="1" applyFill="1" applyBorder="1" applyAlignment="1">
      <alignment horizontal="center" vertical="center"/>
    </xf>
    <xf numFmtId="171" fontId="18" fillId="0" borderId="1" xfId="0" applyNumberFormat="1" applyFont="1" applyBorder="1" applyAlignment="1">
      <alignment horizontal="center" vertical="center"/>
    </xf>
    <xf numFmtId="171" fontId="15" fillId="0" borderId="7" xfId="0" applyNumberFormat="1" applyFont="1" applyBorder="1" applyAlignment="1">
      <alignment horizontal="left" vertical="center"/>
    </xf>
    <xf numFmtId="171" fontId="15" fillId="0" borderId="8" xfId="0" applyNumberFormat="1" applyFont="1" applyBorder="1" applyAlignment="1">
      <alignment horizontal="left" vertical="center"/>
    </xf>
    <xf numFmtId="171" fontId="15" fillId="0" borderId="9" xfId="0" applyNumberFormat="1" applyFont="1" applyBorder="1" applyAlignment="1">
      <alignment horizontal="left" vertical="center"/>
    </xf>
    <xf numFmtId="171" fontId="18" fillId="0" borderId="15" xfId="0" applyNumberFormat="1" applyFont="1" applyBorder="1" applyAlignment="1">
      <alignment horizontal="center" vertical="center"/>
    </xf>
    <xf numFmtId="171" fontId="18" fillId="0" borderId="24" xfId="0" applyNumberFormat="1" applyFont="1" applyBorder="1" applyAlignment="1">
      <alignment horizontal="center" vertical="center"/>
    </xf>
    <xf numFmtId="0" fontId="15" fillId="9" borderId="1" xfId="0" applyFont="1" applyFill="1" applyBorder="1" applyAlignment="1">
      <alignment horizontal="center" vertical="center"/>
    </xf>
    <xf numFmtId="171" fontId="15" fillId="9" borderId="1" xfId="1" applyNumberFormat="1" applyFont="1" applyFill="1" applyBorder="1" applyAlignment="1" applyProtection="1">
      <alignment horizontal="center" vertical="center"/>
    </xf>
    <xf numFmtId="0" fontId="21" fillId="4" borderId="0" xfId="0" applyFont="1" applyFill="1" applyAlignment="1">
      <alignment horizontal="center" vertical="center"/>
    </xf>
    <xf numFmtId="0" fontId="1" fillId="0" borderId="0" xfId="0" applyFont="1" applyAlignment="1">
      <alignment horizontal="center" vertical="center"/>
    </xf>
    <xf numFmtId="167" fontId="1" fillId="0" borderId="0" xfId="1" applyFont="1" applyAlignment="1" applyProtection="1">
      <alignment horizontal="center" vertical="center"/>
    </xf>
    <xf numFmtId="167" fontId="15" fillId="0" borderId="17" xfId="1" applyFont="1" applyBorder="1" applyAlignment="1" applyProtection="1">
      <alignment horizontal="center" vertical="center"/>
    </xf>
    <xf numFmtId="0" fontId="1" fillId="0" borderId="18" xfId="0" applyFont="1" applyBorder="1" applyAlignment="1">
      <alignment horizontal="center" vertical="center"/>
    </xf>
    <xf numFmtId="0" fontId="1" fillId="0" borderId="18" xfId="0" applyFont="1" applyBorder="1" applyAlignment="1">
      <alignment horizontal="left" vertical="center"/>
    </xf>
    <xf numFmtId="167" fontId="15" fillId="0" borderId="19" xfId="1" applyFont="1" applyBorder="1" applyAlignment="1" applyProtection="1">
      <alignment horizontal="center" vertical="center"/>
    </xf>
    <xf numFmtId="0" fontId="1" fillId="0" borderId="8" xfId="0" applyFont="1" applyBorder="1" applyAlignment="1">
      <alignment horizontal="left" vertical="center"/>
    </xf>
    <xf numFmtId="0" fontId="1" fillId="0" borderId="17" xfId="0" applyFont="1" applyBorder="1" applyAlignment="1" applyProtection="1">
      <alignment horizontal="center" vertical="center"/>
      <protection locked="0"/>
    </xf>
    <xf numFmtId="0" fontId="15" fillId="0" borderId="0" xfId="0" applyFont="1" applyAlignment="1">
      <alignment horizontal="center" vertical="center"/>
    </xf>
    <xf numFmtId="171" fontId="15" fillId="0" borderId="0" xfId="1" applyNumberFormat="1" applyFont="1" applyFill="1" applyBorder="1" applyAlignment="1" applyProtection="1">
      <alignment horizontal="center" vertical="center"/>
    </xf>
    <xf numFmtId="43" fontId="1" fillId="0" borderId="0" xfId="0" applyNumberFormat="1" applyFont="1" applyAlignment="1">
      <alignment horizontal="center" vertical="center"/>
    </xf>
    <xf numFmtId="171" fontId="32" fillId="0" borderId="8" xfId="1" applyNumberFormat="1" applyFont="1" applyBorder="1" applyAlignment="1" applyProtection="1">
      <alignment horizontal="left" vertical="center"/>
    </xf>
    <xf numFmtId="171" fontId="32" fillId="0" borderId="9" xfId="1" applyNumberFormat="1" applyFont="1" applyBorder="1" applyAlignment="1" applyProtection="1">
      <alignment horizontal="left" vertical="center"/>
    </xf>
    <xf numFmtId="171" fontId="1" fillId="0" borderId="8" xfId="1" applyNumberFormat="1" applyFont="1" applyBorder="1" applyAlignment="1" applyProtection="1">
      <alignment horizontal="left" vertical="center"/>
    </xf>
    <xf numFmtId="171" fontId="1" fillId="0" borderId="9" xfId="1" applyNumberFormat="1" applyFont="1" applyBorder="1" applyAlignment="1" applyProtection="1">
      <alignment horizontal="left" vertical="center"/>
    </xf>
    <xf numFmtId="171" fontId="15" fillId="0" borderId="8" xfId="1" applyNumberFormat="1" applyFont="1" applyBorder="1" applyAlignment="1" applyProtection="1">
      <alignment horizontal="left" vertical="center"/>
    </xf>
    <xf numFmtId="171" fontId="15" fillId="0" borderId="9" xfId="1" applyNumberFormat="1" applyFont="1" applyBorder="1" applyAlignment="1" applyProtection="1">
      <alignment horizontal="left" vertical="center"/>
    </xf>
    <xf numFmtId="171" fontId="1" fillId="0" borderId="7" xfId="0" applyNumberFormat="1" applyFont="1" applyBorder="1" applyAlignment="1">
      <alignment horizontal="left" vertical="center"/>
    </xf>
    <xf numFmtId="171" fontId="1" fillId="0" borderId="8" xfId="0" applyNumberFormat="1" applyFont="1" applyBorder="1" applyAlignment="1">
      <alignment horizontal="left" vertical="center"/>
    </xf>
    <xf numFmtId="171" fontId="1" fillId="0" borderId="9" xfId="0" applyNumberFormat="1" applyFont="1" applyBorder="1" applyAlignment="1">
      <alignment horizontal="left" vertical="center"/>
    </xf>
    <xf numFmtId="0" fontId="9" fillId="5" borderId="0" xfId="0" applyFont="1" applyFill="1" applyAlignment="1">
      <alignment horizontal="left" vertical="center"/>
    </xf>
    <xf numFmtId="167" fontId="1" fillId="0" borderId="17" xfId="1" applyFont="1" applyBorder="1" applyAlignment="1" applyProtection="1">
      <alignment horizontal="center"/>
    </xf>
    <xf numFmtId="0" fontId="7" fillId="0" borderId="1" xfId="0" applyFont="1" applyBorder="1" applyAlignment="1">
      <alignment horizontal="center" vertical="center"/>
    </xf>
    <xf numFmtId="0" fontId="1" fillId="0" borderId="20"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71" xfId="0" applyFont="1" applyBorder="1" applyAlignment="1">
      <alignment horizontal="center" vertical="center" wrapText="1"/>
    </xf>
    <xf numFmtId="0" fontId="1" fillId="0" borderId="70" xfId="0" applyFont="1" applyBorder="1" applyAlignment="1">
      <alignment horizontal="center" vertical="center" wrapText="1"/>
    </xf>
    <xf numFmtId="0" fontId="1" fillId="0" borderId="17" xfId="0" applyFont="1" applyBorder="1" applyAlignment="1">
      <alignment horizontal="center" vertical="center" wrapText="1"/>
    </xf>
    <xf numFmtId="171" fontId="1" fillId="0" borderId="20" xfId="0" applyNumberFormat="1" applyFont="1" applyBorder="1" applyAlignment="1">
      <alignment horizontal="center" vertical="center" wrapText="1"/>
    </xf>
    <xf numFmtId="171" fontId="1" fillId="0" borderId="70" xfId="0" applyNumberFormat="1" applyFont="1" applyBorder="1" applyAlignment="1">
      <alignment horizontal="center" vertical="center" wrapText="1"/>
    </xf>
    <xf numFmtId="171" fontId="1" fillId="0" borderId="43" xfId="0" applyNumberFormat="1" applyFont="1" applyBorder="1" applyAlignment="1">
      <alignment horizontal="center" vertical="center" wrapText="1"/>
    </xf>
    <xf numFmtId="171" fontId="1" fillId="0" borderId="42" xfId="0" applyNumberFormat="1" applyFont="1" applyBorder="1" applyAlignment="1">
      <alignment horizontal="center" vertical="center" wrapText="1"/>
    </xf>
    <xf numFmtId="171" fontId="1" fillId="0" borderId="17" xfId="0" applyNumberFormat="1" applyFont="1" applyBorder="1" applyAlignment="1">
      <alignment horizontal="center" vertical="center" wrapText="1"/>
    </xf>
    <xf numFmtId="171" fontId="1" fillId="0" borderId="71" xfId="0" applyNumberFormat="1" applyFont="1" applyBorder="1" applyAlignment="1">
      <alignment horizontal="center" vertical="center" wrapText="1"/>
    </xf>
    <xf numFmtId="0" fontId="1" fillId="0" borderId="17" xfId="0" applyFont="1" applyBorder="1" applyAlignment="1">
      <alignment horizontal="center" vertical="center"/>
    </xf>
    <xf numFmtId="171" fontId="15" fillId="8" borderId="1" xfId="1" applyNumberFormat="1" applyFont="1" applyFill="1" applyBorder="1" applyAlignment="1" applyProtection="1">
      <alignment horizontal="center" vertical="center"/>
    </xf>
    <xf numFmtId="0" fontId="7" fillId="0" borderId="15" xfId="0" applyFont="1" applyBorder="1" applyAlignment="1">
      <alignment horizontal="center" vertical="center"/>
    </xf>
    <xf numFmtId="0" fontId="7" fillId="0" borderId="24" xfId="0" applyFont="1" applyBorder="1" applyAlignment="1">
      <alignment horizontal="center" vertical="center"/>
    </xf>
    <xf numFmtId="171" fontId="18" fillId="0" borderId="1" xfId="0" applyNumberFormat="1" applyFont="1" applyBorder="1" applyAlignment="1" applyProtection="1">
      <alignment horizontal="center" vertical="center"/>
      <protection locked="0"/>
    </xf>
    <xf numFmtId="0" fontId="55" fillId="0" borderId="0" xfId="0" applyFont="1" applyAlignment="1">
      <alignment horizontal="center" vertical="center"/>
    </xf>
    <xf numFmtId="171" fontId="20" fillId="0" borderId="1" xfId="0" applyNumberFormat="1" applyFont="1" applyBorder="1" applyAlignment="1" applyProtection="1">
      <alignment horizontal="center" vertical="center"/>
      <protection locked="0"/>
    </xf>
    <xf numFmtId="171" fontId="18" fillId="0" borderId="15" xfId="0" applyNumberFormat="1" applyFont="1" applyBorder="1" applyAlignment="1" applyProtection="1">
      <alignment horizontal="center" vertical="center"/>
      <protection locked="0"/>
    </xf>
    <xf numFmtId="171" fontId="18" fillId="0" borderId="24" xfId="0" applyNumberFormat="1" applyFont="1" applyBorder="1" applyAlignment="1" applyProtection="1">
      <alignment horizontal="center" vertical="center"/>
      <protection locked="0"/>
    </xf>
    <xf numFmtId="188" fontId="1" fillId="0" borderId="5" xfId="1" applyNumberFormat="1" applyFont="1" applyBorder="1" applyAlignment="1" applyProtection="1">
      <alignment horizontal="center" vertical="center"/>
    </xf>
    <xf numFmtId="171" fontId="1" fillId="0" borderId="7" xfId="0" applyNumberFormat="1" applyFont="1" applyBorder="1" applyAlignment="1">
      <alignment horizontal="center" vertical="center"/>
    </xf>
    <xf numFmtId="171" fontId="1" fillId="0" borderId="8" xfId="0" applyNumberFormat="1" applyFont="1" applyBorder="1" applyAlignment="1">
      <alignment horizontal="center" vertical="center"/>
    </xf>
    <xf numFmtId="171" fontId="1" fillId="0" borderId="9" xfId="0" applyNumberFormat="1" applyFont="1" applyBorder="1" applyAlignment="1">
      <alignment horizontal="center" vertical="center"/>
    </xf>
    <xf numFmtId="171" fontId="1" fillId="0" borderId="1" xfId="0" applyNumberFormat="1" applyFont="1" applyBorder="1" applyAlignment="1" applyProtection="1">
      <alignment horizontal="center" vertical="center"/>
      <protection locked="0"/>
    </xf>
    <xf numFmtId="176" fontId="18" fillId="7" borderId="5" xfId="3" applyNumberFormat="1" applyFont="1" applyFill="1" applyBorder="1" applyAlignment="1">
      <alignment horizontal="center" vertical="center"/>
    </xf>
    <xf numFmtId="0" fontId="9" fillId="5" borderId="5" xfId="0" applyFont="1" applyFill="1" applyBorder="1" applyAlignment="1">
      <alignment horizontal="center" vertical="center"/>
    </xf>
    <xf numFmtId="0" fontId="9" fillId="5" borderId="33" xfId="0" applyFont="1" applyFill="1" applyBorder="1" applyAlignment="1">
      <alignment horizontal="center" vertical="center"/>
    </xf>
    <xf numFmtId="0" fontId="9" fillId="5" borderId="32" xfId="0" applyFont="1" applyFill="1" applyBorder="1" applyAlignment="1">
      <alignment horizontal="center" vertical="center"/>
    </xf>
    <xf numFmtId="0" fontId="9" fillId="5" borderId="34" xfId="0" applyFont="1" applyFill="1" applyBorder="1" applyAlignment="1">
      <alignment horizontal="center" vertical="center"/>
    </xf>
    <xf numFmtId="0" fontId="21" fillId="5" borderId="78" xfId="0" applyFont="1" applyFill="1" applyBorder="1" applyAlignment="1">
      <alignment vertical="center"/>
    </xf>
    <xf numFmtId="171" fontId="18" fillId="0" borderId="87" xfId="0" applyNumberFormat="1" applyFont="1" applyBorder="1" applyAlignment="1">
      <alignment horizontal="center" vertical="center"/>
    </xf>
    <xf numFmtId="171" fontId="32" fillId="0" borderId="7" xfId="0" applyNumberFormat="1" applyFont="1" applyBorder="1" applyAlignment="1">
      <alignment horizontal="left" vertical="center"/>
    </xf>
    <xf numFmtId="171" fontId="32" fillId="0" borderId="8" xfId="0" applyNumberFormat="1" applyFont="1" applyBorder="1" applyAlignment="1">
      <alignment horizontal="left" vertical="center"/>
    </xf>
    <xf numFmtId="171" fontId="32" fillId="0" borderId="9" xfId="0" applyNumberFormat="1" applyFont="1" applyBorder="1" applyAlignment="1">
      <alignment horizontal="left" vertical="center"/>
    </xf>
    <xf numFmtId="0" fontId="9" fillId="5" borderId="78" xfId="0" applyFont="1" applyFill="1" applyBorder="1" applyAlignment="1">
      <alignment vertical="center"/>
    </xf>
    <xf numFmtId="171" fontId="32" fillId="0" borderId="87" xfId="0" applyNumberFormat="1" applyFont="1" applyBorder="1" applyAlignment="1">
      <alignment horizontal="center" vertical="center"/>
    </xf>
    <xf numFmtId="171" fontId="18" fillId="0" borderId="7" xfId="0" applyNumberFormat="1" applyFont="1" applyBorder="1" applyAlignment="1">
      <alignment horizontal="left" vertical="center"/>
    </xf>
    <xf numFmtId="171" fontId="18" fillId="0" borderId="8" xfId="0" applyNumberFormat="1" applyFont="1" applyBorder="1" applyAlignment="1">
      <alignment horizontal="left" vertical="center"/>
    </xf>
    <xf numFmtId="171" fontId="18" fillId="0" borderId="9" xfId="0" applyNumberFormat="1" applyFont="1" applyBorder="1" applyAlignment="1">
      <alignment horizontal="left" vertical="center"/>
    </xf>
    <xf numFmtId="171" fontId="18" fillId="0" borderId="0" xfId="0" applyNumberFormat="1" applyFont="1" applyAlignment="1">
      <alignment horizontal="left" vertical="center"/>
    </xf>
    <xf numFmtId="171" fontId="18" fillId="0" borderId="22" xfId="0" applyNumberFormat="1" applyFont="1" applyBorder="1" applyAlignment="1">
      <alignment horizontal="left" vertical="center"/>
    </xf>
    <xf numFmtId="0" fontId="7" fillId="0" borderId="15" xfId="0" applyFont="1" applyBorder="1" applyAlignment="1">
      <alignment horizontal="center"/>
    </xf>
    <xf numFmtId="0" fontId="7" fillId="0" borderId="24" xfId="0" applyFont="1" applyBorder="1" applyAlignment="1">
      <alignment horizontal="center"/>
    </xf>
    <xf numFmtId="2" fontId="1" fillId="0" borderId="15" xfId="1" applyNumberFormat="1" applyFont="1" applyBorder="1" applyAlignment="1" applyProtection="1">
      <alignment horizontal="center" vertical="center"/>
    </xf>
    <xf numFmtId="2" fontId="1" fillId="0" borderId="18" xfId="1" applyNumberFormat="1" applyFont="1" applyBorder="1" applyAlignment="1" applyProtection="1">
      <alignment horizontal="center" vertical="center"/>
    </xf>
    <xf numFmtId="0" fontId="1" fillId="0" borderId="18" xfId="0" applyFont="1" applyBorder="1" applyAlignment="1">
      <alignment vertical="center"/>
    </xf>
    <xf numFmtId="0" fontId="1" fillId="0" borderId="24" xfId="0" applyFont="1" applyBorder="1" applyAlignment="1">
      <alignment vertical="center"/>
    </xf>
    <xf numFmtId="0" fontId="10" fillId="5" borderId="0" xfId="0" applyFont="1" applyFill="1" applyAlignment="1">
      <alignment horizontal="center" vertical="center"/>
    </xf>
    <xf numFmtId="2" fontId="1" fillId="0" borderId="15" xfId="0" applyNumberFormat="1" applyFont="1" applyBorder="1" applyAlignment="1">
      <alignment horizontal="center" vertical="center"/>
    </xf>
    <xf numFmtId="2" fontId="1" fillId="0" borderId="18" xfId="0" applyNumberFormat="1" applyFont="1" applyBorder="1" applyAlignment="1">
      <alignment horizontal="center" vertical="center"/>
    </xf>
    <xf numFmtId="0" fontId="65" fillId="0" borderId="0" xfId="0" applyFont="1" applyAlignment="1">
      <alignment horizontal="center"/>
    </xf>
    <xf numFmtId="0" fontId="31" fillId="0" borderId="0" xfId="0" applyFont="1" applyAlignment="1">
      <alignment horizontal="center"/>
    </xf>
    <xf numFmtId="0" fontId="7" fillId="0" borderId="17" xfId="0" applyFont="1" applyBorder="1" applyAlignment="1">
      <alignment horizontal="center"/>
    </xf>
    <xf numFmtId="0" fontId="7" fillId="0" borderId="0" xfId="0" applyFont="1" applyAlignment="1">
      <alignment horizontal="center" wrapText="1"/>
    </xf>
    <xf numFmtId="0" fontId="7" fillId="0" borderId="0" xfId="0" applyFont="1" applyAlignment="1">
      <alignment horizontal="center"/>
    </xf>
    <xf numFmtId="0" fontId="19" fillId="0" borderId="0" xfId="0" applyFont="1" applyAlignment="1">
      <alignment horizontal="center"/>
    </xf>
    <xf numFmtId="0" fontId="53" fillId="0" borderId="1" xfId="0" applyFont="1" applyBorder="1" applyAlignment="1">
      <alignment horizontal="center"/>
    </xf>
    <xf numFmtId="0" fontId="59" fillId="0" borderId="1" xfId="0" applyFont="1" applyBorder="1" applyAlignment="1">
      <alignment horizontal="center"/>
    </xf>
    <xf numFmtId="164" fontId="24" fillId="0" borderId="15" xfId="5" applyNumberFormat="1" applyFont="1" applyFill="1" applyBorder="1" applyAlignment="1">
      <alignment horizontal="center"/>
    </xf>
    <xf numFmtId="164" fontId="24" fillId="0" borderId="18" xfId="5" applyNumberFormat="1" applyFont="1" applyFill="1" applyBorder="1" applyAlignment="1">
      <alignment horizontal="center"/>
    </xf>
    <xf numFmtId="164" fontId="24" fillId="0" borderId="24" xfId="5" applyNumberFormat="1" applyFont="1" applyFill="1" applyBorder="1" applyAlignment="1">
      <alignment horizontal="center"/>
    </xf>
    <xf numFmtId="0" fontId="52" fillId="0" borderId="0" xfId="0" applyFont="1" applyAlignment="1">
      <alignment horizontal="justify" vertical="center" wrapText="1"/>
    </xf>
    <xf numFmtId="0" fontId="53" fillId="0" borderId="17" xfId="0" applyFont="1" applyBorder="1" applyAlignment="1" applyProtection="1">
      <alignment horizontal="center" vertical="top" wrapText="1"/>
      <protection locked="0"/>
    </xf>
    <xf numFmtId="0" fontId="52" fillId="0" borderId="17" xfId="0" applyFont="1" applyBorder="1" applyAlignment="1" applyProtection="1">
      <alignment horizontal="center"/>
      <protection locked="0"/>
    </xf>
    <xf numFmtId="0" fontId="52" fillId="0" borderId="18" xfId="0" applyFont="1" applyBorder="1" applyAlignment="1" applyProtection="1">
      <alignment horizontal="center"/>
      <protection locked="0"/>
    </xf>
    <xf numFmtId="0" fontId="53" fillId="0" borderId="15" xfId="0" applyFont="1" applyBorder="1" applyAlignment="1">
      <alignment horizontal="center"/>
    </xf>
    <xf numFmtId="0" fontId="53" fillId="0" borderId="18" xfId="0" applyFont="1" applyBorder="1" applyAlignment="1">
      <alignment horizontal="center"/>
    </xf>
    <xf numFmtId="0" fontId="53" fillId="0" borderId="24" xfId="0" applyFont="1" applyBorder="1" applyAlignment="1">
      <alignment horizontal="center"/>
    </xf>
    <xf numFmtId="0" fontId="25" fillId="0" borderId="15" xfId="0" applyFont="1" applyBorder="1" applyAlignment="1">
      <alignment horizontal="center"/>
    </xf>
    <xf numFmtId="0" fontId="25" fillId="0" borderId="18" xfId="0" applyFont="1" applyBorder="1" applyAlignment="1">
      <alignment horizontal="center"/>
    </xf>
    <xf numFmtId="0" fontId="25" fillId="0" borderId="24" xfId="0" applyFont="1" applyBorder="1" applyAlignment="1">
      <alignment horizontal="center"/>
    </xf>
    <xf numFmtId="0" fontId="25" fillId="0" borderId="42" xfId="0" applyFont="1" applyBorder="1" applyAlignment="1">
      <alignment horizontal="center"/>
    </xf>
    <xf numFmtId="0" fontId="25" fillId="0" borderId="17" xfId="0" applyFont="1" applyBorder="1" applyAlignment="1">
      <alignment horizontal="center"/>
    </xf>
    <xf numFmtId="0" fontId="25" fillId="0" borderId="71" xfId="0" applyFont="1" applyBorder="1" applyAlignment="1">
      <alignment horizontal="center"/>
    </xf>
    <xf numFmtId="0" fontId="51" fillId="0" borderId="15" xfId="0" applyFont="1" applyBorder="1" applyAlignment="1">
      <alignment horizontal="center"/>
    </xf>
    <xf numFmtId="0" fontId="51" fillId="0" borderId="24" xfId="0" applyFont="1" applyBorder="1" applyAlignment="1">
      <alignment horizontal="center"/>
    </xf>
    <xf numFmtId="2" fontId="25" fillId="0" borderId="15" xfId="0" applyNumberFormat="1" applyFont="1" applyBorder="1" applyAlignment="1">
      <alignment horizontal="center"/>
    </xf>
    <xf numFmtId="2" fontId="25" fillId="0" borderId="18" xfId="0" applyNumberFormat="1" applyFont="1" applyBorder="1" applyAlignment="1">
      <alignment horizontal="center"/>
    </xf>
    <xf numFmtId="2" fontId="25" fillId="0" borderId="24" xfId="0" applyNumberFormat="1" applyFont="1" applyBorder="1" applyAlignment="1">
      <alignment horizontal="center"/>
    </xf>
    <xf numFmtId="0" fontId="51" fillId="5" borderId="20" xfId="0" applyFont="1" applyFill="1" applyBorder="1" applyAlignment="1">
      <alignment horizontal="left" vertical="center" wrapText="1"/>
    </xf>
    <xf numFmtId="0" fontId="51" fillId="5" borderId="43" xfId="0" applyFont="1" applyFill="1" applyBorder="1" applyAlignment="1">
      <alignment horizontal="left" vertical="center" wrapText="1"/>
    </xf>
    <xf numFmtId="0" fontId="51" fillId="5" borderId="42" xfId="0" applyFont="1" applyFill="1" applyBorder="1" applyAlignment="1">
      <alignment horizontal="left" vertical="center" wrapText="1"/>
    </xf>
    <xf numFmtId="0" fontId="51" fillId="5" borderId="71" xfId="0" applyFont="1" applyFill="1" applyBorder="1" applyAlignment="1">
      <alignment horizontal="left" vertical="center" wrapText="1"/>
    </xf>
    <xf numFmtId="0" fontId="51" fillId="0" borderId="20" xfId="0" applyFont="1" applyBorder="1" applyAlignment="1">
      <alignment horizontal="center" vertical="center" wrapText="1"/>
    </xf>
    <xf numFmtId="0" fontId="51" fillId="0" borderId="43" xfId="0" applyFont="1" applyBorder="1" applyAlignment="1">
      <alignment horizontal="center" vertical="center" wrapText="1"/>
    </xf>
    <xf numFmtId="0" fontId="51" fillId="0" borderId="42" xfId="0" applyFont="1" applyBorder="1" applyAlignment="1">
      <alignment horizontal="center" vertical="center" wrapText="1"/>
    </xf>
    <xf numFmtId="0" fontId="51" fillId="0" borderId="71" xfId="0" applyFont="1" applyBorder="1" applyAlignment="1">
      <alignment horizontal="center" vertical="center" wrapText="1"/>
    </xf>
    <xf numFmtId="3" fontId="25" fillId="0" borderId="15" xfId="0" applyNumberFormat="1" applyFont="1" applyBorder="1" applyAlignment="1">
      <alignment horizontal="center"/>
    </xf>
    <xf numFmtId="0" fontId="25" fillId="0" borderId="20" xfId="0" applyFont="1" applyBorder="1" applyAlignment="1">
      <alignment horizontal="center"/>
    </xf>
    <xf numFmtId="0" fontId="25" fillId="0" borderId="43" xfId="0" applyFont="1" applyBorder="1" applyAlignment="1">
      <alignment horizontal="center"/>
    </xf>
    <xf numFmtId="0" fontId="20" fillId="0" borderId="17" xfId="0" applyFont="1" applyBorder="1" applyAlignment="1">
      <alignment horizontal="center"/>
    </xf>
    <xf numFmtId="0" fontId="7" fillId="0" borderId="18" xfId="0" applyFont="1" applyBorder="1" applyAlignment="1">
      <alignment horizontal="center"/>
    </xf>
    <xf numFmtId="3" fontId="20" fillId="0" borderId="17" xfId="0" applyNumberFormat="1" applyFont="1" applyBorder="1" applyAlignment="1">
      <alignment horizontal="center"/>
    </xf>
    <xf numFmtId="0" fontId="51" fillId="5" borderId="15" xfId="0" applyFont="1" applyFill="1" applyBorder="1" applyAlignment="1">
      <alignment horizontal="center"/>
    </xf>
    <xf numFmtId="0" fontId="51" fillId="5" borderId="18" xfId="0" applyFont="1" applyFill="1" applyBorder="1" applyAlignment="1">
      <alignment horizontal="center"/>
    </xf>
    <xf numFmtId="0" fontId="51" fillId="5" borderId="24" xfId="0" applyFont="1" applyFill="1" applyBorder="1" applyAlignment="1">
      <alignment horizontal="center"/>
    </xf>
    <xf numFmtId="0" fontId="20" fillId="0" borderId="82" xfId="0" applyFont="1" applyBorder="1" applyAlignment="1">
      <alignment horizontal="center"/>
    </xf>
    <xf numFmtId="0" fontId="7" fillId="0" borderId="0" xfId="0" applyFont="1" applyAlignment="1">
      <alignment horizontal="justify" wrapText="1"/>
    </xf>
    <xf numFmtId="0" fontId="7" fillId="0" borderId="0" xfId="0" applyFont="1" applyAlignment="1">
      <alignment horizontal="left"/>
    </xf>
    <xf numFmtId="171" fontId="15" fillId="0" borderId="1" xfId="0" applyNumberFormat="1" applyFont="1" applyBorder="1" applyAlignment="1" applyProtection="1">
      <alignment horizontal="center" vertical="center"/>
      <protection locked="0"/>
    </xf>
    <xf numFmtId="0" fontId="23" fillId="0" borderId="0" xfId="0" applyFont="1" applyAlignment="1">
      <alignment horizontal="center" vertical="center"/>
    </xf>
    <xf numFmtId="0" fontId="23" fillId="2" borderId="0" xfId="0" applyFont="1" applyFill="1" applyAlignment="1">
      <alignment horizontal="center"/>
    </xf>
    <xf numFmtId="171" fontId="1" fillId="0" borderId="15" xfId="0" applyNumberFormat="1" applyFont="1" applyBorder="1" applyAlignment="1" applyProtection="1">
      <alignment horizontal="center" vertical="center"/>
      <protection locked="0"/>
    </xf>
    <xf numFmtId="171" fontId="1" fillId="0" borderId="24" xfId="0" applyNumberFormat="1" applyFont="1" applyBorder="1" applyAlignment="1" applyProtection="1">
      <alignment horizontal="center" vertical="center"/>
      <protection locked="0"/>
    </xf>
    <xf numFmtId="183" fontId="1" fillId="0" borderId="15" xfId="0" applyNumberFormat="1" applyFont="1" applyBorder="1" applyAlignment="1">
      <alignment horizontal="center"/>
    </xf>
    <xf numFmtId="183" fontId="1" fillId="0" borderId="24" xfId="0" applyNumberFormat="1" applyFont="1" applyBorder="1" applyAlignment="1">
      <alignment horizontal="center"/>
    </xf>
    <xf numFmtId="0" fontId="1" fillId="0" borderId="15" xfId="0" applyFont="1" applyBorder="1" applyAlignment="1">
      <alignment horizontal="center"/>
    </xf>
    <xf numFmtId="0" fontId="1" fillId="0" borderId="24" xfId="0" applyFont="1" applyBorder="1" applyAlignment="1">
      <alignment horizontal="center"/>
    </xf>
    <xf numFmtId="0" fontId="21" fillId="5" borderId="6" xfId="0" applyFont="1" applyFill="1" applyBorder="1" applyAlignment="1">
      <alignment horizontal="left" vertical="center"/>
    </xf>
    <xf numFmtId="171" fontId="32" fillId="0" borderId="18" xfId="0" applyNumberFormat="1" applyFont="1" applyBorder="1" applyAlignment="1">
      <alignment horizontal="left" vertical="center"/>
    </xf>
    <xf numFmtId="171" fontId="32" fillId="0" borderId="24" xfId="0" applyNumberFormat="1" applyFont="1" applyBorder="1" applyAlignment="1">
      <alignment horizontal="left" vertical="center"/>
    </xf>
    <xf numFmtId="0" fontId="9" fillId="5" borderId="3" xfId="0" applyFont="1" applyFill="1" applyBorder="1" applyAlignment="1">
      <alignment horizontal="left" vertical="center"/>
    </xf>
    <xf numFmtId="171" fontId="20" fillId="0" borderId="20" xfId="0" applyNumberFormat="1" applyFont="1" applyBorder="1" applyAlignment="1">
      <alignment horizontal="center" vertical="center" wrapText="1"/>
    </xf>
    <xf numFmtId="171" fontId="20" fillId="0" borderId="43" xfId="0" applyNumberFormat="1" applyFont="1" applyBorder="1" applyAlignment="1">
      <alignment horizontal="center" vertical="center" wrapText="1"/>
    </xf>
    <xf numFmtId="171" fontId="20" fillId="0" borderId="42" xfId="0" applyNumberFormat="1" applyFont="1" applyBorder="1" applyAlignment="1">
      <alignment horizontal="center" vertical="center" wrapText="1"/>
    </xf>
    <xf numFmtId="171" fontId="20" fillId="0" borderId="71" xfId="0" applyNumberFormat="1" applyFont="1" applyBorder="1" applyAlignment="1">
      <alignment horizontal="center" vertical="center" wrapText="1"/>
    </xf>
    <xf numFmtId="171" fontId="1" fillId="0" borderId="0" xfId="0" applyNumberFormat="1" applyFont="1" applyAlignment="1">
      <alignment horizontal="center" vertical="center"/>
    </xf>
    <xf numFmtId="171" fontId="32" fillId="0" borderId="38" xfId="0" applyNumberFormat="1" applyFont="1" applyBorder="1" applyAlignment="1">
      <alignment horizontal="left" vertical="center"/>
    </xf>
    <xf numFmtId="171" fontId="32" fillId="0" borderId="29" xfId="0" applyNumberFormat="1" applyFont="1" applyBorder="1" applyAlignment="1">
      <alignment horizontal="left" vertical="center"/>
    </xf>
    <xf numFmtId="171" fontId="32" fillId="0" borderId="75" xfId="0" applyNumberFormat="1" applyFont="1" applyBorder="1" applyAlignment="1">
      <alignment horizontal="left" vertical="center"/>
    </xf>
    <xf numFmtId="167" fontId="15" fillId="0" borderId="0" xfId="1" applyFont="1" applyBorder="1" applyAlignment="1" applyProtection="1">
      <alignment horizontal="center" vertical="center"/>
    </xf>
    <xf numFmtId="0" fontId="15" fillId="9" borderId="15" xfId="0" applyFont="1" applyFill="1" applyBorder="1" applyAlignment="1">
      <alignment horizontal="center" vertical="center"/>
    </xf>
    <xf numFmtId="0" fontId="15" fillId="9" borderId="24" xfId="0" applyFont="1" applyFill="1" applyBorder="1" applyAlignment="1">
      <alignment horizontal="center" vertical="center"/>
    </xf>
    <xf numFmtId="171" fontId="18" fillId="0" borderId="28" xfId="0" applyNumberFormat="1" applyFont="1" applyBorder="1" applyAlignment="1">
      <alignment horizontal="left" vertical="center"/>
    </xf>
    <xf numFmtId="171" fontId="18" fillId="0" borderId="18" xfId="0" applyNumberFormat="1" applyFont="1" applyBorder="1" applyAlignment="1">
      <alignment horizontal="left" vertical="center"/>
    </xf>
    <xf numFmtId="171" fontId="18" fillId="0" borderId="24" xfId="0" applyNumberFormat="1" applyFont="1" applyBorder="1" applyAlignment="1">
      <alignment horizontal="left" vertical="center"/>
    </xf>
    <xf numFmtId="0" fontId="6" fillId="5" borderId="1" xfId="0" applyFont="1" applyFill="1" applyBorder="1" applyAlignment="1">
      <alignment horizontal="center" vertical="center"/>
    </xf>
    <xf numFmtId="171" fontId="15" fillId="9" borderId="1" xfId="0" applyNumberFormat="1" applyFont="1" applyFill="1" applyBorder="1" applyAlignment="1">
      <alignment horizontal="center" vertical="center"/>
    </xf>
    <xf numFmtId="171" fontId="19" fillId="0" borderId="1" xfId="0" applyNumberFormat="1" applyFont="1" applyBorder="1" applyAlignment="1">
      <alignment horizontal="left" vertical="center"/>
    </xf>
    <xf numFmtId="171" fontId="16" fillId="0" borderId="7" xfId="0" applyNumberFormat="1" applyFont="1" applyBorder="1" applyAlignment="1">
      <alignment horizontal="left" vertical="center"/>
    </xf>
    <xf numFmtId="171" fontId="16" fillId="0" borderId="8" xfId="0" applyNumberFormat="1" applyFont="1" applyBorder="1" applyAlignment="1">
      <alignment horizontal="left" vertical="center"/>
    </xf>
    <xf numFmtId="171" fontId="16" fillId="0" borderId="9" xfId="0" applyNumberFormat="1" applyFont="1" applyBorder="1" applyAlignment="1">
      <alignment horizontal="left" vertical="center"/>
    </xf>
    <xf numFmtId="0" fontId="1" fillId="0" borderId="16" xfId="0" applyFont="1" applyBorder="1" applyAlignment="1">
      <alignment horizontal="center" vertical="center"/>
    </xf>
    <xf numFmtId="0" fontId="1" fillId="0" borderId="25" xfId="0" applyFont="1" applyBorder="1" applyAlignment="1">
      <alignment horizontal="center" vertical="center"/>
    </xf>
    <xf numFmtId="0" fontId="1" fillId="0" borderId="15" xfId="0" applyFont="1" applyBorder="1" applyAlignment="1">
      <alignment horizontal="right" vertical="center"/>
    </xf>
    <xf numFmtId="0" fontId="1" fillId="0" borderId="18" xfId="0" applyFont="1" applyBorder="1" applyAlignment="1">
      <alignment horizontal="right" vertical="center"/>
    </xf>
    <xf numFmtId="169" fontId="1" fillId="0" borderId="8" xfId="0" applyNumberFormat="1" applyFont="1" applyBorder="1" applyAlignment="1">
      <alignment horizontal="center"/>
    </xf>
    <xf numFmtId="169" fontId="1" fillId="0" borderId="9" xfId="0" applyNumberFormat="1" applyFont="1" applyBorder="1" applyAlignment="1">
      <alignment horizontal="center"/>
    </xf>
    <xf numFmtId="2" fontId="1" fillId="0" borderId="31" xfId="1" applyNumberFormat="1" applyFont="1" applyBorder="1" applyAlignment="1" applyProtection="1">
      <alignment horizontal="center" vertical="center"/>
    </xf>
    <xf numFmtId="2" fontId="1" fillId="0" borderId="9" xfId="1" applyNumberFormat="1" applyFont="1" applyBorder="1" applyAlignment="1" applyProtection="1">
      <alignment horizontal="center" vertical="center"/>
    </xf>
    <xf numFmtId="0" fontId="21" fillId="5" borderId="12" xfId="0" applyFont="1" applyFill="1" applyBorder="1" applyAlignment="1">
      <alignment horizontal="left" vertical="center"/>
    </xf>
    <xf numFmtId="0" fontId="21" fillId="5" borderId="73" xfId="0" applyFont="1" applyFill="1" applyBorder="1" applyAlignment="1">
      <alignment horizontal="left" vertical="center"/>
    </xf>
    <xf numFmtId="0" fontId="1" fillId="0" borderId="31" xfId="0" applyFont="1" applyBorder="1" applyAlignment="1">
      <alignment horizontal="center" vertical="center"/>
    </xf>
    <xf numFmtId="0" fontId="18" fillId="0" borderId="19" xfId="0" applyFont="1" applyBorder="1" applyAlignment="1">
      <alignment horizontal="center" vertical="center"/>
    </xf>
    <xf numFmtId="171" fontId="32" fillId="0" borderId="15" xfId="0" applyNumberFormat="1" applyFont="1" applyBorder="1" applyAlignment="1">
      <alignment horizontal="left" vertical="center"/>
    </xf>
    <xf numFmtId="171" fontId="18" fillId="0" borderId="15" xfId="0" applyNumberFormat="1" applyFont="1" applyBorder="1" applyAlignment="1">
      <alignment horizontal="left" vertical="center"/>
    </xf>
    <xf numFmtId="171" fontId="1" fillId="0" borderId="1" xfId="0" applyNumberFormat="1" applyFont="1" applyBorder="1" applyAlignment="1">
      <alignment horizontal="left" vertical="center"/>
    </xf>
    <xf numFmtId="171" fontId="18" fillId="0" borderId="1" xfId="0" applyNumberFormat="1" applyFont="1" applyBorder="1" applyAlignment="1">
      <alignment horizontal="left" vertical="center"/>
    </xf>
    <xf numFmtId="172" fontId="9" fillId="5" borderId="1" xfId="0" applyNumberFormat="1" applyFont="1" applyFill="1" applyBorder="1" applyAlignment="1">
      <alignment horizontal="center" vertical="center"/>
    </xf>
    <xf numFmtId="171" fontId="32" fillId="0" borderId="28" xfId="0" applyNumberFormat="1" applyFont="1" applyBorder="1" applyAlignment="1">
      <alignment horizontal="left" vertical="center"/>
    </xf>
    <xf numFmtId="164" fontId="25" fillId="0" borderId="15" xfId="5" applyNumberFormat="1" applyFont="1" applyBorder="1" applyAlignment="1">
      <alignment horizontal="center"/>
    </xf>
    <xf numFmtId="164" fontId="25" fillId="0" borderId="18" xfId="5" applyNumberFormat="1" applyFont="1" applyBorder="1" applyAlignment="1">
      <alignment horizontal="center"/>
    </xf>
    <xf numFmtId="164" fontId="25" fillId="0" borderId="24" xfId="5" applyNumberFormat="1" applyFont="1" applyBorder="1" applyAlignment="1">
      <alignment horizontal="center"/>
    </xf>
    <xf numFmtId="164" fontId="24" fillId="0" borderId="15" xfId="5" applyNumberFormat="1" applyFont="1" applyBorder="1" applyAlignment="1">
      <alignment horizontal="center"/>
    </xf>
    <xf numFmtId="164" fontId="24" fillId="0" borderId="18" xfId="5" applyNumberFormat="1" applyFont="1" applyBorder="1" applyAlignment="1">
      <alignment horizontal="center"/>
    </xf>
    <xf numFmtId="164" fontId="24" fillId="0" borderId="24" xfId="5" applyNumberFormat="1" applyFont="1" applyBorder="1" applyAlignment="1">
      <alignment horizontal="center"/>
    </xf>
    <xf numFmtId="171" fontId="32" fillId="0" borderId="149" xfId="0" applyNumberFormat="1" applyFont="1" applyBorder="1" applyAlignment="1">
      <alignment horizontal="left" vertical="center"/>
    </xf>
    <xf numFmtId="171" fontId="18" fillId="0" borderId="149" xfId="0" applyNumberFormat="1" applyFont="1" applyBorder="1" applyAlignment="1">
      <alignment horizontal="left" vertical="center"/>
    </xf>
    <xf numFmtId="0" fontId="29" fillId="2" borderId="0" xfId="0" applyFont="1" applyFill="1" applyAlignment="1">
      <alignment horizontal="center"/>
    </xf>
    <xf numFmtId="0" fontId="29" fillId="0" borderId="0" xfId="0" applyFont="1" applyAlignment="1">
      <alignment horizontal="center"/>
    </xf>
    <xf numFmtId="171" fontId="18" fillId="0" borderId="21" xfId="0" applyNumberFormat="1" applyFont="1" applyBorder="1" applyAlignment="1">
      <alignment horizontal="left" vertical="center"/>
    </xf>
    <xf numFmtId="171" fontId="32" fillId="0" borderId="21" xfId="0" applyNumberFormat="1" applyFont="1" applyBorder="1" applyAlignment="1">
      <alignment horizontal="left" vertical="center"/>
    </xf>
    <xf numFmtId="171" fontId="15" fillId="0" borderId="0" xfId="0" applyNumberFormat="1" applyFont="1" applyAlignment="1">
      <alignment horizontal="center" vertical="center"/>
    </xf>
    <xf numFmtId="171" fontId="32" fillId="0" borderId="1" xfId="0" applyNumberFormat="1" applyFont="1" applyBorder="1" applyAlignment="1">
      <alignment horizontal="left" vertical="center"/>
    </xf>
    <xf numFmtId="0" fontId="1" fillId="0" borderId="21" xfId="0" applyFont="1" applyBorder="1" applyAlignment="1">
      <alignment horizontal="center" vertical="center"/>
    </xf>
    <xf numFmtId="2" fontId="1" fillId="0" borderId="21" xfId="1" applyNumberFormat="1" applyFont="1" applyBorder="1" applyAlignment="1" applyProtection="1">
      <alignment horizontal="center" vertical="center"/>
    </xf>
    <xf numFmtId="2" fontId="1" fillId="0" borderId="36" xfId="1" applyNumberFormat="1" applyFont="1" applyBorder="1" applyAlignment="1" applyProtection="1">
      <alignment horizontal="center" vertical="center"/>
    </xf>
    <xf numFmtId="2" fontId="1" fillId="0" borderId="19" xfId="1" applyNumberFormat="1" applyFont="1" applyBorder="1" applyAlignment="1" applyProtection="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34" xfId="0" applyFont="1" applyBorder="1" applyAlignment="1">
      <alignment horizontal="center" vertical="center"/>
    </xf>
    <xf numFmtId="0" fontId="26" fillId="0" borderId="0" xfId="0" applyFont="1" applyAlignment="1">
      <alignment horizontal="center" vertical="center"/>
    </xf>
    <xf numFmtId="0" fontId="1" fillId="0" borderId="27" xfId="0" applyFont="1" applyBorder="1" applyAlignment="1">
      <alignment horizontal="center" vertical="center"/>
    </xf>
    <xf numFmtId="0" fontId="1" fillId="0" borderId="22" xfId="0" applyFont="1" applyBorder="1" applyAlignment="1">
      <alignment horizontal="center" vertical="center"/>
    </xf>
    <xf numFmtId="169" fontId="1" fillId="0" borderId="7" xfId="0" applyNumberFormat="1" applyFont="1" applyBorder="1" applyAlignment="1">
      <alignment horizontal="center"/>
    </xf>
    <xf numFmtId="0" fontId="1" fillId="0" borderId="18" xfId="0" applyFont="1" applyBorder="1" applyAlignment="1">
      <alignment horizontal="center"/>
    </xf>
    <xf numFmtId="0" fontId="1" fillId="0" borderId="0" xfId="0" applyFont="1" applyAlignment="1">
      <alignment horizontal="center"/>
    </xf>
    <xf numFmtId="0" fontId="1" fillId="0" borderId="17" xfId="0" applyFont="1" applyBorder="1" applyAlignment="1">
      <alignment horizontal="center"/>
    </xf>
    <xf numFmtId="0" fontId="8" fillId="0" borderId="17" xfId="0" applyFont="1" applyBorder="1" applyAlignment="1" applyProtection="1">
      <alignment horizontal="center"/>
      <protection locked="0"/>
    </xf>
    <xf numFmtId="171" fontId="18" fillId="0" borderId="30" xfId="0" applyNumberFormat="1" applyFont="1" applyBorder="1" applyAlignment="1">
      <alignment horizontal="left" vertical="center"/>
    </xf>
    <xf numFmtId="164" fontId="25" fillId="0" borderId="15" xfId="5" applyNumberFormat="1" applyFont="1" applyFill="1" applyBorder="1" applyAlignment="1">
      <alignment horizontal="center"/>
    </xf>
    <xf numFmtId="164" fontId="25" fillId="0" borderId="18" xfId="5" applyNumberFormat="1" applyFont="1" applyFill="1" applyBorder="1" applyAlignment="1">
      <alignment horizontal="center"/>
    </xf>
    <xf numFmtId="164" fontId="25" fillId="0" borderId="24" xfId="5" applyNumberFormat="1" applyFont="1" applyFill="1" applyBorder="1" applyAlignment="1">
      <alignment horizontal="center"/>
    </xf>
    <xf numFmtId="0" fontId="18" fillId="0" borderId="20"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71" xfId="0" applyFont="1" applyBorder="1" applyAlignment="1">
      <alignment horizontal="center" vertical="center" wrapText="1"/>
    </xf>
    <xf numFmtId="0" fontId="18" fillId="0" borderId="70" xfId="0" applyFont="1" applyBorder="1" applyAlignment="1">
      <alignment horizontal="center" vertical="center" wrapText="1"/>
    </xf>
    <xf numFmtId="0" fontId="18" fillId="0" borderId="17" xfId="0" applyFont="1" applyBorder="1" applyAlignment="1">
      <alignment horizontal="center" vertical="center" wrapText="1"/>
    </xf>
    <xf numFmtId="171" fontId="18" fillId="0" borderId="20" xfId="0" applyNumberFormat="1" applyFont="1" applyBorder="1" applyAlignment="1">
      <alignment horizontal="center" vertical="center" wrapText="1"/>
    </xf>
    <xf numFmtId="171" fontId="18" fillId="0" borderId="43" xfId="0" applyNumberFormat="1" applyFont="1" applyBorder="1" applyAlignment="1">
      <alignment horizontal="center" vertical="center" wrapText="1"/>
    </xf>
    <xf numFmtId="171" fontId="18" fillId="0" borderId="42" xfId="0" applyNumberFormat="1" applyFont="1" applyBorder="1" applyAlignment="1">
      <alignment horizontal="center" vertical="center" wrapText="1"/>
    </xf>
    <xf numFmtId="171" fontId="18" fillId="0" borderId="71" xfId="0" applyNumberFormat="1" applyFont="1" applyBorder="1" applyAlignment="1">
      <alignment horizontal="center" vertical="center" wrapText="1"/>
    </xf>
    <xf numFmtId="169" fontId="1" fillId="0" borderId="18" xfId="0" applyNumberFormat="1" applyFont="1" applyBorder="1" applyAlignment="1">
      <alignment horizontal="left" vertical="center"/>
    </xf>
    <xf numFmtId="0" fontId="9" fillId="5" borderId="78" xfId="0" applyFont="1" applyFill="1" applyBorder="1" applyAlignment="1">
      <alignment horizontal="left" vertical="center"/>
    </xf>
    <xf numFmtId="169" fontId="1" fillId="0" borderId="80" xfId="0" applyNumberFormat="1"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1" fillId="0" borderId="36"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8" fillId="0" borderId="0" xfId="0" applyFont="1" applyAlignment="1">
      <alignment horizontal="center" vertical="center"/>
    </xf>
    <xf numFmtId="167" fontId="1" fillId="0" borderId="7" xfId="1" applyFont="1" applyBorder="1" applyAlignment="1" applyProtection="1">
      <alignment horizontal="right" vertical="center"/>
    </xf>
    <xf numFmtId="167" fontId="1" fillId="0" borderId="21" xfId="1" applyFont="1" applyBorder="1" applyAlignment="1" applyProtection="1">
      <alignment horizontal="right" vertical="center"/>
    </xf>
    <xf numFmtId="2" fontId="1" fillId="0" borderId="7" xfId="0" applyNumberFormat="1" applyFont="1" applyBorder="1" applyAlignment="1">
      <alignment horizontal="right" vertical="center"/>
    </xf>
    <xf numFmtId="0" fontId="1" fillId="0" borderId="21" xfId="0" applyFont="1" applyBorder="1" applyAlignment="1">
      <alignment horizontal="right" vertical="center"/>
    </xf>
    <xf numFmtId="2" fontId="1" fillId="0" borderId="33" xfId="1" applyNumberFormat="1" applyFont="1" applyBorder="1" applyAlignment="1" applyProtection="1">
      <alignment horizontal="center" vertical="center"/>
    </xf>
    <xf numFmtId="2" fontId="1" fillId="0" borderId="44" xfId="1" applyNumberFormat="1" applyFont="1" applyBorder="1" applyAlignment="1" applyProtection="1">
      <alignment horizontal="center" vertical="center"/>
    </xf>
    <xf numFmtId="167" fontId="1" fillId="0" borderId="27" xfId="1" applyFont="1" applyBorder="1" applyAlignment="1" applyProtection="1">
      <alignment horizontal="right" vertical="center"/>
    </xf>
    <xf numFmtId="167" fontId="1" fillId="0" borderId="23" xfId="1" applyFont="1" applyBorder="1" applyAlignment="1" applyProtection="1">
      <alignment horizontal="right" vertical="center"/>
    </xf>
    <xf numFmtId="171" fontId="18" fillId="0" borderId="8" xfId="1" applyNumberFormat="1" applyFont="1" applyBorder="1" applyAlignment="1" applyProtection="1">
      <alignment horizontal="left" vertical="center"/>
    </xf>
    <xf numFmtId="171" fontId="18" fillId="0" borderId="21" xfId="1" applyNumberFormat="1" applyFont="1" applyBorder="1" applyAlignment="1" applyProtection="1">
      <alignment horizontal="left" vertical="center"/>
    </xf>
    <xf numFmtId="171" fontId="32" fillId="0" borderId="21" xfId="1" applyNumberFormat="1" applyFont="1" applyBorder="1" applyAlignment="1" applyProtection="1">
      <alignment horizontal="left" vertical="center"/>
    </xf>
    <xf numFmtId="2" fontId="1" fillId="0" borderId="27" xfId="0" applyNumberFormat="1" applyFont="1" applyBorder="1" applyAlignment="1">
      <alignment horizontal="center" vertical="center"/>
    </xf>
    <xf numFmtId="171" fontId="21" fillId="0" borderId="8" xfId="0" applyNumberFormat="1" applyFont="1" applyBorder="1" applyAlignment="1">
      <alignment horizontal="center" vertical="center"/>
    </xf>
    <xf numFmtId="174" fontId="15" fillId="0" borderId="0" xfId="0" applyNumberFormat="1" applyFont="1" applyAlignment="1">
      <alignment horizontal="center" vertical="center"/>
    </xf>
    <xf numFmtId="171" fontId="32" fillId="0" borderId="7" xfId="1" applyNumberFormat="1" applyFont="1" applyBorder="1" applyAlignment="1" applyProtection="1">
      <alignment horizontal="left" vertical="center"/>
    </xf>
    <xf numFmtId="0" fontId="9" fillId="5" borderId="70" xfId="0" applyFont="1" applyFill="1" applyBorder="1" applyAlignment="1">
      <alignment horizontal="center" vertical="center"/>
    </xf>
    <xf numFmtId="0" fontId="9" fillId="5" borderId="17" xfId="0" applyFont="1" applyFill="1" applyBorder="1" applyAlignment="1">
      <alignment horizontal="center" vertical="center"/>
    </xf>
    <xf numFmtId="174" fontId="1" fillId="0" borderId="15" xfId="0" applyNumberFormat="1" applyFont="1" applyBorder="1" applyAlignment="1">
      <alignment horizontal="center" vertical="center"/>
    </xf>
    <xf numFmtId="174" fontId="1" fillId="0" borderId="18" xfId="0" applyNumberFormat="1" applyFont="1" applyBorder="1" applyAlignment="1">
      <alignment horizontal="center" vertical="center"/>
    </xf>
    <xf numFmtId="174" fontId="1" fillId="0" borderId="24" xfId="0" applyNumberFormat="1" applyFont="1" applyBorder="1" applyAlignment="1">
      <alignment horizontal="center" vertical="center"/>
    </xf>
    <xf numFmtId="171" fontId="18" fillId="0" borderId="7" xfId="1" applyNumberFormat="1" applyFont="1" applyBorder="1" applyAlignment="1" applyProtection="1">
      <alignment horizontal="left" vertical="center"/>
    </xf>
    <xf numFmtId="171" fontId="18" fillId="0" borderId="9" xfId="1" applyNumberFormat="1" applyFont="1" applyBorder="1" applyAlignment="1" applyProtection="1">
      <alignment horizontal="left" vertical="center"/>
    </xf>
    <xf numFmtId="167" fontId="15" fillId="0" borderId="0" xfId="1" applyFont="1" applyAlignment="1" applyProtection="1">
      <alignment horizontal="center"/>
    </xf>
    <xf numFmtId="171" fontId="32" fillId="0" borderId="45" xfId="0" applyNumberFormat="1" applyFont="1" applyBorder="1" applyAlignment="1">
      <alignment horizontal="left" vertical="center"/>
    </xf>
    <xf numFmtId="171" fontId="18" fillId="0" borderId="33" xfId="0" applyNumberFormat="1" applyFont="1" applyBorder="1" applyAlignment="1">
      <alignment horizontal="left" vertical="center"/>
    </xf>
    <xf numFmtId="171" fontId="18" fillId="0" borderId="32" xfId="0" applyNumberFormat="1" applyFont="1" applyBorder="1" applyAlignment="1">
      <alignment horizontal="left" vertical="center"/>
    </xf>
    <xf numFmtId="171" fontId="18" fillId="0" borderId="34" xfId="0" applyNumberFormat="1" applyFont="1" applyBorder="1" applyAlignment="1">
      <alignment horizontal="left" vertical="center"/>
    </xf>
    <xf numFmtId="171" fontId="18" fillId="0" borderId="39" xfId="0" applyNumberFormat="1" applyFont="1" applyBorder="1" applyAlignment="1">
      <alignment horizontal="left" vertical="center"/>
    </xf>
    <xf numFmtId="171" fontId="18" fillId="0" borderId="17" xfId="0" applyNumberFormat="1" applyFont="1" applyBorder="1" applyAlignment="1">
      <alignment horizontal="left" vertical="center"/>
    </xf>
    <xf numFmtId="171" fontId="18" fillId="0" borderId="40" xfId="0" applyNumberFormat="1" applyFont="1" applyBorder="1" applyAlignment="1">
      <alignment horizontal="left" vertical="center"/>
    </xf>
    <xf numFmtId="171" fontId="18" fillId="0" borderId="70" xfId="0" applyNumberFormat="1" applyFont="1" applyBorder="1" applyAlignment="1">
      <alignment horizontal="center" vertical="center" wrapText="1"/>
    </xf>
    <xf numFmtId="171" fontId="18" fillId="0" borderId="17" xfId="0" applyNumberFormat="1" applyFont="1" applyBorder="1" applyAlignment="1">
      <alignment horizontal="center" vertical="center" wrapText="1"/>
    </xf>
    <xf numFmtId="171" fontId="18" fillId="0" borderId="1" xfId="1" applyNumberFormat="1" applyFont="1" applyBorder="1" applyAlignment="1" applyProtection="1">
      <alignment horizontal="left" vertical="center"/>
    </xf>
    <xf numFmtId="171" fontId="32" fillId="0" borderId="1" xfId="1" applyNumberFormat="1" applyFont="1" applyBorder="1" applyAlignment="1" applyProtection="1">
      <alignment horizontal="left" vertical="center"/>
    </xf>
    <xf numFmtId="0" fontId="1" fillId="0" borderId="80" xfId="0" applyFont="1" applyBorder="1" applyAlignment="1">
      <alignment horizontal="center" vertical="center"/>
    </xf>
    <xf numFmtId="0" fontId="9" fillId="5" borderId="84" xfId="0" applyFont="1" applyFill="1" applyBorder="1" applyAlignment="1">
      <alignment horizontal="left" vertical="center"/>
    </xf>
    <xf numFmtId="180" fontId="1" fillId="0" borderId="0" xfId="0" applyNumberFormat="1" applyFont="1" applyAlignment="1">
      <alignment horizontal="center" vertical="center"/>
    </xf>
    <xf numFmtId="174" fontId="18" fillId="2" borderId="15" xfId="0" applyNumberFormat="1" applyFont="1" applyFill="1" applyBorder="1" applyAlignment="1">
      <alignment horizontal="center" vertical="center"/>
    </xf>
    <xf numFmtId="174" fontId="18" fillId="2" borderId="18" xfId="0" applyNumberFormat="1" applyFont="1" applyFill="1" applyBorder="1" applyAlignment="1">
      <alignment horizontal="center" vertical="center"/>
    </xf>
    <xf numFmtId="174" fontId="18" fillId="2" borderId="24" xfId="0" applyNumberFormat="1" applyFont="1" applyFill="1" applyBorder="1" applyAlignment="1">
      <alignment horizontal="center" vertical="center"/>
    </xf>
    <xf numFmtId="183" fontId="18" fillId="2" borderId="15" xfId="0" applyNumberFormat="1" applyFont="1" applyFill="1" applyBorder="1" applyAlignment="1">
      <alignment horizontal="center"/>
    </xf>
    <xf numFmtId="183" fontId="18" fillId="2" borderId="24" xfId="0" applyNumberFormat="1" applyFont="1" applyFill="1" applyBorder="1" applyAlignment="1">
      <alignment horizontal="center"/>
    </xf>
    <xf numFmtId="174" fontId="1" fillId="2" borderId="15" xfId="0" applyNumberFormat="1" applyFont="1" applyFill="1" applyBorder="1" applyAlignment="1">
      <alignment horizontal="center" vertical="center"/>
    </xf>
    <xf numFmtId="174" fontId="1" fillId="2" borderId="18" xfId="0" applyNumberFormat="1" applyFont="1" applyFill="1" applyBorder="1" applyAlignment="1">
      <alignment horizontal="center" vertical="center"/>
    </xf>
    <xf numFmtId="174" fontId="1" fillId="2" borderId="24" xfId="0" applyNumberFormat="1" applyFont="1" applyFill="1" applyBorder="1" applyAlignment="1">
      <alignment horizontal="center" vertical="center"/>
    </xf>
    <xf numFmtId="0" fontId="1" fillId="2" borderId="1" xfId="0" applyFont="1" applyFill="1" applyBorder="1" applyAlignment="1">
      <alignment horizontal="center" vertical="center"/>
    </xf>
    <xf numFmtId="171" fontId="1" fillId="2" borderId="1" xfId="0" applyNumberFormat="1" applyFont="1" applyFill="1" applyBorder="1" applyAlignment="1">
      <alignment horizontal="center" vertical="center"/>
    </xf>
    <xf numFmtId="0" fontId="1" fillId="2" borderId="86" xfId="0" applyFont="1" applyFill="1" applyBorder="1" applyAlignment="1">
      <alignment horizontal="left" vertical="center"/>
    </xf>
    <xf numFmtId="167" fontId="15" fillId="2" borderId="85" xfId="1" applyFont="1" applyFill="1" applyBorder="1" applyAlignment="1" applyProtection="1">
      <alignment horizontal="center" vertical="center"/>
    </xf>
    <xf numFmtId="0" fontId="1" fillId="2" borderId="0" xfId="0" applyFont="1" applyFill="1" applyAlignment="1" applyProtection="1">
      <alignment horizontal="center" vertical="center"/>
      <protection locked="0"/>
    </xf>
    <xf numFmtId="169" fontId="1" fillId="2" borderId="17" xfId="0" applyNumberFormat="1" applyFont="1" applyFill="1" applyBorder="1" applyAlignment="1">
      <alignment horizontal="left" vertical="center"/>
    </xf>
    <xf numFmtId="169" fontId="1" fillId="2" borderId="18" xfId="0" applyNumberFormat="1" applyFont="1" applyFill="1" applyBorder="1" applyAlignment="1">
      <alignment horizontal="left" vertical="center"/>
    </xf>
    <xf numFmtId="0" fontId="1" fillId="2" borderId="18" xfId="0" applyFont="1" applyFill="1" applyBorder="1" applyAlignment="1">
      <alignment horizontal="left" vertical="center"/>
    </xf>
    <xf numFmtId="0" fontId="18" fillId="2" borderId="1" xfId="0" applyFont="1" applyFill="1" applyBorder="1" applyAlignment="1">
      <alignment horizontal="center" vertical="center"/>
    </xf>
    <xf numFmtId="171" fontId="18" fillId="2" borderId="15" xfId="0" applyNumberFormat="1" applyFont="1" applyFill="1" applyBorder="1" applyAlignment="1">
      <alignment horizontal="center" vertical="center"/>
    </xf>
    <xf numFmtId="171" fontId="18" fillId="2" borderId="24" xfId="0" applyNumberFormat="1" applyFont="1" applyFill="1" applyBorder="1" applyAlignment="1">
      <alignment horizontal="center" vertical="center"/>
    </xf>
    <xf numFmtId="171" fontId="1" fillId="0" borderId="16" xfId="0" applyNumberFormat="1" applyFont="1" applyBorder="1" applyAlignment="1">
      <alignment horizontal="center" vertical="center"/>
    </xf>
    <xf numFmtId="167" fontId="15" fillId="2" borderId="17" xfId="1" applyFont="1" applyFill="1" applyBorder="1" applyAlignment="1" applyProtection="1">
      <alignment horizontal="center" vertical="center"/>
    </xf>
    <xf numFmtId="171" fontId="18" fillId="2" borderId="1" xfId="0" applyNumberFormat="1" applyFont="1" applyFill="1" applyBorder="1" applyAlignment="1">
      <alignment horizontal="center" vertical="center"/>
    </xf>
    <xf numFmtId="171" fontId="32" fillId="2" borderId="24" xfId="0" applyNumberFormat="1" applyFont="1" applyFill="1" applyBorder="1" applyAlignment="1">
      <alignment horizontal="left" vertical="center"/>
    </xf>
    <xf numFmtId="171" fontId="32" fillId="2" borderId="1" xfId="0" applyNumberFormat="1" applyFont="1" applyFill="1" applyBorder="1" applyAlignment="1">
      <alignment horizontal="left" vertical="center"/>
    </xf>
    <xf numFmtId="171" fontId="18" fillId="2" borderId="1" xfId="0" applyNumberFormat="1" applyFont="1" applyFill="1" applyBorder="1" applyAlignment="1">
      <alignment horizontal="left" vertical="center"/>
    </xf>
    <xf numFmtId="171" fontId="18" fillId="2" borderId="1" xfId="1" applyNumberFormat="1" applyFont="1" applyFill="1" applyBorder="1" applyAlignment="1" applyProtection="1">
      <alignment horizontal="left" vertical="center"/>
    </xf>
    <xf numFmtId="0" fontId="18" fillId="2" borderId="15" xfId="0" applyFont="1" applyFill="1" applyBorder="1" applyAlignment="1">
      <alignment horizontal="center" vertical="center"/>
    </xf>
    <xf numFmtId="0" fontId="18" fillId="2" borderId="24" xfId="0" applyFont="1" applyFill="1" applyBorder="1" applyAlignment="1">
      <alignment horizontal="center" vertical="center"/>
    </xf>
    <xf numFmtId="171" fontId="32" fillId="2" borderId="1" xfId="1" applyNumberFormat="1" applyFont="1" applyFill="1" applyBorder="1" applyAlignment="1" applyProtection="1">
      <alignment horizontal="left" vertical="center"/>
    </xf>
    <xf numFmtId="2" fontId="18" fillId="2" borderId="15" xfId="1" applyNumberFormat="1" applyFont="1" applyFill="1" applyBorder="1" applyAlignment="1" applyProtection="1">
      <alignment horizontal="center" vertical="center"/>
    </xf>
    <xf numFmtId="2" fontId="18" fillId="2" borderId="18" xfId="1" applyNumberFormat="1" applyFont="1" applyFill="1" applyBorder="1" applyAlignment="1" applyProtection="1">
      <alignment horizontal="center" vertical="center"/>
    </xf>
    <xf numFmtId="0" fontId="18" fillId="2" borderId="18" xfId="0" applyFont="1" applyFill="1" applyBorder="1" applyAlignment="1">
      <alignment vertical="center"/>
    </xf>
    <xf numFmtId="0" fontId="18" fillId="2" borderId="24" xfId="0" applyFont="1" applyFill="1" applyBorder="1" applyAlignment="1">
      <alignment vertical="center"/>
    </xf>
    <xf numFmtId="0" fontId="18" fillId="2" borderId="15" xfId="0" applyFont="1" applyFill="1" applyBorder="1" applyAlignment="1">
      <alignment horizontal="right" vertical="center"/>
    </xf>
    <xf numFmtId="0" fontId="18" fillId="2" borderId="18" xfId="0" applyFont="1" applyFill="1" applyBorder="1" applyAlignment="1">
      <alignment horizontal="right" vertical="center"/>
    </xf>
    <xf numFmtId="0" fontId="18" fillId="2" borderId="80" xfId="0" applyFont="1" applyFill="1" applyBorder="1" applyAlignment="1">
      <alignment horizontal="center" vertical="center"/>
    </xf>
    <xf numFmtId="0" fontId="18" fillId="2" borderId="0" xfId="0" applyFont="1" applyFill="1" applyAlignment="1">
      <alignment horizontal="center" vertical="center"/>
    </xf>
    <xf numFmtId="2" fontId="18" fillId="2" borderId="15" xfId="0" applyNumberFormat="1" applyFont="1" applyFill="1" applyBorder="1" applyAlignment="1">
      <alignment horizontal="center" vertical="center"/>
    </xf>
    <xf numFmtId="0" fontId="18" fillId="2" borderId="18" xfId="0" applyFont="1" applyFill="1" applyBorder="1" applyAlignment="1">
      <alignment horizontal="center" vertical="center"/>
    </xf>
    <xf numFmtId="2" fontId="18" fillId="2" borderId="18" xfId="0" applyNumberFormat="1" applyFont="1" applyFill="1" applyBorder="1" applyAlignment="1">
      <alignment horizontal="center" vertical="center"/>
    </xf>
    <xf numFmtId="0" fontId="1" fillId="0" borderId="20" xfId="0" applyFont="1" applyBorder="1" applyAlignment="1" applyProtection="1">
      <alignment horizontal="center" vertical="center" wrapText="1"/>
      <protection locked="0"/>
    </xf>
    <xf numFmtId="0" fontId="1" fillId="0" borderId="43" xfId="0" applyFont="1" applyBorder="1" applyAlignment="1" applyProtection="1">
      <alignment horizontal="center" vertical="center" wrapText="1"/>
      <protection locked="0"/>
    </xf>
    <xf numFmtId="0" fontId="1" fillId="0" borderId="42" xfId="0" applyFont="1" applyBorder="1" applyAlignment="1" applyProtection="1">
      <alignment horizontal="center" vertical="center" wrapText="1"/>
      <protection locked="0"/>
    </xf>
    <xf numFmtId="0" fontId="1" fillId="0" borderId="71" xfId="0" applyFont="1" applyBorder="1" applyAlignment="1" applyProtection="1">
      <alignment horizontal="center" vertical="center" wrapText="1"/>
      <protection locked="0"/>
    </xf>
    <xf numFmtId="0" fontId="1" fillId="0" borderId="70" xfId="0" applyFont="1" applyBorder="1" applyAlignment="1" applyProtection="1">
      <alignment horizontal="center" vertical="center" wrapText="1"/>
      <protection locked="0"/>
    </xf>
    <xf numFmtId="0" fontId="1" fillId="0" borderId="17" xfId="0" applyFont="1" applyBorder="1" applyAlignment="1" applyProtection="1">
      <alignment horizontal="center" vertical="center" wrapText="1"/>
      <protection locked="0"/>
    </xf>
    <xf numFmtId="171" fontId="1" fillId="0" borderId="20" xfId="0" applyNumberFormat="1" applyFont="1" applyBorder="1" applyAlignment="1" applyProtection="1">
      <alignment horizontal="center" vertical="center" wrapText="1"/>
      <protection locked="0"/>
    </xf>
    <xf numFmtId="171" fontId="1" fillId="0" borderId="70" xfId="0" applyNumberFormat="1" applyFont="1" applyBorder="1" applyAlignment="1" applyProtection="1">
      <alignment horizontal="center" vertical="center" wrapText="1"/>
      <protection locked="0"/>
    </xf>
    <xf numFmtId="171" fontId="1" fillId="0" borderId="43" xfId="0" applyNumberFormat="1" applyFont="1" applyBorder="1" applyAlignment="1" applyProtection="1">
      <alignment horizontal="center" vertical="center" wrapText="1"/>
      <protection locked="0"/>
    </xf>
    <xf numFmtId="171" fontId="1" fillId="0" borderId="42" xfId="0" applyNumberFormat="1" applyFont="1" applyBorder="1" applyAlignment="1" applyProtection="1">
      <alignment horizontal="center" vertical="center" wrapText="1"/>
      <protection locked="0"/>
    </xf>
    <xf numFmtId="171" fontId="1" fillId="0" borderId="17" xfId="0" applyNumberFormat="1" applyFont="1" applyBorder="1" applyAlignment="1" applyProtection="1">
      <alignment horizontal="center" vertical="center" wrapText="1"/>
      <protection locked="0"/>
    </xf>
    <xf numFmtId="171" fontId="1" fillId="0" borderId="71" xfId="0" applyNumberFormat="1" applyFont="1" applyBorder="1" applyAlignment="1" applyProtection="1">
      <alignment horizontal="center" vertical="center" wrapText="1"/>
      <protection locked="0"/>
    </xf>
    <xf numFmtId="0" fontId="1" fillId="0" borderId="18" xfId="0" applyFont="1" applyBorder="1" applyAlignment="1" applyProtection="1">
      <alignment vertical="center"/>
      <protection locked="0"/>
    </xf>
    <xf numFmtId="0" fontId="1" fillId="0" borderId="24" xfId="0" applyFont="1" applyBorder="1" applyAlignment="1" applyProtection="1">
      <alignment vertical="center"/>
      <protection locked="0"/>
    </xf>
    <xf numFmtId="171" fontId="32" fillId="0" borderId="8" xfId="0" applyNumberFormat="1" applyFont="1" applyBorder="1" applyAlignment="1" applyProtection="1">
      <alignment horizontal="left" vertical="center"/>
      <protection locked="0"/>
    </xf>
    <xf numFmtId="171" fontId="32" fillId="0" borderId="9" xfId="0" applyNumberFormat="1" applyFont="1" applyBorder="1" applyAlignment="1" applyProtection="1">
      <alignment horizontal="left" vertical="center"/>
      <protection locked="0"/>
    </xf>
    <xf numFmtId="171" fontId="18" fillId="0" borderId="8" xfId="0" applyNumberFormat="1" applyFont="1" applyBorder="1" applyAlignment="1" applyProtection="1">
      <alignment horizontal="left" vertical="center"/>
      <protection locked="0"/>
    </xf>
    <xf numFmtId="171" fontId="18" fillId="0" borderId="9" xfId="0" applyNumberFormat="1" applyFont="1" applyBorder="1" applyAlignment="1" applyProtection="1">
      <alignment horizontal="left" vertical="center"/>
      <protection locked="0"/>
    </xf>
    <xf numFmtId="171" fontId="1" fillId="0" borderId="7" xfId="0" applyNumberFormat="1" applyFont="1" applyBorder="1" applyAlignment="1" applyProtection="1">
      <alignment horizontal="center" vertical="center"/>
      <protection locked="0"/>
    </xf>
    <xf numFmtId="171" fontId="1" fillId="0" borderId="8" xfId="0" applyNumberFormat="1" applyFont="1" applyBorder="1" applyAlignment="1" applyProtection="1">
      <alignment horizontal="center" vertical="center"/>
      <protection locked="0"/>
    </xf>
    <xf numFmtId="171" fontId="1" fillId="0" borderId="9" xfId="0" applyNumberFormat="1"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171" fontId="18" fillId="0" borderId="0" xfId="0" applyNumberFormat="1" applyFont="1" applyAlignment="1" applyProtection="1">
      <alignment horizontal="left" vertical="center"/>
      <protection locked="0"/>
    </xf>
    <xf numFmtId="171" fontId="18" fillId="0" borderId="22" xfId="0" applyNumberFormat="1" applyFont="1" applyBorder="1" applyAlignment="1" applyProtection="1">
      <alignment horizontal="left" vertical="center"/>
      <protection locked="0"/>
    </xf>
    <xf numFmtId="180" fontId="18" fillId="0" borderId="87" xfId="1" applyNumberFormat="1" applyFont="1" applyBorder="1" applyAlignment="1" applyProtection="1">
      <alignment horizontal="center" vertical="center"/>
      <protection locked="0"/>
    </xf>
    <xf numFmtId="0" fontId="15" fillId="0" borderId="8" xfId="0" applyFont="1" applyBorder="1" applyAlignment="1" applyProtection="1">
      <alignment horizontal="center"/>
      <protection locked="0"/>
    </xf>
    <xf numFmtId="171" fontId="32" fillId="0" borderId="19" xfId="0" applyNumberFormat="1" applyFont="1" applyBorder="1" applyAlignment="1" applyProtection="1">
      <alignment horizontal="left" vertical="center"/>
      <protection locked="0"/>
    </xf>
    <xf numFmtId="171" fontId="32" fillId="0" borderId="37" xfId="0" applyNumberFormat="1" applyFont="1" applyBorder="1" applyAlignment="1" applyProtection="1">
      <alignment horizontal="left" vertical="center"/>
      <protection locked="0"/>
    </xf>
    <xf numFmtId="0" fontId="17" fillId="2" borderId="0" xfId="0" applyFont="1" applyFill="1" applyAlignment="1" applyProtection="1">
      <alignment horizontal="center"/>
      <protection locked="0"/>
    </xf>
    <xf numFmtId="171" fontId="32" fillId="0" borderId="7" xfId="0" applyNumberFormat="1" applyFont="1" applyBorder="1" applyAlignment="1" applyProtection="1">
      <alignment horizontal="left" vertical="center"/>
      <protection locked="0"/>
    </xf>
    <xf numFmtId="171" fontId="32" fillId="0" borderId="87" xfId="0" applyNumberFormat="1" applyFont="1" applyBorder="1" applyAlignment="1" applyProtection="1">
      <alignment horizontal="center" vertical="center"/>
      <protection locked="0"/>
    </xf>
    <xf numFmtId="171" fontId="18" fillId="0" borderId="7" xfId="0" applyNumberFormat="1" applyFont="1" applyBorder="1" applyAlignment="1" applyProtection="1">
      <alignment horizontal="left" vertical="center"/>
      <protection locked="0"/>
    </xf>
    <xf numFmtId="0" fontId="1" fillId="0" borderId="19" xfId="0" applyFont="1" applyBorder="1" applyAlignment="1" applyProtection="1">
      <alignment horizontal="center"/>
      <protection locked="0"/>
    </xf>
    <xf numFmtId="2" fontId="1" fillId="0" borderId="15" xfId="0" applyNumberFormat="1" applyFont="1" applyBorder="1" applyAlignment="1" applyProtection="1">
      <alignment horizontal="center" vertical="center"/>
      <protection locked="0"/>
    </xf>
    <xf numFmtId="2" fontId="1" fillId="0" borderId="18" xfId="0" applyNumberFormat="1" applyFont="1" applyBorder="1" applyAlignment="1" applyProtection="1">
      <alignment horizontal="center" vertical="center"/>
      <protection locked="0"/>
    </xf>
    <xf numFmtId="0" fontId="1" fillId="0" borderId="31" xfId="0" applyFont="1" applyBorder="1" applyAlignment="1" applyProtection="1">
      <alignment horizontal="center" vertical="center"/>
      <protection locked="0"/>
    </xf>
    <xf numFmtId="2" fontId="1" fillId="0" borderId="15" xfId="1" applyNumberFormat="1" applyFont="1" applyBorder="1" applyAlignment="1" applyProtection="1">
      <alignment horizontal="center" vertical="center"/>
      <protection locked="0"/>
    </xf>
    <xf numFmtId="2" fontId="1" fillId="0" borderId="18" xfId="1" applyNumberFormat="1" applyFont="1" applyBorder="1" applyAlignment="1" applyProtection="1">
      <alignment horizontal="center" vertical="center"/>
      <protection locked="0"/>
    </xf>
    <xf numFmtId="14" fontId="9" fillId="5" borderId="1" xfId="0" applyNumberFormat="1" applyFont="1" applyFill="1" applyBorder="1" applyAlignment="1" applyProtection="1">
      <alignment horizontal="center" vertical="center"/>
      <protection locked="0"/>
    </xf>
    <xf numFmtId="171" fontId="15" fillId="8" borderId="1" xfId="1" applyNumberFormat="1" applyFont="1" applyFill="1" applyBorder="1" applyAlignment="1" applyProtection="1">
      <alignment horizontal="center" vertical="center"/>
      <protection locked="0"/>
    </xf>
    <xf numFmtId="0" fontId="17" fillId="0" borderId="0" xfId="0" applyFont="1" applyAlignment="1" applyProtection="1">
      <alignment horizontal="center" vertical="center"/>
      <protection locked="0"/>
    </xf>
    <xf numFmtId="0" fontId="10" fillId="5" borderId="0" xfId="0" applyFont="1" applyFill="1" applyAlignment="1" applyProtection="1">
      <alignment horizontal="center" vertical="center"/>
      <protection locked="0"/>
    </xf>
    <xf numFmtId="0" fontId="9" fillId="5" borderId="1" xfId="0" applyFont="1" applyFill="1" applyBorder="1" applyAlignment="1" applyProtection="1">
      <alignment horizontal="left" vertical="center"/>
      <protection locked="0"/>
    </xf>
    <xf numFmtId="169" fontId="1" fillId="0" borderId="1" xfId="0" applyNumberFormat="1" applyFont="1" applyBorder="1" applyAlignment="1" applyProtection="1">
      <alignment horizontal="center" vertical="center"/>
      <protection locked="0"/>
    </xf>
    <xf numFmtId="0" fontId="9" fillId="5" borderId="1" xfId="0" applyFont="1" applyFill="1" applyBorder="1" applyAlignment="1" applyProtection="1">
      <alignment horizontal="center" vertical="center"/>
      <protection locked="0"/>
    </xf>
    <xf numFmtId="0" fontId="1" fillId="0" borderId="15"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5" fillId="0" borderId="7" xfId="0" applyFont="1" applyBorder="1" applyAlignment="1" applyProtection="1">
      <alignment horizontal="center" vertical="center"/>
      <protection locked="0"/>
    </xf>
    <xf numFmtId="0" fontId="15" fillId="0" borderId="8" xfId="0" applyFont="1" applyBorder="1" applyAlignment="1" applyProtection="1">
      <alignment horizontal="center" vertical="center"/>
      <protection locked="0"/>
    </xf>
    <xf numFmtId="0" fontId="15" fillId="0" borderId="9" xfId="0" applyFont="1" applyBorder="1" applyAlignment="1" applyProtection="1">
      <alignment horizontal="center" vertical="center"/>
      <protection locked="0"/>
    </xf>
    <xf numFmtId="0" fontId="9" fillId="5" borderId="20" xfId="0" applyFont="1" applyFill="1" applyBorder="1" applyAlignment="1" applyProtection="1">
      <alignment horizontal="center" vertical="center"/>
      <protection locked="0"/>
    </xf>
    <xf numFmtId="0" fontId="9" fillId="5" borderId="43" xfId="0" applyFont="1" applyFill="1" applyBorder="1" applyAlignment="1" applyProtection="1">
      <alignment horizontal="center" vertical="center"/>
      <protection locked="0"/>
    </xf>
    <xf numFmtId="0" fontId="9" fillId="5" borderId="42" xfId="0" applyFont="1" applyFill="1" applyBorder="1" applyAlignment="1" applyProtection="1">
      <alignment horizontal="center" vertical="center"/>
      <protection locked="0"/>
    </xf>
    <xf numFmtId="0" fontId="9" fillId="5" borderId="71" xfId="0" applyFont="1" applyFill="1" applyBorder="1" applyAlignment="1" applyProtection="1">
      <alignment horizontal="center" vertical="center"/>
      <protection locked="0"/>
    </xf>
    <xf numFmtId="176" fontId="18" fillId="7" borderId="41" xfId="3" applyNumberFormat="1" applyFont="1" applyFill="1" applyBorder="1" applyAlignment="1" applyProtection="1">
      <alignment horizontal="center" vertical="center"/>
      <protection locked="0"/>
    </xf>
    <xf numFmtId="188" fontId="1" fillId="0" borderId="5" xfId="1" applyNumberFormat="1" applyFont="1" applyBorder="1" applyAlignment="1" applyProtection="1">
      <alignment horizontal="center" vertical="center"/>
      <protection locked="0"/>
    </xf>
    <xf numFmtId="176" fontId="18" fillId="7" borderId="5" xfId="3" applyNumberFormat="1" applyFont="1" applyFill="1" applyBorder="1" applyAlignment="1" applyProtection="1">
      <alignment horizontal="center" vertical="center"/>
      <protection locked="0"/>
    </xf>
    <xf numFmtId="171" fontId="1" fillId="0" borderId="36" xfId="0" applyNumberFormat="1" applyFont="1" applyBorder="1" applyAlignment="1" applyProtection="1">
      <alignment horizontal="center" vertical="center"/>
      <protection locked="0"/>
    </xf>
    <xf numFmtId="171" fontId="1" fillId="0" borderId="19" xfId="0" applyNumberFormat="1" applyFont="1" applyBorder="1" applyAlignment="1" applyProtection="1">
      <alignment horizontal="center" vertical="center"/>
      <protection locked="0"/>
    </xf>
    <xf numFmtId="171" fontId="1" fillId="0" borderId="37" xfId="0" applyNumberFormat="1" applyFont="1" applyBorder="1" applyAlignment="1" applyProtection="1">
      <alignment horizontal="center" vertical="center"/>
      <protection locked="0"/>
    </xf>
    <xf numFmtId="167" fontId="1" fillId="0" borderId="17" xfId="1" applyFont="1" applyBorder="1" applyAlignment="1" applyProtection="1">
      <alignment horizontal="center"/>
      <protection locked="0"/>
    </xf>
    <xf numFmtId="0" fontId="89" fillId="0" borderId="99" xfId="0" applyFont="1" applyBorder="1" applyAlignment="1"/>
    <xf numFmtId="0" fontId="89" fillId="0" borderId="100" xfId="0" applyFont="1" applyBorder="1" applyAlignment="1"/>
  </cellXfs>
  <cellStyles count="13">
    <cellStyle name="Comma" xfId="1" builtinId="3"/>
    <cellStyle name="Comma 2" xfId="6" xr:uid="{00000000-0005-0000-0000-000001000000}"/>
    <cellStyle name="Comma 2 2" xfId="11" xr:uid="{00000000-0005-0000-0000-000002000000}"/>
    <cellStyle name="Comma 3" xfId="9" xr:uid="{00000000-0005-0000-0000-000003000000}"/>
    <cellStyle name="Comma 6" xfId="8" xr:uid="{00000000-0005-0000-0000-000004000000}"/>
    <cellStyle name="Comma 7" xfId="4" xr:uid="{00000000-0005-0000-0000-000005000000}"/>
    <cellStyle name="Currency" xfId="5" builtinId="4"/>
    <cellStyle name="Currency 2 3" xfId="12" xr:uid="{00000000-0005-0000-0000-000007000000}"/>
    <cellStyle name="Normal" xfId="0" builtinId="0"/>
    <cellStyle name="Normal 2" xfId="3" xr:uid="{00000000-0005-0000-0000-000009000000}"/>
    <cellStyle name="Normal 2 2" xfId="10" xr:uid="{00000000-0005-0000-0000-00000A000000}"/>
    <cellStyle name="Normal 3" xfId="7" xr:uid="{00000000-0005-0000-0000-00000B000000}"/>
    <cellStyle name="Percent" xfId="2" builtinId="5"/>
  </cellStyles>
  <dxfs count="6">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
      <font>
        <condense val="0"/>
        <extend val="0"/>
        <color auto="1"/>
      </font>
      <fill>
        <patternFill patternType="solid">
          <bgColor indexed="9"/>
        </patternFill>
      </fill>
      <border>
        <left/>
        <right/>
        <top/>
        <bottom style="thin">
          <color indexed="22"/>
        </bottom>
      </border>
    </dxf>
    <dxf>
      <font>
        <condense val="0"/>
        <extend val="0"/>
        <color indexed="9"/>
      </font>
      <fill>
        <patternFill patternType="solid">
          <bgColor indexed="9"/>
        </patternFill>
      </fill>
    </dxf>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s>
  <tableStyles count="0" defaultTableStyle="TableStyleMedium2" defaultPivotStyle="PivotStyleLight16"/>
  <colors>
    <mruColors>
      <color rgb="FFF8F8F8"/>
      <color rgb="FFF4F7FA"/>
      <color rgb="FFEAF0F6"/>
      <color rgb="FF008000"/>
      <color rgb="FF33CC33"/>
      <color rgb="FFDBE5F1"/>
      <color rgb="FF006600"/>
      <color rgb="FF009900"/>
      <color rgb="FFFFFF99"/>
      <color rgb="FF66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externalLink" Target="externalLinks/externalLink2.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checked="Checked"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24752</xdr:rowOff>
    </xdr:from>
    <xdr:to>
      <xdr:col>13</xdr:col>
      <xdr:colOff>273770</xdr:colOff>
      <xdr:row>10</xdr:row>
      <xdr:rowOff>139700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208902"/>
          <a:ext cx="8414470" cy="1772298"/>
        </a:xfrm>
        <a:prstGeom prst="rect">
          <a:avLst/>
        </a:prstGeom>
      </xdr:spPr>
    </xdr:pic>
    <xdr:clientData/>
  </xdr:twoCellAnchor>
  <xdr:twoCellAnchor editAs="oneCell">
    <xdr:from>
      <xdr:col>0</xdr:col>
      <xdr:colOff>6350</xdr:colOff>
      <xdr:row>19</xdr:row>
      <xdr:rowOff>12700</xdr:rowOff>
    </xdr:from>
    <xdr:to>
      <xdr:col>19</xdr:col>
      <xdr:colOff>550926</xdr:colOff>
      <xdr:row>36</xdr:row>
      <xdr:rowOff>139293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6350" y="2774950"/>
          <a:ext cx="12190476" cy="3257143"/>
        </a:xfrm>
        <a:prstGeom prst="rect">
          <a:avLst/>
        </a:prstGeom>
      </xdr:spPr>
    </xdr:pic>
    <xdr:clientData/>
  </xdr:twoCellAnchor>
  <xdr:twoCellAnchor editAs="oneCell">
    <xdr:from>
      <xdr:col>20</xdr:col>
      <xdr:colOff>171450</xdr:colOff>
      <xdr:row>0</xdr:row>
      <xdr:rowOff>165100</xdr:rowOff>
    </xdr:from>
    <xdr:to>
      <xdr:col>29</xdr:col>
      <xdr:colOff>565149</xdr:colOff>
      <xdr:row>15</xdr:row>
      <xdr:rowOff>65100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12426950" y="165100"/>
          <a:ext cx="5880099" cy="2662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219</xdr:col>
      <xdr:colOff>144671</xdr:colOff>
      <xdr:row>0</xdr:row>
      <xdr:rowOff>0</xdr:rowOff>
    </xdr:from>
    <xdr:to>
      <xdr:col>224</xdr:col>
      <xdr:colOff>572570</xdr:colOff>
      <xdr:row>5</xdr:row>
      <xdr:rowOff>291354</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67400242" y="0"/>
          <a:ext cx="4727755" cy="1352711"/>
        </a:xfrm>
        <a:prstGeom prst="rect">
          <a:avLst/>
        </a:prstGeom>
      </xdr:spPr>
    </xdr:pic>
    <xdr:clientData/>
  </xdr:twoCellAnchor>
  <xdr:twoCellAnchor editAs="oneCell">
    <xdr:from>
      <xdr:col>219</xdr:col>
      <xdr:colOff>317501</xdr:colOff>
      <xdr:row>8</xdr:row>
      <xdr:rowOff>90714</xdr:rowOff>
    </xdr:from>
    <xdr:to>
      <xdr:col>223</xdr:col>
      <xdr:colOff>492580</xdr:colOff>
      <xdr:row>170</xdr:row>
      <xdr:rowOff>130628</xdr:rowOff>
    </xdr:to>
    <xdr:pic>
      <xdr:nvPicPr>
        <xdr:cNvPr id="4" name="Picture 3">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056001" y="2413000"/>
          <a:ext cx="3512457" cy="31332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220</xdr:col>
      <xdr:colOff>160740</xdr:colOff>
      <xdr:row>27</xdr:row>
      <xdr:rowOff>103606</xdr:rowOff>
    </xdr:from>
    <xdr:to>
      <xdr:col>224</xdr:col>
      <xdr:colOff>843639</xdr:colOff>
      <xdr:row>187</xdr:row>
      <xdr:rowOff>0</xdr:rowOff>
    </xdr:to>
    <xdr:pic>
      <xdr:nvPicPr>
        <xdr:cNvPr id="5" name="Picture 4">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4410383" y="5882106"/>
          <a:ext cx="4710614" cy="30804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18</xdr:row>
      <xdr:rowOff>111125</xdr:rowOff>
    </xdr:from>
    <xdr:to>
      <xdr:col>9</xdr:col>
      <xdr:colOff>285750</xdr:colOff>
      <xdr:row>18</xdr:row>
      <xdr:rowOff>301625</xdr:rowOff>
    </xdr:to>
    <xdr:sp macro="" textlink="">
      <xdr:nvSpPr>
        <xdr:cNvPr id="12" name="TextBox 11">
          <a:extLst>
            <a:ext uri="{FF2B5EF4-FFF2-40B4-BE49-F238E27FC236}">
              <a16:creationId xmlns:a16="http://schemas.microsoft.com/office/drawing/2014/main" id="{00000000-0008-0000-0900-00000C000000}"/>
            </a:ext>
          </a:extLst>
        </xdr:cNvPr>
        <xdr:cNvSpPr txBox="1"/>
      </xdr:nvSpPr>
      <xdr:spPr>
        <a:xfrm>
          <a:off x="3159125" y="2952750"/>
          <a:ext cx="1000125"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i="1">
              <a:solidFill>
                <a:srgbClr val="FF0000"/>
              </a:solidFill>
            </a:rPr>
            <a:t>dd/mm/yy</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8609" name="Check Box 1" hidden="1">
              <a:extLst>
                <a:ext uri="{63B3BB69-23CF-44E3-9099-C40C66FF867C}">
                  <a14:compatExt spid="_x0000_s68609"/>
                </a:ext>
                <a:ext uri="{FF2B5EF4-FFF2-40B4-BE49-F238E27FC236}">
                  <a16:creationId xmlns:a16="http://schemas.microsoft.com/office/drawing/2014/main" id="{00000000-0008-0000-0D00-00000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68610" name="Check Box 2" hidden="1">
              <a:extLst>
                <a:ext uri="{63B3BB69-23CF-44E3-9099-C40C66FF867C}">
                  <a14:compatExt spid="_x0000_s68610"/>
                </a:ext>
                <a:ext uri="{FF2B5EF4-FFF2-40B4-BE49-F238E27FC236}">
                  <a16:creationId xmlns:a16="http://schemas.microsoft.com/office/drawing/2014/main" id="{00000000-0008-0000-0D00-00000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8611" name="Check Box 3" hidden="1">
              <a:extLst>
                <a:ext uri="{63B3BB69-23CF-44E3-9099-C40C66FF867C}">
                  <a14:compatExt spid="_x0000_s68611"/>
                </a:ext>
                <a:ext uri="{FF2B5EF4-FFF2-40B4-BE49-F238E27FC236}">
                  <a16:creationId xmlns:a16="http://schemas.microsoft.com/office/drawing/2014/main" id="{00000000-0008-0000-0D00-00000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8612" name="Check Box 4" hidden="1">
              <a:extLst>
                <a:ext uri="{63B3BB69-23CF-44E3-9099-C40C66FF867C}">
                  <a14:compatExt spid="_x0000_s68612"/>
                </a:ext>
                <a:ext uri="{FF2B5EF4-FFF2-40B4-BE49-F238E27FC236}">
                  <a16:creationId xmlns:a16="http://schemas.microsoft.com/office/drawing/2014/main" id="{00000000-0008-0000-0D00-000004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8613" name="Check Box 5" hidden="1">
              <a:extLst>
                <a:ext uri="{63B3BB69-23CF-44E3-9099-C40C66FF867C}">
                  <a14:compatExt spid="_x0000_s68613"/>
                </a:ext>
                <a:ext uri="{FF2B5EF4-FFF2-40B4-BE49-F238E27FC236}">
                  <a16:creationId xmlns:a16="http://schemas.microsoft.com/office/drawing/2014/main" id="{00000000-0008-0000-0D00-000005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8614" name="Check Box 6" hidden="1">
              <a:extLst>
                <a:ext uri="{63B3BB69-23CF-44E3-9099-C40C66FF867C}">
                  <a14:compatExt spid="_x0000_s68614"/>
                </a:ext>
                <a:ext uri="{FF2B5EF4-FFF2-40B4-BE49-F238E27FC236}">
                  <a16:creationId xmlns:a16="http://schemas.microsoft.com/office/drawing/2014/main" id="{00000000-0008-0000-0D00-000006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8615" name="Check Box 7" hidden="1">
              <a:extLst>
                <a:ext uri="{63B3BB69-23CF-44E3-9099-C40C66FF867C}">
                  <a14:compatExt spid="_x0000_s68615"/>
                </a:ext>
                <a:ext uri="{FF2B5EF4-FFF2-40B4-BE49-F238E27FC236}">
                  <a16:creationId xmlns:a16="http://schemas.microsoft.com/office/drawing/2014/main" id="{00000000-0008-0000-0D00-000007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8616" name="Check Box 8" hidden="1">
              <a:extLst>
                <a:ext uri="{63B3BB69-23CF-44E3-9099-C40C66FF867C}">
                  <a14:compatExt spid="_x0000_s68616"/>
                </a:ext>
                <a:ext uri="{FF2B5EF4-FFF2-40B4-BE49-F238E27FC236}">
                  <a16:creationId xmlns:a16="http://schemas.microsoft.com/office/drawing/2014/main" id="{00000000-0008-0000-0D00-000008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8617" name="Check Box 9" hidden="1">
              <a:extLst>
                <a:ext uri="{63B3BB69-23CF-44E3-9099-C40C66FF867C}">
                  <a14:compatExt spid="_x0000_s68617"/>
                </a:ext>
                <a:ext uri="{FF2B5EF4-FFF2-40B4-BE49-F238E27FC236}">
                  <a16:creationId xmlns:a16="http://schemas.microsoft.com/office/drawing/2014/main" id="{00000000-0008-0000-0D00-000009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68618" name="Check Box 10" hidden="1">
              <a:extLst>
                <a:ext uri="{63B3BB69-23CF-44E3-9099-C40C66FF867C}">
                  <a14:compatExt spid="_x0000_s68618"/>
                </a:ext>
                <a:ext uri="{FF2B5EF4-FFF2-40B4-BE49-F238E27FC236}">
                  <a16:creationId xmlns:a16="http://schemas.microsoft.com/office/drawing/2014/main" id="{00000000-0008-0000-0D00-00000A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8619" name="Check Box 11" hidden="1">
              <a:extLst>
                <a:ext uri="{63B3BB69-23CF-44E3-9099-C40C66FF867C}">
                  <a14:compatExt spid="_x0000_s68619"/>
                </a:ext>
                <a:ext uri="{FF2B5EF4-FFF2-40B4-BE49-F238E27FC236}">
                  <a16:creationId xmlns:a16="http://schemas.microsoft.com/office/drawing/2014/main" id="{00000000-0008-0000-0D00-00000B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8620" name="Check Box 12" hidden="1">
              <a:extLst>
                <a:ext uri="{63B3BB69-23CF-44E3-9099-C40C66FF867C}">
                  <a14:compatExt spid="_x0000_s68620"/>
                </a:ext>
                <a:ext uri="{FF2B5EF4-FFF2-40B4-BE49-F238E27FC236}">
                  <a16:creationId xmlns:a16="http://schemas.microsoft.com/office/drawing/2014/main" id="{00000000-0008-0000-0D00-00000C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D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8621" name="Check Box 13" hidden="1">
              <a:extLst>
                <a:ext uri="{63B3BB69-23CF-44E3-9099-C40C66FF867C}">
                  <a14:compatExt spid="_x0000_s68621"/>
                </a:ext>
                <a:ext uri="{FF2B5EF4-FFF2-40B4-BE49-F238E27FC236}">
                  <a16:creationId xmlns:a16="http://schemas.microsoft.com/office/drawing/2014/main" id="{00000000-0008-0000-0D00-00000D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8622" name="Check Box 14" hidden="1">
              <a:extLst>
                <a:ext uri="{63B3BB69-23CF-44E3-9099-C40C66FF867C}">
                  <a14:compatExt spid="_x0000_s68622"/>
                </a:ext>
                <a:ext uri="{FF2B5EF4-FFF2-40B4-BE49-F238E27FC236}">
                  <a16:creationId xmlns:a16="http://schemas.microsoft.com/office/drawing/2014/main" id="{00000000-0008-0000-0D00-00000E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8623" name="Check Box 15" hidden="1">
              <a:extLst>
                <a:ext uri="{63B3BB69-23CF-44E3-9099-C40C66FF867C}">
                  <a14:compatExt spid="_x0000_s68623"/>
                </a:ext>
                <a:ext uri="{FF2B5EF4-FFF2-40B4-BE49-F238E27FC236}">
                  <a16:creationId xmlns:a16="http://schemas.microsoft.com/office/drawing/2014/main" id="{00000000-0008-0000-0D00-00000F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8624" name="Check Box 16" hidden="1">
              <a:extLst>
                <a:ext uri="{63B3BB69-23CF-44E3-9099-C40C66FF867C}">
                  <a14:compatExt spid="_x0000_s68624"/>
                </a:ext>
                <a:ext uri="{FF2B5EF4-FFF2-40B4-BE49-F238E27FC236}">
                  <a16:creationId xmlns:a16="http://schemas.microsoft.com/office/drawing/2014/main" id="{00000000-0008-0000-0D00-000010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8625" name="Check Box 17" hidden="1">
              <a:extLst>
                <a:ext uri="{63B3BB69-23CF-44E3-9099-C40C66FF867C}">
                  <a14:compatExt spid="_x0000_s68625"/>
                </a:ext>
                <a:ext uri="{FF2B5EF4-FFF2-40B4-BE49-F238E27FC236}">
                  <a16:creationId xmlns:a16="http://schemas.microsoft.com/office/drawing/2014/main" id="{00000000-0008-0000-0D00-00001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8626" name="Check Box 18" hidden="1">
              <a:extLst>
                <a:ext uri="{63B3BB69-23CF-44E3-9099-C40C66FF867C}">
                  <a14:compatExt spid="_x0000_s68626"/>
                </a:ext>
                <a:ext uri="{FF2B5EF4-FFF2-40B4-BE49-F238E27FC236}">
                  <a16:creationId xmlns:a16="http://schemas.microsoft.com/office/drawing/2014/main" id="{00000000-0008-0000-0D00-00001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8627" name="Check Box 19" hidden="1">
              <a:extLst>
                <a:ext uri="{63B3BB69-23CF-44E3-9099-C40C66FF867C}">
                  <a14:compatExt spid="_x0000_s68627"/>
                </a:ext>
                <a:ext uri="{FF2B5EF4-FFF2-40B4-BE49-F238E27FC236}">
                  <a16:creationId xmlns:a16="http://schemas.microsoft.com/office/drawing/2014/main" id="{00000000-0008-0000-0D00-00001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D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9633" name="Check Box 1" hidden="1">
              <a:extLst>
                <a:ext uri="{63B3BB69-23CF-44E3-9099-C40C66FF867C}">
                  <a14:compatExt spid="_x0000_s69633"/>
                </a:ext>
                <a:ext uri="{FF2B5EF4-FFF2-40B4-BE49-F238E27FC236}">
                  <a16:creationId xmlns:a16="http://schemas.microsoft.com/office/drawing/2014/main" id="{00000000-0008-0000-1300-00000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69634" name="Check Box 2" hidden="1">
              <a:extLst>
                <a:ext uri="{63B3BB69-23CF-44E3-9099-C40C66FF867C}">
                  <a14:compatExt spid="_x0000_s69634"/>
                </a:ext>
                <a:ext uri="{FF2B5EF4-FFF2-40B4-BE49-F238E27FC236}">
                  <a16:creationId xmlns:a16="http://schemas.microsoft.com/office/drawing/2014/main" id="{00000000-0008-0000-1300-00000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9635" name="Check Box 3" hidden="1">
              <a:extLst>
                <a:ext uri="{63B3BB69-23CF-44E3-9099-C40C66FF867C}">
                  <a14:compatExt spid="_x0000_s69635"/>
                </a:ext>
                <a:ext uri="{FF2B5EF4-FFF2-40B4-BE49-F238E27FC236}">
                  <a16:creationId xmlns:a16="http://schemas.microsoft.com/office/drawing/2014/main" id="{00000000-0008-0000-1300-00000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9636" name="Check Box 4" hidden="1">
              <a:extLst>
                <a:ext uri="{63B3BB69-23CF-44E3-9099-C40C66FF867C}">
                  <a14:compatExt spid="_x0000_s69636"/>
                </a:ext>
                <a:ext uri="{FF2B5EF4-FFF2-40B4-BE49-F238E27FC236}">
                  <a16:creationId xmlns:a16="http://schemas.microsoft.com/office/drawing/2014/main" id="{00000000-0008-0000-1300-00000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9637" name="Check Box 5" hidden="1">
              <a:extLst>
                <a:ext uri="{63B3BB69-23CF-44E3-9099-C40C66FF867C}">
                  <a14:compatExt spid="_x0000_s69637"/>
                </a:ext>
                <a:ext uri="{FF2B5EF4-FFF2-40B4-BE49-F238E27FC236}">
                  <a16:creationId xmlns:a16="http://schemas.microsoft.com/office/drawing/2014/main" id="{00000000-0008-0000-1300-00000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9638" name="Check Box 6" hidden="1">
              <a:extLst>
                <a:ext uri="{63B3BB69-23CF-44E3-9099-C40C66FF867C}">
                  <a14:compatExt spid="_x0000_s69638"/>
                </a:ext>
                <a:ext uri="{FF2B5EF4-FFF2-40B4-BE49-F238E27FC236}">
                  <a16:creationId xmlns:a16="http://schemas.microsoft.com/office/drawing/2014/main" id="{00000000-0008-0000-1300-00000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9639" name="Check Box 7" hidden="1">
              <a:extLst>
                <a:ext uri="{63B3BB69-23CF-44E3-9099-C40C66FF867C}">
                  <a14:compatExt spid="_x0000_s69639"/>
                </a:ext>
                <a:ext uri="{FF2B5EF4-FFF2-40B4-BE49-F238E27FC236}">
                  <a16:creationId xmlns:a16="http://schemas.microsoft.com/office/drawing/2014/main" id="{00000000-0008-0000-1300-00000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9640" name="Check Box 8" hidden="1">
              <a:extLst>
                <a:ext uri="{63B3BB69-23CF-44E3-9099-C40C66FF867C}">
                  <a14:compatExt spid="_x0000_s69640"/>
                </a:ext>
                <a:ext uri="{FF2B5EF4-FFF2-40B4-BE49-F238E27FC236}">
                  <a16:creationId xmlns:a16="http://schemas.microsoft.com/office/drawing/2014/main" id="{00000000-0008-0000-1300-00000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9641" name="Check Box 9" hidden="1">
              <a:extLst>
                <a:ext uri="{63B3BB69-23CF-44E3-9099-C40C66FF867C}">
                  <a14:compatExt spid="_x0000_s69641"/>
                </a:ext>
                <a:ext uri="{FF2B5EF4-FFF2-40B4-BE49-F238E27FC236}">
                  <a16:creationId xmlns:a16="http://schemas.microsoft.com/office/drawing/2014/main" id="{00000000-0008-0000-1300-00000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69642" name="Check Box 10" hidden="1">
              <a:extLst>
                <a:ext uri="{63B3BB69-23CF-44E3-9099-C40C66FF867C}">
                  <a14:compatExt spid="_x0000_s69642"/>
                </a:ext>
                <a:ext uri="{FF2B5EF4-FFF2-40B4-BE49-F238E27FC236}">
                  <a16:creationId xmlns:a16="http://schemas.microsoft.com/office/drawing/2014/main" id="{00000000-0008-0000-1300-00000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9643" name="Check Box 11" hidden="1">
              <a:extLst>
                <a:ext uri="{63B3BB69-23CF-44E3-9099-C40C66FF867C}">
                  <a14:compatExt spid="_x0000_s69643"/>
                </a:ext>
                <a:ext uri="{FF2B5EF4-FFF2-40B4-BE49-F238E27FC236}">
                  <a16:creationId xmlns:a16="http://schemas.microsoft.com/office/drawing/2014/main" id="{00000000-0008-0000-1300-00000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9644" name="Check Box 12" hidden="1">
              <a:extLst>
                <a:ext uri="{63B3BB69-23CF-44E3-9099-C40C66FF867C}">
                  <a14:compatExt spid="_x0000_s69644"/>
                </a:ext>
                <a:ext uri="{FF2B5EF4-FFF2-40B4-BE49-F238E27FC236}">
                  <a16:creationId xmlns:a16="http://schemas.microsoft.com/office/drawing/2014/main" id="{00000000-0008-0000-1300-00000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9645" name="Check Box 13" hidden="1">
              <a:extLst>
                <a:ext uri="{63B3BB69-23CF-44E3-9099-C40C66FF867C}">
                  <a14:compatExt spid="_x0000_s69645"/>
                </a:ext>
                <a:ext uri="{FF2B5EF4-FFF2-40B4-BE49-F238E27FC236}">
                  <a16:creationId xmlns:a16="http://schemas.microsoft.com/office/drawing/2014/main" id="{00000000-0008-0000-1300-00000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9646" name="Check Box 14" hidden="1">
              <a:extLst>
                <a:ext uri="{63B3BB69-23CF-44E3-9099-C40C66FF867C}">
                  <a14:compatExt spid="_x0000_s69646"/>
                </a:ext>
                <a:ext uri="{FF2B5EF4-FFF2-40B4-BE49-F238E27FC236}">
                  <a16:creationId xmlns:a16="http://schemas.microsoft.com/office/drawing/2014/main" id="{00000000-0008-0000-1300-00000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9647" name="Check Box 15" hidden="1">
              <a:extLst>
                <a:ext uri="{63B3BB69-23CF-44E3-9099-C40C66FF867C}">
                  <a14:compatExt spid="_x0000_s69647"/>
                </a:ext>
                <a:ext uri="{FF2B5EF4-FFF2-40B4-BE49-F238E27FC236}">
                  <a16:creationId xmlns:a16="http://schemas.microsoft.com/office/drawing/2014/main" id="{00000000-0008-0000-1300-00000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9648" name="Check Box 16" hidden="1">
              <a:extLst>
                <a:ext uri="{63B3BB69-23CF-44E3-9099-C40C66FF867C}">
                  <a14:compatExt spid="_x0000_s69648"/>
                </a:ext>
                <a:ext uri="{FF2B5EF4-FFF2-40B4-BE49-F238E27FC236}">
                  <a16:creationId xmlns:a16="http://schemas.microsoft.com/office/drawing/2014/main" id="{00000000-0008-0000-1300-00001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9649" name="Check Box 17" hidden="1">
              <a:extLst>
                <a:ext uri="{63B3BB69-23CF-44E3-9099-C40C66FF867C}">
                  <a14:compatExt spid="_x0000_s69649"/>
                </a:ext>
                <a:ext uri="{FF2B5EF4-FFF2-40B4-BE49-F238E27FC236}">
                  <a16:creationId xmlns:a16="http://schemas.microsoft.com/office/drawing/2014/main" id="{00000000-0008-0000-1300-00001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9650" name="Check Box 18" hidden="1">
              <a:extLst>
                <a:ext uri="{63B3BB69-23CF-44E3-9099-C40C66FF867C}">
                  <a14:compatExt spid="_x0000_s69650"/>
                </a:ext>
                <a:ext uri="{FF2B5EF4-FFF2-40B4-BE49-F238E27FC236}">
                  <a16:creationId xmlns:a16="http://schemas.microsoft.com/office/drawing/2014/main" id="{00000000-0008-0000-1300-00001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9651" name="Check Box 19" hidden="1">
              <a:extLst>
                <a:ext uri="{63B3BB69-23CF-44E3-9099-C40C66FF867C}">
                  <a14:compatExt spid="_x0000_s69651"/>
                </a:ext>
                <a:ext uri="{FF2B5EF4-FFF2-40B4-BE49-F238E27FC236}">
                  <a16:creationId xmlns:a16="http://schemas.microsoft.com/office/drawing/2014/main" id="{00000000-0008-0000-1300-00001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0</xdr:colOff>
      <xdr:row>102</xdr:row>
      <xdr:rowOff>0</xdr:rowOff>
    </xdr:from>
    <xdr:to>
      <xdr:col>21</xdr:col>
      <xdr:colOff>95251</xdr:colOff>
      <xdr:row>111</xdr:row>
      <xdr:rowOff>57150</xdr:rowOff>
    </xdr:to>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19050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15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15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15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15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15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15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15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15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15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15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15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15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5" name="TextBox 14">
          <a:extLst>
            <a:ext uri="{FF2B5EF4-FFF2-40B4-BE49-F238E27FC236}">
              <a16:creationId xmlns:a16="http://schemas.microsoft.com/office/drawing/2014/main" id="{00000000-0008-0000-1500-00000F000000}"/>
            </a:ext>
          </a:extLst>
        </xdr:cNvPr>
        <xdr:cNvSpPr txBox="1"/>
      </xdr:nvSpPr>
      <xdr:spPr>
        <a:xfrm>
          <a:off x="0" y="7975787"/>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15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15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16412" name="Check Box 28" hidden="1">
              <a:extLst>
                <a:ext uri="{63B3BB69-23CF-44E3-9099-C40C66FF867C}">
                  <a14:compatExt spid="_x0000_s16412"/>
                </a:ext>
                <a:ext uri="{FF2B5EF4-FFF2-40B4-BE49-F238E27FC236}">
                  <a16:creationId xmlns:a16="http://schemas.microsoft.com/office/drawing/2014/main" id="{00000000-0008-0000-15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16413" name="Check Box 29" hidden="1">
              <a:extLst>
                <a:ext uri="{63B3BB69-23CF-44E3-9099-C40C66FF867C}">
                  <a14:compatExt spid="_x0000_s16413"/>
                </a:ext>
                <a:ext uri="{FF2B5EF4-FFF2-40B4-BE49-F238E27FC236}">
                  <a16:creationId xmlns:a16="http://schemas.microsoft.com/office/drawing/2014/main" id="{00000000-0008-0000-1500-00001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16414" name="Check Box 30" hidden="1">
              <a:extLst>
                <a:ext uri="{63B3BB69-23CF-44E3-9099-C40C66FF867C}">
                  <a14:compatExt spid="_x0000_s16414"/>
                </a:ext>
                <a:ext uri="{FF2B5EF4-FFF2-40B4-BE49-F238E27FC236}">
                  <a16:creationId xmlns:a16="http://schemas.microsoft.com/office/drawing/2014/main" id="{00000000-0008-0000-15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16415" name="Check Box 31" hidden="1">
              <a:extLst>
                <a:ext uri="{63B3BB69-23CF-44E3-9099-C40C66FF867C}">
                  <a14:compatExt spid="_x0000_s16415"/>
                </a:ext>
                <a:ext uri="{FF2B5EF4-FFF2-40B4-BE49-F238E27FC236}">
                  <a16:creationId xmlns:a16="http://schemas.microsoft.com/office/drawing/2014/main" id="{00000000-0008-0000-15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16416" name="Check Box 32" hidden="1">
              <a:extLst>
                <a:ext uri="{63B3BB69-23CF-44E3-9099-C40C66FF867C}">
                  <a14:compatExt spid="_x0000_s16416"/>
                </a:ext>
                <a:ext uri="{FF2B5EF4-FFF2-40B4-BE49-F238E27FC236}">
                  <a16:creationId xmlns:a16="http://schemas.microsoft.com/office/drawing/2014/main" id="{00000000-0008-0000-15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0657" name="Check Box 1" hidden="1">
              <a:extLst>
                <a:ext uri="{63B3BB69-23CF-44E3-9099-C40C66FF867C}">
                  <a14:compatExt spid="_x0000_s70657"/>
                </a:ext>
                <a:ext uri="{FF2B5EF4-FFF2-40B4-BE49-F238E27FC236}">
                  <a16:creationId xmlns:a16="http://schemas.microsoft.com/office/drawing/2014/main" id="{00000000-0008-0000-1700-00000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0658" name="Check Box 2" hidden="1">
              <a:extLst>
                <a:ext uri="{63B3BB69-23CF-44E3-9099-C40C66FF867C}">
                  <a14:compatExt spid="_x0000_s70658"/>
                </a:ext>
                <a:ext uri="{FF2B5EF4-FFF2-40B4-BE49-F238E27FC236}">
                  <a16:creationId xmlns:a16="http://schemas.microsoft.com/office/drawing/2014/main" id="{00000000-0008-0000-1700-00000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0659" name="Check Box 3" hidden="1">
              <a:extLst>
                <a:ext uri="{63B3BB69-23CF-44E3-9099-C40C66FF867C}">
                  <a14:compatExt spid="_x0000_s70659"/>
                </a:ext>
                <a:ext uri="{FF2B5EF4-FFF2-40B4-BE49-F238E27FC236}">
                  <a16:creationId xmlns:a16="http://schemas.microsoft.com/office/drawing/2014/main" id="{00000000-0008-0000-1700-00000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0660" name="Check Box 4" hidden="1">
              <a:extLst>
                <a:ext uri="{63B3BB69-23CF-44E3-9099-C40C66FF867C}">
                  <a14:compatExt spid="_x0000_s70660"/>
                </a:ext>
                <a:ext uri="{FF2B5EF4-FFF2-40B4-BE49-F238E27FC236}">
                  <a16:creationId xmlns:a16="http://schemas.microsoft.com/office/drawing/2014/main" id="{00000000-0008-0000-1700-000004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0661" name="Check Box 5" hidden="1">
              <a:extLst>
                <a:ext uri="{63B3BB69-23CF-44E3-9099-C40C66FF867C}">
                  <a14:compatExt spid="_x0000_s70661"/>
                </a:ext>
                <a:ext uri="{FF2B5EF4-FFF2-40B4-BE49-F238E27FC236}">
                  <a16:creationId xmlns:a16="http://schemas.microsoft.com/office/drawing/2014/main" id="{00000000-0008-0000-1700-000005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0662" name="Check Box 6" hidden="1">
              <a:extLst>
                <a:ext uri="{63B3BB69-23CF-44E3-9099-C40C66FF867C}">
                  <a14:compatExt spid="_x0000_s70662"/>
                </a:ext>
                <a:ext uri="{FF2B5EF4-FFF2-40B4-BE49-F238E27FC236}">
                  <a16:creationId xmlns:a16="http://schemas.microsoft.com/office/drawing/2014/main" id="{00000000-0008-0000-1700-000006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0663" name="Check Box 7" hidden="1">
              <a:extLst>
                <a:ext uri="{63B3BB69-23CF-44E3-9099-C40C66FF867C}">
                  <a14:compatExt spid="_x0000_s70663"/>
                </a:ext>
                <a:ext uri="{FF2B5EF4-FFF2-40B4-BE49-F238E27FC236}">
                  <a16:creationId xmlns:a16="http://schemas.microsoft.com/office/drawing/2014/main" id="{00000000-0008-0000-1700-000007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0664" name="Check Box 8" hidden="1">
              <a:extLst>
                <a:ext uri="{63B3BB69-23CF-44E3-9099-C40C66FF867C}">
                  <a14:compatExt spid="_x0000_s70664"/>
                </a:ext>
                <a:ext uri="{FF2B5EF4-FFF2-40B4-BE49-F238E27FC236}">
                  <a16:creationId xmlns:a16="http://schemas.microsoft.com/office/drawing/2014/main" id="{00000000-0008-0000-1700-000008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0665" name="Check Box 9" hidden="1">
              <a:extLst>
                <a:ext uri="{63B3BB69-23CF-44E3-9099-C40C66FF867C}">
                  <a14:compatExt spid="_x0000_s70665"/>
                </a:ext>
                <a:ext uri="{FF2B5EF4-FFF2-40B4-BE49-F238E27FC236}">
                  <a16:creationId xmlns:a16="http://schemas.microsoft.com/office/drawing/2014/main" id="{00000000-0008-0000-1700-000009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0666" name="Check Box 10" hidden="1">
              <a:extLst>
                <a:ext uri="{63B3BB69-23CF-44E3-9099-C40C66FF867C}">
                  <a14:compatExt spid="_x0000_s70666"/>
                </a:ext>
                <a:ext uri="{FF2B5EF4-FFF2-40B4-BE49-F238E27FC236}">
                  <a16:creationId xmlns:a16="http://schemas.microsoft.com/office/drawing/2014/main" id="{00000000-0008-0000-1700-00000A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0667" name="Check Box 11" hidden="1">
              <a:extLst>
                <a:ext uri="{63B3BB69-23CF-44E3-9099-C40C66FF867C}">
                  <a14:compatExt spid="_x0000_s70667"/>
                </a:ext>
                <a:ext uri="{FF2B5EF4-FFF2-40B4-BE49-F238E27FC236}">
                  <a16:creationId xmlns:a16="http://schemas.microsoft.com/office/drawing/2014/main" id="{00000000-0008-0000-1700-00000B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0668" name="Check Box 12" hidden="1">
              <a:extLst>
                <a:ext uri="{63B3BB69-23CF-44E3-9099-C40C66FF867C}">
                  <a14:compatExt spid="_x0000_s70668"/>
                </a:ext>
                <a:ext uri="{FF2B5EF4-FFF2-40B4-BE49-F238E27FC236}">
                  <a16:creationId xmlns:a16="http://schemas.microsoft.com/office/drawing/2014/main" id="{00000000-0008-0000-1700-00000C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0669" name="Check Box 13" hidden="1">
              <a:extLst>
                <a:ext uri="{63B3BB69-23CF-44E3-9099-C40C66FF867C}">
                  <a14:compatExt spid="_x0000_s70669"/>
                </a:ext>
                <a:ext uri="{FF2B5EF4-FFF2-40B4-BE49-F238E27FC236}">
                  <a16:creationId xmlns:a16="http://schemas.microsoft.com/office/drawing/2014/main" id="{00000000-0008-0000-1700-00000D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0670" name="Check Box 14" hidden="1">
              <a:extLst>
                <a:ext uri="{63B3BB69-23CF-44E3-9099-C40C66FF867C}">
                  <a14:compatExt spid="_x0000_s70670"/>
                </a:ext>
                <a:ext uri="{FF2B5EF4-FFF2-40B4-BE49-F238E27FC236}">
                  <a16:creationId xmlns:a16="http://schemas.microsoft.com/office/drawing/2014/main" id="{00000000-0008-0000-1700-00000E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0671" name="Check Box 15" hidden="1">
              <a:extLst>
                <a:ext uri="{63B3BB69-23CF-44E3-9099-C40C66FF867C}">
                  <a14:compatExt spid="_x0000_s70671"/>
                </a:ext>
                <a:ext uri="{FF2B5EF4-FFF2-40B4-BE49-F238E27FC236}">
                  <a16:creationId xmlns:a16="http://schemas.microsoft.com/office/drawing/2014/main" id="{00000000-0008-0000-1700-00000F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0672" name="Check Box 16" hidden="1">
              <a:extLst>
                <a:ext uri="{63B3BB69-23CF-44E3-9099-C40C66FF867C}">
                  <a14:compatExt spid="_x0000_s70672"/>
                </a:ext>
                <a:ext uri="{FF2B5EF4-FFF2-40B4-BE49-F238E27FC236}">
                  <a16:creationId xmlns:a16="http://schemas.microsoft.com/office/drawing/2014/main" id="{00000000-0008-0000-1700-000010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0673" name="Check Box 17" hidden="1">
              <a:extLst>
                <a:ext uri="{63B3BB69-23CF-44E3-9099-C40C66FF867C}">
                  <a14:compatExt spid="_x0000_s70673"/>
                </a:ext>
                <a:ext uri="{FF2B5EF4-FFF2-40B4-BE49-F238E27FC236}">
                  <a16:creationId xmlns:a16="http://schemas.microsoft.com/office/drawing/2014/main" id="{00000000-0008-0000-1700-00001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0674" name="Check Box 18" hidden="1">
              <a:extLst>
                <a:ext uri="{63B3BB69-23CF-44E3-9099-C40C66FF867C}">
                  <a14:compatExt spid="_x0000_s70674"/>
                </a:ext>
                <a:ext uri="{FF2B5EF4-FFF2-40B4-BE49-F238E27FC236}">
                  <a16:creationId xmlns:a16="http://schemas.microsoft.com/office/drawing/2014/main" id="{00000000-0008-0000-1700-00001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0675" name="Check Box 19" hidden="1">
              <a:extLst>
                <a:ext uri="{63B3BB69-23CF-44E3-9099-C40C66FF867C}">
                  <a14:compatExt spid="_x0000_s70675"/>
                </a:ext>
                <a:ext uri="{FF2B5EF4-FFF2-40B4-BE49-F238E27FC236}">
                  <a16:creationId xmlns:a16="http://schemas.microsoft.com/office/drawing/2014/main" id="{00000000-0008-0000-1700-00001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7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1681" name="Check Box 1" hidden="1">
              <a:extLst>
                <a:ext uri="{63B3BB69-23CF-44E3-9099-C40C66FF867C}">
                  <a14:compatExt spid="_x0000_s71681"/>
                </a:ext>
                <a:ext uri="{FF2B5EF4-FFF2-40B4-BE49-F238E27FC236}">
                  <a16:creationId xmlns:a16="http://schemas.microsoft.com/office/drawing/2014/main" id="{00000000-0008-0000-1900-00000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1682" name="Check Box 2" hidden="1">
              <a:extLst>
                <a:ext uri="{63B3BB69-23CF-44E3-9099-C40C66FF867C}">
                  <a14:compatExt spid="_x0000_s71682"/>
                </a:ext>
                <a:ext uri="{FF2B5EF4-FFF2-40B4-BE49-F238E27FC236}">
                  <a16:creationId xmlns:a16="http://schemas.microsoft.com/office/drawing/2014/main" id="{00000000-0008-0000-1900-00000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1683" name="Check Box 3" hidden="1">
              <a:extLst>
                <a:ext uri="{63B3BB69-23CF-44E3-9099-C40C66FF867C}">
                  <a14:compatExt spid="_x0000_s71683"/>
                </a:ext>
                <a:ext uri="{FF2B5EF4-FFF2-40B4-BE49-F238E27FC236}">
                  <a16:creationId xmlns:a16="http://schemas.microsoft.com/office/drawing/2014/main" id="{00000000-0008-0000-1900-00000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1684" name="Check Box 4" hidden="1">
              <a:extLst>
                <a:ext uri="{63B3BB69-23CF-44E3-9099-C40C66FF867C}">
                  <a14:compatExt spid="_x0000_s71684"/>
                </a:ext>
                <a:ext uri="{FF2B5EF4-FFF2-40B4-BE49-F238E27FC236}">
                  <a16:creationId xmlns:a16="http://schemas.microsoft.com/office/drawing/2014/main" id="{00000000-0008-0000-1900-000004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1685" name="Check Box 5" hidden="1">
              <a:extLst>
                <a:ext uri="{63B3BB69-23CF-44E3-9099-C40C66FF867C}">
                  <a14:compatExt spid="_x0000_s71685"/>
                </a:ext>
                <a:ext uri="{FF2B5EF4-FFF2-40B4-BE49-F238E27FC236}">
                  <a16:creationId xmlns:a16="http://schemas.microsoft.com/office/drawing/2014/main" id="{00000000-0008-0000-1900-000005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1686" name="Check Box 6" hidden="1">
              <a:extLst>
                <a:ext uri="{63B3BB69-23CF-44E3-9099-C40C66FF867C}">
                  <a14:compatExt spid="_x0000_s71686"/>
                </a:ext>
                <a:ext uri="{FF2B5EF4-FFF2-40B4-BE49-F238E27FC236}">
                  <a16:creationId xmlns:a16="http://schemas.microsoft.com/office/drawing/2014/main" id="{00000000-0008-0000-1900-000006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1687" name="Check Box 7" hidden="1">
              <a:extLst>
                <a:ext uri="{63B3BB69-23CF-44E3-9099-C40C66FF867C}">
                  <a14:compatExt spid="_x0000_s71687"/>
                </a:ext>
                <a:ext uri="{FF2B5EF4-FFF2-40B4-BE49-F238E27FC236}">
                  <a16:creationId xmlns:a16="http://schemas.microsoft.com/office/drawing/2014/main" id="{00000000-0008-0000-1900-000007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1688" name="Check Box 8" hidden="1">
              <a:extLst>
                <a:ext uri="{63B3BB69-23CF-44E3-9099-C40C66FF867C}">
                  <a14:compatExt spid="_x0000_s71688"/>
                </a:ext>
                <a:ext uri="{FF2B5EF4-FFF2-40B4-BE49-F238E27FC236}">
                  <a16:creationId xmlns:a16="http://schemas.microsoft.com/office/drawing/2014/main" id="{00000000-0008-0000-1900-000008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1689" name="Check Box 9" hidden="1">
              <a:extLst>
                <a:ext uri="{63B3BB69-23CF-44E3-9099-C40C66FF867C}">
                  <a14:compatExt spid="_x0000_s71689"/>
                </a:ext>
                <a:ext uri="{FF2B5EF4-FFF2-40B4-BE49-F238E27FC236}">
                  <a16:creationId xmlns:a16="http://schemas.microsoft.com/office/drawing/2014/main" id="{00000000-0008-0000-1900-000009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1690" name="Check Box 10" hidden="1">
              <a:extLst>
                <a:ext uri="{63B3BB69-23CF-44E3-9099-C40C66FF867C}">
                  <a14:compatExt spid="_x0000_s71690"/>
                </a:ext>
                <a:ext uri="{FF2B5EF4-FFF2-40B4-BE49-F238E27FC236}">
                  <a16:creationId xmlns:a16="http://schemas.microsoft.com/office/drawing/2014/main" id="{00000000-0008-0000-1900-00000A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1691" name="Check Box 11" hidden="1">
              <a:extLst>
                <a:ext uri="{63B3BB69-23CF-44E3-9099-C40C66FF867C}">
                  <a14:compatExt spid="_x0000_s71691"/>
                </a:ext>
                <a:ext uri="{FF2B5EF4-FFF2-40B4-BE49-F238E27FC236}">
                  <a16:creationId xmlns:a16="http://schemas.microsoft.com/office/drawing/2014/main" id="{00000000-0008-0000-1900-00000B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1692" name="Check Box 12" hidden="1">
              <a:extLst>
                <a:ext uri="{63B3BB69-23CF-44E3-9099-C40C66FF867C}">
                  <a14:compatExt spid="_x0000_s71692"/>
                </a:ext>
                <a:ext uri="{FF2B5EF4-FFF2-40B4-BE49-F238E27FC236}">
                  <a16:creationId xmlns:a16="http://schemas.microsoft.com/office/drawing/2014/main" id="{00000000-0008-0000-1900-00000C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9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1693" name="Check Box 13" hidden="1">
              <a:extLst>
                <a:ext uri="{63B3BB69-23CF-44E3-9099-C40C66FF867C}">
                  <a14:compatExt spid="_x0000_s71693"/>
                </a:ext>
                <a:ext uri="{FF2B5EF4-FFF2-40B4-BE49-F238E27FC236}">
                  <a16:creationId xmlns:a16="http://schemas.microsoft.com/office/drawing/2014/main" id="{00000000-0008-0000-1900-00000D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1694" name="Check Box 14" hidden="1">
              <a:extLst>
                <a:ext uri="{63B3BB69-23CF-44E3-9099-C40C66FF867C}">
                  <a14:compatExt spid="_x0000_s71694"/>
                </a:ext>
                <a:ext uri="{FF2B5EF4-FFF2-40B4-BE49-F238E27FC236}">
                  <a16:creationId xmlns:a16="http://schemas.microsoft.com/office/drawing/2014/main" id="{00000000-0008-0000-1900-00000E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1695" name="Check Box 15" hidden="1">
              <a:extLst>
                <a:ext uri="{63B3BB69-23CF-44E3-9099-C40C66FF867C}">
                  <a14:compatExt spid="_x0000_s71695"/>
                </a:ext>
                <a:ext uri="{FF2B5EF4-FFF2-40B4-BE49-F238E27FC236}">
                  <a16:creationId xmlns:a16="http://schemas.microsoft.com/office/drawing/2014/main" id="{00000000-0008-0000-1900-00000F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1696" name="Check Box 16" hidden="1">
              <a:extLst>
                <a:ext uri="{63B3BB69-23CF-44E3-9099-C40C66FF867C}">
                  <a14:compatExt spid="_x0000_s71696"/>
                </a:ext>
                <a:ext uri="{FF2B5EF4-FFF2-40B4-BE49-F238E27FC236}">
                  <a16:creationId xmlns:a16="http://schemas.microsoft.com/office/drawing/2014/main" id="{00000000-0008-0000-1900-000010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1697" name="Check Box 17" hidden="1">
              <a:extLst>
                <a:ext uri="{63B3BB69-23CF-44E3-9099-C40C66FF867C}">
                  <a14:compatExt spid="_x0000_s71697"/>
                </a:ext>
                <a:ext uri="{FF2B5EF4-FFF2-40B4-BE49-F238E27FC236}">
                  <a16:creationId xmlns:a16="http://schemas.microsoft.com/office/drawing/2014/main" id="{00000000-0008-0000-1900-00001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1698" name="Check Box 18" hidden="1">
              <a:extLst>
                <a:ext uri="{63B3BB69-23CF-44E3-9099-C40C66FF867C}">
                  <a14:compatExt spid="_x0000_s71698"/>
                </a:ext>
                <a:ext uri="{FF2B5EF4-FFF2-40B4-BE49-F238E27FC236}">
                  <a16:creationId xmlns:a16="http://schemas.microsoft.com/office/drawing/2014/main" id="{00000000-0008-0000-1900-00001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1699" name="Check Box 19" hidden="1">
              <a:extLst>
                <a:ext uri="{63B3BB69-23CF-44E3-9099-C40C66FF867C}">
                  <a14:compatExt spid="_x0000_s71699"/>
                </a:ext>
                <a:ext uri="{FF2B5EF4-FFF2-40B4-BE49-F238E27FC236}">
                  <a16:creationId xmlns:a16="http://schemas.microsoft.com/office/drawing/2014/main" id="{00000000-0008-0000-1900-00001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9525</xdr:rowOff>
    </xdr:from>
    <xdr:to>
      <xdr:col>20</xdr:col>
      <xdr:colOff>180975</xdr:colOff>
      <xdr:row>109</xdr:row>
      <xdr:rowOff>104775</xdr:rowOff>
    </xdr:to>
    <xdr:sp macro="" textlink="">
      <xdr:nvSpPr>
        <xdr:cNvPr id="22" name="TextBox 21">
          <a:extLst>
            <a:ext uri="{FF2B5EF4-FFF2-40B4-BE49-F238E27FC236}">
              <a16:creationId xmlns:a16="http://schemas.microsoft.com/office/drawing/2014/main" id="{00000000-0008-0000-1900-000016000000}"/>
            </a:ext>
          </a:extLst>
        </xdr:cNvPr>
        <xdr:cNvSpPr txBox="1"/>
      </xdr:nvSpPr>
      <xdr:spPr>
        <a:xfrm>
          <a:off x="0" y="18592800"/>
          <a:ext cx="7772400" cy="1562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a:t>
          </a:r>
          <a:r>
            <a:rPr lang="en-PH" sz="750" b="1">
              <a:solidFill>
                <a:schemeClr val="dk1"/>
              </a:solidFill>
              <a:effectLst/>
              <a:latin typeface="Century Gothic" panose="020B0502020202020204" pitchFamily="34" charset="0"/>
              <a:ea typeface="+mn-ea"/>
              <a:cs typeface="+mn-cs"/>
            </a:rPr>
            <a:t>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endParaRPr lang="en-PH" sz="750">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2705" name="Check Box 1" hidden="1">
              <a:extLst>
                <a:ext uri="{63B3BB69-23CF-44E3-9099-C40C66FF867C}">
                  <a14:compatExt spid="_x0000_s72705"/>
                </a:ext>
                <a:ext uri="{FF2B5EF4-FFF2-40B4-BE49-F238E27FC236}">
                  <a16:creationId xmlns:a16="http://schemas.microsoft.com/office/drawing/2014/main" id="{00000000-0008-0000-1C00-00000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2706" name="Check Box 2" hidden="1">
              <a:extLst>
                <a:ext uri="{63B3BB69-23CF-44E3-9099-C40C66FF867C}">
                  <a14:compatExt spid="_x0000_s72706"/>
                </a:ext>
                <a:ext uri="{FF2B5EF4-FFF2-40B4-BE49-F238E27FC236}">
                  <a16:creationId xmlns:a16="http://schemas.microsoft.com/office/drawing/2014/main" id="{00000000-0008-0000-1C00-00000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2707" name="Check Box 3" hidden="1">
              <a:extLst>
                <a:ext uri="{63B3BB69-23CF-44E3-9099-C40C66FF867C}">
                  <a14:compatExt spid="_x0000_s72707"/>
                </a:ext>
                <a:ext uri="{FF2B5EF4-FFF2-40B4-BE49-F238E27FC236}">
                  <a16:creationId xmlns:a16="http://schemas.microsoft.com/office/drawing/2014/main" id="{00000000-0008-0000-1C00-00000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2708" name="Check Box 4" hidden="1">
              <a:extLst>
                <a:ext uri="{63B3BB69-23CF-44E3-9099-C40C66FF867C}">
                  <a14:compatExt spid="_x0000_s72708"/>
                </a:ext>
                <a:ext uri="{FF2B5EF4-FFF2-40B4-BE49-F238E27FC236}">
                  <a16:creationId xmlns:a16="http://schemas.microsoft.com/office/drawing/2014/main" id="{00000000-0008-0000-1C00-000004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2709" name="Check Box 5" hidden="1">
              <a:extLst>
                <a:ext uri="{63B3BB69-23CF-44E3-9099-C40C66FF867C}">
                  <a14:compatExt spid="_x0000_s72709"/>
                </a:ext>
                <a:ext uri="{FF2B5EF4-FFF2-40B4-BE49-F238E27FC236}">
                  <a16:creationId xmlns:a16="http://schemas.microsoft.com/office/drawing/2014/main" id="{00000000-0008-0000-1C00-000005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2710" name="Check Box 6" hidden="1">
              <a:extLst>
                <a:ext uri="{63B3BB69-23CF-44E3-9099-C40C66FF867C}">
                  <a14:compatExt spid="_x0000_s72710"/>
                </a:ext>
                <a:ext uri="{FF2B5EF4-FFF2-40B4-BE49-F238E27FC236}">
                  <a16:creationId xmlns:a16="http://schemas.microsoft.com/office/drawing/2014/main" id="{00000000-0008-0000-1C00-000006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2711" name="Check Box 7" hidden="1">
              <a:extLst>
                <a:ext uri="{63B3BB69-23CF-44E3-9099-C40C66FF867C}">
                  <a14:compatExt spid="_x0000_s72711"/>
                </a:ext>
                <a:ext uri="{FF2B5EF4-FFF2-40B4-BE49-F238E27FC236}">
                  <a16:creationId xmlns:a16="http://schemas.microsoft.com/office/drawing/2014/main" id="{00000000-0008-0000-1C00-000007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2712" name="Check Box 8" hidden="1">
              <a:extLst>
                <a:ext uri="{63B3BB69-23CF-44E3-9099-C40C66FF867C}">
                  <a14:compatExt spid="_x0000_s72712"/>
                </a:ext>
                <a:ext uri="{FF2B5EF4-FFF2-40B4-BE49-F238E27FC236}">
                  <a16:creationId xmlns:a16="http://schemas.microsoft.com/office/drawing/2014/main" id="{00000000-0008-0000-1C00-000008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2713" name="Check Box 9" hidden="1">
              <a:extLst>
                <a:ext uri="{63B3BB69-23CF-44E3-9099-C40C66FF867C}">
                  <a14:compatExt spid="_x0000_s72713"/>
                </a:ext>
                <a:ext uri="{FF2B5EF4-FFF2-40B4-BE49-F238E27FC236}">
                  <a16:creationId xmlns:a16="http://schemas.microsoft.com/office/drawing/2014/main" id="{00000000-0008-0000-1C00-000009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2714" name="Check Box 10" hidden="1">
              <a:extLst>
                <a:ext uri="{63B3BB69-23CF-44E3-9099-C40C66FF867C}">
                  <a14:compatExt spid="_x0000_s72714"/>
                </a:ext>
                <a:ext uri="{FF2B5EF4-FFF2-40B4-BE49-F238E27FC236}">
                  <a16:creationId xmlns:a16="http://schemas.microsoft.com/office/drawing/2014/main" id="{00000000-0008-0000-1C00-00000A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2715" name="Check Box 11" hidden="1">
              <a:extLst>
                <a:ext uri="{63B3BB69-23CF-44E3-9099-C40C66FF867C}">
                  <a14:compatExt spid="_x0000_s72715"/>
                </a:ext>
                <a:ext uri="{FF2B5EF4-FFF2-40B4-BE49-F238E27FC236}">
                  <a16:creationId xmlns:a16="http://schemas.microsoft.com/office/drawing/2014/main" id="{00000000-0008-0000-1C00-00000B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2716" name="Check Box 12" hidden="1">
              <a:extLst>
                <a:ext uri="{63B3BB69-23CF-44E3-9099-C40C66FF867C}">
                  <a14:compatExt spid="_x0000_s72716"/>
                </a:ext>
                <a:ext uri="{FF2B5EF4-FFF2-40B4-BE49-F238E27FC236}">
                  <a16:creationId xmlns:a16="http://schemas.microsoft.com/office/drawing/2014/main" id="{00000000-0008-0000-1C00-00000C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2717" name="Check Box 13" hidden="1">
              <a:extLst>
                <a:ext uri="{63B3BB69-23CF-44E3-9099-C40C66FF867C}">
                  <a14:compatExt spid="_x0000_s72717"/>
                </a:ext>
                <a:ext uri="{FF2B5EF4-FFF2-40B4-BE49-F238E27FC236}">
                  <a16:creationId xmlns:a16="http://schemas.microsoft.com/office/drawing/2014/main" id="{00000000-0008-0000-1C00-00000D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2718" name="Check Box 14" hidden="1">
              <a:extLst>
                <a:ext uri="{63B3BB69-23CF-44E3-9099-C40C66FF867C}">
                  <a14:compatExt spid="_x0000_s72718"/>
                </a:ext>
                <a:ext uri="{FF2B5EF4-FFF2-40B4-BE49-F238E27FC236}">
                  <a16:creationId xmlns:a16="http://schemas.microsoft.com/office/drawing/2014/main" id="{00000000-0008-0000-1C00-00000E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2719" name="Check Box 15" hidden="1">
              <a:extLst>
                <a:ext uri="{63B3BB69-23CF-44E3-9099-C40C66FF867C}">
                  <a14:compatExt spid="_x0000_s72719"/>
                </a:ext>
                <a:ext uri="{FF2B5EF4-FFF2-40B4-BE49-F238E27FC236}">
                  <a16:creationId xmlns:a16="http://schemas.microsoft.com/office/drawing/2014/main" id="{00000000-0008-0000-1C00-00000F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2720" name="Check Box 16" hidden="1">
              <a:extLst>
                <a:ext uri="{63B3BB69-23CF-44E3-9099-C40C66FF867C}">
                  <a14:compatExt spid="_x0000_s72720"/>
                </a:ext>
                <a:ext uri="{FF2B5EF4-FFF2-40B4-BE49-F238E27FC236}">
                  <a16:creationId xmlns:a16="http://schemas.microsoft.com/office/drawing/2014/main" id="{00000000-0008-0000-1C00-000010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2721" name="Check Box 17" hidden="1">
              <a:extLst>
                <a:ext uri="{63B3BB69-23CF-44E3-9099-C40C66FF867C}">
                  <a14:compatExt spid="_x0000_s72721"/>
                </a:ext>
                <a:ext uri="{FF2B5EF4-FFF2-40B4-BE49-F238E27FC236}">
                  <a16:creationId xmlns:a16="http://schemas.microsoft.com/office/drawing/2014/main" id="{00000000-0008-0000-1C00-00001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2722" name="Check Box 18" hidden="1">
              <a:extLst>
                <a:ext uri="{63B3BB69-23CF-44E3-9099-C40C66FF867C}">
                  <a14:compatExt spid="_x0000_s72722"/>
                </a:ext>
                <a:ext uri="{FF2B5EF4-FFF2-40B4-BE49-F238E27FC236}">
                  <a16:creationId xmlns:a16="http://schemas.microsoft.com/office/drawing/2014/main" id="{00000000-0008-0000-1C00-00001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2723" name="Check Box 19" hidden="1">
              <a:extLst>
                <a:ext uri="{63B3BB69-23CF-44E3-9099-C40C66FF867C}">
                  <a14:compatExt spid="_x0000_s72723"/>
                </a:ext>
                <a:ext uri="{FF2B5EF4-FFF2-40B4-BE49-F238E27FC236}">
                  <a16:creationId xmlns:a16="http://schemas.microsoft.com/office/drawing/2014/main" id="{00000000-0008-0000-1C00-00001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C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3729" name="Check Box 1" hidden="1">
              <a:extLst>
                <a:ext uri="{63B3BB69-23CF-44E3-9099-C40C66FF867C}">
                  <a14:compatExt spid="_x0000_s73729"/>
                </a:ext>
                <a:ext uri="{FF2B5EF4-FFF2-40B4-BE49-F238E27FC236}">
                  <a16:creationId xmlns:a16="http://schemas.microsoft.com/office/drawing/2014/main" id="{00000000-0008-0000-1E00-00000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3730" name="Check Box 2" hidden="1">
              <a:extLst>
                <a:ext uri="{63B3BB69-23CF-44E3-9099-C40C66FF867C}">
                  <a14:compatExt spid="_x0000_s73730"/>
                </a:ext>
                <a:ext uri="{FF2B5EF4-FFF2-40B4-BE49-F238E27FC236}">
                  <a16:creationId xmlns:a16="http://schemas.microsoft.com/office/drawing/2014/main" id="{00000000-0008-0000-1E00-00000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3731" name="Check Box 3" hidden="1">
              <a:extLst>
                <a:ext uri="{63B3BB69-23CF-44E3-9099-C40C66FF867C}">
                  <a14:compatExt spid="_x0000_s73731"/>
                </a:ext>
                <a:ext uri="{FF2B5EF4-FFF2-40B4-BE49-F238E27FC236}">
                  <a16:creationId xmlns:a16="http://schemas.microsoft.com/office/drawing/2014/main" id="{00000000-0008-0000-1E00-00000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3732" name="Check Box 4" hidden="1">
              <a:extLst>
                <a:ext uri="{63B3BB69-23CF-44E3-9099-C40C66FF867C}">
                  <a14:compatExt spid="_x0000_s73732"/>
                </a:ext>
                <a:ext uri="{FF2B5EF4-FFF2-40B4-BE49-F238E27FC236}">
                  <a16:creationId xmlns:a16="http://schemas.microsoft.com/office/drawing/2014/main" id="{00000000-0008-0000-1E00-00000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3733" name="Check Box 5" hidden="1">
              <a:extLst>
                <a:ext uri="{63B3BB69-23CF-44E3-9099-C40C66FF867C}">
                  <a14:compatExt spid="_x0000_s73733"/>
                </a:ext>
                <a:ext uri="{FF2B5EF4-FFF2-40B4-BE49-F238E27FC236}">
                  <a16:creationId xmlns:a16="http://schemas.microsoft.com/office/drawing/2014/main" id="{00000000-0008-0000-1E00-00000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3734" name="Check Box 6" hidden="1">
              <a:extLst>
                <a:ext uri="{63B3BB69-23CF-44E3-9099-C40C66FF867C}">
                  <a14:compatExt spid="_x0000_s73734"/>
                </a:ext>
                <a:ext uri="{FF2B5EF4-FFF2-40B4-BE49-F238E27FC236}">
                  <a16:creationId xmlns:a16="http://schemas.microsoft.com/office/drawing/2014/main" id="{00000000-0008-0000-1E00-00000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3735" name="Check Box 7" hidden="1">
              <a:extLst>
                <a:ext uri="{63B3BB69-23CF-44E3-9099-C40C66FF867C}">
                  <a14:compatExt spid="_x0000_s73735"/>
                </a:ext>
                <a:ext uri="{FF2B5EF4-FFF2-40B4-BE49-F238E27FC236}">
                  <a16:creationId xmlns:a16="http://schemas.microsoft.com/office/drawing/2014/main" id="{00000000-0008-0000-1E00-00000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3736" name="Check Box 8" hidden="1">
              <a:extLst>
                <a:ext uri="{63B3BB69-23CF-44E3-9099-C40C66FF867C}">
                  <a14:compatExt spid="_x0000_s73736"/>
                </a:ext>
                <a:ext uri="{FF2B5EF4-FFF2-40B4-BE49-F238E27FC236}">
                  <a16:creationId xmlns:a16="http://schemas.microsoft.com/office/drawing/2014/main" id="{00000000-0008-0000-1E00-00000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3737" name="Check Box 9" hidden="1">
              <a:extLst>
                <a:ext uri="{63B3BB69-23CF-44E3-9099-C40C66FF867C}">
                  <a14:compatExt spid="_x0000_s73737"/>
                </a:ext>
                <a:ext uri="{FF2B5EF4-FFF2-40B4-BE49-F238E27FC236}">
                  <a16:creationId xmlns:a16="http://schemas.microsoft.com/office/drawing/2014/main" id="{00000000-0008-0000-1E00-00000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3738" name="Check Box 10" hidden="1">
              <a:extLst>
                <a:ext uri="{63B3BB69-23CF-44E3-9099-C40C66FF867C}">
                  <a14:compatExt spid="_x0000_s73738"/>
                </a:ext>
                <a:ext uri="{FF2B5EF4-FFF2-40B4-BE49-F238E27FC236}">
                  <a16:creationId xmlns:a16="http://schemas.microsoft.com/office/drawing/2014/main" id="{00000000-0008-0000-1E00-00000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3739" name="Check Box 11" hidden="1">
              <a:extLst>
                <a:ext uri="{63B3BB69-23CF-44E3-9099-C40C66FF867C}">
                  <a14:compatExt spid="_x0000_s73739"/>
                </a:ext>
                <a:ext uri="{FF2B5EF4-FFF2-40B4-BE49-F238E27FC236}">
                  <a16:creationId xmlns:a16="http://schemas.microsoft.com/office/drawing/2014/main" id="{00000000-0008-0000-1E00-00000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3740" name="Check Box 12" hidden="1">
              <a:extLst>
                <a:ext uri="{63B3BB69-23CF-44E3-9099-C40C66FF867C}">
                  <a14:compatExt spid="_x0000_s73740"/>
                </a:ext>
                <a:ext uri="{FF2B5EF4-FFF2-40B4-BE49-F238E27FC236}">
                  <a16:creationId xmlns:a16="http://schemas.microsoft.com/office/drawing/2014/main" id="{00000000-0008-0000-1E00-00000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E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3741" name="Check Box 13" hidden="1">
              <a:extLst>
                <a:ext uri="{63B3BB69-23CF-44E3-9099-C40C66FF867C}">
                  <a14:compatExt spid="_x0000_s73741"/>
                </a:ext>
                <a:ext uri="{FF2B5EF4-FFF2-40B4-BE49-F238E27FC236}">
                  <a16:creationId xmlns:a16="http://schemas.microsoft.com/office/drawing/2014/main" id="{00000000-0008-0000-1E00-00000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3742" name="Check Box 14" hidden="1">
              <a:extLst>
                <a:ext uri="{63B3BB69-23CF-44E3-9099-C40C66FF867C}">
                  <a14:compatExt spid="_x0000_s73742"/>
                </a:ext>
                <a:ext uri="{FF2B5EF4-FFF2-40B4-BE49-F238E27FC236}">
                  <a16:creationId xmlns:a16="http://schemas.microsoft.com/office/drawing/2014/main" id="{00000000-0008-0000-1E00-00000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3743" name="Check Box 15" hidden="1">
              <a:extLst>
                <a:ext uri="{63B3BB69-23CF-44E3-9099-C40C66FF867C}">
                  <a14:compatExt spid="_x0000_s73743"/>
                </a:ext>
                <a:ext uri="{FF2B5EF4-FFF2-40B4-BE49-F238E27FC236}">
                  <a16:creationId xmlns:a16="http://schemas.microsoft.com/office/drawing/2014/main" id="{00000000-0008-0000-1E00-00000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3744" name="Check Box 16" hidden="1">
              <a:extLst>
                <a:ext uri="{63B3BB69-23CF-44E3-9099-C40C66FF867C}">
                  <a14:compatExt spid="_x0000_s73744"/>
                </a:ext>
                <a:ext uri="{FF2B5EF4-FFF2-40B4-BE49-F238E27FC236}">
                  <a16:creationId xmlns:a16="http://schemas.microsoft.com/office/drawing/2014/main" id="{00000000-0008-0000-1E00-00001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3745" name="Check Box 17" hidden="1">
              <a:extLst>
                <a:ext uri="{63B3BB69-23CF-44E3-9099-C40C66FF867C}">
                  <a14:compatExt spid="_x0000_s73745"/>
                </a:ext>
                <a:ext uri="{FF2B5EF4-FFF2-40B4-BE49-F238E27FC236}">
                  <a16:creationId xmlns:a16="http://schemas.microsoft.com/office/drawing/2014/main" id="{00000000-0008-0000-1E00-00001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3746" name="Check Box 18" hidden="1">
              <a:extLst>
                <a:ext uri="{63B3BB69-23CF-44E3-9099-C40C66FF867C}">
                  <a14:compatExt spid="_x0000_s73746"/>
                </a:ext>
                <a:ext uri="{FF2B5EF4-FFF2-40B4-BE49-F238E27FC236}">
                  <a16:creationId xmlns:a16="http://schemas.microsoft.com/office/drawing/2014/main" id="{00000000-0008-0000-1E00-00001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3747" name="Check Box 19" hidden="1">
              <a:extLst>
                <a:ext uri="{63B3BB69-23CF-44E3-9099-C40C66FF867C}">
                  <a14:compatExt spid="_x0000_s73747"/>
                </a:ext>
                <a:ext uri="{FF2B5EF4-FFF2-40B4-BE49-F238E27FC236}">
                  <a16:creationId xmlns:a16="http://schemas.microsoft.com/office/drawing/2014/main" id="{00000000-0008-0000-1E00-00001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E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298450</xdr:colOff>
          <xdr:row>18</xdr:row>
          <xdr:rowOff>50800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F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298450</xdr:colOff>
          <xdr:row>20</xdr:row>
          <xdr:rowOff>31750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F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292100</xdr:colOff>
          <xdr:row>24</xdr:row>
          <xdr:rowOff>50800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F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24</xdr:row>
          <xdr:rowOff>190500</xdr:rowOff>
        </xdr:from>
        <xdr:to>
          <xdr:col>21</xdr:col>
          <xdr:colOff>292100</xdr:colOff>
          <xdr:row>26</xdr:row>
          <xdr:rowOff>31750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F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292100</xdr:colOff>
          <xdr:row>30</xdr:row>
          <xdr:rowOff>50800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1F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30</xdr:row>
          <xdr:rowOff>190500</xdr:rowOff>
        </xdr:from>
        <xdr:to>
          <xdr:col>21</xdr:col>
          <xdr:colOff>292100</xdr:colOff>
          <xdr:row>32</xdr:row>
          <xdr:rowOff>31750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1F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4753" name="Check Box 1" hidden="1">
              <a:extLst>
                <a:ext uri="{63B3BB69-23CF-44E3-9099-C40C66FF867C}">
                  <a14:compatExt spid="_x0000_s74753"/>
                </a:ext>
                <a:ext uri="{FF2B5EF4-FFF2-40B4-BE49-F238E27FC236}">
                  <a16:creationId xmlns:a16="http://schemas.microsoft.com/office/drawing/2014/main" id="{00000000-0008-0000-2000-00000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6350</xdr:colOff>
          <xdr:row>36</xdr:row>
          <xdr:rowOff>12700</xdr:rowOff>
        </xdr:to>
        <xdr:sp macro="" textlink="">
          <xdr:nvSpPr>
            <xdr:cNvPr id="74754" name="Check Box 2" hidden="1">
              <a:extLst>
                <a:ext uri="{63B3BB69-23CF-44E3-9099-C40C66FF867C}">
                  <a14:compatExt spid="_x0000_s74754"/>
                </a:ext>
                <a:ext uri="{FF2B5EF4-FFF2-40B4-BE49-F238E27FC236}">
                  <a16:creationId xmlns:a16="http://schemas.microsoft.com/office/drawing/2014/main" id="{00000000-0008-0000-2000-00000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4755" name="Check Box 3" hidden="1">
              <a:extLst>
                <a:ext uri="{63B3BB69-23CF-44E3-9099-C40C66FF867C}">
                  <a14:compatExt spid="_x0000_s74755"/>
                </a:ext>
                <a:ext uri="{FF2B5EF4-FFF2-40B4-BE49-F238E27FC236}">
                  <a16:creationId xmlns:a16="http://schemas.microsoft.com/office/drawing/2014/main" id="{00000000-0008-0000-2000-00000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4756" name="Check Box 4" hidden="1">
              <a:extLst>
                <a:ext uri="{63B3BB69-23CF-44E3-9099-C40C66FF867C}">
                  <a14:compatExt spid="_x0000_s74756"/>
                </a:ext>
                <a:ext uri="{FF2B5EF4-FFF2-40B4-BE49-F238E27FC236}">
                  <a16:creationId xmlns:a16="http://schemas.microsoft.com/office/drawing/2014/main" id="{00000000-0008-0000-2000-000004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4757" name="Check Box 5" hidden="1">
              <a:extLst>
                <a:ext uri="{63B3BB69-23CF-44E3-9099-C40C66FF867C}">
                  <a14:compatExt spid="_x0000_s74757"/>
                </a:ext>
                <a:ext uri="{FF2B5EF4-FFF2-40B4-BE49-F238E27FC236}">
                  <a16:creationId xmlns:a16="http://schemas.microsoft.com/office/drawing/2014/main" id="{00000000-0008-0000-2000-000005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4758" name="Check Box 6" hidden="1">
              <a:extLst>
                <a:ext uri="{63B3BB69-23CF-44E3-9099-C40C66FF867C}">
                  <a14:compatExt spid="_x0000_s74758"/>
                </a:ext>
                <a:ext uri="{FF2B5EF4-FFF2-40B4-BE49-F238E27FC236}">
                  <a16:creationId xmlns:a16="http://schemas.microsoft.com/office/drawing/2014/main" id="{00000000-0008-0000-2000-000006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4759" name="Check Box 7" hidden="1">
              <a:extLst>
                <a:ext uri="{63B3BB69-23CF-44E3-9099-C40C66FF867C}">
                  <a14:compatExt spid="_x0000_s74759"/>
                </a:ext>
                <a:ext uri="{FF2B5EF4-FFF2-40B4-BE49-F238E27FC236}">
                  <a16:creationId xmlns:a16="http://schemas.microsoft.com/office/drawing/2014/main" id="{00000000-0008-0000-2000-000007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4760" name="Check Box 8" hidden="1">
              <a:extLst>
                <a:ext uri="{63B3BB69-23CF-44E3-9099-C40C66FF867C}">
                  <a14:compatExt spid="_x0000_s74760"/>
                </a:ext>
                <a:ext uri="{FF2B5EF4-FFF2-40B4-BE49-F238E27FC236}">
                  <a16:creationId xmlns:a16="http://schemas.microsoft.com/office/drawing/2014/main" id="{00000000-0008-0000-2000-000008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4761" name="Check Box 9" hidden="1">
              <a:extLst>
                <a:ext uri="{63B3BB69-23CF-44E3-9099-C40C66FF867C}">
                  <a14:compatExt spid="_x0000_s74761"/>
                </a:ext>
                <a:ext uri="{FF2B5EF4-FFF2-40B4-BE49-F238E27FC236}">
                  <a16:creationId xmlns:a16="http://schemas.microsoft.com/office/drawing/2014/main" id="{00000000-0008-0000-2000-000009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6350</xdr:colOff>
          <xdr:row>89</xdr:row>
          <xdr:rowOff>25400</xdr:rowOff>
        </xdr:to>
        <xdr:sp macro="" textlink="">
          <xdr:nvSpPr>
            <xdr:cNvPr id="74762" name="Check Box 10" hidden="1">
              <a:extLst>
                <a:ext uri="{63B3BB69-23CF-44E3-9099-C40C66FF867C}">
                  <a14:compatExt spid="_x0000_s74762"/>
                </a:ext>
                <a:ext uri="{FF2B5EF4-FFF2-40B4-BE49-F238E27FC236}">
                  <a16:creationId xmlns:a16="http://schemas.microsoft.com/office/drawing/2014/main" id="{00000000-0008-0000-2000-00000A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4763" name="Check Box 11" hidden="1">
              <a:extLst>
                <a:ext uri="{63B3BB69-23CF-44E3-9099-C40C66FF867C}">
                  <a14:compatExt spid="_x0000_s74763"/>
                </a:ext>
                <a:ext uri="{FF2B5EF4-FFF2-40B4-BE49-F238E27FC236}">
                  <a16:creationId xmlns:a16="http://schemas.microsoft.com/office/drawing/2014/main" id="{00000000-0008-0000-2000-00000B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4764" name="Check Box 12" hidden="1">
              <a:extLst>
                <a:ext uri="{63B3BB69-23CF-44E3-9099-C40C66FF867C}">
                  <a14:compatExt spid="_x0000_s74764"/>
                </a:ext>
                <a:ext uri="{FF2B5EF4-FFF2-40B4-BE49-F238E27FC236}">
                  <a16:creationId xmlns:a16="http://schemas.microsoft.com/office/drawing/2014/main" id="{00000000-0008-0000-2000-00000C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20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4765" name="Check Box 13" hidden="1">
              <a:extLst>
                <a:ext uri="{63B3BB69-23CF-44E3-9099-C40C66FF867C}">
                  <a14:compatExt spid="_x0000_s74765"/>
                </a:ext>
                <a:ext uri="{FF2B5EF4-FFF2-40B4-BE49-F238E27FC236}">
                  <a16:creationId xmlns:a16="http://schemas.microsoft.com/office/drawing/2014/main" id="{00000000-0008-0000-2000-00000D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4766" name="Check Box 14" hidden="1">
              <a:extLst>
                <a:ext uri="{63B3BB69-23CF-44E3-9099-C40C66FF867C}">
                  <a14:compatExt spid="_x0000_s74766"/>
                </a:ext>
                <a:ext uri="{FF2B5EF4-FFF2-40B4-BE49-F238E27FC236}">
                  <a16:creationId xmlns:a16="http://schemas.microsoft.com/office/drawing/2014/main" id="{00000000-0008-0000-2000-00000E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4767" name="Check Box 15" hidden="1">
              <a:extLst>
                <a:ext uri="{63B3BB69-23CF-44E3-9099-C40C66FF867C}">
                  <a14:compatExt spid="_x0000_s74767"/>
                </a:ext>
                <a:ext uri="{FF2B5EF4-FFF2-40B4-BE49-F238E27FC236}">
                  <a16:creationId xmlns:a16="http://schemas.microsoft.com/office/drawing/2014/main" id="{00000000-0008-0000-2000-00000F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4768" name="Check Box 16" hidden="1">
              <a:extLst>
                <a:ext uri="{63B3BB69-23CF-44E3-9099-C40C66FF867C}">
                  <a14:compatExt spid="_x0000_s74768"/>
                </a:ext>
                <a:ext uri="{FF2B5EF4-FFF2-40B4-BE49-F238E27FC236}">
                  <a16:creationId xmlns:a16="http://schemas.microsoft.com/office/drawing/2014/main" id="{00000000-0008-0000-2000-000010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4769" name="Check Box 17" hidden="1">
              <a:extLst>
                <a:ext uri="{63B3BB69-23CF-44E3-9099-C40C66FF867C}">
                  <a14:compatExt spid="_x0000_s74769"/>
                </a:ext>
                <a:ext uri="{FF2B5EF4-FFF2-40B4-BE49-F238E27FC236}">
                  <a16:creationId xmlns:a16="http://schemas.microsoft.com/office/drawing/2014/main" id="{00000000-0008-0000-2000-00001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4770" name="Check Box 18" hidden="1">
              <a:extLst>
                <a:ext uri="{63B3BB69-23CF-44E3-9099-C40C66FF867C}">
                  <a14:compatExt spid="_x0000_s74770"/>
                </a:ext>
                <a:ext uri="{FF2B5EF4-FFF2-40B4-BE49-F238E27FC236}">
                  <a16:creationId xmlns:a16="http://schemas.microsoft.com/office/drawing/2014/main" id="{00000000-0008-0000-2000-00001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4771" name="Check Box 19" hidden="1">
              <a:extLst>
                <a:ext uri="{63B3BB69-23CF-44E3-9099-C40C66FF867C}">
                  <a14:compatExt spid="_x0000_s74771"/>
                </a:ext>
                <a:ext uri="{FF2B5EF4-FFF2-40B4-BE49-F238E27FC236}">
                  <a16:creationId xmlns:a16="http://schemas.microsoft.com/office/drawing/2014/main" id="{00000000-0008-0000-2000-00001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133349</xdr:colOff>
      <xdr:row>111</xdr:row>
      <xdr:rowOff>28575</xdr:rowOff>
    </xdr:to>
    <xdr:sp macro="" textlink="">
      <xdr:nvSpPr>
        <xdr:cNvPr id="23" name="TextBox 22">
          <a:extLst>
            <a:ext uri="{FF2B5EF4-FFF2-40B4-BE49-F238E27FC236}">
              <a16:creationId xmlns:a16="http://schemas.microsoft.com/office/drawing/2014/main" id="{00000000-0008-0000-2000-000017000000}"/>
            </a:ext>
          </a:extLst>
        </xdr:cNvPr>
        <xdr:cNvSpPr txBox="1"/>
      </xdr:nvSpPr>
      <xdr:spPr>
        <a:xfrm>
          <a:off x="0" y="18583275"/>
          <a:ext cx="7724774" cy="19145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Users/Acer/Documents/CHARM%20FILES/BPM/PRICELIST%20WITH%20AUTOMATED%20SAMPLE%20COMPUTATION/2024/OCTOBER%202024/PD/Pricelist%20for%20checking/TSF/REVISED/TSF1_RESIDENTIAL_PRICELIST_October%202024_for%20checking.xlsx?6645050C" TargetMode="External"/><Relationship Id="rId1" Type="http://schemas.openxmlformats.org/officeDocument/2006/relationships/externalLinkPath" Target="file:///\\6645050C\TSF1_RESIDENTIAL_PRICELIST_October%202024_for%20check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outhprime/Desktop/WITH%20LOG%20APPROVE/BLOCK%2018%20LOT%202%20JEAN%20GRACE%20DELA%20CRUZ.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cer/Documents/CHARM%20FILES/SOA/EE%20SOA/PHASE%201_EMERALD%20ESTATES_SO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Documents\Documents\Ilo-Ilo%20Emerald\THE%20SOUTHPRIME%20FLATS\Building%201\Pricelist\TSF1_RESIDENTIAL_PRICELIST_JULY%20202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Wee%20Comm%20Developers/Desktop/Automated%20Package%20Computation_Step%20up/SAMPLE%20PACKAGE%20COMPUTATION_HPR%20TOWER%201_09.21.20%20updated%20step%20up.xlsx"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ched 2023"/>
      <sheetName val="Amort Computation"/>
      <sheetName val="Sheet2"/>
      <sheetName val="Corrected and Updated TSF 1"/>
      <sheetName val="RECOVERIES"/>
      <sheetName val="INTERNAL PRICELIST(OLD)"/>
      <sheetName val="Sheet1"/>
      <sheetName val="Pricelist Link"/>
      <sheetName val="FORM"/>
      <sheetName val="STEP UP"/>
      <sheetName val="RA_Step Up"/>
      <sheetName val="7% Step-up plus 3% Lumpsum"/>
      <sheetName val="12.5% Step-up plus 2.5% lumpsum"/>
      <sheetName val="STEP UP_(10% Equity only)_2"/>
      <sheetName val="Step-up with Lumpsum"/>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RA_Spec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18-L2-HISTORICAL"/>
      <sheetName val="ATD"/>
      <sheetName val="LOG"/>
      <sheetName val="LOAN DIFFERENCE COMPUTATION"/>
      <sheetName val="B18-L2_DELACRUZ_BANK SOA"/>
      <sheetName val="Amortization Table"/>
      <sheetName val="Sheet1"/>
      <sheetName val="B18-L2_DELACRUZ_FINAL"/>
    </sheetNames>
    <sheetDataSet>
      <sheetData sheetId="0"/>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ULATION"/>
      <sheetName val="STATUS_EE"/>
      <sheetName val="MASTERLIST"/>
      <sheetName val="ACTUAL COLLECTIONS_EE"/>
      <sheetName val="EFFICIENCY REPORT_EE"/>
      <sheetName val="B1 L1_MODELHOUSE"/>
      <sheetName val="B1 L2_MODEL HOUSE"/>
      <sheetName val="B1 L3_MODELHOUSE"/>
      <sheetName val="B1 L4_MODELHOUSE"/>
      <sheetName val="B1 L5_MODELHOUSE"/>
      <sheetName val="B1 L6_MODELHOUSE"/>
      <sheetName val="SHOULD BE COLLECTIONS_EE"/>
      <sheetName val="B1 L7T.O"/>
      <sheetName val="B1 L8T.O"/>
      <sheetName val="B1 L9T.O"/>
      <sheetName val="B1 L10T.O"/>
      <sheetName val="B1 L11"/>
      <sheetName val="B2-L1"/>
      <sheetName val="B2-L2T.O"/>
      <sheetName val="B2-L3T.O"/>
      <sheetName val="B2-L4"/>
      <sheetName val="B2-L5T.O"/>
      <sheetName val="B2-L6T.O"/>
      <sheetName val="B3-L1T.O"/>
      <sheetName val="B3-L2T.O"/>
      <sheetName val="B3-L3T.O"/>
      <sheetName val="B3-L4"/>
      <sheetName val="B5-L1"/>
      <sheetName val="B5-L2"/>
      <sheetName val="B5-L3"/>
      <sheetName val="B5-L4T.O"/>
      <sheetName val="B5-L5T.O"/>
      <sheetName val="B5-L6T.O"/>
      <sheetName val="B5-L7T.O"/>
      <sheetName val="B5-L8T.O"/>
      <sheetName val="B5-L9T.O"/>
      <sheetName val="B5-L10"/>
      <sheetName val="B5-L11"/>
      <sheetName val="B5-L12"/>
      <sheetName val="Loan Diff Computation_B5L12"/>
      <sheetName val="B5-L13T.O"/>
      <sheetName val="B5-L14T.O"/>
      <sheetName val="B5-L15"/>
      <sheetName val="B6-L1"/>
      <sheetName val="B6-L2T.O"/>
      <sheetName val="B6-L3T.O"/>
      <sheetName val="B6-L4T.O"/>
      <sheetName val="B7-L1"/>
      <sheetName val="B7-L2"/>
      <sheetName val="B7-L3"/>
      <sheetName val="B7-L4"/>
      <sheetName val="B7-L5"/>
      <sheetName val="B7-L6"/>
      <sheetName val="B7-L7"/>
      <sheetName val="B7-L8"/>
      <sheetName val="B7-L9T.O"/>
      <sheetName val="B7-L10"/>
      <sheetName val="B7-L11T.O"/>
      <sheetName val="B7-L12T.O"/>
      <sheetName val="B7-L13T.O"/>
      <sheetName val="B7-L14T.O"/>
      <sheetName val="B7-L15T.O"/>
      <sheetName val="B7-L16T.O"/>
      <sheetName val="B7-L17"/>
      <sheetName val="B7-L18T.O"/>
      <sheetName val="B7-L19T.O"/>
      <sheetName val="B7-L20T.O"/>
      <sheetName val="B7-L21T.O"/>
      <sheetName val="B7-L22T.O"/>
      <sheetName val="B7-L23T.O"/>
      <sheetName val="B7-L24T.O"/>
      <sheetName val="B7-L25"/>
      <sheetName val="B7-L26"/>
      <sheetName val="B7-L27"/>
      <sheetName val="B7-L28"/>
      <sheetName val="B7-L29"/>
      <sheetName val="B7-L30"/>
      <sheetName val="B7-L31"/>
      <sheetName val="B8-L1.T.O"/>
      <sheetName val="B8-L2T.O"/>
      <sheetName val="B8-L3T.O"/>
      <sheetName val="B8-L4T.O"/>
      <sheetName val="B8-L5"/>
      <sheetName val="B8-L6T.O"/>
      <sheetName val="Loan Diff Comp_B8L6"/>
      <sheetName val="B8-L7T.O"/>
      <sheetName val="B8-L8T.O"/>
      <sheetName val="B8-L9T.O"/>
      <sheetName val="B8-L10T.O"/>
      <sheetName val="B9-L1T.O"/>
      <sheetName val="B9-L2T.O"/>
      <sheetName val="B9-L3T.O"/>
      <sheetName val="Loan Diff Comp_B9L3"/>
      <sheetName val="B9-L4T.O"/>
      <sheetName val="B9-L5T.O"/>
      <sheetName val="B9-L6T.O"/>
      <sheetName val="B9-L7T.O"/>
      <sheetName val="B9-L8T.O"/>
      <sheetName val="B9-L9T.O"/>
      <sheetName val="B9-L10T.O"/>
      <sheetName val="B9-L11T.O"/>
      <sheetName val="B9-L12"/>
      <sheetName val="B9-L13T.O"/>
      <sheetName val="B9-L14T.O"/>
      <sheetName val="B9-L15T.O"/>
      <sheetName val="B9-L16T.O"/>
      <sheetName val="B9-L17T.O"/>
      <sheetName val="B9-L18T.O"/>
      <sheetName val="B9-L19T.O"/>
      <sheetName val="B9-L20T.O"/>
      <sheetName val="B10-L1T.O"/>
      <sheetName val="B10-L2"/>
      <sheetName val="B10-L3T.O"/>
      <sheetName val="B10-L4T.O"/>
      <sheetName val="B10-L5T.O"/>
      <sheetName val="B10-L6T.O"/>
      <sheetName val="B10-L7T.O"/>
      <sheetName val="B10-L8 INHS"/>
      <sheetName val="B10_L8 Inhouse Comp_Interest"/>
      <sheetName val="B10-L9T.O"/>
      <sheetName val="B10-L10T.O"/>
      <sheetName val="B10-L11T.O"/>
      <sheetName val="B10-L12T.O"/>
      <sheetName val="B10-L13T.O"/>
      <sheetName val="B10-L14T.O"/>
      <sheetName val="B10-L15"/>
      <sheetName val="B10-L16T.O"/>
      <sheetName val="B10-L17T.O"/>
      <sheetName val="B10-L18"/>
      <sheetName val="B10L18_LD"/>
      <sheetName val="B11-L1T.O"/>
      <sheetName val="B11-L2 T.O"/>
      <sheetName val="B11-L3T.O"/>
      <sheetName val="B11-L4T.O"/>
      <sheetName val="B11-L5"/>
      <sheetName val="B11-L6T.O"/>
      <sheetName val="B11-L7 T.O"/>
      <sheetName val="B11-L8"/>
      <sheetName val="INHS B11L8"/>
      <sheetName val="B11-L9"/>
      <sheetName val="B11-L10 T.O"/>
      <sheetName val="B11-L11"/>
      <sheetName val="B11-L12"/>
      <sheetName val="B11-L13 T.O"/>
      <sheetName val="B11-L14"/>
      <sheetName val="B11-L15T.O"/>
      <sheetName val="B11-L16T.O"/>
      <sheetName val="B11-L17T.O"/>
      <sheetName val="LD B11L17"/>
      <sheetName val="B11-L18"/>
      <sheetName val="B12-L1 T.O"/>
      <sheetName val="B12-L2T.O"/>
      <sheetName val="B12-L3T.O"/>
      <sheetName val="LD B12L3"/>
      <sheetName val="B12-L4T.O"/>
      <sheetName val="B12-L5T.O"/>
      <sheetName val="B12-L6T.O"/>
      <sheetName val="B12-L7T.O"/>
      <sheetName val="B12-L8T.O"/>
      <sheetName val="LD_B12 L8"/>
      <sheetName val="B12-L9"/>
      <sheetName val="INS B12L9"/>
      <sheetName val="B12-L10T.O"/>
      <sheetName val="B12-L11T.O"/>
      <sheetName val="B12-L12"/>
      <sheetName val="B12-L13T.O"/>
      <sheetName val="B12-L14T.O"/>
      <sheetName val="LD B12-L14 "/>
      <sheetName val="B12-L15T.O"/>
      <sheetName val="B12-L16T.O"/>
      <sheetName val="B13-L1T.O"/>
      <sheetName val="B13-L2"/>
      <sheetName val="B13-L3"/>
      <sheetName val="B13-L4"/>
      <sheetName val="B13-L4_INHOUSE"/>
      <sheetName val="B13-L5T.O"/>
      <sheetName val="B13-L6T.O"/>
      <sheetName val="B13-L7T.O"/>
      <sheetName val="B13-L8T.O"/>
      <sheetName val="B13-L9T.O"/>
      <sheetName val="B13-L10T.O"/>
      <sheetName val="B13-L11"/>
      <sheetName val="B13-L12T.O"/>
      <sheetName val="B13-L13"/>
      <sheetName val="B13-L14 T.O"/>
      <sheetName val="B13-L15 T.O"/>
      <sheetName val="B13-L16 T.O"/>
      <sheetName val="B13-L17 T.O"/>
      <sheetName val="B13-L18T.O"/>
      <sheetName val="B13-L19T.O"/>
      <sheetName val="LD B13L19"/>
      <sheetName val="B13-L20T.O"/>
      <sheetName val="B13-L21T.O"/>
      <sheetName val="B13-L22T.O"/>
      <sheetName val="B13-L23T.O"/>
      <sheetName val="B13-L24T.O"/>
      <sheetName val="B13-L25T.O"/>
      <sheetName val="B13-L26T.O"/>
      <sheetName val="LD B13L26"/>
      <sheetName val="B13-L27T.O"/>
      <sheetName val="B13-L28T.O"/>
      <sheetName val="LD B13L28"/>
      <sheetName val="B13-L29T.O"/>
      <sheetName val="LD B13 L29"/>
      <sheetName val="B13-L30T.O"/>
      <sheetName val="B13-L31T.O"/>
      <sheetName val="B13-L32T.O"/>
      <sheetName val="B13-L33T.O"/>
      <sheetName val="B13-L34T.O"/>
      <sheetName val="B13-L35T.O"/>
      <sheetName val="LD B13L35"/>
      <sheetName val="B13-L36T.O"/>
      <sheetName val="B13-L37T.O"/>
      <sheetName val="B13-L38"/>
      <sheetName val="B13-L39T.O"/>
      <sheetName val="B13-L40"/>
      <sheetName val="B13-L41T.O"/>
      <sheetName val="B13-L42"/>
      <sheetName val="INH_B13 L42"/>
      <sheetName val="B13-L43"/>
      <sheetName val="B14-L1"/>
      <sheetName val="B14-L2"/>
      <sheetName val="B14-L3T.O"/>
      <sheetName val="B14-L4T.O"/>
      <sheetName val="B14-L5"/>
      <sheetName val="INHS_B14L5"/>
      <sheetName val="B15-L1T.O"/>
      <sheetName val="B15-L2T.O"/>
      <sheetName val="B15-L3"/>
      <sheetName val="B15-L4T.O"/>
      <sheetName val="B15-L5T.O"/>
      <sheetName val="B15-L6"/>
      <sheetName val="B15-L7 T.O"/>
      <sheetName val="B15-L8T.O"/>
      <sheetName val="B15-L9T.O"/>
      <sheetName val="B15-L10T.O"/>
      <sheetName val="B15-L11"/>
      <sheetName val="B15-L12"/>
      <sheetName val="B15-L13 T.O"/>
      <sheetName val="B15-L14 T.O"/>
      <sheetName val="B15-L15"/>
      <sheetName val="B15-L16 T.O"/>
      <sheetName val="B15-L16_LOAN Diff"/>
      <sheetName val="B15-L17T.O"/>
      <sheetName val="B15-L18 T.O"/>
      <sheetName val="B15-L19T.O"/>
      <sheetName val="B15-L20T.O"/>
      <sheetName val="B15-L21T.O"/>
      <sheetName val="B15-L22T.O"/>
      <sheetName val="B15-L23T.O"/>
      <sheetName val="B15-L24T.O"/>
      <sheetName val="B15-L25T.O"/>
      <sheetName val="INHS B15L25"/>
      <sheetName val="B15-L26"/>
      <sheetName val="B15-L27T.O"/>
      <sheetName val="B15-L28"/>
      <sheetName val="B15-L29T.O"/>
      <sheetName val="B15-L30T.O"/>
      <sheetName val="B15-L31T.O"/>
      <sheetName val="LD_B15L31"/>
      <sheetName val="B15-L32"/>
      <sheetName val="B15-L33T.O"/>
      <sheetName val="B15-L34T.O"/>
      <sheetName val="B16-L1T.O"/>
      <sheetName val="B16-L2T.O"/>
      <sheetName val="B16-L3T.O"/>
      <sheetName val="B16-L4T.O"/>
      <sheetName val="B16-L5 T.O"/>
      <sheetName val="B16-L6T.O"/>
      <sheetName val="B16-L7T.O"/>
      <sheetName val="B16-L8T.O"/>
      <sheetName val="B16-L9T.O"/>
      <sheetName val="LD B16L9"/>
      <sheetName val="B16-L10T.O"/>
      <sheetName val="B16-L11T.O"/>
      <sheetName val="B16-L12T.O"/>
      <sheetName val="B16-L13T.O"/>
      <sheetName val="B16-L14T.O"/>
      <sheetName val="LD B16L14"/>
      <sheetName val="B16-L15 T.O"/>
      <sheetName val="B16-L16 T.O"/>
      <sheetName val="B16-L17T.O"/>
      <sheetName val="B16-L18T.O"/>
      <sheetName val="B16-L19T.O"/>
      <sheetName val="B16-L20T.O"/>
      <sheetName val="B16-L21T.O"/>
      <sheetName val="B16-L22 T.O"/>
      <sheetName val="B16-L23T.O"/>
      <sheetName val="LD B16L23"/>
      <sheetName val="B16-L24T.O"/>
      <sheetName val="B16-L25T.O"/>
      <sheetName val="LD B16L25"/>
      <sheetName val="B16-L26T.O"/>
      <sheetName val="LD B16L26"/>
      <sheetName val="B16-L27T.O"/>
      <sheetName val="B16-L28T.O"/>
      <sheetName val="B16-L29T.O"/>
      <sheetName val="LD B16 L29"/>
      <sheetName val="B16-L30T.O"/>
      <sheetName val="B16-L31T.O"/>
      <sheetName val="LD B16L31"/>
      <sheetName val="B16-L32T.O"/>
      <sheetName val="B16-L33T.O"/>
      <sheetName val="B16-L34T.O"/>
      <sheetName val="LD_B16L34"/>
      <sheetName val="B17-L1T.O"/>
      <sheetName val="B17-L2T.O"/>
      <sheetName val="B17-L3T.O"/>
      <sheetName val="B17-L4T.O"/>
      <sheetName val="B17-L5T.O"/>
      <sheetName val="B17-L6T.O"/>
      <sheetName val="B17-L7T.O"/>
      <sheetName val="LD COMP_Gallofin"/>
      <sheetName val="B17-L8T.O"/>
      <sheetName val="B17-L9T.O"/>
      <sheetName val="B17-L10T.O"/>
      <sheetName val="B17-L11T.O"/>
      <sheetName val="LD B17L11"/>
      <sheetName val="B17-L12T.O"/>
      <sheetName val="LD B17L12"/>
      <sheetName val="B17-L13T.O"/>
      <sheetName val="B17-L14T.O"/>
      <sheetName val="LD B17L14"/>
      <sheetName val="B18-L1T.O"/>
      <sheetName val="B18-L2T.O"/>
      <sheetName val="LD B18L2"/>
      <sheetName val="B18-L3"/>
      <sheetName val="B18-L4 T.O"/>
      <sheetName val="B18-L5T.O"/>
      <sheetName val="B18-L6T.O"/>
      <sheetName val="LD B18L6 "/>
      <sheetName val="B18-L7T.O"/>
      <sheetName val="B18-L8T.O"/>
      <sheetName val="B18-L9T.O"/>
      <sheetName val="B18-L10T.O"/>
      <sheetName val="B18-L11 T.O"/>
      <sheetName val="B18-L12 T.O"/>
      <sheetName val="B18-L13"/>
      <sheetName val="INHS B18L13"/>
      <sheetName val="B18-L14 T.O"/>
      <sheetName val="B18-L15 T.O"/>
      <sheetName val="B18-L16T.O"/>
      <sheetName val="B18-L17T.O"/>
      <sheetName val="LD_B18L17"/>
      <sheetName val="B18-L18"/>
      <sheetName val="B18-L19T.O"/>
      <sheetName val="EOB18L19"/>
      <sheetName val="B18-L20"/>
      <sheetName val="B18-L21T.O"/>
      <sheetName val="B18-L22T.O"/>
      <sheetName val="B18-L23T.O"/>
      <sheetName val="B18-L24T.O"/>
      <sheetName val="B18-L25T.O"/>
      <sheetName val="B18-L26T.O"/>
      <sheetName val="B18-L27T.O"/>
      <sheetName val="B18-L28T.O"/>
      <sheetName val="B19-L1T.O"/>
      <sheetName val="B19-L2T.O"/>
      <sheetName val="B19-L3T.O"/>
      <sheetName val="B19-L4T.O"/>
      <sheetName val="B19-L5T.O"/>
      <sheetName val="B19-L6"/>
      <sheetName val="B19-L7T.O"/>
      <sheetName val="B19-L8T.O"/>
      <sheetName val="B20-L1"/>
      <sheetName val="B20-L2T.O"/>
      <sheetName val="B20-L3T.O"/>
      <sheetName val="B20-L4T.O"/>
      <sheetName val="B20-L5T.O"/>
      <sheetName val="B20-L6T.O"/>
      <sheetName val="B20-L7T.O"/>
      <sheetName val="B20-L8T.O"/>
      <sheetName val="B20-L9T.O"/>
      <sheetName val="B20-L10T.O"/>
      <sheetName val="B20-L11T.O"/>
      <sheetName val="B21-L1T.O"/>
      <sheetName val="B21-L2T.O"/>
      <sheetName val="B21-L3T.O"/>
      <sheetName val="B21-L4"/>
      <sheetName val="B21-L5T.O"/>
      <sheetName val="B21-L6T.O"/>
      <sheetName val="B21-L7"/>
      <sheetName val="B21-L8T.O"/>
      <sheetName val="B21-L9T.O"/>
      <sheetName val="B21-L10T.O"/>
      <sheetName val="B21-L11T.O"/>
      <sheetName val="B21-L12T.O"/>
      <sheetName val="B21-L13T.O"/>
      <sheetName val="B21-L14T.O"/>
      <sheetName val="B21-L15"/>
      <sheetName val="INHOUSE B21L15"/>
      <sheetName val="B21-L16T.O"/>
      <sheetName val="B21-L17T.O"/>
      <sheetName val="B21-L18T.O"/>
      <sheetName val="B21-L19T.O"/>
      <sheetName val="B21-L20T.O"/>
      <sheetName val="B22-L1_T.O"/>
      <sheetName val="B22-L2T.O"/>
      <sheetName val="B22-L3T.O"/>
      <sheetName val="B22-L4T.O"/>
      <sheetName val="B22-L5T.O"/>
      <sheetName val="B22-L6T.O"/>
      <sheetName val="B22-L7T.O"/>
      <sheetName val="B22-L8T.O"/>
      <sheetName val="B22-L9T.O"/>
      <sheetName val="B22-L10T.O"/>
      <sheetName val="Loan Diff Computation_Guasin"/>
      <sheetName val="B22-L11"/>
      <sheetName val="B22-L12T.O"/>
      <sheetName val="B22-L13T.O"/>
      <sheetName val="B22-L14T.O"/>
      <sheetName val="B22-L15"/>
      <sheetName val="B22-L16T.O"/>
      <sheetName val="B22-L17T.O"/>
      <sheetName val="B22-L18T.O"/>
      <sheetName val="B23-L1T.O"/>
      <sheetName val="B23-L2"/>
      <sheetName val="B23-L3T.O"/>
      <sheetName val="B23-L4"/>
      <sheetName val="B23-L5"/>
      <sheetName val="B23-L6T.O"/>
      <sheetName val="B23-L7T.O"/>
      <sheetName val="B23-L8T.O"/>
      <sheetName val="B23-L9T.O"/>
      <sheetName val="B23-L10T.O"/>
      <sheetName val="B23-L11T.O"/>
      <sheetName val="B23-L12T.O"/>
      <sheetName val="B23-L13T.O"/>
      <sheetName val="B23-L14T.O"/>
      <sheetName val="B23-L15T.O"/>
      <sheetName val="B23-L16T.O"/>
      <sheetName val="B23-L17T.O"/>
      <sheetName val="B24-L1"/>
      <sheetName val="B24-L2T.O"/>
      <sheetName val="B24-L3T.O"/>
      <sheetName val="B24-L4T.O"/>
      <sheetName val="B24-L5T.O"/>
      <sheetName val="B24-L6T.O"/>
      <sheetName val="B24-L7T.O"/>
      <sheetName val="B24-L8T.O"/>
      <sheetName val="B24-L9T.O"/>
      <sheetName val="B24-L10T.O"/>
      <sheetName val="B24-L11_INHS"/>
      <sheetName val="INHS_Computation"/>
      <sheetName val="B24-L12"/>
      <sheetName val="B25-L1T.O"/>
      <sheetName val="B25-L2T.O"/>
      <sheetName val="B25-L3T.O"/>
      <sheetName val="B25-L4T.O"/>
      <sheetName val="B25-L5T.O"/>
      <sheetName val="B25-L6T.O"/>
      <sheetName val="B25-L7T.O"/>
      <sheetName val="B25-L8T.O"/>
      <sheetName val="B27-L1"/>
      <sheetName val="B27-L2T.O"/>
      <sheetName val="B27-L3T.O"/>
      <sheetName val="B27-L4T.O"/>
      <sheetName val="B27-L5T.O"/>
      <sheetName val="B27-L6T.O"/>
      <sheetName val="B27-L7"/>
      <sheetName val="B27-L8"/>
      <sheetName val="B27-L9T.O"/>
      <sheetName val="B27-L10T.O"/>
      <sheetName val="B27-L11T.O"/>
      <sheetName val="B27-L12T.O"/>
      <sheetName val="B28-L1T.O"/>
      <sheetName val="B28-L2"/>
      <sheetName val="B28-L3"/>
      <sheetName val="B28-L4T.O"/>
      <sheetName val="B28-L5T.O"/>
      <sheetName val="B28-L6T.O"/>
      <sheetName val="B28-L7T.O"/>
      <sheetName val="B28-L8T.O"/>
      <sheetName val="B28-L9T.O"/>
      <sheetName val="B28-L10"/>
      <sheetName val="B28-L11T.O"/>
      <sheetName val="B28-L12T.O"/>
      <sheetName val="B28-L13T.O"/>
      <sheetName val="B28-L14T.O"/>
      <sheetName val="B28-L15T.O"/>
      <sheetName val="B28-L16T.O"/>
      <sheetName val="B28-L17"/>
      <sheetName val="B28-L18T.O"/>
      <sheetName val="B28-L19"/>
      <sheetName val="B28-L20"/>
      <sheetName val="B28-L21T.O"/>
      <sheetName val="B28-L22T.O"/>
      <sheetName val="B28-L23"/>
      <sheetName val="B28-L24"/>
      <sheetName val="B28-L25T.O"/>
      <sheetName val="B28-L26T.O"/>
      <sheetName val="B28-L27T.O"/>
      <sheetName val="B28-L28T.O"/>
      <sheetName val="B29-L1T.O"/>
      <sheetName val="B29-L2T.O"/>
      <sheetName val="B29-L3T.O"/>
      <sheetName val="B29-L4T.O"/>
      <sheetName val="B29-L5T.O"/>
      <sheetName val="B29-L6T.O"/>
      <sheetName val="B29-L7T.O"/>
      <sheetName val="LD B29L7"/>
      <sheetName val="B29-L8T.O"/>
      <sheetName val="B29-L9T.O"/>
      <sheetName val="B29-L10T.O"/>
      <sheetName val="LD B29L10"/>
      <sheetName val="B29-L11"/>
      <sheetName val="B29-L12T.O"/>
      <sheetName val="B29 L13T.O"/>
      <sheetName val="B29-L14T.O"/>
      <sheetName val="B29-L15T.O"/>
      <sheetName val="LD B29L15"/>
      <sheetName val="B29-L16T.O"/>
      <sheetName val="B29-L17T.O"/>
      <sheetName val="B29-L18T.O"/>
      <sheetName val="B29-L19T.O"/>
      <sheetName val="B29-L20T.O"/>
      <sheetName val="B30-L1"/>
      <sheetName val="B30-L2T.O"/>
      <sheetName val="B30-L3T.O"/>
      <sheetName val="B30-L4"/>
      <sheetName val="B30-L5"/>
      <sheetName val="B30-L6T.O"/>
      <sheetName val="B30-L7T.O"/>
      <sheetName val="B30-L8T.O"/>
      <sheetName val="B30-L9T.O"/>
      <sheetName val="B30-L10"/>
      <sheetName val="B30-L11T.O"/>
      <sheetName val="B30-L12T.O"/>
      <sheetName val="B30-L13T.O"/>
      <sheetName val="B30-L14T.O"/>
      <sheetName val="B30-L15T.O"/>
      <sheetName val="B30-L16T.O"/>
      <sheetName val="B30-L17T.O"/>
      <sheetName val="B30-L18T.O"/>
      <sheetName val="B30-L19T.O"/>
      <sheetName val="B31-L1T.O"/>
      <sheetName val="B31-L2T.O"/>
      <sheetName val="LD B31L2_Blones"/>
      <sheetName val="B31-L3T.O"/>
      <sheetName val="B31-L4T.O"/>
      <sheetName val="B31-L5T.O"/>
      <sheetName val="B31-L6T.O"/>
      <sheetName val="B31-L7T.O"/>
      <sheetName val="B31-L8T.O"/>
      <sheetName val="B31-L9T.O"/>
      <sheetName val="B31-L10T.O"/>
      <sheetName val="B31-L11T.O"/>
      <sheetName val="B31-L12T.O"/>
      <sheetName val="B31-L13T.O"/>
      <sheetName val="B31-L14T.O"/>
      <sheetName val="B31-L15T.O"/>
      <sheetName val="B31-L16T.O"/>
      <sheetName val="B31-L17T.O"/>
      <sheetName val="B31-L18T.O"/>
      <sheetName val="B31-L19T.O"/>
      <sheetName val="B31-L20T.O"/>
      <sheetName val="B32-L1T.O"/>
      <sheetName val="B32-L2"/>
      <sheetName val="INHS_B32L2"/>
      <sheetName val="B32-L3T.O"/>
      <sheetName val="B32-L4T.O"/>
      <sheetName val="B32-L5T.O"/>
      <sheetName val="B32-L6"/>
      <sheetName val="B32-L7"/>
      <sheetName val="B32-L8"/>
      <sheetName val="B32-L9T.O"/>
      <sheetName val="B32-L10T.O"/>
      <sheetName val="B32-L11T.O"/>
      <sheetName val="B32-L12T.O"/>
      <sheetName val="B32-L13"/>
      <sheetName val="B32-L14T.O"/>
      <sheetName val="B32-L15T.O"/>
      <sheetName val="B32-L16T.O"/>
      <sheetName val="B32-L17T.O"/>
      <sheetName val="B32-L18T.O"/>
      <sheetName val="Loan Diff Computation_B32L18"/>
      <sheetName val="B32-L19T.O"/>
      <sheetName val="B32-L20"/>
      <sheetName val="B33-L1T.O"/>
      <sheetName val="B33-L2"/>
      <sheetName val="B33-L3"/>
      <sheetName val="B33-L4T.O"/>
      <sheetName val="B33-L5T.O"/>
      <sheetName val="B33-L6T.O"/>
      <sheetName val="B33-L7T.O"/>
      <sheetName val="B33-L8T.O"/>
      <sheetName val="LD B33 L8_Quisido"/>
      <sheetName val="B33-L9T.O"/>
      <sheetName val="B33-L10T.O"/>
      <sheetName val="B33-L11T.O"/>
      <sheetName val="B33-L12"/>
      <sheetName val="B33-L13T.O"/>
      <sheetName val="B33-L14T.O"/>
      <sheetName val="B33-L15T.O"/>
      <sheetName val="B33-L16"/>
      <sheetName val="B33-L17T.O"/>
      <sheetName val="B33-L18T.O"/>
      <sheetName val="B33-L19T.O"/>
      <sheetName val="B33-L20T.O"/>
      <sheetName val="B33-L21T.O"/>
      <sheetName val="B33-L22T.O"/>
      <sheetName val="B34-L1T.O"/>
      <sheetName val="B34-L2T.O"/>
      <sheetName val="B34-L3T.O"/>
      <sheetName val="B34-L4T.O"/>
      <sheetName val="B34-L5T.O"/>
      <sheetName val="B34-L6T.O"/>
      <sheetName val="B34-L7T.O"/>
      <sheetName val="B34-L8T.O"/>
      <sheetName val="B34-L9T.O"/>
      <sheetName val="B34-L10T.O"/>
      <sheetName val="B34-L11T.O"/>
      <sheetName val="B34-L12T.O"/>
      <sheetName val="B34-L13T.O"/>
      <sheetName val="B34-L14T.O"/>
      <sheetName val="B34-L15T.O"/>
      <sheetName val="B34-L16T.O"/>
      <sheetName val="B34-L17T.O"/>
      <sheetName val="B34-L18"/>
      <sheetName val="B34-L19T.O"/>
      <sheetName val="B34-L20T.O"/>
      <sheetName val="B34-L21T.O"/>
      <sheetName val="B34-L22T.O"/>
      <sheetName val="B35-L1"/>
      <sheetName val="B35-L2"/>
      <sheetName val="B35-L3T.O"/>
      <sheetName val="B35-L4T.O"/>
      <sheetName val="B35-L5"/>
      <sheetName val="B35-L6T.O"/>
      <sheetName val="B35-L7T.O"/>
      <sheetName val="B35-L8T.O"/>
      <sheetName val="B35-L9"/>
      <sheetName val="B35-L10"/>
      <sheetName val="B35-L11"/>
      <sheetName val="B35-L12"/>
      <sheetName val="B35-L13"/>
      <sheetName val="B35-L14"/>
      <sheetName val="B36-L1"/>
      <sheetName val="B36-L2T.O"/>
      <sheetName val="B36-L3"/>
      <sheetName val="B36-L4"/>
      <sheetName val="B36-L5T.O"/>
      <sheetName val="B36-L6"/>
      <sheetName val="B36-L7T.O"/>
      <sheetName val="B36-L8"/>
      <sheetName val="B36-L9"/>
      <sheetName val="B36-L10T.O"/>
      <sheetName val="B36-L11T.O"/>
      <sheetName val="B36-L12T.O"/>
      <sheetName val="B36-L13T.O"/>
      <sheetName val="B36-L14T.O"/>
      <sheetName val="B36-L15T.O"/>
      <sheetName val="B36-L16T.O"/>
      <sheetName val="B36-L17T.O"/>
      <sheetName val="Loan Diff Computation_3months"/>
      <sheetName val="B36-L18T.O"/>
      <sheetName val="B36-L19T.O"/>
      <sheetName val="B36-L20"/>
      <sheetName val="OTHER INCOME"/>
      <sheetName val="CANCELLED ACCOUNT"/>
      <sheetName val="PENALTY"/>
      <sheetName val="TRANSFERCOST"/>
      <sheetName val="MONTHLY EFFICIENCY"/>
      <sheetName val="PER ACCT_EFFICIENC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ow r="32">
          <cell r="J32" t="str">
            <v>PAID</v>
          </cell>
        </row>
        <row r="33">
          <cell r="J33" t="str">
            <v>PAID</v>
          </cell>
        </row>
        <row r="34">
          <cell r="J34" t="str">
            <v>PAID</v>
          </cell>
        </row>
        <row r="35">
          <cell r="J35" t="str">
            <v>PAID</v>
          </cell>
        </row>
        <row r="36">
          <cell r="J36" t="str">
            <v>PAID</v>
          </cell>
        </row>
        <row r="37">
          <cell r="J37" t="str">
            <v>PAID</v>
          </cell>
        </row>
        <row r="38">
          <cell r="J38" t="str">
            <v>PAID</v>
          </cell>
        </row>
        <row r="39">
          <cell r="J39" t="str">
            <v>PAID</v>
          </cell>
        </row>
        <row r="40">
          <cell r="J40" t="str">
            <v>PAID</v>
          </cell>
        </row>
        <row r="41">
          <cell r="J41" t="str">
            <v>PAID</v>
          </cell>
        </row>
        <row r="42">
          <cell r="J42" t="str">
            <v>PAID</v>
          </cell>
        </row>
        <row r="43">
          <cell r="J43" t="str">
            <v>PAID</v>
          </cell>
        </row>
        <row r="44">
          <cell r="J44" t="str">
            <v>PAID</v>
          </cell>
        </row>
        <row r="45">
          <cell r="J45" t="str">
            <v>PAID</v>
          </cell>
        </row>
        <row r="46">
          <cell r="J46" t="str">
            <v>PAID</v>
          </cell>
        </row>
        <row r="47">
          <cell r="J47" t="str">
            <v>PAID</v>
          </cell>
        </row>
        <row r="48">
          <cell r="J48" t="str">
            <v>PAID</v>
          </cell>
        </row>
        <row r="49">
          <cell r="J49" t="str">
            <v>PAID</v>
          </cell>
        </row>
        <row r="50">
          <cell r="J50" t="str">
            <v>PAID</v>
          </cell>
        </row>
        <row r="51">
          <cell r="J51" t="str">
            <v>PAID</v>
          </cell>
        </row>
        <row r="52">
          <cell r="J52" t="str">
            <v>PAID</v>
          </cell>
        </row>
        <row r="53">
          <cell r="J53" t="str">
            <v>PAID</v>
          </cell>
        </row>
        <row r="54">
          <cell r="J54" t="str">
            <v>PAID</v>
          </cell>
        </row>
        <row r="55">
          <cell r="J55" t="str">
            <v>PAID</v>
          </cell>
        </row>
        <row r="56">
          <cell r="J56" t="str">
            <v>PAID</v>
          </cell>
        </row>
        <row r="57">
          <cell r="J57" t="str">
            <v>PAID</v>
          </cell>
        </row>
        <row r="58">
          <cell r="J58" t="str">
            <v>PAID</v>
          </cell>
        </row>
        <row r="59">
          <cell r="J59" t="str">
            <v>PAID</v>
          </cell>
        </row>
        <row r="60">
          <cell r="J60" t="str">
            <v>PAID</v>
          </cell>
        </row>
        <row r="61">
          <cell r="J61" t="str">
            <v>PAID</v>
          </cell>
        </row>
        <row r="62">
          <cell r="J62" t="str">
            <v>PAID</v>
          </cell>
        </row>
        <row r="63">
          <cell r="J63" t="str">
            <v>PAID</v>
          </cell>
        </row>
        <row r="64">
          <cell r="J64" t="str">
            <v>PAID</v>
          </cell>
        </row>
        <row r="65">
          <cell r="J65" t="str">
            <v>PAID</v>
          </cell>
        </row>
        <row r="66">
          <cell r="J66" t="str">
            <v>PAID</v>
          </cell>
        </row>
        <row r="67">
          <cell r="J67" t="str">
            <v>PAID</v>
          </cell>
        </row>
        <row r="68">
          <cell r="J68" t="str">
            <v>PAID</v>
          </cell>
        </row>
        <row r="69">
          <cell r="J69" t="str">
            <v>BOUNCED CHECK 2.28.2024</v>
          </cell>
        </row>
        <row r="71">
          <cell r="J71" t="str">
            <v>PAID</v>
          </cell>
        </row>
        <row r="72">
          <cell r="J72" t="str">
            <v>PAID</v>
          </cell>
        </row>
        <row r="73">
          <cell r="J73" t="str">
            <v>PAID</v>
          </cell>
        </row>
        <row r="74">
          <cell r="J74" t="str">
            <v>PAID</v>
          </cell>
        </row>
        <row r="75">
          <cell r="J75" t="str">
            <v>PAID</v>
          </cell>
        </row>
        <row r="76">
          <cell r="J76" t="str">
            <v>PAID</v>
          </cell>
        </row>
        <row r="77">
          <cell r="J77" t="str">
            <v>PAID</v>
          </cell>
        </row>
        <row r="78">
          <cell r="J78" t="str">
            <v>PAID</v>
          </cell>
        </row>
        <row r="79">
          <cell r="J79" t="str">
            <v>PAID</v>
          </cell>
        </row>
        <row r="80">
          <cell r="J80" t="str">
            <v>PAID</v>
          </cell>
        </row>
        <row r="81">
          <cell r="J81" t="str">
            <v>PAID</v>
          </cell>
        </row>
        <row r="82">
          <cell r="J82" t="str">
            <v>PAID</v>
          </cell>
        </row>
        <row r="83">
          <cell r="J83" t="str">
            <v>PAID</v>
          </cell>
        </row>
        <row r="84">
          <cell r="J84" t="str">
            <v>PAID</v>
          </cell>
        </row>
        <row r="85">
          <cell r="J85" t="str">
            <v>PAID</v>
          </cell>
        </row>
        <row r="86">
          <cell r="J86" t="str">
            <v>PAID</v>
          </cell>
        </row>
      </sheetData>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PRICELIST"/>
      <sheetName val="Revised pricelist SSO"/>
      <sheetName val="Sheet1"/>
      <sheetName val="Pricelist Link"/>
      <sheetName val="FORM"/>
      <sheetName val="STEP UP"/>
      <sheetName val="RA_Step Up"/>
      <sheetName val="7% Step-up plus 3% Lumpsum"/>
      <sheetName val="12.5% Step-up plus 2.5% lumpsum"/>
      <sheetName val="STEP UP_(10% Equity only)_2"/>
      <sheetName val="STEP UP_2.5%LS(15% EQUITY only)"/>
      <sheetName val="2.5% Lumpsum(15% EQUITY only)"/>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RA_Special"/>
    </sheetNames>
    <sheetDataSet>
      <sheetData sheetId="0">
        <row r="7">
          <cell r="N7">
            <v>2061900</v>
          </cell>
        </row>
        <row r="8">
          <cell r="N8">
            <v>2061900</v>
          </cell>
        </row>
        <row r="9">
          <cell r="N9">
            <v>2061900</v>
          </cell>
        </row>
        <row r="10">
          <cell r="N10">
            <v>2061900</v>
          </cell>
        </row>
        <row r="11">
          <cell r="N11">
            <v>2061900</v>
          </cell>
        </row>
        <row r="12">
          <cell r="N12">
            <v>2061900</v>
          </cell>
        </row>
        <row r="13">
          <cell r="N13">
            <v>2063804</v>
          </cell>
        </row>
        <row r="14">
          <cell r="N14">
            <v>2061900</v>
          </cell>
        </row>
        <row r="15">
          <cell r="N15">
            <v>2061900</v>
          </cell>
        </row>
        <row r="16">
          <cell r="N16">
            <v>2061900</v>
          </cell>
        </row>
        <row r="17">
          <cell r="N17">
            <v>2061900</v>
          </cell>
        </row>
        <row r="18">
          <cell r="N18">
            <v>2061900</v>
          </cell>
        </row>
        <row r="19">
          <cell r="N19">
            <v>2061900</v>
          </cell>
        </row>
        <row r="20">
          <cell r="N20">
            <v>2061900</v>
          </cell>
        </row>
        <row r="21">
          <cell r="N21">
            <v>2061900</v>
          </cell>
        </row>
        <row r="22">
          <cell r="N22">
            <v>2061900</v>
          </cell>
        </row>
        <row r="23">
          <cell r="N23">
            <v>2063804</v>
          </cell>
        </row>
        <row r="24">
          <cell r="N24">
            <v>2061900</v>
          </cell>
        </row>
        <row r="25">
          <cell r="N25">
            <v>2061900</v>
          </cell>
        </row>
        <row r="26">
          <cell r="N26">
            <v>2061900</v>
          </cell>
        </row>
        <row r="27">
          <cell r="N27">
            <v>2061900</v>
          </cell>
        </row>
        <row r="28">
          <cell r="N28">
            <v>2061900</v>
          </cell>
        </row>
        <row r="29">
          <cell r="N29">
            <v>2061900</v>
          </cell>
        </row>
        <row r="30">
          <cell r="N30">
            <v>2061900</v>
          </cell>
        </row>
        <row r="31">
          <cell r="N31">
            <v>2063804</v>
          </cell>
        </row>
        <row r="32">
          <cell r="N32">
            <v>2061900</v>
          </cell>
        </row>
        <row r="33">
          <cell r="N33">
            <v>2061900</v>
          </cell>
        </row>
        <row r="34">
          <cell r="N34">
            <v>2061900</v>
          </cell>
        </row>
        <row r="35">
          <cell r="N35">
            <v>2061900</v>
          </cell>
        </row>
        <row r="36">
          <cell r="N36">
            <v>2061900</v>
          </cell>
        </row>
        <row r="37">
          <cell r="N37">
            <v>2061900</v>
          </cell>
        </row>
        <row r="38">
          <cell r="N38">
            <v>2061900</v>
          </cell>
        </row>
        <row r="39">
          <cell r="N39">
            <v>2061900</v>
          </cell>
        </row>
        <row r="40">
          <cell r="N40">
            <v>2061900</v>
          </cell>
        </row>
        <row r="41">
          <cell r="N41">
            <v>2063804</v>
          </cell>
        </row>
        <row r="42">
          <cell r="N42">
            <v>2061900</v>
          </cell>
        </row>
        <row r="43">
          <cell r="N43">
            <v>2061900</v>
          </cell>
        </row>
        <row r="44">
          <cell r="N44">
            <v>2061900</v>
          </cell>
        </row>
        <row r="45">
          <cell r="N45">
            <v>2061900</v>
          </cell>
        </row>
        <row r="46">
          <cell r="N46">
            <v>2061900</v>
          </cell>
        </row>
        <row r="47">
          <cell r="N47">
            <v>2061900</v>
          </cell>
        </row>
        <row r="48">
          <cell r="N48">
            <v>2061900</v>
          </cell>
        </row>
        <row r="49">
          <cell r="N49">
            <v>2063804</v>
          </cell>
        </row>
        <row r="50">
          <cell r="N50">
            <v>2061900</v>
          </cell>
        </row>
        <row r="51">
          <cell r="N51">
            <v>2061900</v>
          </cell>
        </row>
        <row r="52">
          <cell r="N52">
            <v>2061900</v>
          </cell>
        </row>
        <row r="53">
          <cell r="N53">
            <v>2061900</v>
          </cell>
        </row>
        <row r="54">
          <cell r="N54">
            <v>2061900</v>
          </cell>
        </row>
        <row r="55">
          <cell r="N55">
            <v>2061900</v>
          </cell>
        </row>
        <row r="56">
          <cell r="N56">
            <v>2061900</v>
          </cell>
        </row>
        <row r="57">
          <cell r="N57">
            <v>2061900</v>
          </cell>
        </row>
        <row r="58">
          <cell r="N58">
            <v>2061900</v>
          </cell>
        </row>
        <row r="59">
          <cell r="N59">
            <v>2063804</v>
          </cell>
        </row>
        <row r="60">
          <cell r="N60">
            <v>2061900</v>
          </cell>
        </row>
        <row r="61">
          <cell r="N61">
            <v>2061900</v>
          </cell>
        </row>
        <row r="62">
          <cell r="N62">
            <v>2061900</v>
          </cell>
        </row>
        <row r="63">
          <cell r="N63">
            <v>2061900</v>
          </cell>
        </row>
        <row r="64">
          <cell r="N64">
            <v>2061900</v>
          </cell>
        </row>
        <row r="65">
          <cell r="N65">
            <v>2061900</v>
          </cell>
        </row>
        <row r="66">
          <cell r="N66">
            <v>2061900</v>
          </cell>
        </row>
        <row r="67">
          <cell r="N67">
            <v>2063804</v>
          </cell>
        </row>
        <row r="68">
          <cell r="N68">
            <v>2061900</v>
          </cell>
        </row>
        <row r="69">
          <cell r="N69">
            <v>2061900</v>
          </cell>
        </row>
        <row r="70">
          <cell r="N70">
            <v>2061900</v>
          </cell>
        </row>
        <row r="71">
          <cell r="N71">
            <v>2061900</v>
          </cell>
        </row>
        <row r="72">
          <cell r="N72">
            <v>2061900</v>
          </cell>
        </row>
        <row r="73">
          <cell r="N73">
            <v>2061900</v>
          </cell>
        </row>
        <row r="74">
          <cell r="N74">
            <v>2061900</v>
          </cell>
        </row>
        <row r="75">
          <cell r="N75">
            <v>2061900</v>
          </cell>
        </row>
        <row r="76">
          <cell r="N76">
            <v>2061900</v>
          </cell>
        </row>
        <row r="77">
          <cell r="N77">
            <v>2063804</v>
          </cell>
        </row>
        <row r="78">
          <cell r="N78">
            <v>2111900</v>
          </cell>
        </row>
        <row r="79">
          <cell r="N79">
            <v>2111900</v>
          </cell>
        </row>
        <row r="80">
          <cell r="N80">
            <v>2111900</v>
          </cell>
        </row>
        <row r="81">
          <cell r="N81">
            <v>2111900</v>
          </cell>
        </row>
        <row r="82">
          <cell r="N82">
            <v>2111900</v>
          </cell>
        </row>
        <row r="83">
          <cell r="N83">
            <v>2111900</v>
          </cell>
        </row>
        <row r="84">
          <cell r="N84">
            <v>2111900</v>
          </cell>
        </row>
        <row r="85">
          <cell r="N85">
            <v>2113804</v>
          </cell>
        </row>
        <row r="86">
          <cell r="N86">
            <v>2111900</v>
          </cell>
        </row>
        <row r="87">
          <cell r="N87">
            <v>2111900</v>
          </cell>
        </row>
        <row r="88">
          <cell r="N88">
            <v>2111900</v>
          </cell>
        </row>
        <row r="89">
          <cell r="N89">
            <v>2111900</v>
          </cell>
        </row>
        <row r="90">
          <cell r="N90">
            <v>2111900</v>
          </cell>
        </row>
        <row r="91">
          <cell r="N91">
            <v>2111900</v>
          </cell>
        </row>
        <row r="92">
          <cell r="N92">
            <v>2111900</v>
          </cell>
        </row>
        <row r="93">
          <cell r="N93">
            <v>2111900</v>
          </cell>
        </row>
        <row r="94">
          <cell r="N94">
            <v>2111900</v>
          </cell>
        </row>
        <row r="95">
          <cell r="N95">
            <v>2113804</v>
          </cell>
        </row>
        <row r="96">
          <cell r="N96">
            <v>2111900</v>
          </cell>
        </row>
        <row r="97">
          <cell r="N97">
            <v>2111900</v>
          </cell>
        </row>
        <row r="98">
          <cell r="N98">
            <v>2111900</v>
          </cell>
        </row>
        <row r="99">
          <cell r="N99">
            <v>2111900</v>
          </cell>
        </row>
        <row r="100">
          <cell r="N100">
            <v>2111900</v>
          </cell>
        </row>
        <row r="101">
          <cell r="N101">
            <v>2111900</v>
          </cell>
        </row>
        <row r="102">
          <cell r="N102">
            <v>2111900</v>
          </cell>
        </row>
        <row r="103">
          <cell r="N103">
            <v>2113804</v>
          </cell>
        </row>
        <row r="104">
          <cell r="N104">
            <v>2111900</v>
          </cell>
        </row>
        <row r="105">
          <cell r="N105">
            <v>2111900</v>
          </cell>
        </row>
        <row r="106">
          <cell r="N106">
            <v>2111900</v>
          </cell>
        </row>
        <row r="107">
          <cell r="N107">
            <v>2111900</v>
          </cell>
        </row>
        <row r="108">
          <cell r="N108">
            <v>2111900</v>
          </cell>
        </row>
        <row r="109">
          <cell r="N109">
            <v>2111900</v>
          </cell>
        </row>
        <row r="110">
          <cell r="N110">
            <v>2111900</v>
          </cell>
        </row>
        <row r="111">
          <cell r="N111">
            <v>2111900</v>
          </cell>
        </row>
        <row r="112">
          <cell r="N112">
            <v>2111900</v>
          </cell>
        </row>
        <row r="113">
          <cell r="N113">
            <v>2113804</v>
          </cell>
        </row>
        <row r="114">
          <cell r="N114">
            <v>2111900</v>
          </cell>
        </row>
        <row r="115">
          <cell r="N115">
            <v>2111900</v>
          </cell>
        </row>
        <row r="116">
          <cell r="N116">
            <v>2111900</v>
          </cell>
        </row>
        <row r="117">
          <cell r="N117">
            <v>2111900</v>
          </cell>
        </row>
        <row r="118">
          <cell r="N118">
            <v>2111900</v>
          </cell>
        </row>
        <row r="119">
          <cell r="N119">
            <v>2111900</v>
          </cell>
        </row>
        <row r="120">
          <cell r="N120">
            <v>2111900</v>
          </cell>
        </row>
        <row r="121">
          <cell r="N121">
            <v>2113804</v>
          </cell>
        </row>
        <row r="122">
          <cell r="N122">
            <v>2111900</v>
          </cell>
        </row>
        <row r="123">
          <cell r="N123">
            <v>2111900</v>
          </cell>
        </row>
        <row r="124">
          <cell r="N124">
            <v>2111900</v>
          </cell>
        </row>
        <row r="125">
          <cell r="N125">
            <v>2111900</v>
          </cell>
        </row>
        <row r="126">
          <cell r="N126">
            <v>2111900</v>
          </cell>
        </row>
        <row r="127">
          <cell r="N127">
            <v>2111900</v>
          </cell>
        </row>
        <row r="128">
          <cell r="N128">
            <v>2111900</v>
          </cell>
        </row>
        <row r="129">
          <cell r="N129">
            <v>2111900</v>
          </cell>
        </row>
        <row r="130">
          <cell r="N130">
            <v>2111900</v>
          </cell>
        </row>
        <row r="131">
          <cell r="N131">
            <v>2113804</v>
          </cell>
        </row>
        <row r="132">
          <cell r="N132">
            <v>2111900</v>
          </cell>
        </row>
        <row r="133">
          <cell r="N133">
            <v>2111900</v>
          </cell>
        </row>
        <row r="134">
          <cell r="N134">
            <v>2111900</v>
          </cell>
        </row>
        <row r="135">
          <cell r="N135">
            <v>2111900</v>
          </cell>
        </row>
        <row r="136">
          <cell r="N136">
            <v>2111900</v>
          </cell>
        </row>
        <row r="137">
          <cell r="N137">
            <v>2111900</v>
          </cell>
        </row>
        <row r="138">
          <cell r="N138">
            <v>2111900</v>
          </cell>
        </row>
        <row r="139">
          <cell r="N139">
            <v>2113804</v>
          </cell>
        </row>
        <row r="140">
          <cell r="N140">
            <v>2111900</v>
          </cell>
        </row>
        <row r="141">
          <cell r="N141">
            <v>2111900</v>
          </cell>
        </row>
        <row r="142">
          <cell r="N142">
            <v>2111900</v>
          </cell>
        </row>
        <row r="143">
          <cell r="N143">
            <v>2111900</v>
          </cell>
        </row>
        <row r="144">
          <cell r="N144">
            <v>2111900</v>
          </cell>
        </row>
        <row r="145">
          <cell r="N145">
            <v>2111900</v>
          </cell>
        </row>
        <row r="146">
          <cell r="N146">
            <v>2111900</v>
          </cell>
        </row>
        <row r="147">
          <cell r="N147">
            <v>2111900</v>
          </cell>
        </row>
        <row r="148">
          <cell r="N148">
            <v>2111900</v>
          </cell>
        </row>
        <row r="149">
          <cell r="N149">
            <v>2113804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d Turn over date"/>
      <sheetName val="INTERNAL PRICELIST"/>
      <sheetName val="T1_Pricelist Link"/>
      <sheetName val="FORM"/>
      <sheetName val="STEP UP"/>
      <sheetName val="RA_STEPUP"/>
      <sheetName val="STANDARD COMP."/>
      <sheetName val="RA_Standard"/>
      <sheetName val="SPOT EQUITY_7DAYS"/>
      <sheetName val="RA_SE7D"/>
      <sheetName val="SPOT EQUITY_30DAYS"/>
      <sheetName val="RA_SE30D"/>
      <sheetName val="SPOT CASH_30 DAYS"/>
      <sheetName val="RA_SC30D"/>
      <sheetName val="SPOT CASH_60 DAYS"/>
      <sheetName val="RA_SC60D"/>
      <sheetName val="DEFERRED"/>
      <sheetName val="RA_DEFERRED"/>
      <sheetName val="SPECIAL PACKAGE"/>
      <sheetName val="RA_SPECIAL"/>
      <sheetName val="Docs Req"/>
    </sheetNames>
    <sheetDataSet>
      <sheetData sheetId="0"/>
      <sheetData sheetId="1"/>
      <sheetData sheetId="2"/>
      <sheetData sheetId="3">
        <row r="11">
          <cell r="I11" t="str">
            <v>HARBOUR PARK RESIDENCES</v>
          </cell>
        </row>
        <row r="14">
          <cell r="I14" t="str">
            <v>TOWER 1</v>
          </cell>
        </row>
      </sheetData>
      <sheetData sheetId="4"/>
      <sheetData sheetId="5"/>
      <sheetData sheetId="6"/>
      <sheetData sheetId="7">
        <row r="95">
          <cell r="A95" t="str">
            <v>Brokerage/Realty</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5.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8.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5.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17.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5" Type="http://schemas.openxmlformats.org/officeDocument/2006/relationships/ctrlProp" Target="../ctrlProps/ctrlProp31.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3" Type="http://schemas.openxmlformats.org/officeDocument/2006/relationships/vmlDrawing" Target="../drawings/vmlDrawing9.vml"/><Relationship Id="rId21" Type="http://schemas.openxmlformats.org/officeDocument/2006/relationships/ctrlProp" Target="../ctrlProps/ctrlProp56.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trlProp" Target="../ctrlProps/ctrlProp51.xml"/><Relationship Id="rId20" Type="http://schemas.openxmlformats.org/officeDocument/2006/relationships/ctrlProp" Target="../ctrlProps/ctrlProp55.xml"/><Relationship Id="rId1" Type="http://schemas.openxmlformats.org/officeDocument/2006/relationships/printerSettings" Target="../printerSettings/printerSettings19.bin"/><Relationship Id="rId6" Type="http://schemas.openxmlformats.org/officeDocument/2006/relationships/ctrlProp" Target="../ctrlProps/ctrlProp41.xml"/><Relationship Id="rId11" Type="http://schemas.openxmlformats.org/officeDocument/2006/relationships/ctrlProp" Target="../ctrlProps/ctrlProp46.xml"/><Relationship Id="rId5" Type="http://schemas.openxmlformats.org/officeDocument/2006/relationships/ctrlProp" Target="../ctrlProps/ctrlProp40.xml"/><Relationship Id="rId15" Type="http://schemas.openxmlformats.org/officeDocument/2006/relationships/ctrlProp" Target="../ctrlProps/ctrlProp50.xml"/><Relationship Id="rId10" Type="http://schemas.openxmlformats.org/officeDocument/2006/relationships/ctrlProp" Target="../ctrlProps/ctrlProp45.xml"/><Relationship Id="rId19" Type="http://schemas.openxmlformats.org/officeDocument/2006/relationships/ctrlProp" Target="../ctrlProps/ctrlProp54.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62.xml"/><Relationship Id="rId13" Type="http://schemas.openxmlformats.org/officeDocument/2006/relationships/ctrlProp" Target="../ctrlProps/ctrlProp67.xml"/><Relationship Id="rId18" Type="http://schemas.openxmlformats.org/officeDocument/2006/relationships/ctrlProp" Target="../ctrlProps/ctrlProp72.xml"/><Relationship Id="rId3" Type="http://schemas.openxmlformats.org/officeDocument/2006/relationships/vmlDrawing" Target="../drawings/vmlDrawing10.vml"/><Relationship Id="rId21" Type="http://schemas.openxmlformats.org/officeDocument/2006/relationships/ctrlProp" Target="../ctrlProps/ctrlProp75.xml"/><Relationship Id="rId7" Type="http://schemas.openxmlformats.org/officeDocument/2006/relationships/ctrlProp" Target="../ctrlProps/ctrlProp61.xml"/><Relationship Id="rId12" Type="http://schemas.openxmlformats.org/officeDocument/2006/relationships/ctrlProp" Target="../ctrlProps/ctrlProp66.xml"/><Relationship Id="rId17" Type="http://schemas.openxmlformats.org/officeDocument/2006/relationships/ctrlProp" Target="../ctrlProps/ctrlProp71.xml"/><Relationship Id="rId2" Type="http://schemas.openxmlformats.org/officeDocument/2006/relationships/drawing" Target="../drawings/drawing7.xml"/><Relationship Id="rId16" Type="http://schemas.openxmlformats.org/officeDocument/2006/relationships/ctrlProp" Target="../ctrlProps/ctrlProp70.xml"/><Relationship Id="rId20" Type="http://schemas.openxmlformats.org/officeDocument/2006/relationships/ctrlProp" Target="../ctrlProps/ctrlProp74.xml"/><Relationship Id="rId1" Type="http://schemas.openxmlformats.org/officeDocument/2006/relationships/printerSettings" Target="../printerSettings/printerSettings21.bin"/><Relationship Id="rId6" Type="http://schemas.openxmlformats.org/officeDocument/2006/relationships/ctrlProp" Target="../ctrlProps/ctrlProp60.xml"/><Relationship Id="rId11" Type="http://schemas.openxmlformats.org/officeDocument/2006/relationships/ctrlProp" Target="../ctrlProps/ctrlProp65.xml"/><Relationship Id="rId5" Type="http://schemas.openxmlformats.org/officeDocument/2006/relationships/ctrlProp" Target="../ctrlProps/ctrlProp59.xml"/><Relationship Id="rId15" Type="http://schemas.openxmlformats.org/officeDocument/2006/relationships/ctrlProp" Target="../ctrlProps/ctrlProp69.xml"/><Relationship Id="rId10" Type="http://schemas.openxmlformats.org/officeDocument/2006/relationships/ctrlProp" Target="../ctrlProps/ctrlProp64.xml"/><Relationship Id="rId19" Type="http://schemas.openxmlformats.org/officeDocument/2006/relationships/ctrlProp" Target="../ctrlProps/ctrlProp73.xml"/><Relationship Id="rId4" Type="http://schemas.openxmlformats.org/officeDocument/2006/relationships/ctrlProp" Target="../ctrlProps/ctrlProp58.xml"/><Relationship Id="rId9" Type="http://schemas.openxmlformats.org/officeDocument/2006/relationships/ctrlProp" Target="../ctrlProps/ctrlProp63.xml"/><Relationship Id="rId14" Type="http://schemas.openxmlformats.org/officeDocument/2006/relationships/ctrlProp" Target="../ctrlProps/ctrlProp68.xml"/><Relationship Id="rId22" Type="http://schemas.openxmlformats.org/officeDocument/2006/relationships/ctrlProp" Target="../ctrlProps/ctrlProp76.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18" Type="http://schemas.openxmlformats.org/officeDocument/2006/relationships/ctrlProp" Target="../ctrlProps/ctrlProp91.xml"/><Relationship Id="rId3" Type="http://schemas.openxmlformats.org/officeDocument/2006/relationships/vmlDrawing" Target="../drawings/vmlDrawing11.vml"/><Relationship Id="rId21" Type="http://schemas.openxmlformats.org/officeDocument/2006/relationships/ctrlProp" Target="../ctrlProps/ctrlProp94.x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 Type="http://schemas.openxmlformats.org/officeDocument/2006/relationships/drawing" Target="../drawings/drawing8.xml"/><Relationship Id="rId16" Type="http://schemas.openxmlformats.org/officeDocument/2006/relationships/ctrlProp" Target="../ctrlProps/ctrlProp89.xml"/><Relationship Id="rId20" Type="http://schemas.openxmlformats.org/officeDocument/2006/relationships/ctrlProp" Target="../ctrlProps/ctrlProp93.xml"/><Relationship Id="rId1" Type="http://schemas.openxmlformats.org/officeDocument/2006/relationships/printerSettings" Target="../printerSettings/printerSettings23.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19" Type="http://schemas.openxmlformats.org/officeDocument/2006/relationships/ctrlProp" Target="../ctrlProps/ctrlProp92.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 Id="rId22" Type="http://schemas.openxmlformats.org/officeDocument/2006/relationships/ctrlProp" Target="../ctrlProps/ctrlProp95.x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8" Type="http://schemas.openxmlformats.org/officeDocument/2006/relationships/ctrlProp" Target="../ctrlProps/ctrlProp100.xml"/><Relationship Id="rId13" Type="http://schemas.openxmlformats.org/officeDocument/2006/relationships/ctrlProp" Target="../ctrlProps/ctrlProp105.xml"/><Relationship Id="rId18" Type="http://schemas.openxmlformats.org/officeDocument/2006/relationships/ctrlProp" Target="../ctrlProps/ctrlProp110.xml"/><Relationship Id="rId3" Type="http://schemas.openxmlformats.org/officeDocument/2006/relationships/vmlDrawing" Target="../drawings/vmlDrawing12.vml"/><Relationship Id="rId21" Type="http://schemas.openxmlformats.org/officeDocument/2006/relationships/ctrlProp" Target="../ctrlProps/ctrlProp113.xml"/><Relationship Id="rId7" Type="http://schemas.openxmlformats.org/officeDocument/2006/relationships/ctrlProp" Target="../ctrlProps/ctrlProp99.xml"/><Relationship Id="rId12" Type="http://schemas.openxmlformats.org/officeDocument/2006/relationships/ctrlProp" Target="../ctrlProps/ctrlProp104.xml"/><Relationship Id="rId17" Type="http://schemas.openxmlformats.org/officeDocument/2006/relationships/ctrlProp" Target="../ctrlProps/ctrlProp109.xml"/><Relationship Id="rId2" Type="http://schemas.openxmlformats.org/officeDocument/2006/relationships/drawing" Target="../drawings/drawing9.xml"/><Relationship Id="rId16" Type="http://schemas.openxmlformats.org/officeDocument/2006/relationships/ctrlProp" Target="../ctrlProps/ctrlProp108.xml"/><Relationship Id="rId20" Type="http://schemas.openxmlformats.org/officeDocument/2006/relationships/ctrlProp" Target="../ctrlProps/ctrlProp112.xml"/><Relationship Id="rId1" Type="http://schemas.openxmlformats.org/officeDocument/2006/relationships/printerSettings" Target="../printerSettings/printerSettings26.bin"/><Relationship Id="rId6" Type="http://schemas.openxmlformats.org/officeDocument/2006/relationships/ctrlProp" Target="../ctrlProps/ctrlProp98.xml"/><Relationship Id="rId11" Type="http://schemas.openxmlformats.org/officeDocument/2006/relationships/ctrlProp" Target="../ctrlProps/ctrlProp103.xml"/><Relationship Id="rId5" Type="http://schemas.openxmlformats.org/officeDocument/2006/relationships/ctrlProp" Target="../ctrlProps/ctrlProp97.xml"/><Relationship Id="rId15" Type="http://schemas.openxmlformats.org/officeDocument/2006/relationships/ctrlProp" Target="../ctrlProps/ctrlProp107.xml"/><Relationship Id="rId10" Type="http://schemas.openxmlformats.org/officeDocument/2006/relationships/ctrlProp" Target="../ctrlProps/ctrlProp102.xml"/><Relationship Id="rId19" Type="http://schemas.openxmlformats.org/officeDocument/2006/relationships/ctrlProp" Target="../ctrlProps/ctrlProp111.xml"/><Relationship Id="rId4" Type="http://schemas.openxmlformats.org/officeDocument/2006/relationships/ctrlProp" Target="../ctrlProps/ctrlProp96.xml"/><Relationship Id="rId9" Type="http://schemas.openxmlformats.org/officeDocument/2006/relationships/ctrlProp" Target="../ctrlProps/ctrlProp101.xml"/><Relationship Id="rId14" Type="http://schemas.openxmlformats.org/officeDocument/2006/relationships/ctrlProp" Target="../ctrlProps/ctrlProp106.xml"/><Relationship Id="rId22" Type="http://schemas.openxmlformats.org/officeDocument/2006/relationships/ctrlProp" Target="../ctrlProps/ctrlProp114.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8" Type="http://schemas.openxmlformats.org/officeDocument/2006/relationships/ctrlProp" Target="../ctrlProps/ctrlProp119.xml"/><Relationship Id="rId13" Type="http://schemas.openxmlformats.org/officeDocument/2006/relationships/ctrlProp" Target="../ctrlProps/ctrlProp124.xml"/><Relationship Id="rId18" Type="http://schemas.openxmlformats.org/officeDocument/2006/relationships/ctrlProp" Target="../ctrlProps/ctrlProp129.xml"/><Relationship Id="rId3" Type="http://schemas.openxmlformats.org/officeDocument/2006/relationships/vmlDrawing" Target="../drawings/vmlDrawing13.vml"/><Relationship Id="rId21" Type="http://schemas.openxmlformats.org/officeDocument/2006/relationships/ctrlProp" Target="../ctrlProps/ctrlProp132.xml"/><Relationship Id="rId7" Type="http://schemas.openxmlformats.org/officeDocument/2006/relationships/ctrlProp" Target="../ctrlProps/ctrlProp118.xml"/><Relationship Id="rId12" Type="http://schemas.openxmlformats.org/officeDocument/2006/relationships/ctrlProp" Target="../ctrlProps/ctrlProp123.xml"/><Relationship Id="rId17" Type="http://schemas.openxmlformats.org/officeDocument/2006/relationships/ctrlProp" Target="../ctrlProps/ctrlProp128.xml"/><Relationship Id="rId2" Type="http://schemas.openxmlformats.org/officeDocument/2006/relationships/drawing" Target="../drawings/drawing10.xml"/><Relationship Id="rId16" Type="http://schemas.openxmlformats.org/officeDocument/2006/relationships/ctrlProp" Target="../ctrlProps/ctrlProp127.xml"/><Relationship Id="rId20" Type="http://schemas.openxmlformats.org/officeDocument/2006/relationships/ctrlProp" Target="../ctrlProps/ctrlProp131.xml"/><Relationship Id="rId1" Type="http://schemas.openxmlformats.org/officeDocument/2006/relationships/printerSettings" Target="../printerSettings/printerSettings28.bin"/><Relationship Id="rId6" Type="http://schemas.openxmlformats.org/officeDocument/2006/relationships/ctrlProp" Target="../ctrlProps/ctrlProp117.xml"/><Relationship Id="rId11" Type="http://schemas.openxmlformats.org/officeDocument/2006/relationships/ctrlProp" Target="../ctrlProps/ctrlProp122.xml"/><Relationship Id="rId5" Type="http://schemas.openxmlformats.org/officeDocument/2006/relationships/ctrlProp" Target="../ctrlProps/ctrlProp116.xml"/><Relationship Id="rId15" Type="http://schemas.openxmlformats.org/officeDocument/2006/relationships/ctrlProp" Target="../ctrlProps/ctrlProp126.xml"/><Relationship Id="rId10" Type="http://schemas.openxmlformats.org/officeDocument/2006/relationships/ctrlProp" Target="../ctrlProps/ctrlProp121.xml"/><Relationship Id="rId19" Type="http://schemas.openxmlformats.org/officeDocument/2006/relationships/ctrlProp" Target="../ctrlProps/ctrlProp130.xml"/><Relationship Id="rId4" Type="http://schemas.openxmlformats.org/officeDocument/2006/relationships/ctrlProp" Target="../ctrlProps/ctrlProp115.xml"/><Relationship Id="rId9" Type="http://schemas.openxmlformats.org/officeDocument/2006/relationships/ctrlProp" Target="../ctrlProps/ctrlProp120.xml"/><Relationship Id="rId14" Type="http://schemas.openxmlformats.org/officeDocument/2006/relationships/ctrlProp" Target="../ctrlProps/ctrlProp125.xml"/><Relationship Id="rId22" Type="http://schemas.openxmlformats.org/officeDocument/2006/relationships/ctrlProp" Target="../ctrlProps/ctrlProp133.xml"/></Relationships>
</file>

<file path=xl/worksheets/_rels/sheet31.xml.rels><?xml version="1.0" encoding="UTF-8" standalone="yes"?>
<Relationships xmlns="http://schemas.openxmlformats.org/package/2006/relationships"><Relationship Id="rId8" Type="http://schemas.openxmlformats.org/officeDocument/2006/relationships/ctrlProp" Target="../ctrlProps/ctrlProp138.xml"/><Relationship Id="rId3" Type="http://schemas.openxmlformats.org/officeDocument/2006/relationships/vmlDrawing" Target="../drawings/vmlDrawing14.vml"/><Relationship Id="rId7" Type="http://schemas.openxmlformats.org/officeDocument/2006/relationships/ctrlProp" Target="../ctrlProps/ctrlProp137.xml"/><Relationship Id="rId2" Type="http://schemas.openxmlformats.org/officeDocument/2006/relationships/drawing" Target="../drawings/drawing11.xml"/><Relationship Id="rId1" Type="http://schemas.openxmlformats.org/officeDocument/2006/relationships/printerSettings" Target="../printerSettings/printerSettings29.bin"/><Relationship Id="rId6" Type="http://schemas.openxmlformats.org/officeDocument/2006/relationships/ctrlProp" Target="../ctrlProps/ctrlProp136.xml"/><Relationship Id="rId5" Type="http://schemas.openxmlformats.org/officeDocument/2006/relationships/ctrlProp" Target="../ctrlProps/ctrlProp135.xml"/><Relationship Id="rId10" Type="http://schemas.openxmlformats.org/officeDocument/2006/relationships/comments" Target="../comments7.xml"/><Relationship Id="rId4" Type="http://schemas.openxmlformats.org/officeDocument/2006/relationships/ctrlProp" Target="../ctrlProps/ctrlProp134.xml"/><Relationship Id="rId9" Type="http://schemas.openxmlformats.org/officeDocument/2006/relationships/ctrlProp" Target="../ctrlProps/ctrlProp139.xml"/></Relationships>
</file>

<file path=xl/worksheets/_rels/sheet32.xml.rels><?xml version="1.0" encoding="UTF-8" standalone="yes"?>
<Relationships xmlns="http://schemas.openxmlformats.org/package/2006/relationships"><Relationship Id="rId8" Type="http://schemas.openxmlformats.org/officeDocument/2006/relationships/ctrlProp" Target="../ctrlProps/ctrlProp144.xml"/><Relationship Id="rId13" Type="http://schemas.openxmlformats.org/officeDocument/2006/relationships/ctrlProp" Target="../ctrlProps/ctrlProp149.xml"/><Relationship Id="rId18" Type="http://schemas.openxmlformats.org/officeDocument/2006/relationships/ctrlProp" Target="../ctrlProps/ctrlProp154.xml"/><Relationship Id="rId3" Type="http://schemas.openxmlformats.org/officeDocument/2006/relationships/vmlDrawing" Target="../drawings/vmlDrawing15.vml"/><Relationship Id="rId21" Type="http://schemas.openxmlformats.org/officeDocument/2006/relationships/ctrlProp" Target="../ctrlProps/ctrlProp157.xml"/><Relationship Id="rId7" Type="http://schemas.openxmlformats.org/officeDocument/2006/relationships/ctrlProp" Target="../ctrlProps/ctrlProp143.xml"/><Relationship Id="rId12" Type="http://schemas.openxmlformats.org/officeDocument/2006/relationships/ctrlProp" Target="../ctrlProps/ctrlProp148.xml"/><Relationship Id="rId17" Type="http://schemas.openxmlformats.org/officeDocument/2006/relationships/ctrlProp" Target="../ctrlProps/ctrlProp153.xml"/><Relationship Id="rId2" Type="http://schemas.openxmlformats.org/officeDocument/2006/relationships/drawing" Target="../drawings/drawing12.xml"/><Relationship Id="rId16" Type="http://schemas.openxmlformats.org/officeDocument/2006/relationships/ctrlProp" Target="../ctrlProps/ctrlProp152.xml"/><Relationship Id="rId20" Type="http://schemas.openxmlformats.org/officeDocument/2006/relationships/ctrlProp" Target="../ctrlProps/ctrlProp156.xml"/><Relationship Id="rId1" Type="http://schemas.openxmlformats.org/officeDocument/2006/relationships/printerSettings" Target="../printerSettings/printerSettings30.bin"/><Relationship Id="rId6" Type="http://schemas.openxmlformats.org/officeDocument/2006/relationships/ctrlProp" Target="../ctrlProps/ctrlProp142.xml"/><Relationship Id="rId11" Type="http://schemas.openxmlformats.org/officeDocument/2006/relationships/ctrlProp" Target="../ctrlProps/ctrlProp147.xml"/><Relationship Id="rId5" Type="http://schemas.openxmlformats.org/officeDocument/2006/relationships/ctrlProp" Target="../ctrlProps/ctrlProp141.xml"/><Relationship Id="rId15" Type="http://schemas.openxmlformats.org/officeDocument/2006/relationships/ctrlProp" Target="../ctrlProps/ctrlProp151.xml"/><Relationship Id="rId10" Type="http://schemas.openxmlformats.org/officeDocument/2006/relationships/ctrlProp" Target="../ctrlProps/ctrlProp146.xml"/><Relationship Id="rId19" Type="http://schemas.openxmlformats.org/officeDocument/2006/relationships/ctrlProp" Target="../ctrlProps/ctrlProp155.xml"/><Relationship Id="rId4" Type="http://schemas.openxmlformats.org/officeDocument/2006/relationships/ctrlProp" Target="../ctrlProps/ctrlProp140.xml"/><Relationship Id="rId9" Type="http://schemas.openxmlformats.org/officeDocument/2006/relationships/ctrlProp" Target="../ctrlProps/ctrlProp145.xml"/><Relationship Id="rId14" Type="http://schemas.openxmlformats.org/officeDocument/2006/relationships/ctrlProp" Target="../ctrlProps/ctrlProp150.xml"/><Relationship Id="rId22" Type="http://schemas.openxmlformats.org/officeDocument/2006/relationships/ctrlProp" Target="../ctrlProps/ctrlProp15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dimension ref="A1:O41"/>
  <sheetViews>
    <sheetView workbookViewId="0">
      <selection activeCell="A8" sqref="A8"/>
    </sheetView>
  </sheetViews>
  <sheetFormatPr defaultRowHeight="14.45"/>
  <cols>
    <col min="2" max="2" width="11.85546875" customWidth="1"/>
    <col min="14" max="14" width="6.5703125" customWidth="1"/>
  </cols>
  <sheetData>
    <row r="1" spans="1:15">
      <c r="A1" t="s">
        <v>0</v>
      </c>
    </row>
    <row r="7" spans="1:15">
      <c r="O7" t="s">
        <v>1</v>
      </c>
    </row>
    <row r="12" spans="1:15">
      <c r="B12" t="s">
        <v>2</v>
      </c>
    </row>
    <row r="13" spans="1:15">
      <c r="B13" t="s">
        <v>3</v>
      </c>
      <c r="C13" t="s">
        <v>4</v>
      </c>
    </row>
    <row r="14" spans="1:15">
      <c r="A14" t="s">
        <v>5</v>
      </c>
      <c r="B14">
        <v>27</v>
      </c>
      <c r="C14">
        <v>30</v>
      </c>
    </row>
    <row r="15" spans="1:15">
      <c r="A15" t="s">
        <v>6</v>
      </c>
      <c r="B15">
        <v>32</v>
      </c>
      <c r="C15">
        <v>35</v>
      </c>
    </row>
    <row r="16" spans="1:15">
      <c r="A16" t="s">
        <v>7</v>
      </c>
      <c r="B16">
        <v>37</v>
      </c>
      <c r="C16">
        <v>40</v>
      </c>
    </row>
    <row r="17" spans="1:2" s="906" customFormat="1"/>
    <row r="18" spans="1:2">
      <c r="A18" t="s">
        <v>8</v>
      </c>
      <c r="B18" s="400" t="s">
        <v>9</v>
      </c>
    </row>
    <row r="38" spans="3:4">
      <c r="C38" t="s">
        <v>8</v>
      </c>
    </row>
    <row r="39" spans="3:4">
      <c r="C39" t="s">
        <v>5</v>
      </c>
      <c r="D39" s="892">
        <v>45748</v>
      </c>
    </row>
    <row r="40" spans="3:4">
      <c r="C40" t="s">
        <v>6</v>
      </c>
      <c r="D40" s="892">
        <v>45931</v>
      </c>
    </row>
    <row r="41" spans="3:4">
      <c r="C41" t="s">
        <v>7</v>
      </c>
      <c r="D41" s="892">
        <v>46174</v>
      </c>
    </row>
  </sheetData>
  <sheetProtection password="CC2E"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4">
    <tabColor theme="7" tint="-0.249977111117893"/>
  </sheetPr>
  <dimension ref="A1:CL385"/>
  <sheetViews>
    <sheetView showGridLines="0" topLeftCell="A13" zoomScale="90" zoomScaleNormal="90" workbookViewId="0">
      <selection activeCell="E26" sqref="E26"/>
    </sheetView>
  </sheetViews>
  <sheetFormatPr defaultColWidth="9.140625" defaultRowHeight="12.95"/>
  <cols>
    <col min="1" max="1" width="4.5703125" style="786" customWidth="1"/>
    <col min="2" max="2" width="13.42578125" style="786" customWidth="1"/>
    <col min="3" max="3" width="15.42578125" style="786" customWidth="1"/>
    <col min="4" max="4" width="17.42578125" style="786" bestFit="1" customWidth="1"/>
    <col min="5" max="5" width="13" style="786" customWidth="1"/>
    <col min="6" max="6" width="14.42578125" style="787" customWidth="1"/>
    <col min="7" max="7" width="13" style="786" customWidth="1"/>
    <col min="8" max="8" width="14.42578125" style="786" bestFit="1" customWidth="1"/>
    <col min="9" max="9" width="17.42578125" style="786" customWidth="1"/>
    <col min="10" max="10" width="15.42578125" style="788" hidden="1" customWidth="1"/>
    <col min="11" max="11" width="5.85546875" style="785" customWidth="1"/>
    <col min="12" max="12" width="24.42578125" style="787" hidden="1" customWidth="1"/>
    <col min="13" max="24" width="15.5703125" style="787" hidden="1" customWidth="1"/>
    <col min="25" max="48" width="12.42578125" style="787" hidden="1" customWidth="1"/>
    <col min="49" max="68" width="12.85546875" style="787" hidden="1" customWidth="1"/>
    <col min="69" max="72" width="12" style="787" hidden="1" customWidth="1"/>
    <col min="73" max="74" width="0" style="787" hidden="1" customWidth="1"/>
    <col min="75" max="75" width="16.140625" style="820" hidden="1" customWidth="1"/>
    <col min="76" max="76" width="10.140625" style="820" hidden="1" customWidth="1"/>
    <col min="77" max="77" width="11.5703125" style="820" hidden="1" customWidth="1"/>
    <col min="78" max="78" width="12.85546875" style="820" hidden="1" customWidth="1"/>
    <col min="79" max="79" width="11" style="787" hidden="1" customWidth="1"/>
    <col min="80" max="84" width="0" style="787" hidden="1" customWidth="1"/>
    <col min="85" max="87" width="9.140625" style="787"/>
    <col min="88" max="88" width="12.42578125" style="787" bestFit="1" customWidth="1"/>
    <col min="89" max="246" width="9.140625" style="787"/>
    <col min="247" max="247" width="4.5703125" style="787" customWidth="1"/>
    <col min="248" max="248" width="13.42578125" style="787" customWidth="1"/>
    <col min="249" max="249" width="15.42578125" style="787" customWidth="1"/>
    <col min="250" max="250" width="17.42578125" style="787" bestFit="1" customWidth="1"/>
    <col min="251" max="251" width="13" style="787" customWidth="1"/>
    <col min="252" max="252" width="14.42578125" style="787" customWidth="1"/>
    <col min="253" max="253" width="13" style="787" customWidth="1"/>
    <col min="254" max="254" width="14.42578125" style="787" bestFit="1" customWidth="1"/>
    <col min="255" max="255" width="17.42578125" style="787" customWidth="1"/>
    <col min="256" max="256" width="15.42578125" style="787" customWidth="1"/>
    <col min="257" max="257" width="5.85546875" style="787" customWidth="1"/>
    <col min="258" max="258" width="30.85546875" style="787" bestFit="1" customWidth="1"/>
    <col min="259" max="259" width="11.85546875" style="787" customWidth="1"/>
    <col min="260" max="260" width="1.5703125" style="787" customWidth="1"/>
    <col min="261" max="261" width="26.5703125" style="787" customWidth="1"/>
    <col min="262" max="262" width="14.5703125" style="787" customWidth="1"/>
    <col min="263" max="263" width="9.140625" style="787"/>
    <col min="264" max="264" width="24.42578125" style="787" customWidth="1"/>
    <col min="265" max="265" width="12.5703125" style="787" bestFit="1" customWidth="1"/>
    <col min="266" max="502" width="9.140625" style="787"/>
    <col min="503" max="503" width="4.5703125" style="787" customWidth="1"/>
    <col min="504" max="504" width="13.42578125" style="787" customWidth="1"/>
    <col min="505" max="505" width="15.42578125" style="787" customWidth="1"/>
    <col min="506" max="506" width="17.42578125" style="787" bestFit="1" customWidth="1"/>
    <col min="507" max="507" width="13" style="787" customWidth="1"/>
    <col min="508" max="508" width="14.42578125" style="787" customWidth="1"/>
    <col min="509" max="509" width="13" style="787" customWidth="1"/>
    <col min="510" max="510" width="14.42578125" style="787" bestFit="1" customWidth="1"/>
    <col min="511" max="511" width="17.42578125" style="787" customWidth="1"/>
    <col min="512" max="512" width="15.42578125" style="787" customWidth="1"/>
    <col min="513" max="513" width="5.85546875" style="787" customWidth="1"/>
    <col min="514" max="514" width="30.85546875" style="787" bestFit="1" customWidth="1"/>
    <col min="515" max="515" width="11.85546875" style="787" customWidth="1"/>
    <col min="516" max="516" width="1.5703125" style="787" customWidth="1"/>
    <col min="517" max="517" width="26.5703125" style="787" customWidth="1"/>
    <col min="518" max="518" width="14.5703125" style="787" customWidth="1"/>
    <col min="519" max="519" width="9.140625" style="787"/>
    <col min="520" max="520" width="24.42578125" style="787" customWidth="1"/>
    <col min="521" max="521" width="12.5703125" style="787" bestFit="1" customWidth="1"/>
    <col min="522" max="758" width="9.140625" style="787"/>
    <col min="759" max="759" width="4.5703125" style="787" customWidth="1"/>
    <col min="760" max="760" width="13.42578125" style="787" customWidth="1"/>
    <col min="761" max="761" width="15.42578125" style="787" customWidth="1"/>
    <col min="762" max="762" width="17.42578125" style="787" bestFit="1" customWidth="1"/>
    <col min="763" max="763" width="13" style="787" customWidth="1"/>
    <col min="764" max="764" width="14.42578125" style="787" customWidth="1"/>
    <col min="765" max="765" width="13" style="787" customWidth="1"/>
    <col min="766" max="766" width="14.42578125" style="787" bestFit="1" customWidth="1"/>
    <col min="767" max="767" width="17.42578125" style="787" customWidth="1"/>
    <col min="768" max="768" width="15.42578125" style="787" customWidth="1"/>
    <col min="769" max="769" width="5.85546875" style="787" customWidth="1"/>
    <col min="770" max="770" width="30.85546875" style="787" bestFit="1" customWidth="1"/>
    <col min="771" max="771" width="11.85546875" style="787" customWidth="1"/>
    <col min="772" max="772" width="1.5703125" style="787" customWidth="1"/>
    <col min="773" max="773" width="26.5703125" style="787" customWidth="1"/>
    <col min="774" max="774" width="14.5703125" style="787" customWidth="1"/>
    <col min="775" max="775" width="9.140625" style="787"/>
    <col min="776" max="776" width="24.42578125" style="787" customWidth="1"/>
    <col min="777" max="777" width="12.5703125" style="787" bestFit="1" customWidth="1"/>
    <col min="778" max="1014" width="9.140625" style="787"/>
    <col min="1015" max="1015" width="4.5703125" style="787" customWidth="1"/>
    <col min="1016" max="1016" width="13.42578125" style="787" customWidth="1"/>
    <col min="1017" max="1017" width="15.42578125" style="787" customWidth="1"/>
    <col min="1018" max="1018" width="17.42578125" style="787" bestFit="1" customWidth="1"/>
    <col min="1019" max="1019" width="13" style="787" customWidth="1"/>
    <col min="1020" max="1020" width="14.42578125" style="787" customWidth="1"/>
    <col min="1021" max="1021" width="13" style="787" customWidth="1"/>
    <col min="1022" max="1022" width="14.42578125" style="787" bestFit="1" customWidth="1"/>
    <col min="1023" max="1023" width="17.42578125" style="787" customWidth="1"/>
    <col min="1024" max="1024" width="15.42578125" style="787" customWidth="1"/>
    <col min="1025" max="1025" width="5.85546875" style="787" customWidth="1"/>
    <col min="1026" max="1026" width="30.85546875" style="787" bestFit="1" customWidth="1"/>
    <col min="1027" max="1027" width="11.85546875" style="787" customWidth="1"/>
    <col min="1028" max="1028" width="1.5703125" style="787" customWidth="1"/>
    <col min="1029" max="1029" width="26.5703125" style="787" customWidth="1"/>
    <col min="1030" max="1030" width="14.5703125" style="787" customWidth="1"/>
    <col min="1031" max="1031" width="9.140625" style="787"/>
    <col min="1032" max="1032" width="24.42578125" style="787" customWidth="1"/>
    <col min="1033" max="1033" width="12.5703125" style="787" bestFit="1" customWidth="1"/>
    <col min="1034" max="1270" width="9.140625" style="787"/>
    <col min="1271" max="1271" width="4.5703125" style="787" customWidth="1"/>
    <col min="1272" max="1272" width="13.42578125" style="787" customWidth="1"/>
    <col min="1273" max="1273" width="15.42578125" style="787" customWidth="1"/>
    <col min="1274" max="1274" width="17.42578125" style="787" bestFit="1" customWidth="1"/>
    <col min="1275" max="1275" width="13" style="787" customWidth="1"/>
    <col min="1276" max="1276" width="14.42578125" style="787" customWidth="1"/>
    <col min="1277" max="1277" width="13" style="787" customWidth="1"/>
    <col min="1278" max="1278" width="14.42578125" style="787" bestFit="1" customWidth="1"/>
    <col min="1279" max="1279" width="17.42578125" style="787" customWidth="1"/>
    <col min="1280" max="1280" width="15.42578125" style="787" customWidth="1"/>
    <col min="1281" max="1281" width="5.85546875" style="787" customWidth="1"/>
    <col min="1282" max="1282" width="30.85546875" style="787" bestFit="1" customWidth="1"/>
    <col min="1283" max="1283" width="11.85546875" style="787" customWidth="1"/>
    <col min="1284" max="1284" width="1.5703125" style="787" customWidth="1"/>
    <col min="1285" max="1285" width="26.5703125" style="787" customWidth="1"/>
    <col min="1286" max="1286" width="14.5703125" style="787" customWidth="1"/>
    <col min="1287" max="1287" width="9.140625" style="787"/>
    <col min="1288" max="1288" width="24.42578125" style="787" customWidth="1"/>
    <col min="1289" max="1289" width="12.5703125" style="787" bestFit="1" customWidth="1"/>
    <col min="1290" max="1526" width="9.140625" style="787"/>
    <col min="1527" max="1527" width="4.5703125" style="787" customWidth="1"/>
    <col min="1528" max="1528" width="13.42578125" style="787" customWidth="1"/>
    <col min="1529" max="1529" width="15.42578125" style="787" customWidth="1"/>
    <col min="1530" max="1530" width="17.42578125" style="787" bestFit="1" customWidth="1"/>
    <col min="1531" max="1531" width="13" style="787" customWidth="1"/>
    <col min="1532" max="1532" width="14.42578125" style="787" customWidth="1"/>
    <col min="1533" max="1533" width="13" style="787" customWidth="1"/>
    <col min="1534" max="1534" width="14.42578125" style="787" bestFit="1" customWidth="1"/>
    <col min="1535" max="1535" width="17.42578125" style="787" customWidth="1"/>
    <col min="1536" max="1536" width="15.42578125" style="787" customWidth="1"/>
    <col min="1537" max="1537" width="5.85546875" style="787" customWidth="1"/>
    <col min="1538" max="1538" width="30.85546875" style="787" bestFit="1" customWidth="1"/>
    <col min="1539" max="1539" width="11.85546875" style="787" customWidth="1"/>
    <col min="1540" max="1540" width="1.5703125" style="787" customWidth="1"/>
    <col min="1541" max="1541" width="26.5703125" style="787" customWidth="1"/>
    <col min="1542" max="1542" width="14.5703125" style="787" customWidth="1"/>
    <col min="1543" max="1543" width="9.140625" style="787"/>
    <col min="1544" max="1544" width="24.42578125" style="787" customWidth="1"/>
    <col min="1545" max="1545" width="12.5703125" style="787" bestFit="1" customWidth="1"/>
    <col min="1546" max="1782" width="9.140625" style="787"/>
    <col min="1783" max="1783" width="4.5703125" style="787" customWidth="1"/>
    <col min="1784" max="1784" width="13.42578125" style="787" customWidth="1"/>
    <col min="1785" max="1785" width="15.42578125" style="787" customWidth="1"/>
    <col min="1786" max="1786" width="17.42578125" style="787" bestFit="1" customWidth="1"/>
    <col min="1787" max="1787" width="13" style="787" customWidth="1"/>
    <col min="1788" max="1788" width="14.42578125" style="787" customWidth="1"/>
    <col min="1789" max="1789" width="13" style="787" customWidth="1"/>
    <col min="1790" max="1790" width="14.42578125" style="787" bestFit="1" customWidth="1"/>
    <col min="1791" max="1791" width="17.42578125" style="787" customWidth="1"/>
    <col min="1792" max="1792" width="15.42578125" style="787" customWidth="1"/>
    <col min="1793" max="1793" width="5.85546875" style="787" customWidth="1"/>
    <col min="1794" max="1794" width="30.85546875" style="787" bestFit="1" customWidth="1"/>
    <col min="1795" max="1795" width="11.85546875" style="787" customWidth="1"/>
    <col min="1796" max="1796" width="1.5703125" style="787" customWidth="1"/>
    <col min="1797" max="1797" width="26.5703125" style="787" customWidth="1"/>
    <col min="1798" max="1798" width="14.5703125" style="787" customWidth="1"/>
    <col min="1799" max="1799" width="9.140625" style="787"/>
    <col min="1800" max="1800" width="24.42578125" style="787" customWidth="1"/>
    <col min="1801" max="1801" width="12.5703125" style="787" bestFit="1" customWidth="1"/>
    <col min="1802" max="2038" width="9.140625" style="787"/>
    <col min="2039" max="2039" width="4.5703125" style="787" customWidth="1"/>
    <col min="2040" max="2040" width="13.42578125" style="787" customWidth="1"/>
    <col min="2041" max="2041" width="15.42578125" style="787" customWidth="1"/>
    <col min="2042" max="2042" width="17.42578125" style="787" bestFit="1" customWidth="1"/>
    <col min="2043" max="2043" width="13" style="787" customWidth="1"/>
    <col min="2044" max="2044" width="14.42578125" style="787" customWidth="1"/>
    <col min="2045" max="2045" width="13" style="787" customWidth="1"/>
    <col min="2046" max="2046" width="14.42578125" style="787" bestFit="1" customWidth="1"/>
    <col min="2047" max="2047" width="17.42578125" style="787" customWidth="1"/>
    <col min="2048" max="2048" width="15.42578125" style="787" customWidth="1"/>
    <col min="2049" max="2049" width="5.85546875" style="787" customWidth="1"/>
    <col min="2050" max="2050" width="30.85546875" style="787" bestFit="1" customWidth="1"/>
    <col min="2051" max="2051" width="11.85546875" style="787" customWidth="1"/>
    <col min="2052" max="2052" width="1.5703125" style="787" customWidth="1"/>
    <col min="2053" max="2053" width="26.5703125" style="787" customWidth="1"/>
    <col min="2054" max="2054" width="14.5703125" style="787" customWidth="1"/>
    <col min="2055" max="2055" width="9.140625" style="787"/>
    <col min="2056" max="2056" width="24.42578125" style="787" customWidth="1"/>
    <col min="2057" max="2057" width="12.5703125" style="787" bestFit="1" customWidth="1"/>
    <col min="2058" max="2294" width="9.140625" style="787"/>
    <col min="2295" max="2295" width="4.5703125" style="787" customWidth="1"/>
    <col min="2296" max="2296" width="13.42578125" style="787" customWidth="1"/>
    <col min="2297" max="2297" width="15.42578125" style="787" customWidth="1"/>
    <col min="2298" max="2298" width="17.42578125" style="787" bestFit="1" customWidth="1"/>
    <col min="2299" max="2299" width="13" style="787" customWidth="1"/>
    <col min="2300" max="2300" width="14.42578125" style="787" customWidth="1"/>
    <col min="2301" max="2301" width="13" style="787" customWidth="1"/>
    <col min="2302" max="2302" width="14.42578125" style="787" bestFit="1" customWidth="1"/>
    <col min="2303" max="2303" width="17.42578125" style="787" customWidth="1"/>
    <col min="2304" max="2304" width="15.42578125" style="787" customWidth="1"/>
    <col min="2305" max="2305" width="5.85546875" style="787" customWidth="1"/>
    <col min="2306" max="2306" width="30.85546875" style="787" bestFit="1" customWidth="1"/>
    <col min="2307" max="2307" width="11.85546875" style="787" customWidth="1"/>
    <col min="2308" max="2308" width="1.5703125" style="787" customWidth="1"/>
    <col min="2309" max="2309" width="26.5703125" style="787" customWidth="1"/>
    <col min="2310" max="2310" width="14.5703125" style="787" customWidth="1"/>
    <col min="2311" max="2311" width="9.140625" style="787"/>
    <col min="2312" max="2312" width="24.42578125" style="787" customWidth="1"/>
    <col min="2313" max="2313" width="12.5703125" style="787" bestFit="1" customWidth="1"/>
    <col min="2314" max="2550" width="9.140625" style="787"/>
    <col min="2551" max="2551" width="4.5703125" style="787" customWidth="1"/>
    <col min="2552" max="2552" width="13.42578125" style="787" customWidth="1"/>
    <col min="2553" max="2553" width="15.42578125" style="787" customWidth="1"/>
    <col min="2554" max="2554" width="17.42578125" style="787" bestFit="1" customWidth="1"/>
    <col min="2555" max="2555" width="13" style="787" customWidth="1"/>
    <col min="2556" max="2556" width="14.42578125" style="787" customWidth="1"/>
    <col min="2557" max="2557" width="13" style="787" customWidth="1"/>
    <col min="2558" max="2558" width="14.42578125" style="787" bestFit="1" customWidth="1"/>
    <col min="2559" max="2559" width="17.42578125" style="787" customWidth="1"/>
    <col min="2560" max="2560" width="15.42578125" style="787" customWidth="1"/>
    <col min="2561" max="2561" width="5.85546875" style="787" customWidth="1"/>
    <col min="2562" max="2562" width="30.85546875" style="787" bestFit="1" customWidth="1"/>
    <col min="2563" max="2563" width="11.85546875" style="787" customWidth="1"/>
    <col min="2564" max="2564" width="1.5703125" style="787" customWidth="1"/>
    <col min="2565" max="2565" width="26.5703125" style="787" customWidth="1"/>
    <col min="2566" max="2566" width="14.5703125" style="787" customWidth="1"/>
    <col min="2567" max="2567" width="9.140625" style="787"/>
    <col min="2568" max="2568" width="24.42578125" style="787" customWidth="1"/>
    <col min="2569" max="2569" width="12.5703125" style="787" bestFit="1" customWidth="1"/>
    <col min="2570" max="2806" width="9.140625" style="787"/>
    <col min="2807" max="2807" width="4.5703125" style="787" customWidth="1"/>
    <col min="2808" max="2808" width="13.42578125" style="787" customWidth="1"/>
    <col min="2809" max="2809" width="15.42578125" style="787" customWidth="1"/>
    <col min="2810" max="2810" width="17.42578125" style="787" bestFit="1" customWidth="1"/>
    <col min="2811" max="2811" width="13" style="787" customWidth="1"/>
    <col min="2812" max="2812" width="14.42578125" style="787" customWidth="1"/>
    <col min="2813" max="2813" width="13" style="787" customWidth="1"/>
    <col min="2814" max="2814" width="14.42578125" style="787" bestFit="1" customWidth="1"/>
    <col min="2815" max="2815" width="17.42578125" style="787" customWidth="1"/>
    <col min="2816" max="2816" width="15.42578125" style="787" customWidth="1"/>
    <col min="2817" max="2817" width="5.85546875" style="787" customWidth="1"/>
    <col min="2818" max="2818" width="30.85546875" style="787" bestFit="1" customWidth="1"/>
    <col min="2819" max="2819" width="11.85546875" style="787" customWidth="1"/>
    <col min="2820" max="2820" width="1.5703125" style="787" customWidth="1"/>
    <col min="2821" max="2821" width="26.5703125" style="787" customWidth="1"/>
    <col min="2822" max="2822" width="14.5703125" style="787" customWidth="1"/>
    <col min="2823" max="2823" width="9.140625" style="787"/>
    <col min="2824" max="2824" width="24.42578125" style="787" customWidth="1"/>
    <col min="2825" max="2825" width="12.5703125" style="787" bestFit="1" customWidth="1"/>
    <col min="2826" max="3062" width="9.140625" style="787"/>
    <col min="3063" max="3063" width="4.5703125" style="787" customWidth="1"/>
    <col min="3064" max="3064" width="13.42578125" style="787" customWidth="1"/>
    <col min="3065" max="3065" width="15.42578125" style="787" customWidth="1"/>
    <col min="3066" max="3066" width="17.42578125" style="787" bestFit="1" customWidth="1"/>
    <col min="3067" max="3067" width="13" style="787" customWidth="1"/>
    <col min="3068" max="3068" width="14.42578125" style="787" customWidth="1"/>
    <col min="3069" max="3069" width="13" style="787" customWidth="1"/>
    <col min="3070" max="3070" width="14.42578125" style="787" bestFit="1" customWidth="1"/>
    <col min="3071" max="3071" width="17.42578125" style="787" customWidth="1"/>
    <col min="3072" max="3072" width="15.42578125" style="787" customWidth="1"/>
    <col min="3073" max="3073" width="5.85546875" style="787" customWidth="1"/>
    <col min="3074" max="3074" width="30.85546875" style="787" bestFit="1" customWidth="1"/>
    <col min="3075" max="3075" width="11.85546875" style="787" customWidth="1"/>
    <col min="3076" max="3076" width="1.5703125" style="787" customWidth="1"/>
    <col min="3077" max="3077" width="26.5703125" style="787" customWidth="1"/>
    <col min="3078" max="3078" width="14.5703125" style="787" customWidth="1"/>
    <col min="3079" max="3079" width="9.140625" style="787"/>
    <col min="3080" max="3080" width="24.42578125" style="787" customWidth="1"/>
    <col min="3081" max="3081" width="12.5703125" style="787" bestFit="1" customWidth="1"/>
    <col min="3082" max="3318" width="9.140625" style="787"/>
    <col min="3319" max="3319" width="4.5703125" style="787" customWidth="1"/>
    <col min="3320" max="3320" width="13.42578125" style="787" customWidth="1"/>
    <col min="3321" max="3321" width="15.42578125" style="787" customWidth="1"/>
    <col min="3322" max="3322" width="17.42578125" style="787" bestFit="1" customWidth="1"/>
    <col min="3323" max="3323" width="13" style="787" customWidth="1"/>
    <col min="3324" max="3324" width="14.42578125" style="787" customWidth="1"/>
    <col min="3325" max="3325" width="13" style="787" customWidth="1"/>
    <col min="3326" max="3326" width="14.42578125" style="787" bestFit="1" customWidth="1"/>
    <col min="3327" max="3327" width="17.42578125" style="787" customWidth="1"/>
    <col min="3328" max="3328" width="15.42578125" style="787" customWidth="1"/>
    <col min="3329" max="3329" width="5.85546875" style="787" customWidth="1"/>
    <col min="3330" max="3330" width="30.85546875" style="787" bestFit="1" customWidth="1"/>
    <col min="3331" max="3331" width="11.85546875" style="787" customWidth="1"/>
    <col min="3332" max="3332" width="1.5703125" style="787" customWidth="1"/>
    <col min="3333" max="3333" width="26.5703125" style="787" customWidth="1"/>
    <col min="3334" max="3334" width="14.5703125" style="787" customWidth="1"/>
    <col min="3335" max="3335" width="9.140625" style="787"/>
    <col min="3336" max="3336" width="24.42578125" style="787" customWidth="1"/>
    <col min="3337" max="3337" width="12.5703125" style="787" bestFit="1" customWidth="1"/>
    <col min="3338" max="3574" width="9.140625" style="787"/>
    <col min="3575" max="3575" width="4.5703125" style="787" customWidth="1"/>
    <col min="3576" max="3576" width="13.42578125" style="787" customWidth="1"/>
    <col min="3577" max="3577" width="15.42578125" style="787" customWidth="1"/>
    <col min="3578" max="3578" width="17.42578125" style="787" bestFit="1" customWidth="1"/>
    <col min="3579" max="3579" width="13" style="787" customWidth="1"/>
    <col min="3580" max="3580" width="14.42578125" style="787" customWidth="1"/>
    <col min="3581" max="3581" width="13" style="787" customWidth="1"/>
    <col min="3582" max="3582" width="14.42578125" style="787" bestFit="1" customWidth="1"/>
    <col min="3583" max="3583" width="17.42578125" style="787" customWidth="1"/>
    <col min="3584" max="3584" width="15.42578125" style="787" customWidth="1"/>
    <col min="3585" max="3585" width="5.85546875" style="787" customWidth="1"/>
    <col min="3586" max="3586" width="30.85546875" style="787" bestFit="1" customWidth="1"/>
    <col min="3587" max="3587" width="11.85546875" style="787" customWidth="1"/>
    <col min="3588" max="3588" width="1.5703125" style="787" customWidth="1"/>
    <col min="3589" max="3589" width="26.5703125" style="787" customWidth="1"/>
    <col min="3590" max="3590" width="14.5703125" style="787" customWidth="1"/>
    <col min="3591" max="3591" width="9.140625" style="787"/>
    <col min="3592" max="3592" width="24.42578125" style="787" customWidth="1"/>
    <col min="3593" max="3593" width="12.5703125" style="787" bestFit="1" customWidth="1"/>
    <col min="3594" max="3830" width="9.140625" style="787"/>
    <col min="3831" max="3831" width="4.5703125" style="787" customWidth="1"/>
    <col min="3832" max="3832" width="13.42578125" style="787" customWidth="1"/>
    <col min="3833" max="3833" width="15.42578125" style="787" customWidth="1"/>
    <col min="3834" max="3834" width="17.42578125" style="787" bestFit="1" customWidth="1"/>
    <col min="3835" max="3835" width="13" style="787" customWidth="1"/>
    <col min="3836" max="3836" width="14.42578125" style="787" customWidth="1"/>
    <col min="3837" max="3837" width="13" style="787" customWidth="1"/>
    <col min="3838" max="3838" width="14.42578125" style="787" bestFit="1" customWidth="1"/>
    <col min="3839" max="3839" width="17.42578125" style="787" customWidth="1"/>
    <col min="3840" max="3840" width="15.42578125" style="787" customWidth="1"/>
    <col min="3841" max="3841" width="5.85546875" style="787" customWidth="1"/>
    <col min="3842" max="3842" width="30.85546875" style="787" bestFit="1" customWidth="1"/>
    <col min="3843" max="3843" width="11.85546875" style="787" customWidth="1"/>
    <col min="3844" max="3844" width="1.5703125" style="787" customWidth="1"/>
    <col min="3845" max="3845" width="26.5703125" style="787" customWidth="1"/>
    <col min="3846" max="3846" width="14.5703125" style="787" customWidth="1"/>
    <col min="3847" max="3847" width="9.140625" style="787"/>
    <col min="3848" max="3848" width="24.42578125" style="787" customWidth="1"/>
    <col min="3849" max="3849" width="12.5703125" style="787" bestFit="1" customWidth="1"/>
    <col min="3850" max="4086" width="9.140625" style="787"/>
    <col min="4087" max="4087" width="4.5703125" style="787" customWidth="1"/>
    <col min="4088" max="4088" width="13.42578125" style="787" customWidth="1"/>
    <col min="4089" max="4089" width="15.42578125" style="787" customWidth="1"/>
    <col min="4090" max="4090" width="17.42578125" style="787" bestFit="1" customWidth="1"/>
    <col min="4091" max="4091" width="13" style="787" customWidth="1"/>
    <col min="4092" max="4092" width="14.42578125" style="787" customWidth="1"/>
    <col min="4093" max="4093" width="13" style="787" customWidth="1"/>
    <col min="4094" max="4094" width="14.42578125" style="787" bestFit="1" customWidth="1"/>
    <col min="4095" max="4095" width="17.42578125" style="787" customWidth="1"/>
    <col min="4096" max="4096" width="15.42578125" style="787" customWidth="1"/>
    <col min="4097" max="4097" width="5.85546875" style="787" customWidth="1"/>
    <col min="4098" max="4098" width="30.85546875" style="787" bestFit="1" customWidth="1"/>
    <col min="4099" max="4099" width="11.85546875" style="787" customWidth="1"/>
    <col min="4100" max="4100" width="1.5703125" style="787" customWidth="1"/>
    <col min="4101" max="4101" width="26.5703125" style="787" customWidth="1"/>
    <col min="4102" max="4102" width="14.5703125" style="787" customWidth="1"/>
    <col min="4103" max="4103" width="9.140625" style="787"/>
    <col min="4104" max="4104" width="24.42578125" style="787" customWidth="1"/>
    <col min="4105" max="4105" width="12.5703125" style="787" bestFit="1" customWidth="1"/>
    <col min="4106" max="4342" width="9.140625" style="787"/>
    <col min="4343" max="4343" width="4.5703125" style="787" customWidth="1"/>
    <col min="4344" max="4344" width="13.42578125" style="787" customWidth="1"/>
    <col min="4345" max="4345" width="15.42578125" style="787" customWidth="1"/>
    <col min="4346" max="4346" width="17.42578125" style="787" bestFit="1" customWidth="1"/>
    <col min="4347" max="4347" width="13" style="787" customWidth="1"/>
    <col min="4348" max="4348" width="14.42578125" style="787" customWidth="1"/>
    <col min="4349" max="4349" width="13" style="787" customWidth="1"/>
    <col min="4350" max="4350" width="14.42578125" style="787" bestFit="1" customWidth="1"/>
    <col min="4351" max="4351" width="17.42578125" style="787" customWidth="1"/>
    <col min="4352" max="4352" width="15.42578125" style="787" customWidth="1"/>
    <col min="4353" max="4353" width="5.85546875" style="787" customWidth="1"/>
    <col min="4354" max="4354" width="30.85546875" style="787" bestFit="1" customWidth="1"/>
    <col min="4355" max="4355" width="11.85546875" style="787" customWidth="1"/>
    <col min="4356" max="4356" width="1.5703125" style="787" customWidth="1"/>
    <col min="4357" max="4357" width="26.5703125" style="787" customWidth="1"/>
    <col min="4358" max="4358" width="14.5703125" style="787" customWidth="1"/>
    <col min="4359" max="4359" width="9.140625" style="787"/>
    <col min="4360" max="4360" width="24.42578125" style="787" customWidth="1"/>
    <col min="4361" max="4361" width="12.5703125" style="787" bestFit="1" customWidth="1"/>
    <col min="4362" max="4598" width="9.140625" style="787"/>
    <col min="4599" max="4599" width="4.5703125" style="787" customWidth="1"/>
    <col min="4600" max="4600" width="13.42578125" style="787" customWidth="1"/>
    <col min="4601" max="4601" width="15.42578125" style="787" customWidth="1"/>
    <col min="4602" max="4602" width="17.42578125" style="787" bestFit="1" customWidth="1"/>
    <col min="4603" max="4603" width="13" style="787" customWidth="1"/>
    <col min="4604" max="4604" width="14.42578125" style="787" customWidth="1"/>
    <col min="4605" max="4605" width="13" style="787" customWidth="1"/>
    <col min="4606" max="4606" width="14.42578125" style="787" bestFit="1" customWidth="1"/>
    <col min="4607" max="4607" width="17.42578125" style="787" customWidth="1"/>
    <col min="4608" max="4608" width="15.42578125" style="787" customWidth="1"/>
    <col min="4609" max="4609" width="5.85546875" style="787" customWidth="1"/>
    <col min="4610" max="4610" width="30.85546875" style="787" bestFit="1" customWidth="1"/>
    <col min="4611" max="4611" width="11.85546875" style="787" customWidth="1"/>
    <col min="4612" max="4612" width="1.5703125" style="787" customWidth="1"/>
    <col min="4613" max="4613" width="26.5703125" style="787" customWidth="1"/>
    <col min="4614" max="4614" width="14.5703125" style="787" customWidth="1"/>
    <col min="4615" max="4615" width="9.140625" style="787"/>
    <col min="4616" max="4616" width="24.42578125" style="787" customWidth="1"/>
    <col min="4617" max="4617" width="12.5703125" style="787" bestFit="1" customWidth="1"/>
    <col min="4618" max="4854" width="9.140625" style="787"/>
    <col min="4855" max="4855" width="4.5703125" style="787" customWidth="1"/>
    <col min="4856" max="4856" width="13.42578125" style="787" customWidth="1"/>
    <col min="4857" max="4857" width="15.42578125" style="787" customWidth="1"/>
    <col min="4858" max="4858" width="17.42578125" style="787" bestFit="1" customWidth="1"/>
    <col min="4859" max="4859" width="13" style="787" customWidth="1"/>
    <col min="4860" max="4860" width="14.42578125" style="787" customWidth="1"/>
    <col min="4861" max="4861" width="13" style="787" customWidth="1"/>
    <col min="4862" max="4862" width="14.42578125" style="787" bestFit="1" customWidth="1"/>
    <col min="4863" max="4863" width="17.42578125" style="787" customWidth="1"/>
    <col min="4864" max="4864" width="15.42578125" style="787" customWidth="1"/>
    <col min="4865" max="4865" width="5.85546875" style="787" customWidth="1"/>
    <col min="4866" max="4866" width="30.85546875" style="787" bestFit="1" customWidth="1"/>
    <col min="4867" max="4867" width="11.85546875" style="787" customWidth="1"/>
    <col min="4868" max="4868" width="1.5703125" style="787" customWidth="1"/>
    <col min="4869" max="4869" width="26.5703125" style="787" customWidth="1"/>
    <col min="4870" max="4870" width="14.5703125" style="787" customWidth="1"/>
    <col min="4871" max="4871" width="9.140625" style="787"/>
    <col min="4872" max="4872" width="24.42578125" style="787" customWidth="1"/>
    <col min="4873" max="4873" width="12.5703125" style="787" bestFit="1" customWidth="1"/>
    <col min="4874" max="5110" width="9.140625" style="787"/>
    <col min="5111" max="5111" width="4.5703125" style="787" customWidth="1"/>
    <col min="5112" max="5112" width="13.42578125" style="787" customWidth="1"/>
    <col min="5113" max="5113" width="15.42578125" style="787" customWidth="1"/>
    <col min="5114" max="5114" width="17.42578125" style="787" bestFit="1" customWidth="1"/>
    <col min="5115" max="5115" width="13" style="787" customWidth="1"/>
    <col min="5116" max="5116" width="14.42578125" style="787" customWidth="1"/>
    <col min="5117" max="5117" width="13" style="787" customWidth="1"/>
    <col min="5118" max="5118" width="14.42578125" style="787" bestFit="1" customWidth="1"/>
    <col min="5119" max="5119" width="17.42578125" style="787" customWidth="1"/>
    <col min="5120" max="5120" width="15.42578125" style="787" customWidth="1"/>
    <col min="5121" max="5121" width="5.85546875" style="787" customWidth="1"/>
    <col min="5122" max="5122" width="30.85546875" style="787" bestFit="1" customWidth="1"/>
    <col min="5123" max="5123" width="11.85546875" style="787" customWidth="1"/>
    <col min="5124" max="5124" width="1.5703125" style="787" customWidth="1"/>
    <col min="5125" max="5125" width="26.5703125" style="787" customWidth="1"/>
    <col min="5126" max="5126" width="14.5703125" style="787" customWidth="1"/>
    <col min="5127" max="5127" width="9.140625" style="787"/>
    <col min="5128" max="5128" width="24.42578125" style="787" customWidth="1"/>
    <col min="5129" max="5129" width="12.5703125" style="787" bestFit="1" customWidth="1"/>
    <col min="5130" max="5366" width="9.140625" style="787"/>
    <col min="5367" max="5367" width="4.5703125" style="787" customWidth="1"/>
    <col min="5368" max="5368" width="13.42578125" style="787" customWidth="1"/>
    <col min="5369" max="5369" width="15.42578125" style="787" customWidth="1"/>
    <col min="5370" max="5370" width="17.42578125" style="787" bestFit="1" customWidth="1"/>
    <col min="5371" max="5371" width="13" style="787" customWidth="1"/>
    <col min="5372" max="5372" width="14.42578125" style="787" customWidth="1"/>
    <col min="5373" max="5373" width="13" style="787" customWidth="1"/>
    <col min="5374" max="5374" width="14.42578125" style="787" bestFit="1" customWidth="1"/>
    <col min="5375" max="5375" width="17.42578125" style="787" customWidth="1"/>
    <col min="5376" max="5376" width="15.42578125" style="787" customWidth="1"/>
    <col min="5377" max="5377" width="5.85546875" style="787" customWidth="1"/>
    <col min="5378" max="5378" width="30.85546875" style="787" bestFit="1" customWidth="1"/>
    <col min="5379" max="5379" width="11.85546875" style="787" customWidth="1"/>
    <col min="5380" max="5380" width="1.5703125" style="787" customWidth="1"/>
    <col min="5381" max="5381" width="26.5703125" style="787" customWidth="1"/>
    <col min="5382" max="5382" width="14.5703125" style="787" customWidth="1"/>
    <col min="5383" max="5383" width="9.140625" style="787"/>
    <col min="5384" max="5384" width="24.42578125" style="787" customWidth="1"/>
    <col min="5385" max="5385" width="12.5703125" style="787" bestFit="1" customWidth="1"/>
    <col min="5386" max="5622" width="9.140625" style="787"/>
    <col min="5623" max="5623" width="4.5703125" style="787" customWidth="1"/>
    <col min="5624" max="5624" width="13.42578125" style="787" customWidth="1"/>
    <col min="5625" max="5625" width="15.42578125" style="787" customWidth="1"/>
    <col min="5626" max="5626" width="17.42578125" style="787" bestFit="1" customWidth="1"/>
    <col min="5627" max="5627" width="13" style="787" customWidth="1"/>
    <col min="5628" max="5628" width="14.42578125" style="787" customWidth="1"/>
    <col min="5629" max="5629" width="13" style="787" customWidth="1"/>
    <col min="5630" max="5630" width="14.42578125" style="787" bestFit="1" customWidth="1"/>
    <col min="5631" max="5631" width="17.42578125" style="787" customWidth="1"/>
    <col min="5632" max="5632" width="15.42578125" style="787" customWidth="1"/>
    <col min="5633" max="5633" width="5.85546875" style="787" customWidth="1"/>
    <col min="5634" max="5634" width="30.85546875" style="787" bestFit="1" customWidth="1"/>
    <col min="5635" max="5635" width="11.85546875" style="787" customWidth="1"/>
    <col min="5636" max="5636" width="1.5703125" style="787" customWidth="1"/>
    <col min="5637" max="5637" width="26.5703125" style="787" customWidth="1"/>
    <col min="5638" max="5638" width="14.5703125" style="787" customWidth="1"/>
    <col min="5639" max="5639" width="9.140625" style="787"/>
    <col min="5640" max="5640" width="24.42578125" style="787" customWidth="1"/>
    <col min="5641" max="5641" width="12.5703125" style="787" bestFit="1" customWidth="1"/>
    <col min="5642" max="5878" width="9.140625" style="787"/>
    <col min="5879" max="5879" width="4.5703125" style="787" customWidth="1"/>
    <col min="5880" max="5880" width="13.42578125" style="787" customWidth="1"/>
    <col min="5881" max="5881" width="15.42578125" style="787" customWidth="1"/>
    <col min="5882" max="5882" width="17.42578125" style="787" bestFit="1" customWidth="1"/>
    <col min="5883" max="5883" width="13" style="787" customWidth="1"/>
    <col min="5884" max="5884" width="14.42578125" style="787" customWidth="1"/>
    <col min="5885" max="5885" width="13" style="787" customWidth="1"/>
    <col min="5886" max="5886" width="14.42578125" style="787" bestFit="1" customWidth="1"/>
    <col min="5887" max="5887" width="17.42578125" style="787" customWidth="1"/>
    <col min="5888" max="5888" width="15.42578125" style="787" customWidth="1"/>
    <col min="5889" max="5889" width="5.85546875" style="787" customWidth="1"/>
    <col min="5890" max="5890" width="30.85546875" style="787" bestFit="1" customWidth="1"/>
    <col min="5891" max="5891" width="11.85546875" style="787" customWidth="1"/>
    <col min="5892" max="5892" width="1.5703125" style="787" customWidth="1"/>
    <col min="5893" max="5893" width="26.5703125" style="787" customWidth="1"/>
    <col min="5894" max="5894" width="14.5703125" style="787" customWidth="1"/>
    <col min="5895" max="5895" width="9.140625" style="787"/>
    <col min="5896" max="5896" width="24.42578125" style="787" customWidth="1"/>
    <col min="5897" max="5897" width="12.5703125" style="787" bestFit="1" customWidth="1"/>
    <col min="5898" max="6134" width="9.140625" style="787"/>
    <col min="6135" max="6135" width="4.5703125" style="787" customWidth="1"/>
    <col min="6136" max="6136" width="13.42578125" style="787" customWidth="1"/>
    <col min="6137" max="6137" width="15.42578125" style="787" customWidth="1"/>
    <col min="6138" max="6138" width="17.42578125" style="787" bestFit="1" customWidth="1"/>
    <col min="6139" max="6139" width="13" style="787" customWidth="1"/>
    <col min="6140" max="6140" width="14.42578125" style="787" customWidth="1"/>
    <col min="6141" max="6141" width="13" style="787" customWidth="1"/>
    <col min="6142" max="6142" width="14.42578125" style="787" bestFit="1" customWidth="1"/>
    <col min="6143" max="6143" width="17.42578125" style="787" customWidth="1"/>
    <col min="6144" max="6144" width="15.42578125" style="787" customWidth="1"/>
    <col min="6145" max="6145" width="5.85546875" style="787" customWidth="1"/>
    <col min="6146" max="6146" width="30.85546875" style="787" bestFit="1" customWidth="1"/>
    <col min="6147" max="6147" width="11.85546875" style="787" customWidth="1"/>
    <col min="6148" max="6148" width="1.5703125" style="787" customWidth="1"/>
    <col min="6149" max="6149" width="26.5703125" style="787" customWidth="1"/>
    <col min="6150" max="6150" width="14.5703125" style="787" customWidth="1"/>
    <col min="6151" max="6151" width="9.140625" style="787"/>
    <col min="6152" max="6152" width="24.42578125" style="787" customWidth="1"/>
    <col min="6153" max="6153" width="12.5703125" style="787" bestFit="1" customWidth="1"/>
    <col min="6154" max="6390" width="9.140625" style="787"/>
    <col min="6391" max="6391" width="4.5703125" style="787" customWidth="1"/>
    <col min="6392" max="6392" width="13.42578125" style="787" customWidth="1"/>
    <col min="6393" max="6393" width="15.42578125" style="787" customWidth="1"/>
    <col min="6394" max="6394" width="17.42578125" style="787" bestFit="1" customWidth="1"/>
    <col min="6395" max="6395" width="13" style="787" customWidth="1"/>
    <col min="6396" max="6396" width="14.42578125" style="787" customWidth="1"/>
    <col min="6397" max="6397" width="13" style="787" customWidth="1"/>
    <col min="6398" max="6398" width="14.42578125" style="787" bestFit="1" customWidth="1"/>
    <col min="6399" max="6399" width="17.42578125" style="787" customWidth="1"/>
    <col min="6400" max="6400" width="15.42578125" style="787" customWidth="1"/>
    <col min="6401" max="6401" width="5.85546875" style="787" customWidth="1"/>
    <col min="6402" max="6402" width="30.85546875" style="787" bestFit="1" customWidth="1"/>
    <col min="6403" max="6403" width="11.85546875" style="787" customWidth="1"/>
    <col min="6404" max="6404" width="1.5703125" style="787" customWidth="1"/>
    <col min="6405" max="6405" width="26.5703125" style="787" customWidth="1"/>
    <col min="6406" max="6406" width="14.5703125" style="787" customWidth="1"/>
    <col min="6407" max="6407" width="9.140625" style="787"/>
    <col min="6408" max="6408" width="24.42578125" style="787" customWidth="1"/>
    <col min="6409" max="6409" width="12.5703125" style="787" bestFit="1" customWidth="1"/>
    <col min="6410" max="6646" width="9.140625" style="787"/>
    <col min="6647" max="6647" width="4.5703125" style="787" customWidth="1"/>
    <col min="6648" max="6648" width="13.42578125" style="787" customWidth="1"/>
    <col min="6649" max="6649" width="15.42578125" style="787" customWidth="1"/>
    <col min="6650" max="6650" width="17.42578125" style="787" bestFit="1" customWidth="1"/>
    <col min="6651" max="6651" width="13" style="787" customWidth="1"/>
    <col min="6652" max="6652" width="14.42578125" style="787" customWidth="1"/>
    <col min="6653" max="6653" width="13" style="787" customWidth="1"/>
    <col min="6654" max="6654" width="14.42578125" style="787" bestFit="1" customWidth="1"/>
    <col min="6655" max="6655" width="17.42578125" style="787" customWidth="1"/>
    <col min="6656" max="6656" width="15.42578125" style="787" customWidth="1"/>
    <col min="6657" max="6657" width="5.85546875" style="787" customWidth="1"/>
    <col min="6658" max="6658" width="30.85546875" style="787" bestFit="1" customWidth="1"/>
    <col min="6659" max="6659" width="11.85546875" style="787" customWidth="1"/>
    <col min="6660" max="6660" width="1.5703125" style="787" customWidth="1"/>
    <col min="6661" max="6661" width="26.5703125" style="787" customWidth="1"/>
    <col min="6662" max="6662" width="14.5703125" style="787" customWidth="1"/>
    <col min="6663" max="6663" width="9.140625" style="787"/>
    <col min="6664" max="6664" width="24.42578125" style="787" customWidth="1"/>
    <col min="6665" max="6665" width="12.5703125" style="787" bestFit="1" customWidth="1"/>
    <col min="6666" max="6902" width="9.140625" style="787"/>
    <col min="6903" max="6903" width="4.5703125" style="787" customWidth="1"/>
    <col min="6904" max="6904" width="13.42578125" style="787" customWidth="1"/>
    <col min="6905" max="6905" width="15.42578125" style="787" customWidth="1"/>
    <col min="6906" max="6906" width="17.42578125" style="787" bestFit="1" customWidth="1"/>
    <col min="6907" max="6907" width="13" style="787" customWidth="1"/>
    <col min="6908" max="6908" width="14.42578125" style="787" customWidth="1"/>
    <col min="6909" max="6909" width="13" style="787" customWidth="1"/>
    <col min="6910" max="6910" width="14.42578125" style="787" bestFit="1" customWidth="1"/>
    <col min="6911" max="6911" width="17.42578125" style="787" customWidth="1"/>
    <col min="6912" max="6912" width="15.42578125" style="787" customWidth="1"/>
    <col min="6913" max="6913" width="5.85546875" style="787" customWidth="1"/>
    <col min="6914" max="6914" width="30.85546875" style="787" bestFit="1" customWidth="1"/>
    <col min="6915" max="6915" width="11.85546875" style="787" customWidth="1"/>
    <col min="6916" max="6916" width="1.5703125" style="787" customWidth="1"/>
    <col min="6917" max="6917" width="26.5703125" style="787" customWidth="1"/>
    <col min="6918" max="6918" width="14.5703125" style="787" customWidth="1"/>
    <col min="6919" max="6919" width="9.140625" style="787"/>
    <col min="6920" max="6920" width="24.42578125" style="787" customWidth="1"/>
    <col min="6921" max="6921" width="12.5703125" style="787" bestFit="1" customWidth="1"/>
    <col min="6922" max="7158" width="9.140625" style="787"/>
    <col min="7159" max="7159" width="4.5703125" style="787" customWidth="1"/>
    <col min="7160" max="7160" width="13.42578125" style="787" customWidth="1"/>
    <col min="7161" max="7161" width="15.42578125" style="787" customWidth="1"/>
    <col min="7162" max="7162" width="17.42578125" style="787" bestFit="1" customWidth="1"/>
    <col min="7163" max="7163" width="13" style="787" customWidth="1"/>
    <col min="7164" max="7164" width="14.42578125" style="787" customWidth="1"/>
    <col min="7165" max="7165" width="13" style="787" customWidth="1"/>
    <col min="7166" max="7166" width="14.42578125" style="787" bestFit="1" customWidth="1"/>
    <col min="7167" max="7167" width="17.42578125" style="787" customWidth="1"/>
    <col min="7168" max="7168" width="15.42578125" style="787" customWidth="1"/>
    <col min="7169" max="7169" width="5.85546875" style="787" customWidth="1"/>
    <col min="7170" max="7170" width="30.85546875" style="787" bestFit="1" customWidth="1"/>
    <col min="7171" max="7171" width="11.85546875" style="787" customWidth="1"/>
    <col min="7172" max="7172" width="1.5703125" style="787" customWidth="1"/>
    <col min="7173" max="7173" width="26.5703125" style="787" customWidth="1"/>
    <col min="7174" max="7174" width="14.5703125" style="787" customWidth="1"/>
    <col min="7175" max="7175" width="9.140625" style="787"/>
    <col min="7176" max="7176" width="24.42578125" style="787" customWidth="1"/>
    <col min="7177" max="7177" width="12.5703125" style="787" bestFit="1" customWidth="1"/>
    <col min="7178" max="7414" width="9.140625" style="787"/>
    <col min="7415" max="7415" width="4.5703125" style="787" customWidth="1"/>
    <col min="7416" max="7416" width="13.42578125" style="787" customWidth="1"/>
    <col min="7417" max="7417" width="15.42578125" style="787" customWidth="1"/>
    <col min="7418" max="7418" width="17.42578125" style="787" bestFit="1" customWidth="1"/>
    <col min="7419" max="7419" width="13" style="787" customWidth="1"/>
    <col min="7420" max="7420" width="14.42578125" style="787" customWidth="1"/>
    <col min="7421" max="7421" width="13" style="787" customWidth="1"/>
    <col min="7422" max="7422" width="14.42578125" style="787" bestFit="1" customWidth="1"/>
    <col min="7423" max="7423" width="17.42578125" style="787" customWidth="1"/>
    <col min="7424" max="7424" width="15.42578125" style="787" customWidth="1"/>
    <col min="7425" max="7425" width="5.85546875" style="787" customWidth="1"/>
    <col min="7426" max="7426" width="30.85546875" style="787" bestFit="1" customWidth="1"/>
    <col min="7427" max="7427" width="11.85546875" style="787" customWidth="1"/>
    <col min="7428" max="7428" width="1.5703125" style="787" customWidth="1"/>
    <col min="7429" max="7429" width="26.5703125" style="787" customWidth="1"/>
    <col min="7430" max="7430" width="14.5703125" style="787" customWidth="1"/>
    <col min="7431" max="7431" width="9.140625" style="787"/>
    <col min="7432" max="7432" width="24.42578125" style="787" customWidth="1"/>
    <col min="7433" max="7433" width="12.5703125" style="787" bestFit="1" customWidth="1"/>
    <col min="7434" max="7670" width="9.140625" style="787"/>
    <col min="7671" max="7671" width="4.5703125" style="787" customWidth="1"/>
    <col min="7672" max="7672" width="13.42578125" style="787" customWidth="1"/>
    <col min="7673" max="7673" width="15.42578125" style="787" customWidth="1"/>
    <col min="7674" max="7674" width="17.42578125" style="787" bestFit="1" customWidth="1"/>
    <col min="7675" max="7675" width="13" style="787" customWidth="1"/>
    <col min="7676" max="7676" width="14.42578125" style="787" customWidth="1"/>
    <col min="7677" max="7677" width="13" style="787" customWidth="1"/>
    <col min="7678" max="7678" width="14.42578125" style="787" bestFit="1" customWidth="1"/>
    <col min="7679" max="7679" width="17.42578125" style="787" customWidth="1"/>
    <col min="7680" max="7680" width="15.42578125" style="787" customWidth="1"/>
    <col min="7681" max="7681" width="5.85546875" style="787" customWidth="1"/>
    <col min="7682" max="7682" width="30.85546875" style="787" bestFit="1" customWidth="1"/>
    <col min="7683" max="7683" width="11.85546875" style="787" customWidth="1"/>
    <col min="7684" max="7684" width="1.5703125" style="787" customWidth="1"/>
    <col min="7685" max="7685" width="26.5703125" style="787" customWidth="1"/>
    <col min="7686" max="7686" width="14.5703125" style="787" customWidth="1"/>
    <col min="7687" max="7687" width="9.140625" style="787"/>
    <col min="7688" max="7688" width="24.42578125" style="787" customWidth="1"/>
    <col min="7689" max="7689" width="12.5703125" style="787" bestFit="1" customWidth="1"/>
    <col min="7690" max="7926" width="9.140625" style="787"/>
    <col min="7927" max="7927" width="4.5703125" style="787" customWidth="1"/>
    <col min="7928" max="7928" width="13.42578125" style="787" customWidth="1"/>
    <col min="7929" max="7929" width="15.42578125" style="787" customWidth="1"/>
    <col min="7930" max="7930" width="17.42578125" style="787" bestFit="1" customWidth="1"/>
    <col min="7931" max="7931" width="13" style="787" customWidth="1"/>
    <col min="7932" max="7932" width="14.42578125" style="787" customWidth="1"/>
    <col min="7933" max="7933" width="13" style="787" customWidth="1"/>
    <col min="7934" max="7934" width="14.42578125" style="787" bestFit="1" customWidth="1"/>
    <col min="7935" max="7935" width="17.42578125" style="787" customWidth="1"/>
    <col min="7936" max="7936" width="15.42578125" style="787" customWidth="1"/>
    <col min="7937" max="7937" width="5.85546875" style="787" customWidth="1"/>
    <col min="7938" max="7938" width="30.85546875" style="787" bestFit="1" customWidth="1"/>
    <col min="7939" max="7939" width="11.85546875" style="787" customWidth="1"/>
    <col min="7940" max="7940" width="1.5703125" style="787" customWidth="1"/>
    <col min="7941" max="7941" width="26.5703125" style="787" customWidth="1"/>
    <col min="7942" max="7942" width="14.5703125" style="787" customWidth="1"/>
    <col min="7943" max="7943" width="9.140625" style="787"/>
    <col min="7944" max="7944" width="24.42578125" style="787" customWidth="1"/>
    <col min="7945" max="7945" width="12.5703125" style="787" bestFit="1" customWidth="1"/>
    <col min="7946" max="8182" width="9.140625" style="787"/>
    <col min="8183" max="8183" width="4.5703125" style="787" customWidth="1"/>
    <col min="8184" max="8184" width="13.42578125" style="787" customWidth="1"/>
    <col min="8185" max="8185" width="15.42578125" style="787" customWidth="1"/>
    <col min="8186" max="8186" width="17.42578125" style="787" bestFit="1" customWidth="1"/>
    <col min="8187" max="8187" width="13" style="787" customWidth="1"/>
    <col min="8188" max="8188" width="14.42578125" style="787" customWidth="1"/>
    <col min="8189" max="8189" width="13" style="787" customWidth="1"/>
    <col min="8190" max="8190" width="14.42578125" style="787" bestFit="1" customWidth="1"/>
    <col min="8191" max="8191" width="17.42578125" style="787" customWidth="1"/>
    <col min="8192" max="8192" width="15.42578125" style="787" customWidth="1"/>
    <col min="8193" max="8193" width="5.85546875" style="787" customWidth="1"/>
    <col min="8194" max="8194" width="30.85546875" style="787" bestFit="1" customWidth="1"/>
    <col min="8195" max="8195" width="11.85546875" style="787" customWidth="1"/>
    <col min="8196" max="8196" width="1.5703125" style="787" customWidth="1"/>
    <col min="8197" max="8197" width="26.5703125" style="787" customWidth="1"/>
    <col min="8198" max="8198" width="14.5703125" style="787" customWidth="1"/>
    <col min="8199" max="8199" width="9.140625" style="787"/>
    <col min="8200" max="8200" width="24.42578125" style="787" customWidth="1"/>
    <col min="8201" max="8201" width="12.5703125" style="787" bestFit="1" customWidth="1"/>
    <col min="8202" max="8438" width="9.140625" style="787"/>
    <col min="8439" max="8439" width="4.5703125" style="787" customWidth="1"/>
    <col min="8440" max="8440" width="13.42578125" style="787" customWidth="1"/>
    <col min="8441" max="8441" width="15.42578125" style="787" customWidth="1"/>
    <col min="8442" max="8442" width="17.42578125" style="787" bestFit="1" customWidth="1"/>
    <col min="8443" max="8443" width="13" style="787" customWidth="1"/>
    <col min="8444" max="8444" width="14.42578125" style="787" customWidth="1"/>
    <col min="8445" max="8445" width="13" style="787" customWidth="1"/>
    <col min="8446" max="8446" width="14.42578125" style="787" bestFit="1" customWidth="1"/>
    <col min="8447" max="8447" width="17.42578125" style="787" customWidth="1"/>
    <col min="8448" max="8448" width="15.42578125" style="787" customWidth="1"/>
    <col min="8449" max="8449" width="5.85546875" style="787" customWidth="1"/>
    <col min="8450" max="8450" width="30.85546875" style="787" bestFit="1" customWidth="1"/>
    <col min="8451" max="8451" width="11.85546875" style="787" customWidth="1"/>
    <col min="8452" max="8452" width="1.5703125" style="787" customWidth="1"/>
    <col min="8453" max="8453" width="26.5703125" style="787" customWidth="1"/>
    <col min="8454" max="8454" width="14.5703125" style="787" customWidth="1"/>
    <col min="8455" max="8455" width="9.140625" style="787"/>
    <col min="8456" max="8456" width="24.42578125" style="787" customWidth="1"/>
    <col min="8457" max="8457" width="12.5703125" style="787" bestFit="1" customWidth="1"/>
    <col min="8458" max="8694" width="9.140625" style="787"/>
    <col min="8695" max="8695" width="4.5703125" style="787" customWidth="1"/>
    <col min="8696" max="8696" width="13.42578125" style="787" customWidth="1"/>
    <col min="8697" max="8697" width="15.42578125" style="787" customWidth="1"/>
    <col min="8698" max="8698" width="17.42578125" style="787" bestFit="1" customWidth="1"/>
    <col min="8699" max="8699" width="13" style="787" customWidth="1"/>
    <col min="8700" max="8700" width="14.42578125" style="787" customWidth="1"/>
    <col min="8701" max="8701" width="13" style="787" customWidth="1"/>
    <col min="8702" max="8702" width="14.42578125" style="787" bestFit="1" customWidth="1"/>
    <col min="8703" max="8703" width="17.42578125" style="787" customWidth="1"/>
    <col min="8704" max="8704" width="15.42578125" style="787" customWidth="1"/>
    <col min="8705" max="8705" width="5.85546875" style="787" customWidth="1"/>
    <col min="8706" max="8706" width="30.85546875" style="787" bestFit="1" customWidth="1"/>
    <col min="8707" max="8707" width="11.85546875" style="787" customWidth="1"/>
    <col min="8708" max="8708" width="1.5703125" style="787" customWidth="1"/>
    <col min="8709" max="8709" width="26.5703125" style="787" customWidth="1"/>
    <col min="8710" max="8710" width="14.5703125" style="787" customWidth="1"/>
    <col min="8711" max="8711" width="9.140625" style="787"/>
    <col min="8712" max="8712" width="24.42578125" style="787" customWidth="1"/>
    <col min="8713" max="8713" width="12.5703125" style="787" bestFit="1" customWidth="1"/>
    <col min="8714" max="8950" width="9.140625" style="787"/>
    <col min="8951" max="8951" width="4.5703125" style="787" customWidth="1"/>
    <col min="8952" max="8952" width="13.42578125" style="787" customWidth="1"/>
    <col min="8953" max="8953" width="15.42578125" style="787" customWidth="1"/>
    <col min="8954" max="8954" width="17.42578125" style="787" bestFit="1" customWidth="1"/>
    <col min="8955" max="8955" width="13" style="787" customWidth="1"/>
    <col min="8956" max="8956" width="14.42578125" style="787" customWidth="1"/>
    <col min="8957" max="8957" width="13" style="787" customWidth="1"/>
    <col min="8958" max="8958" width="14.42578125" style="787" bestFit="1" customWidth="1"/>
    <col min="8959" max="8959" width="17.42578125" style="787" customWidth="1"/>
    <col min="8960" max="8960" width="15.42578125" style="787" customWidth="1"/>
    <col min="8961" max="8961" width="5.85546875" style="787" customWidth="1"/>
    <col min="8962" max="8962" width="30.85546875" style="787" bestFit="1" customWidth="1"/>
    <col min="8963" max="8963" width="11.85546875" style="787" customWidth="1"/>
    <col min="8964" max="8964" width="1.5703125" style="787" customWidth="1"/>
    <col min="8965" max="8965" width="26.5703125" style="787" customWidth="1"/>
    <col min="8966" max="8966" width="14.5703125" style="787" customWidth="1"/>
    <col min="8967" max="8967" width="9.140625" style="787"/>
    <col min="8968" max="8968" width="24.42578125" style="787" customWidth="1"/>
    <col min="8969" max="8969" width="12.5703125" style="787" bestFit="1" customWidth="1"/>
    <col min="8970" max="9206" width="9.140625" style="787"/>
    <col min="9207" max="9207" width="4.5703125" style="787" customWidth="1"/>
    <col min="9208" max="9208" width="13.42578125" style="787" customWidth="1"/>
    <col min="9209" max="9209" width="15.42578125" style="787" customWidth="1"/>
    <col min="9210" max="9210" width="17.42578125" style="787" bestFit="1" customWidth="1"/>
    <col min="9211" max="9211" width="13" style="787" customWidth="1"/>
    <col min="9212" max="9212" width="14.42578125" style="787" customWidth="1"/>
    <col min="9213" max="9213" width="13" style="787" customWidth="1"/>
    <col min="9214" max="9214" width="14.42578125" style="787" bestFit="1" customWidth="1"/>
    <col min="9215" max="9215" width="17.42578125" style="787" customWidth="1"/>
    <col min="9216" max="9216" width="15.42578125" style="787" customWidth="1"/>
    <col min="9217" max="9217" width="5.85546875" style="787" customWidth="1"/>
    <col min="9218" max="9218" width="30.85546875" style="787" bestFit="1" customWidth="1"/>
    <col min="9219" max="9219" width="11.85546875" style="787" customWidth="1"/>
    <col min="9220" max="9220" width="1.5703125" style="787" customWidth="1"/>
    <col min="9221" max="9221" width="26.5703125" style="787" customWidth="1"/>
    <col min="9222" max="9222" width="14.5703125" style="787" customWidth="1"/>
    <col min="9223" max="9223" width="9.140625" style="787"/>
    <col min="9224" max="9224" width="24.42578125" style="787" customWidth="1"/>
    <col min="9225" max="9225" width="12.5703125" style="787" bestFit="1" customWidth="1"/>
    <col min="9226" max="9462" width="9.140625" style="787"/>
    <col min="9463" max="9463" width="4.5703125" style="787" customWidth="1"/>
    <col min="9464" max="9464" width="13.42578125" style="787" customWidth="1"/>
    <col min="9465" max="9465" width="15.42578125" style="787" customWidth="1"/>
    <col min="9466" max="9466" width="17.42578125" style="787" bestFit="1" customWidth="1"/>
    <col min="9467" max="9467" width="13" style="787" customWidth="1"/>
    <col min="9468" max="9468" width="14.42578125" style="787" customWidth="1"/>
    <col min="9469" max="9469" width="13" style="787" customWidth="1"/>
    <col min="9470" max="9470" width="14.42578125" style="787" bestFit="1" customWidth="1"/>
    <col min="9471" max="9471" width="17.42578125" style="787" customWidth="1"/>
    <col min="9472" max="9472" width="15.42578125" style="787" customWidth="1"/>
    <col min="9473" max="9473" width="5.85546875" style="787" customWidth="1"/>
    <col min="9474" max="9474" width="30.85546875" style="787" bestFit="1" customWidth="1"/>
    <col min="9475" max="9475" width="11.85546875" style="787" customWidth="1"/>
    <col min="9476" max="9476" width="1.5703125" style="787" customWidth="1"/>
    <col min="9477" max="9477" width="26.5703125" style="787" customWidth="1"/>
    <col min="9478" max="9478" width="14.5703125" style="787" customWidth="1"/>
    <col min="9479" max="9479" width="9.140625" style="787"/>
    <col min="9480" max="9480" width="24.42578125" style="787" customWidth="1"/>
    <col min="9481" max="9481" width="12.5703125" style="787" bestFit="1" customWidth="1"/>
    <col min="9482" max="9718" width="9.140625" style="787"/>
    <col min="9719" max="9719" width="4.5703125" style="787" customWidth="1"/>
    <col min="9720" max="9720" width="13.42578125" style="787" customWidth="1"/>
    <col min="9721" max="9721" width="15.42578125" style="787" customWidth="1"/>
    <col min="9722" max="9722" width="17.42578125" style="787" bestFit="1" customWidth="1"/>
    <col min="9723" max="9723" width="13" style="787" customWidth="1"/>
    <col min="9724" max="9724" width="14.42578125" style="787" customWidth="1"/>
    <col min="9725" max="9725" width="13" style="787" customWidth="1"/>
    <col min="9726" max="9726" width="14.42578125" style="787" bestFit="1" customWidth="1"/>
    <col min="9727" max="9727" width="17.42578125" style="787" customWidth="1"/>
    <col min="9728" max="9728" width="15.42578125" style="787" customWidth="1"/>
    <col min="9729" max="9729" width="5.85546875" style="787" customWidth="1"/>
    <col min="9730" max="9730" width="30.85546875" style="787" bestFit="1" customWidth="1"/>
    <col min="9731" max="9731" width="11.85546875" style="787" customWidth="1"/>
    <col min="9732" max="9732" width="1.5703125" style="787" customWidth="1"/>
    <col min="9733" max="9733" width="26.5703125" style="787" customWidth="1"/>
    <col min="9734" max="9734" width="14.5703125" style="787" customWidth="1"/>
    <col min="9735" max="9735" width="9.140625" style="787"/>
    <col min="9736" max="9736" width="24.42578125" style="787" customWidth="1"/>
    <col min="9737" max="9737" width="12.5703125" style="787" bestFit="1" customWidth="1"/>
    <col min="9738" max="9974" width="9.140625" style="787"/>
    <col min="9975" max="9975" width="4.5703125" style="787" customWidth="1"/>
    <col min="9976" max="9976" width="13.42578125" style="787" customWidth="1"/>
    <col min="9977" max="9977" width="15.42578125" style="787" customWidth="1"/>
    <col min="9978" max="9978" width="17.42578125" style="787" bestFit="1" customWidth="1"/>
    <col min="9979" max="9979" width="13" style="787" customWidth="1"/>
    <col min="9980" max="9980" width="14.42578125" style="787" customWidth="1"/>
    <col min="9981" max="9981" width="13" style="787" customWidth="1"/>
    <col min="9982" max="9982" width="14.42578125" style="787" bestFit="1" customWidth="1"/>
    <col min="9983" max="9983" width="17.42578125" style="787" customWidth="1"/>
    <col min="9984" max="9984" width="15.42578125" style="787" customWidth="1"/>
    <col min="9985" max="9985" width="5.85546875" style="787" customWidth="1"/>
    <col min="9986" max="9986" width="30.85546875" style="787" bestFit="1" customWidth="1"/>
    <col min="9987" max="9987" width="11.85546875" style="787" customWidth="1"/>
    <col min="9988" max="9988" width="1.5703125" style="787" customWidth="1"/>
    <col min="9989" max="9989" width="26.5703125" style="787" customWidth="1"/>
    <col min="9990" max="9990" width="14.5703125" style="787" customWidth="1"/>
    <col min="9991" max="9991" width="9.140625" style="787"/>
    <col min="9992" max="9992" width="24.42578125" style="787" customWidth="1"/>
    <col min="9993" max="9993" width="12.5703125" style="787" bestFit="1" customWidth="1"/>
    <col min="9994" max="10230" width="9.140625" style="787"/>
    <col min="10231" max="10231" width="4.5703125" style="787" customWidth="1"/>
    <col min="10232" max="10232" width="13.42578125" style="787" customWidth="1"/>
    <col min="10233" max="10233" width="15.42578125" style="787" customWidth="1"/>
    <col min="10234" max="10234" width="17.42578125" style="787" bestFit="1" customWidth="1"/>
    <col min="10235" max="10235" width="13" style="787" customWidth="1"/>
    <col min="10236" max="10236" width="14.42578125" style="787" customWidth="1"/>
    <col min="10237" max="10237" width="13" style="787" customWidth="1"/>
    <col min="10238" max="10238" width="14.42578125" style="787" bestFit="1" customWidth="1"/>
    <col min="10239" max="10239" width="17.42578125" style="787" customWidth="1"/>
    <col min="10240" max="10240" width="15.42578125" style="787" customWidth="1"/>
    <col min="10241" max="10241" width="5.85546875" style="787" customWidth="1"/>
    <col min="10242" max="10242" width="30.85546875" style="787" bestFit="1" customWidth="1"/>
    <col min="10243" max="10243" width="11.85546875" style="787" customWidth="1"/>
    <col min="10244" max="10244" width="1.5703125" style="787" customWidth="1"/>
    <col min="10245" max="10245" width="26.5703125" style="787" customWidth="1"/>
    <col min="10246" max="10246" width="14.5703125" style="787" customWidth="1"/>
    <col min="10247" max="10247" width="9.140625" style="787"/>
    <col min="10248" max="10248" width="24.42578125" style="787" customWidth="1"/>
    <col min="10249" max="10249" width="12.5703125" style="787" bestFit="1" customWidth="1"/>
    <col min="10250" max="10486" width="9.140625" style="787"/>
    <col min="10487" max="10487" width="4.5703125" style="787" customWidth="1"/>
    <col min="10488" max="10488" width="13.42578125" style="787" customWidth="1"/>
    <col min="10489" max="10489" width="15.42578125" style="787" customWidth="1"/>
    <col min="10490" max="10490" width="17.42578125" style="787" bestFit="1" customWidth="1"/>
    <col min="10491" max="10491" width="13" style="787" customWidth="1"/>
    <col min="10492" max="10492" width="14.42578125" style="787" customWidth="1"/>
    <col min="10493" max="10493" width="13" style="787" customWidth="1"/>
    <col min="10494" max="10494" width="14.42578125" style="787" bestFit="1" customWidth="1"/>
    <col min="10495" max="10495" width="17.42578125" style="787" customWidth="1"/>
    <col min="10496" max="10496" width="15.42578125" style="787" customWidth="1"/>
    <col min="10497" max="10497" width="5.85546875" style="787" customWidth="1"/>
    <col min="10498" max="10498" width="30.85546875" style="787" bestFit="1" customWidth="1"/>
    <col min="10499" max="10499" width="11.85546875" style="787" customWidth="1"/>
    <col min="10500" max="10500" width="1.5703125" style="787" customWidth="1"/>
    <col min="10501" max="10501" width="26.5703125" style="787" customWidth="1"/>
    <col min="10502" max="10502" width="14.5703125" style="787" customWidth="1"/>
    <col min="10503" max="10503" width="9.140625" style="787"/>
    <col min="10504" max="10504" width="24.42578125" style="787" customWidth="1"/>
    <col min="10505" max="10505" width="12.5703125" style="787" bestFit="1" customWidth="1"/>
    <col min="10506" max="10742" width="9.140625" style="787"/>
    <col min="10743" max="10743" width="4.5703125" style="787" customWidth="1"/>
    <col min="10744" max="10744" width="13.42578125" style="787" customWidth="1"/>
    <col min="10745" max="10745" width="15.42578125" style="787" customWidth="1"/>
    <col min="10746" max="10746" width="17.42578125" style="787" bestFit="1" customWidth="1"/>
    <col min="10747" max="10747" width="13" style="787" customWidth="1"/>
    <col min="10748" max="10748" width="14.42578125" style="787" customWidth="1"/>
    <col min="10749" max="10749" width="13" style="787" customWidth="1"/>
    <col min="10750" max="10750" width="14.42578125" style="787" bestFit="1" customWidth="1"/>
    <col min="10751" max="10751" width="17.42578125" style="787" customWidth="1"/>
    <col min="10752" max="10752" width="15.42578125" style="787" customWidth="1"/>
    <col min="10753" max="10753" width="5.85546875" style="787" customWidth="1"/>
    <col min="10754" max="10754" width="30.85546875" style="787" bestFit="1" customWidth="1"/>
    <col min="10755" max="10755" width="11.85546875" style="787" customWidth="1"/>
    <col min="10756" max="10756" width="1.5703125" style="787" customWidth="1"/>
    <col min="10757" max="10757" width="26.5703125" style="787" customWidth="1"/>
    <col min="10758" max="10758" width="14.5703125" style="787" customWidth="1"/>
    <col min="10759" max="10759" width="9.140625" style="787"/>
    <col min="10760" max="10760" width="24.42578125" style="787" customWidth="1"/>
    <col min="10761" max="10761" width="12.5703125" style="787" bestFit="1" customWidth="1"/>
    <col min="10762" max="10998" width="9.140625" style="787"/>
    <col min="10999" max="10999" width="4.5703125" style="787" customWidth="1"/>
    <col min="11000" max="11000" width="13.42578125" style="787" customWidth="1"/>
    <col min="11001" max="11001" width="15.42578125" style="787" customWidth="1"/>
    <col min="11002" max="11002" width="17.42578125" style="787" bestFit="1" customWidth="1"/>
    <col min="11003" max="11003" width="13" style="787" customWidth="1"/>
    <col min="11004" max="11004" width="14.42578125" style="787" customWidth="1"/>
    <col min="11005" max="11005" width="13" style="787" customWidth="1"/>
    <col min="11006" max="11006" width="14.42578125" style="787" bestFit="1" customWidth="1"/>
    <col min="11007" max="11007" width="17.42578125" style="787" customWidth="1"/>
    <col min="11008" max="11008" width="15.42578125" style="787" customWidth="1"/>
    <col min="11009" max="11009" width="5.85546875" style="787" customWidth="1"/>
    <col min="11010" max="11010" width="30.85546875" style="787" bestFit="1" customWidth="1"/>
    <col min="11011" max="11011" width="11.85546875" style="787" customWidth="1"/>
    <col min="11012" max="11012" width="1.5703125" style="787" customWidth="1"/>
    <col min="11013" max="11013" width="26.5703125" style="787" customWidth="1"/>
    <col min="11014" max="11014" width="14.5703125" style="787" customWidth="1"/>
    <col min="11015" max="11015" width="9.140625" style="787"/>
    <col min="11016" max="11016" width="24.42578125" style="787" customWidth="1"/>
    <col min="11017" max="11017" width="12.5703125" style="787" bestFit="1" customWidth="1"/>
    <col min="11018" max="11254" width="9.140625" style="787"/>
    <col min="11255" max="11255" width="4.5703125" style="787" customWidth="1"/>
    <col min="11256" max="11256" width="13.42578125" style="787" customWidth="1"/>
    <col min="11257" max="11257" width="15.42578125" style="787" customWidth="1"/>
    <col min="11258" max="11258" width="17.42578125" style="787" bestFit="1" customWidth="1"/>
    <col min="11259" max="11259" width="13" style="787" customWidth="1"/>
    <col min="11260" max="11260" width="14.42578125" style="787" customWidth="1"/>
    <col min="11261" max="11261" width="13" style="787" customWidth="1"/>
    <col min="11262" max="11262" width="14.42578125" style="787" bestFit="1" customWidth="1"/>
    <col min="11263" max="11263" width="17.42578125" style="787" customWidth="1"/>
    <col min="11264" max="11264" width="15.42578125" style="787" customWidth="1"/>
    <col min="11265" max="11265" width="5.85546875" style="787" customWidth="1"/>
    <col min="11266" max="11266" width="30.85546875" style="787" bestFit="1" customWidth="1"/>
    <col min="11267" max="11267" width="11.85546875" style="787" customWidth="1"/>
    <col min="11268" max="11268" width="1.5703125" style="787" customWidth="1"/>
    <col min="11269" max="11269" width="26.5703125" style="787" customWidth="1"/>
    <col min="11270" max="11270" width="14.5703125" style="787" customWidth="1"/>
    <col min="11271" max="11271" width="9.140625" style="787"/>
    <col min="11272" max="11272" width="24.42578125" style="787" customWidth="1"/>
    <col min="11273" max="11273" width="12.5703125" style="787" bestFit="1" customWidth="1"/>
    <col min="11274" max="11510" width="9.140625" style="787"/>
    <col min="11511" max="11511" width="4.5703125" style="787" customWidth="1"/>
    <col min="11512" max="11512" width="13.42578125" style="787" customWidth="1"/>
    <col min="11513" max="11513" width="15.42578125" style="787" customWidth="1"/>
    <col min="11514" max="11514" width="17.42578125" style="787" bestFit="1" customWidth="1"/>
    <col min="11515" max="11515" width="13" style="787" customWidth="1"/>
    <col min="11516" max="11516" width="14.42578125" style="787" customWidth="1"/>
    <col min="11517" max="11517" width="13" style="787" customWidth="1"/>
    <col min="11518" max="11518" width="14.42578125" style="787" bestFit="1" customWidth="1"/>
    <col min="11519" max="11519" width="17.42578125" style="787" customWidth="1"/>
    <col min="11520" max="11520" width="15.42578125" style="787" customWidth="1"/>
    <col min="11521" max="11521" width="5.85546875" style="787" customWidth="1"/>
    <col min="11522" max="11522" width="30.85546875" style="787" bestFit="1" customWidth="1"/>
    <col min="11523" max="11523" width="11.85546875" style="787" customWidth="1"/>
    <col min="11524" max="11524" width="1.5703125" style="787" customWidth="1"/>
    <col min="11525" max="11525" width="26.5703125" style="787" customWidth="1"/>
    <col min="11526" max="11526" width="14.5703125" style="787" customWidth="1"/>
    <col min="11527" max="11527" width="9.140625" style="787"/>
    <col min="11528" max="11528" width="24.42578125" style="787" customWidth="1"/>
    <col min="11529" max="11529" width="12.5703125" style="787" bestFit="1" customWidth="1"/>
    <col min="11530" max="11766" width="9.140625" style="787"/>
    <col min="11767" max="11767" width="4.5703125" style="787" customWidth="1"/>
    <col min="11768" max="11768" width="13.42578125" style="787" customWidth="1"/>
    <col min="11769" max="11769" width="15.42578125" style="787" customWidth="1"/>
    <col min="11770" max="11770" width="17.42578125" style="787" bestFit="1" customWidth="1"/>
    <col min="11771" max="11771" width="13" style="787" customWidth="1"/>
    <col min="11772" max="11772" width="14.42578125" style="787" customWidth="1"/>
    <col min="11773" max="11773" width="13" style="787" customWidth="1"/>
    <col min="11774" max="11774" width="14.42578125" style="787" bestFit="1" customWidth="1"/>
    <col min="11775" max="11775" width="17.42578125" style="787" customWidth="1"/>
    <col min="11776" max="11776" width="15.42578125" style="787" customWidth="1"/>
    <col min="11777" max="11777" width="5.85546875" style="787" customWidth="1"/>
    <col min="11778" max="11778" width="30.85546875" style="787" bestFit="1" customWidth="1"/>
    <col min="11779" max="11779" width="11.85546875" style="787" customWidth="1"/>
    <col min="11780" max="11780" width="1.5703125" style="787" customWidth="1"/>
    <col min="11781" max="11781" width="26.5703125" style="787" customWidth="1"/>
    <col min="11782" max="11782" width="14.5703125" style="787" customWidth="1"/>
    <col min="11783" max="11783" width="9.140625" style="787"/>
    <col min="11784" max="11784" width="24.42578125" style="787" customWidth="1"/>
    <col min="11785" max="11785" width="12.5703125" style="787" bestFit="1" customWidth="1"/>
    <col min="11786" max="12022" width="9.140625" style="787"/>
    <col min="12023" max="12023" width="4.5703125" style="787" customWidth="1"/>
    <col min="12024" max="12024" width="13.42578125" style="787" customWidth="1"/>
    <col min="12025" max="12025" width="15.42578125" style="787" customWidth="1"/>
    <col min="12026" max="12026" width="17.42578125" style="787" bestFit="1" customWidth="1"/>
    <col min="12027" max="12027" width="13" style="787" customWidth="1"/>
    <col min="12028" max="12028" width="14.42578125" style="787" customWidth="1"/>
    <col min="12029" max="12029" width="13" style="787" customWidth="1"/>
    <col min="12030" max="12030" width="14.42578125" style="787" bestFit="1" customWidth="1"/>
    <col min="12031" max="12031" width="17.42578125" style="787" customWidth="1"/>
    <col min="12032" max="12032" width="15.42578125" style="787" customWidth="1"/>
    <col min="12033" max="12033" width="5.85546875" style="787" customWidth="1"/>
    <col min="12034" max="12034" width="30.85546875" style="787" bestFit="1" customWidth="1"/>
    <col min="12035" max="12035" width="11.85546875" style="787" customWidth="1"/>
    <col min="12036" max="12036" width="1.5703125" style="787" customWidth="1"/>
    <col min="12037" max="12037" width="26.5703125" style="787" customWidth="1"/>
    <col min="12038" max="12038" width="14.5703125" style="787" customWidth="1"/>
    <col min="12039" max="12039" width="9.140625" style="787"/>
    <col min="12040" max="12040" width="24.42578125" style="787" customWidth="1"/>
    <col min="12041" max="12041" width="12.5703125" style="787" bestFit="1" customWidth="1"/>
    <col min="12042" max="12278" width="9.140625" style="787"/>
    <col min="12279" max="12279" width="4.5703125" style="787" customWidth="1"/>
    <col min="12280" max="12280" width="13.42578125" style="787" customWidth="1"/>
    <col min="12281" max="12281" width="15.42578125" style="787" customWidth="1"/>
    <col min="12282" max="12282" width="17.42578125" style="787" bestFit="1" customWidth="1"/>
    <col min="12283" max="12283" width="13" style="787" customWidth="1"/>
    <col min="12284" max="12284" width="14.42578125" style="787" customWidth="1"/>
    <col min="12285" max="12285" width="13" style="787" customWidth="1"/>
    <col min="12286" max="12286" width="14.42578125" style="787" bestFit="1" customWidth="1"/>
    <col min="12287" max="12287" width="17.42578125" style="787" customWidth="1"/>
    <col min="12288" max="12288" width="15.42578125" style="787" customWidth="1"/>
    <col min="12289" max="12289" width="5.85546875" style="787" customWidth="1"/>
    <col min="12290" max="12290" width="30.85546875" style="787" bestFit="1" customWidth="1"/>
    <col min="12291" max="12291" width="11.85546875" style="787" customWidth="1"/>
    <col min="12292" max="12292" width="1.5703125" style="787" customWidth="1"/>
    <col min="12293" max="12293" width="26.5703125" style="787" customWidth="1"/>
    <col min="12294" max="12294" width="14.5703125" style="787" customWidth="1"/>
    <col min="12295" max="12295" width="9.140625" style="787"/>
    <col min="12296" max="12296" width="24.42578125" style="787" customWidth="1"/>
    <col min="12297" max="12297" width="12.5703125" style="787" bestFit="1" customWidth="1"/>
    <col min="12298" max="12534" width="9.140625" style="787"/>
    <col min="12535" max="12535" width="4.5703125" style="787" customWidth="1"/>
    <col min="12536" max="12536" width="13.42578125" style="787" customWidth="1"/>
    <col min="12537" max="12537" width="15.42578125" style="787" customWidth="1"/>
    <col min="12538" max="12538" width="17.42578125" style="787" bestFit="1" customWidth="1"/>
    <col min="12539" max="12539" width="13" style="787" customWidth="1"/>
    <col min="12540" max="12540" width="14.42578125" style="787" customWidth="1"/>
    <col min="12541" max="12541" width="13" style="787" customWidth="1"/>
    <col min="12542" max="12542" width="14.42578125" style="787" bestFit="1" customWidth="1"/>
    <col min="12543" max="12543" width="17.42578125" style="787" customWidth="1"/>
    <col min="12544" max="12544" width="15.42578125" style="787" customWidth="1"/>
    <col min="12545" max="12545" width="5.85546875" style="787" customWidth="1"/>
    <col min="12546" max="12546" width="30.85546875" style="787" bestFit="1" customWidth="1"/>
    <col min="12547" max="12547" width="11.85546875" style="787" customWidth="1"/>
    <col min="12548" max="12548" width="1.5703125" style="787" customWidth="1"/>
    <col min="12549" max="12549" width="26.5703125" style="787" customWidth="1"/>
    <col min="12550" max="12550" width="14.5703125" style="787" customWidth="1"/>
    <col min="12551" max="12551" width="9.140625" style="787"/>
    <col min="12552" max="12552" width="24.42578125" style="787" customWidth="1"/>
    <col min="12553" max="12553" width="12.5703125" style="787" bestFit="1" customWidth="1"/>
    <col min="12554" max="12790" width="9.140625" style="787"/>
    <col min="12791" max="12791" width="4.5703125" style="787" customWidth="1"/>
    <col min="12792" max="12792" width="13.42578125" style="787" customWidth="1"/>
    <col min="12793" max="12793" width="15.42578125" style="787" customWidth="1"/>
    <col min="12794" max="12794" width="17.42578125" style="787" bestFit="1" customWidth="1"/>
    <col min="12795" max="12795" width="13" style="787" customWidth="1"/>
    <col min="12796" max="12796" width="14.42578125" style="787" customWidth="1"/>
    <col min="12797" max="12797" width="13" style="787" customWidth="1"/>
    <col min="12798" max="12798" width="14.42578125" style="787" bestFit="1" customWidth="1"/>
    <col min="12799" max="12799" width="17.42578125" style="787" customWidth="1"/>
    <col min="12800" max="12800" width="15.42578125" style="787" customWidth="1"/>
    <col min="12801" max="12801" width="5.85546875" style="787" customWidth="1"/>
    <col min="12802" max="12802" width="30.85546875" style="787" bestFit="1" customWidth="1"/>
    <col min="12803" max="12803" width="11.85546875" style="787" customWidth="1"/>
    <col min="12804" max="12804" width="1.5703125" style="787" customWidth="1"/>
    <col min="12805" max="12805" width="26.5703125" style="787" customWidth="1"/>
    <col min="12806" max="12806" width="14.5703125" style="787" customWidth="1"/>
    <col min="12807" max="12807" width="9.140625" style="787"/>
    <col min="12808" max="12808" width="24.42578125" style="787" customWidth="1"/>
    <col min="12809" max="12809" width="12.5703125" style="787" bestFit="1" customWidth="1"/>
    <col min="12810" max="13046" width="9.140625" style="787"/>
    <col min="13047" max="13047" width="4.5703125" style="787" customWidth="1"/>
    <col min="13048" max="13048" width="13.42578125" style="787" customWidth="1"/>
    <col min="13049" max="13049" width="15.42578125" style="787" customWidth="1"/>
    <col min="13050" max="13050" width="17.42578125" style="787" bestFit="1" customWidth="1"/>
    <col min="13051" max="13051" width="13" style="787" customWidth="1"/>
    <col min="13052" max="13052" width="14.42578125" style="787" customWidth="1"/>
    <col min="13053" max="13053" width="13" style="787" customWidth="1"/>
    <col min="13054" max="13054" width="14.42578125" style="787" bestFit="1" customWidth="1"/>
    <col min="13055" max="13055" width="17.42578125" style="787" customWidth="1"/>
    <col min="13056" max="13056" width="15.42578125" style="787" customWidth="1"/>
    <col min="13057" max="13057" width="5.85546875" style="787" customWidth="1"/>
    <col min="13058" max="13058" width="30.85546875" style="787" bestFit="1" customWidth="1"/>
    <col min="13059" max="13059" width="11.85546875" style="787" customWidth="1"/>
    <col min="13060" max="13060" width="1.5703125" style="787" customWidth="1"/>
    <col min="13061" max="13061" width="26.5703125" style="787" customWidth="1"/>
    <col min="13062" max="13062" width="14.5703125" style="787" customWidth="1"/>
    <col min="13063" max="13063" width="9.140625" style="787"/>
    <col min="13064" max="13064" width="24.42578125" style="787" customWidth="1"/>
    <col min="13065" max="13065" width="12.5703125" style="787" bestFit="1" customWidth="1"/>
    <col min="13066" max="13302" width="9.140625" style="787"/>
    <col min="13303" max="13303" width="4.5703125" style="787" customWidth="1"/>
    <col min="13304" max="13304" width="13.42578125" style="787" customWidth="1"/>
    <col min="13305" max="13305" width="15.42578125" style="787" customWidth="1"/>
    <col min="13306" max="13306" width="17.42578125" style="787" bestFit="1" customWidth="1"/>
    <col min="13307" max="13307" width="13" style="787" customWidth="1"/>
    <col min="13308" max="13308" width="14.42578125" style="787" customWidth="1"/>
    <col min="13309" max="13309" width="13" style="787" customWidth="1"/>
    <col min="13310" max="13310" width="14.42578125" style="787" bestFit="1" customWidth="1"/>
    <col min="13311" max="13311" width="17.42578125" style="787" customWidth="1"/>
    <col min="13312" max="13312" width="15.42578125" style="787" customWidth="1"/>
    <col min="13313" max="13313" width="5.85546875" style="787" customWidth="1"/>
    <col min="13314" max="13314" width="30.85546875" style="787" bestFit="1" customWidth="1"/>
    <col min="13315" max="13315" width="11.85546875" style="787" customWidth="1"/>
    <col min="13316" max="13316" width="1.5703125" style="787" customWidth="1"/>
    <col min="13317" max="13317" width="26.5703125" style="787" customWidth="1"/>
    <col min="13318" max="13318" width="14.5703125" style="787" customWidth="1"/>
    <col min="13319" max="13319" width="9.140625" style="787"/>
    <col min="13320" max="13320" width="24.42578125" style="787" customWidth="1"/>
    <col min="13321" max="13321" width="12.5703125" style="787" bestFit="1" customWidth="1"/>
    <col min="13322" max="13558" width="9.140625" style="787"/>
    <col min="13559" max="13559" width="4.5703125" style="787" customWidth="1"/>
    <col min="13560" max="13560" width="13.42578125" style="787" customWidth="1"/>
    <col min="13561" max="13561" width="15.42578125" style="787" customWidth="1"/>
    <col min="13562" max="13562" width="17.42578125" style="787" bestFit="1" customWidth="1"/>
    <col min="13563" max="13563" width="13" style="787" customWidth="1"/>
    <col min="13564" max="13564" width="14.42578125" style="787" customWidth="1"/>
    <col min="13565" max="13565" width="13" style="787" customWidth="1"/>
    <col min="13566" max="13566" width="14.42578125" style="787" bestFit="1" customWidth="1"/>
    <col min="13567" max="13567" width="17.42578125" style="787" customWidth="1"/>
    <col min="13568" max="13568" width="15.42578125" style="787" customWidth="1"/>
    <col min="13569" max="13569" width="5.85546875" style="787" customWidth="1"/>
    <col min="13570" max="13570" width="30.85546875" style="787" bestFit="1" customWidth="1"/>
    <col min="13571" max="13571" width="11.85546875" style="787" customWidth="1"/>
    <col min="13572" max="13572" width="1.5703125" style="787" customWidth="1"/>
    <col min="13573" max="13573" width="26.5703125" style="787" customWidth="1"/>
    <col min="13574" max="13574" width="14.5703125" style="787" customWidth="1"/>
    <col min="13575" max="13575" width="9.140625" style="787"/>
    <col min="13576" max="13576" width="24.42578125" style="787" customWidth="1"/>
    <col min="13577" max="13577" width="12.5703125" style="787" bestFit="1" customWidth="1"/>
    <col min="13578" max="13814" width="9.140625" style="787"/>
    <col min="13815" max="13815" width="4.5703125" style="787" customWidth="1"/>
    <col min="13816" max="13816" width="13.42578125" style="787" customWidth="1"/>
    <col min="13817" max="13817" width="15.42578125" style="787" customWidth="1"/>
    <col min="13818" max="13818" width="17.42578125" style="787" bestFit="1" customWidth="1"/>
    <col min="13819" max="13819" width="13" style="787" customWidth="1"/>
    <col min="13820" max="13820" width="14.42578125" style="787" customWidth="1"/>
    <col min="13821" max="13821" width="13" style="787" customWidth="1"/>
    <col min="13822" max="13822" width="14.42578125" style="787" bestFit="1" customWidth="1"/>
    <col min="13823" max="13823" width="17.42578125" style="787" customWidth="1"/>
    <col min="13824" max="13824" width="15.42578125" style="787" customWidth="1"/>
    <col min="13825" max="13825" width="5.85546875" style="787" customWidth="1"/>
    <col min="13826" max="13826" width="30.85546875" style="787" bestFit="1" customWidth="1"/>
    <col min="13827" max="13827" width="11.85546875" style="787" customWidth="1"/>
    <col min="13828" max="13828" width="1.5703125" style="787" customWidth="1"/>
    <col min="13829" max="13829" width="26.5703125" style="787" customWidth="1"/>
    <col min="13830" max="13830" width="14.5703125" style="787" customWidth="1"/>
    <col min="13831" max="13831" width="9.140625" style="787"/>
    <col min="13832" max="13832" width="24.42578125" style="787" customWidth="1"/>
    <col min="13833" max="13833" width="12.5703125" style="787" bestFit="1" customWidth="1"/>
    <col min="13834" max="14070" width="9.140625" style="787"/>
    <col min="14071" max="14071" width="4.5703125" style="787" customWidth="1"/>
    <col min="14072" max="14072" width="13.42578125" style="787" customWidth="1"/>
    <col min="14073" max="14073" width="15.42578125" style="787" customWidth="1"/>
    <col min="14074" max="14074" width="17.42578125" style="787" bestFit="1" customWidth="1"/>
    <col min="14075" max="14075" width="13" style="787" customWidth="1"/>
    <col min="14076" max="14076" width="14.42578125" style="787" customWidth="1"/>
    <col min="14077" max="14077" width="13" style="787" customWidth="1"/>
    <col min="14078" max="14078" width="14.42578125" style="787" bestFit="1" customWidth="1"/>
    <col min="14079" max="14079" width="17.42578125" style="787" customWidth="1"/>
    <col min="14080" max="14080" width="15.42578125" style="787" customWidth="1"/>
    <col min="14081" max="14081" width="5.85546875" style="787" customWidth="1"/>
    <col min="14082" max="14082" width="30.85546875" style="787" bestFit="1" customWidth="1"/>
    <col min="14083" max="14083" width="11.85546875" style="787" customWidth="1"/>
    <col min="14084" max="14084" width="1.5703125" style="787" customWidth="1"/>
    <col min="14085" max="14085" width="26.5703125" style="787" customWidth="1"/>
    <col min="14086" max="14086" width="14.5703125" style="787" customWidth="1"/>
    <col min="14087" max="14087" width="9.140625" style="787"/>
    <col min="14088" max="14088" width="24.42578125" style="787" customWidth="1"/>
    <col min="14089" max="14089" width="12.5703125" style="787" bestFit="1" customWidth="1"/>
    <col min="14090" max="14326" width="9.140625" style="787"/>
    <col min="14327" max="14327" width="4.5703125" style="787" customWidth="1"/>
    <col min="14328" max="14328" width="13.42578125" style="787" customWidth="1"/>
    <col min="14329" max="14329" width="15.42578125" style="787" customWidth="1"/>
    <col min="14330" max="14330" width="17.42578125" style="787" bestFit="1" customWidth="1"/>
    <col min="14331" max="14331" width="13" style="787" customWidth="1"/>
    <col min="14332" max="14332" width="14.42578125" style="787" customWidth="1"/>
    <col min="14333" max="14333" width="13" style="787" customWidth="1"/>
    <col min="14334" max="14334" width="14.42578125" style="787" bestFit="1" customWidth="1"/>
    <col min="14335" max="14335" width="17.42578125" style="787" customWidth="1"/>
    <col min="14336" max="14336" width="15.42578125" style="787" customWidth="1"/>
    <col min="14337" max="14337" width="5.85546875" style="787" customWidth="1"/>
    <col min="14338" max="14338" width="30.85546875" style="787" bestFit="1" customWidth="1"/>
    <col min="14339" max="14339" width="11.85546875" style="787" customWidth="1"/>
    <col min="14340" max="14340" width="1.5703125" style="787" customWidth="1"/>
    <col min="14341" max="14341" width="26.5703125" style="787" customWidth="1"/>
    <col min="14342" max="14342" width="14.5703125" style="787" customWidth="1"/>
    <col min="14343" max="14343" width="9.140625" style="787"/>
    <col min="14344" max="14344" width="24.42578125" style="787" customWidth="1"/>
    <col min="14345" max="14345" width="12.5703125" style="787" bestFit="1" customWidth="1"/>
    <col min="14346" max="14582" width="9.140625" style="787"/>
    <col min="14583" max="14583" width="4.5703125" style="787" customWidth="1"/>
    <col min="14584" max="14584" width="13.42578125" style="787" customWidth="1"/>
    <col min="14585" max="14585" width="15.42578125" style="787" customWidth="1"/>
    <col min="14586" max="14586" width="17.42578125" style="787" bestFit="1" customWidth="1"/>
    <col min="14587" max="14587" width="13" style="787" customWidth="1"/>
    <col min="14588" max="14588" width="14.42578125" style="787" customWidth="1"/>
    <col min="14589" max="14589" width="13" style="787" customWidth="1"/>
    <col min="14590" max="14590" width="14.42578125" style="787" bestFit="1" customWidth="1"/>
    <col min="14591" max="14591" width="17.42578125" style="787" customWidth="1"/>
    <col min="14592" max="14592" width="15.42578125" style="787" customWidth="1"/>
    <col min="14593" max="14593" width="5.85546875" style="787" customWidth="1"/>
    <col min="14594" max="14594" width="30.85546875" style="787" bestFit="1" customWidth="1"/>
    <col min="14595" max="14595" width="11.85546875" style="787" customWidth="1"/>
    <col min="14596" max="14596" width="1.5703125" style="787" customWidth="1"/>
    <col min="14597" max="14597" width="26.5703125" style="787" customWidth="1"/>
    <col min="14598" max="14598" width="14.5703125" style="787" customWidth="1"/>
    <col min="14599" max="14599" width="9.140625" style="787"/>
    <col min="14600" max="14600" width="24.42578125" style="787" customWidth="1"/>
    <col min="14601" max="14601" width="12.5703125" style="787" bestFit="1" customWidth="1"/>
    <col min="14602" max="14838" width="9.140625" style="787"/>
    <col min="14839" max="14839" width="4.5703125" style="787" customWidth="1"/>
    <col min="14840" max="14840" width="13.42578125" style="787" customWidth="1"/>
    <col min="14841" max="14841" width="15.42578125" style="787" customWidth="1"/>
    <col min="14842" max="14842" width="17.42578125" style="787" bestFit="1" customWidth="1"/>
    <col min="14843" max="14843" width="13" style="787" customWidth="1"/>
    <col min="14844" max="14844" width="14.42578125" style="787" customWidth="1"/>
    <col min="14845" max="14845" width="13" style="787" customWidth="1"/>
    <col min="14846" max="14846" width="14.42578125" style="787" bestFit="1" customWidth="1"/>
    <col min="14847" max="14847" width="17.42578125" style="787" customWidth="1"/>
    <col min="14848" max="14848" width="15.42578125" style="787" customWidth="1"/>
    <col min="14849" max="14849" width="5.85546875" style="787" customWidth="1"/>
    <col min="14850" max="14850" width="30.85546875" style="787" bestFit="1" customWidth="1"/>
    <col min="14851" max="14851" width="11.85546875" style="787" customWidth="1"/>
    <col min="14852" max="14852" width="1.5703125" style="787" customWidth="1"/>
    <col min="14853" max="14853" width="26.5703125" style="787" customWidth="1"/>
    <col min="14854" max="14854" width="14.5703125" style="787" customWidth="1"/>
    <col min="14855" max="14855" width="9.140625" style="787"/>
    <col min="14856" max="14856" width="24.42578125" style="787" customWidth="1"/>
    <col min="14857" max="14857" width="12.5703125" style="787" bestFit="1" customWidth="1"/>
    <col min="14858" max="15094" width="9.140625" style="787"/>
    <col min="15095" max="15095" width="4.5703125" style="787" customWidth="1"/>
    <col min="15096" max="15096" width="13.42578125" style="787" customWidth="1"/>
    <col min="15097" max="15097" width="15.42578125" style="787" customWidth="1"/>
    <col min="15098" max="15098" width="17.42578125" style="787" bestFit="1" customWidth="1"/>
    <col min="15099" max="15099" width="13" style="787" customWidth="1"/>
    <col min="15100" max="15100" width="14.42578125" style="787" customWidth="1"/>
    <col min="15101" max="15101" width="13" style="787" customWidth="1"/>
    <col min="15102" max="15102" width="14.42578125" style="787" bestFit="1" customWidth="1"/>
    <col min="15103" max="15103" width="17.42578125" style="787" customWidth="1"/>
    <col min="15104" max="15104" width="15.42578125" style="787" customWidth="1"/>
    <col min="15105" max="15105" width="5.85546875" style="787" customWidth="1"/>
    <col min="15106" max="15106" width="30.85546875" style="787" bestFit="1" customWidth="1"/>
    <col min="15107" max="15107" width="11.85546875" style="787" customWidth="1"/>
    <col min="15108" max="15108" width="1.5703125" style="787" customWidth="1"/>
    <col min="15109" max="15109" width="26.5703125" style="787" customWidth="1"/>
    <col min="15110" max="15110" width="14.5703125" style="787" customWidth="1"/>
    <col min="15111" max="15111" width="9.140625" style="787"/>
    <col min="15112" max="15112" width="24.42578125" style="787" customWidth="1"/>
    <col min="15113" max="15113" width="12.5703125" style="787" bestFit="1" customWidth="1"/>
    <col min="15114" max="15350" width="9.140625" style="787"/>
    <col min="15351" max="15351" width="4.5703125" style="787" customWidth="1"/>
    <col min="15352" max="15352" width="13.42578125" style="787" customWidth="1"/>
    <col min="15353" max="15353" width="15.42578125" style="787" customWidth="1"/>
    <col min="15354" max="15354" width="17.42578125" style="787" bestFit="1" customWidth="1"/>
    <col min="15355" max="15355" width="13" style="787" customWidth="1"/>
    <col min="15356" max="15356" width="14.42578125" style="787" customWidth="1"/>
    <col min="15357" max="15357" width="13" style="787" customWidth="1"/>
    <col min="15358" max="15358" width="14.42578125" style="787" bestFit="1" customWidth="1"/>
    <col min="15359" max="15359" width="17.42578125" style="787" customWidth="1"/>
    <col min="15360" max="15360" width="15.42578125" style="787" customWidth="1"/>
    <col min="15361" max="15361" width="5.85546875" style="787" customWidth="1"/>
    <col min="15362" max="15362" width="30.85546875" style="787" bestFit="1" customWidth="1"/>
    <col min="15363" max="15363" width="11.85546875" style="787" customWidth="1"/>
    <col min="15364" max="15364" width="1.5703125" style="787" customWidth="1"/>
    <col min="15365" max="15365" width="26.5703125" style="787" customWidth="1"/>
    <col min="15366" max="15366" width="14.5703125" style="787" customWidth="1"/>
    <col min="15367" max="15367" width="9.140625" style="787"/>
    <col min="15368" max="15368" width="24.42578125" style="787" customWidth="1"/>
    <col min="15369" max="15369" width="12.5703125" style="787" bestFit="1" customWidth="1"/>
    <col min="15370" max="15606" width="9.140625" style="787"/>
    <col min="15607" max="15607" width="4.5703125" style="787" customWidth="1"/>
    <col min="15608" max="15608" width="13.42578125" style="787" customWidth="1"/>
    <col min="15609" max="15609" width="15.42578125" style="787" customWidth="1"/>
    <col min="15610" max="15610" width="17.42578125" style="787" bestFit="1" customWidth="1"/>
    <col min="15611" max="15611" width="13" style="787" customWidth="1"/>
    <col min="15612" max="15612" width="14.42578125" style="787" customWidth="1"/>
    <col min="15613" max="15613" width="13" style="787" customWidth="1"/>
    <col min="15614" max="15614" width="14.42578125" style="787" bestFit="1" customWidth="1"/>
    <col min="15615" max="15615" width="17.42578125" style="787" customWidth="1"/>
    <col min="15616" max="15616" width="15.42578125" style="787" customWidth="1"/>
    <col min="15617" max="15617" width="5.85546875" style="787" customWidth="1"/>
    <col min="15618" max="15618" width="30.85546875" style="787" bestFit="1" customWidth="1"/>
    <col min="15619" max="15619" width="11.85546875" style="787" customWidth="1"/>
    <col min="15620" max="15620" width="1.5703125" style="787" customWidth="1"/>
    <col min="15621" max="15621" width="26.5703125" style="787" customWidth="1"/>
    <col min="15622" max="15622" width="14.5703125" style="787" customWidth="1"/>
    <col min="15623" max="15623" width="9.140625" style="787"/>
    <col min="15624" max="15624" width="24.42578125" style="787" customWidth="1"/>
    <col min="15625" max="15625" width="12.5703125" style="787" bestFit="1" customWidth="1"/>
    <col min="15626" max="15862" width="9.140625" style="787"/>
    <col min="15863" max="15863" width="4.5703125" style="787" customWidth="1"/>
    <col min="15864" max="15864" width="13.42578125" style="787" customWidth="1"/>
    <col min="15865" max="15865" width="15.42578125" style="787" customWidth="1"/>
    <col min="15866" max="15866" width="17.42578125" style="787" bestFit="1" customWidth="1"/>
    <col min="15867" max="15867" width="13" style="787" customWidth="1"/>
    <col min="15868" max="15868" width="14.42578125" style="787" customWidth="1"/>
    <col min="15869" max="15869" width="13" style="787" customWidth="1"/>
    <col min="15870" max="15870" width="14.42578125" style="787" bestFit="1" customWidth="1"/>
    <col min="15871" max="15871" width="17.42578125" style="787" customWidth="1"/>
    <col min="15872" max="15872" width="15.42578125" style="787" customWidth="1"/>
    <col min="15873" max="15873" width="5.85546875" style="787" customWidth="1"/>
    <col min="15874" max="15874" width="30.85546875" style="787" bestFit="1" customWidth="1"/>
    <col min="15875" max="15875" width="11.85546875" style="787" customWidth="1"/>
    <col min="15876" max="15876" width="1.5703125" style="787" customWidth="1"/>
    <col min="15877" max="15877" width="26.5703125" style="787" customWidth="1"/>
    <col min="15878" max="15878" width="14.5703125" style="787" customWidth="1"/>
    <col min="15879" max="15879" width="9.140625" style="787"/>
    <col min="15880" max="15880" width="24.42578125" style="787" customWidth="1"/>
    <col min="15881" max="15881" width="12.5703125" style="787" bestFit="1" customWidth="1"/>
    <col min="15882" max="16118" width="9.140625" style="787"/>
    <col min="16119" max="16119" width="4.5703125" style="787" customWidth="1"/>
    <col min="16120" max="16120" width="13.42578125" style="787" customWidth="1"/>
    <col min="16121" max="16121" width="15.42578125" style="787" customWidth="1"/>
    <col min="16122" max="16122" width="17.42578125" style="787" bestFit="1" customWidth="1"/>
    <col min="16123" max="16123" width="13" style="787" customWidth="1"/>
    <col min="16124" max="16124" width="14.42578125" style="787" customWidth="1"/>
    <col min="16125" max="16125" width="13" style="787" customWidth="1"/>
    <col min="16126" max="16126" width="14.42578125" style="787" bestFit="1" customWidth="1"/>
    <col min="16127" max="16127" width="17.42578125" style="787" customWidth="1"/>
    <col min="16128" max="16128" width="15.42578125" style="787" customWidth="1"/>
    <col min="16129" max="16129" width="5.85546875" style="787" customWidth="1"/>
    <col min="16130" max="16130" width="30.85546875" style="787" bestFit="1" customWidth="1"/>
    <col min="16131" max="16131" width="11.85546875" style="787" customWidth="1"/>
    <col min="16132" max="16132" width="1.5703125" style="787" customWidth="1"/>
    <col min="16133" max="16133" width="26.5703125" style="787" customWidth="1"/>
    <col min="16134" max="16134" width="14.5703125" style="787" customWidth="1"/>
    <col min="16135" max="16135" width="9.140625" style="787"/>
    <col min="16136" max="16136" width="24.42578125" style="787" customWidth="1"/>
    <col min="16137" max="16137" width="12.5703125" style="787" bestFit="1" customWidth="1"/>
    <col min="16138" max="16384" width="9.140625" style="787"/>
  </cols>
  <sheetData>
    <row r="1" spans="1:10" ht="24" customHeight="1">
      <c r="A1" s="781"/>
      <c r="B1" s="782"/>
      <c r="C1" s="782"/>
      <c r="D1" s="782"/>
      <c r="E1" s="782"/>
      <c r="F1" s="783"/>
      <c r="G1" s="782"/>
      <c r="H1" s="782"/>
      <c r="I1" s="782"/>
      <c r="J1" s="784"/>
    </row>
    <row r="2" spans="1:10" ht="24" customHeight="1">
      <c r="A2" s="781"/>
      <c r="B2" s="782"/>
      <c r="C2" s="782"/>
      <c r="D2" s="782"/>
      <c r="E2" s="782"/>
      <c r="F2" s="783"/>
      <c r="G2" s="782"/>
      <c r="H2" s="1406" t="s">
        <v>10</v>
      </c>
      <c r="I2" s="1406"/>
      <c r="J2" s="1406"/>
    </row>
    <row r="3" spans="1:10" ht="21" customHeight="1"/>
    <row r="4" spans="1:10">
      <c r="A4" s="789" t="s">
        <v>11</v>
      </c>
      <c r="G4" s="790" t="s">
        <v>12</v>
      </c>
      <c r="H4" s="787"/>
      <c r="I4" s="791">
        <f ca="1">NOW()</f>
        <v>45902.530650810186</v>
      </c>
      <c r="J4" s="792"/>
    </row>
    <row r="5" spans="1:10" ht="13.5" thickBot="1">
      <c r="A5" s="793"/>
      <c r="B5" s="785"/>
      <c r="C5" s="785"/>
      <c r="D5" s="794"/>
      <c r="E5" s="785"/>
      <c r="F5" s="785"/>
      <c r="G5" s="785"/>
      <c r="H5" s="785"/>
      <c r="I5" s="785"/>
      <c r="J5" s="795"/>
    </row>
    <row r="6" spans="1:10" ht="3.75" customHeight="1">
      <c r="A6" s="796"/>
      <c r="B6" s="797"/>
      <c r="C6" s="797"/>
      <c r="D6" s="796"/>
      <c r="E6" s="797"/>
      <c r="F6" s="797"/>
      <c r="G6" s="797"/>
      <c r="H6" s="797"/>
      <c r="I6" s="797"/>
      <c r="J6" s="798"/>
    </row>
    <row r="7" spans="1:10" ht="18.75" customHeight="1">
      <c r="A7" s="799" t="s">
        <v>13</v>
      </c>
      <c r="C7" s="800"/>
      <c r="G7" s="1407"/>
      <c r="H7" s="1407"/>
      <c r="I7" s="1407"/>
    </row>
    <row r="8" spans="1:10">
      <c r="A8" s="799" t="s">
        <v>14</v>
      </c>
      <c r="C8" s="801" t="s">
        <v>15</v>
      </c>
      <c r="G8" s="1408"/>
      <c r="H8" s="1408"/>
      <c r="I8" s="1408"/>
    </row>
    <row r="9" spans="1:10">
      <c r="A9" s="802" t="s">
        <v>16</v>
      </c>
      <c r="B9" s="782"/>
      <c r="C9" s="803" t="s">
        <v>17</v>
      </c>
      <c r="D9" s="782"/>
      <c r="E9" s="782"/>
      <c r="F9" s="783"/>
      <c r="G9" s="782" t="s">
        <v>18</v>
      </c>
      <c r="H9" s="804"/>
      <c r="I9" s="782"/>
      <c r="J9" s="784"/>
    </row>
    <row r="10" spans="1:10" ht="12.75" customHeight="1" thickBot="1">
      <c r="A10" s="805"/>
      <c r="B10" s="785"/>
      <c r="C10" s="785"/>
      <c r="D10" s="794"/>
      <c r="E10" s="785"/>
      <c r="F10" s="785"/>
      <c r="G10" s="785"/>
      <c r="H10" s="785"/>
      <c r="I10" s="785"/>
      <c r="J10" s="795"/>
    </row>
    <row r="11" spans="1:10" ht="5.25" customHeight="1">
      <c r="A11" s="796"/>
      <c r="B11" s="797"/>
      <c r="C11" s="797"/>
      <c r="D11" s="796"/>
      <c r="E11" s="797"/>
      <c r="F11" s="797"/>
      <c r="G11" s="797"/>
      <c r="H11" s="797"/>
      <c r="I11" s="797"/>
      <c r="J11" s="798"/>
    </row>
    <row r="12" spans="1:10">
      <c r="A12" s="785"/>
      <c r="B12" s="785"/>
      <c r="C12" s="785"/>
      <c r="D12" s="785"/>
      <c r="E12" s="785"/>
      <c r="F12" s="785"/>
      <c r="G12" s="785"/>
      <c r="H12" s="785"/>
      <c r="I12" s="785"/>
      <c r="J12" s="784"/>
    </row>
    <row r="13" spans="1:10" ht="14.25" customHeight="1">
      <c r="A13" s="785"/>
      <c r="B13" s="1409" t="s">
        <v>19</v>
      </c>
      <c r="C13" s="1410"/>
      <c r="D13" s="1411"/>
      <c r="E13" s="782"/>
      <c r="F13" s="1412" t="s">
        <v>20</v>
      </c>
      <c r="G13" s="1412"/>
      <c r="H13" s="1412"/>
      <c r="I13" s="782"/>
      <c r="J13" s="784"/>
    </row>
    <row r="14" spans="1:10">
      <c r="A14" s="806"/>
      <c r="B14" s="807"/>
      <c r="C14" s="808" t="s">
        <v>21</v>
      </c>
      <c r="D14" s="809">
        <v>2614278.5890727686</v>
      </c>
      <c r="E14" s="782"/>
      <c r="F14" s="785"/>
      <c r="G14" s="808" t="s">
        <v>22</v>
      </c>
      <c r="H14" s="810">
        <f>IF(Values_Entered,-PMT(Interest_Rate/Num_Pmt_Per_Year,Loan_Years*Num_Pmt_Per_Year,Loan_Amount),"")</f>
        <v>32413.313177607219</v>
      </c>
      <c r="I14" s="782"/>
      <c r="J14" s="784"/>
    </row>
    <row r="15" spans="1:10">
      <c r="A15" s="806"/>
      <c r="B15" s="811"/>
      <c r="C15" s="812" t="s">
        <v>23</v>
      </c>
      <c r="D15" s="813">
        <v>8.5000000000000006E-2</v>
      </c>
      <c r="E15" s="782"/>
      <c r="F15" s="785"/>
      <c r="G15" s="808" t="s">
        <v>24</v>
      </c>
      <c r="H15" s="814"/>
      <c r="I15" s="782"/>
      <c r="J15" s="784"/>
    </row>
    <row r="16" spans="1:10">
      <c r="A16" s="806"/>
      <c r="B16" s="811"/>
      <c r="C16" s="812" t="s">
        <v>25</v>
      </c>
      <c r="D16" s="815">
        <v>10</v>
      </c>
      <c r="E16" s="782"/>
      <c r="F16" s="785"/>
      <c r="G16" s="808" t="s">
        <v>26</v>
      </c>
      <c r="H16" s="814">
        <f>IF(Values_Entered,Number_of_Payments,"")</f>
        <v>120</v>
      </c>
      <c r="I16" s="782"/>
      <c r="J16" s="784"/>
    </row>
    <row r="17" spans="1:90">
      <c r="A17" s="806"/>
      <c r="B17" s="811"/>
      <c r="C17" s="812" t="s">
        <v>27</v>
      </c>
      <c r="D17" s="815">
        <v>12</v>
      </c>
      <c r="E17" s="782"/>
      <c r="F17" s="816"/>
      <c r="G17" s="817" t="s">
        <v>28</v>
      </c>
      <c r="H17" s="818">
        <v>0</v>
      </c>
      <c r="I17" s="819"/>
      <c r="J17" s="784"/>
    </row>
    <row r="18" spans="1:90">
      <c r="A18" s="806"/>
      <c r="B18" s="811"/>
      <c r="C18" s="812" t="s">
        <v>29</v>
      </c>
      <c r="D18" s="821">
        <v>45005</v>
      </c>
      <c r="E18" s="782"/>
      <c r="F18" s="816"/>
      <c r="G18" s="817" t="s">
        <v>30</v>
      </c>
      <c r="H18" s="822">
        <f>IF(Values_Entered,SUMIF(Beg_Bal,"&gt;0",Int),"")</f>
        <v>1269925.6822278819</v>
      </c>
      <c r="I18" s="819"/>
      <c r="J18" s="784"/>
      <c r="M18" s="787" t="s">
        <v>31</v>
      </c>
    </row>
    <row r="19" spans="1:90">
      <c r="A19" s="806"/>
      <c r="B19" s="823"/>
      <c r="C19" s="824" t="s">
        <v>32</v>
      </c>
      <c r="D19" s="825"/>
      <c r="E19" s="782"/>
      <c r="F19" s="816"/>
      <c r="G19" s="816"/>
      <c r="H19" s="816"/>
      <c r="I19" s="819"/>
      <c r="J19" s="784"/>
      <c r="M19" s="787" t="s">
        <v>33</v>
      </c>
    </row>
    <row r="20" spans="1:90">
      <c r="A20" s="785"/>
      <c r="B20" s="785"/>
      <c r="C20" s="785"/>
      <c r="D20" s="785"/>
      <c r="E20" s="785"/>
      <c r="F20" s="785"/>
      <c r="G20" s="785"/>
      <c r="H20" s="785"/>
      <c r="I20" s="785"/>
      <c r="J20" s="784"/>
    </row>
    <row r="21" spans="1:90" ht="19.7" customHeight="1" thickBot="1">
      <c r="A21" s="826"/>
      <c r="B21" s="794"/>
      <c r="C21" s="827"/>
      <c r="D21" s="828"/>
      <c r="E21" s="785"/>
      <c r="F21" s="794"/>
      <c r="G21" s="794"/>
      <c r="H21" s="794"/>
      <c r="I21" s="794"/>
      <c r="J21" s="829"/>
      <c r="L21" s="830" t="s">
        <v>34</v>
      </c>
      <c r="M21" s="831">
        <f>INDEX($B$25:$B$135,COLUMN(A1),1)</f>
        <v>45005</v>
      </c>
      <c r="N21" s="831">
        <f t="shared" ref="N21:BT21" si="0">INDEX($B$25:$B$135,COLUMN(B1),1)</f>
        <v>45036</v>
      </c>
      <c r="O21" s="831">
        <f t="shared" si="0"/>
        <v>45066</v>
      </c>
      <c r="P21" s="831">
        <f t="shared" si="0"/>
        <v>45097</v>
      </c>
      <c r="Q21" s="831">
        <f t="shared" si="0"/>
        <v>45127</v>
      </c>
      <c r="R21" s="831">
        <f t="shared" si="0"/>
        <v>45158</v>
      </c>
      <c r="S21" s="831">
        <f t="shared" si="0"/>
        <v>45189</v>
      </c>
      <c r="T21" s="831">
        <f t="shared" si="0"/>
        <v>45219</v>
      </c>
      <c r="U21" s="831">
        <f t="shared" si="0"/>
        <v>45250</v>
      </c>
      <c r="V21" s="831">
        <f t="shared" si="0"/>
        <v>45280</v>
      </c>
      <c r="W21" s="831">
        <f t="shared" si="0"/>
        <v>45311</v>
      </c>
      <c r="X21" s="831">
        <f t="shared" si="0"/>
        <v>45342</v>
      </c>
      <c r="Y21" s="831">
        <f t="shared" si="0"/>
        <v>45371</v>
      </c>
      <c r="Z21" s="831">
        <f t="shared" si="0"/>
        <v>45402</v>
      </c>
      <c r="AA21" s="831">
        <f t="shared" si="0"/>
        <v>45432</v>
      </c>
      <c r="AB21" s="831">
        <f t="shared" si="0"/>
        <v>45463</v>
      </c>
      <c r="AC21" s="831">
        <f t="shared" si="0"/>
        <v>45493</v>
      </c>
      <c r="AD21" s="831">
        <f t="shared" si="0"/>
        <v>45524</v>
      </c>
      <c r="AE21" s="831">
        <f t="shared" si="0"/>
        <v>45555</v>
      </c>
      <c r="AF21" s="831">
        <f t="shared" si="0"/>
        <v>45585</v>
      </c>
      <c r="AG21" s="831">
        <f t="shared" si="0"/>
        <v>45616</v>
      </c>
      <c r="AH21" s="831">
        <f t="shared" si="0"/>
        <v>45646</v>
      </c>
      <c r="AI21" s="831">
        <f t="shared" si="0"/>
        <v>45677</v>
      </c>
      <c r="AJ21" s="831">
        <f t="shared" si="0"/>
        <v>45708</v>
      </c>
      <c r="AK21" s="831">
        <f t="shared" si="0"/>
        <v>45736</v>
      </c>
      <c r="AL21" s="831">
        <f t="shared" si="0"/>
        <v>45767</v>
      </c>
      <c r="AM21" s="831">
        <f t="shared" si="0"/>
        <v>45797</v>
      </c>
      <c r="AN21" s="831">
        <f t="shared" si="0"/>
        <v>45828</v>
      </c>
      <c r="AO21" s="831">
        <f t="shared" si="0"/>
        <v>45858</v>
      </c>
      <c r="AP21" s="831">
        <f t="shared" si="0"/>
        <v>45889</v>
      </c>
      <c r="AQ21" s="831">
        <f t="shared" si="0"/>
        <v>45920</v>
      </c>
      <c r="AR21" s="831">
        <f t="shared" si="0"/>
        <v>45950</v>
      </c>
      <c r="AS21" s="831">
        <f t="shared" si="0"/>
        <v>45981</v>
      </c>
      <c r="AT21" s="831">
        <f t="shared" si="0"/>
        <v>46011</v>
      </c>
      <c r="AU21" s="831">
        <f t="shared" si="0"/>
        <v>46042</v>
      </c>
      <c r="AV21" s="831">
        <f t="shared" si="0"/>
        <v>46073</v>
      </c>
      <c r="AW21" s="831">
        <f t="shared" si="0"/>
        <v>46101</v>
      </c>
      <c r="AX21" s="831">
        <f t="shared" si="0"/>
        <v>46132</v>
      </c>
      <c r="AY21" s="831">
        <f t="shared" si="0"/>
        <v>46162</v>
      </c>
      <c r="AZ21" s="831">
        <f t="shared" si="0"/>
        <v>46193</v>
      </c>
      <c r="BA21" s="831">
        <f t="shared" si="0"/>
        <v>46223</v>
      </c>
      <c r="BB21" s="831">
        <f t="shared" si="0"/>
        <v>46254</v>
      </c>
      <c r="BC21" s="831">
        <f t="shared" si="0"/>
        <v>46285</v>
      </c>
      <c r="BD21" s="831">
        <f t="shared" si="0"/>
        <v>46315</v>
      </c>
      <c r="BE21" s="831">
        <f t="shared" si="0"/>
        <v>46346</v>
      </c>
      <c r="BF21" s="831">
        <f t="shared" si="0"/>
        <v>46376</v>
      </c>
      <c r="BG21" s="831">
        <f t="shared" si="0"/>
        <v>46407</v>
      </c>
      <c r="BH21" s="831">
        <f t="shared" si="0"/>
        <v>46438</v>
      </c>
      <c r="BI21" s="831">
        <f t="shared" si="0"/>
        <v>46466</v>
      </c>
      <c r="BJ21" s="831">
        <f t="shared" si="0"/>
        <v>46497</v>
      </c>
      <c r="BK21" s="831">
        <f t="shared" si="0"/>
        <v>46527</v>
      </c>
      <c r="BL21" s="831">
        <f t="shared" si="0"/>
        <v>46558</v>
      </c>
      <c r="BM21" s="831">
        <f t="shared" si="0"/>
        <v>46588</v>
      </c>
      <c r="BN21" s="831">
        <f t="shared" si="0"/>
        <v>46619</v>
      </c>
      <c r="BO21" s="831">
        <f t="shared" si="0"/>
        <v>46650</v>
      </c>
      <c r="BP21" s="831">
        <f t="shared" si="0"/>
        <v>46680</v>
      </c>
      <c r="BQ21" s="831">
        <f t="shared" si="0"/>
        <v>46711</v>
      </c>
      <c r="BR21" s="831">
        <f t="shared" si="0"/>
        <v>46741</v>
      </c>
      <c r="BS21" s="831">
        <f t="shared" si="0"/>
        <v>46772</v>
      </c>
      <c r="BT21" s="831">
        <f t="shared" si="0"/>
        <v>46803</v>
      </c>
      <c r="BW21" s="832" t="s">
        <v>35</v>
      </c>
      <c r="BX21" s="832" t="s">
        <v>36</v>
      </c>
      <c r="BY21" s="832" t="s">
        <v>37</v>
      </c>
      <c r="BZ21" s="832" t="s">
        <v>38</v>
      </c>
    </row>
    <row r="22" spans="1:90" ht="3" customHeight="1">
      <c r="A22" s="785"/>
      <c r="B22" s="785"/>
      <c r="C22" s="785"/>
      <c r="D22" s="833"/>
      <c r="E22" s="833"/>
      <c r="F22" s="785"/>
      <c r="G22" s="785"/>
      <c r="H22" s="785"/>
      <c r="I22" s="785"/>
      <c r="J22" s="784"/>
    </row>
    <row r="23" spans="1:90" s="838" customFormat="1" ht="31.5" customHeight="1">
      <c r="A23" s="834" t="s">
        <v>39</v>
      </c>
      <c r="B23" s="834" t="s">
        <v>40</v>
      </c>
      <c r="C23" s="834" t="s">
        <v>41</v>
      </c>
      <c r="D23" s="834" t="s">
        <v>22</v>
      </c>
      <c r="E23" s="834" t="s">
        <v>42</v>
      </c>
      <c r="F23" s="834" t="s">
        <v>43</v>
      </c>
      <c r="G23" s="834" t="s">
        <v>44</v>
      </c>
      <c r="H23" s="834" t="s">
        <v>45</v>
      </c>
      <c r="I23" s="834" t="s">
        <v>46</v>
      </c>
      <c r="J23" s="834" t="s">
        <v>47</v>
      </c>
      <c r="K23" s="835"/>
      <c r="L23" s="836" t="s">
        <v>48</v>
      </c>
      <c r="M23" s="837">
        <v>1</v>
      </c>
      <c r="N23" s="837">
        <f>M23+1</f>
        <v>2</v>
      </c>
      <c r="O23" s="837">
        <f t="shared" ref="O23:BS23" si="1">N23+1</f>
        <v>3</v>
      </c>
      <c r="P23" s="837">
        <f t="shared" si="1"/>
        <v>4</v>
      </c>
      <c r="Q23" s="837">
        <f t="shared" si="1"/>
        <v>5</v>
      </c>
      <c r="R23" s="837">
        <f t="shared" si="1"/>
        <v>6</v>
      </c>
      <c r="S23" s="837">
        <f t="shared" si="1"/>
        <v>7</v>
      </c>
      <c r="T23" s="837">
        <f t="shared" si="1"/>
        <v>8</v>
      </c>
      <c r="U23" s="837">
        <f t="shared" si="1"/>
        <v>9</v>
      </c>
      <c r="V23" s="837">
        <f t="shared" si="1"/>
        <v>10</v>
      </c>
      <c r="W23" s="837">
        <f t="shared" si="1"/>
        <v>11</v>
      </c>
      <c r="X23" s="837">
        <f t="shared" si="1"/>
        <v>12</v>
      </c>
      <c r="Y23" s="837">
        <f t="shared" si="1"/>
        <v>13</v>
      </c>
      <c r="Z23" s="837">
        <f t="shared" si="1"/>
        <v>14</v>
      </c>
      <c r="AA23" s="837">
        <f t="shared" si="1"/>
        <v>15</v>
      </c>
      <c r="AB23" s="837">
        <f t="shared" si="1"/>
        <v>16</v>
      </c>
      <c r="AC23" s="837">
        <f t="shared" si="1"/>
        <v>17</v>
      </c>
      <c r="AD23" s="837">
        <f t="shared" si="1"/>
        <v>18</v>
      </c>
      <c r="AE23" s="837">
        <f t="shared" si="1"/>
        <v>19</v>
      </c>
      <c r="AF23" s="837">
        <f t="shared" si="1"/>
        <v>20</v>
      </c>
      <c r="AG23" s="837">
        <f t="shared" si="1"/>
        <v>21</v>
      </c>
      <c r="AH23" s="837">
        <f t="shared" si="1"/>
        <v>22</v>
      </c>
      <c r="AI23" s="837">
        <f t="shared" si="1"/>
        <v>23</v>
      </c>
      <c r="AJ23" s="837">
        <f t="shared" si="1"/>
        <v>24</v>
      </c>
      <c r="AK23" s="837">
        <f t="shared" si="1"/>
        <v>25</v>
      </c>
      <c r="AL23" s="837">
        <f t="shared" si="1"/>
        <v>26</v>
      </c>
      <c r="AM23" s="837">
        <f t="shared" si="1"/>
        <v>27</v>
      </c>
      <c r="AN23" s="837">
        <f t="shared" si="1"/>
        <v>28</v>
      </c>
      <c r="AO23" s="837">
        <f t="shared" si="1"/>
        <v>29</v>
      </c>
      <c r="AP23" s="837">
        <f t="shared" si="1"/>
        <v>30</v>
      </c>
      <c r="AQ23" s="837">
        <f t="shared" si="1"/>
        <v>31</v>
      </c>
      <c r="AR23" s="837">
        <f t="shared" si="1"/>
        <v>32</v>
      </c>
      <c r="AS23" s="837">
        <f t="shared" si="1"/>
        <v>33</v>
      </c>
      <c r="AT23" s="837">
        <f t="shared" si="1"/>
        <v>34</v>
      </c>
      <c r="AU23" s="837">
        <f t="shared" si="1"/>
        <v>35</v>
      </c>
      <c r="AV23" s="837">
        <f t="shared" si="1"/>
        <v>36</v>
      </c>
      <c r="AW23" s="837">
        <f t="shared" si="1"/>
        <v>37</v>
      </c>
      <c r="AX23" s="837">
        <f t="shared" si="1"/>
        <v>38</v>
      </c>
      <c r="AY23" s="837">
        <f t="shared" si="1"/>
        <v>39</v>
      </c>
      <c r="AZ23" s="837">
        <f t="shared" si="1"/>
        <v>40</v>
      </c>
      <c r="BA23" s="837">
        <f t="shared" si="1"/>
        <v>41</v>
      </c>
      <c r="BB23" s="837">
        <f t="shared" si="1"/>
        <v>42</v>
      </c>
      <c r="BC23" s="837">
        <f t="shared" si="1"/>
        <v>43</v>
      </c>
      <c r="BD23" s="837">
        <f t="shared" si="1"/>
        <v>44</v>
      </c>
      <c r="BE23" s="837">
        <f t="shared" si="1"/>
        <v>45</v>
      </c>
      <c r="BF23" s="837">
        <f t="shared" si="1"/>
        <v>46</v>
      </c>
      <c r="BG23" s="837">
        <f t="shared" si="1"/>
        <v>47</v>
      </c>
      <c r="BH23" s="837">
        <f t="shared" si="1"/>
        <v>48</v>
      </c>
      <c r="BI23" s="837">
        <f t="shared" si="1"/>
        <v>49</v>
      </c>
      <c r="BJ23" s="837">
        <f t="shared" si="1"/>
        <v>50</v>
      </c>
      <c r="BK23" s="837">
        <f t="shared" si="1"/>
        <v>51</v>
      </c>
      <c r="BL23" s="837">
        <f t="shared" si="1"/>
        <v>52</v>
      </c>
      <c r="BM23" s="837">
        <f t="shared" si="1"/>
        <v>53</v>
      </c>
      <c r="BN23" s="837">
        <f t="shared" si="1"/>
        <v>54</v>
      </c>
      <c r="BO23" s="837">
        <f t="shared" si="1"/>
        <v>55</v>
      </c>
      <c r="BP23" s="837">
        <f t="shared" si="1"/>
        <v>56</v>
      </c>
      <c r="BQ23" s="837">
        <f>BP23+1</f>
        <v>57</v>
      </c>
      <c r="BR23" s="837">
        <f t="shared" si="1"/>
        <v>58</v>
      </c>
      <c r="BS23" s="837">
        <f t="shared" si="1"/>
        <v>59</v>
      </c>
      <c r="BT23" s="837">
        <f>BS23+1</f>
        <v>60</v>
      </c>
      <c r="BW23" s="832"/>
      <c r="BX23" s="832"/>
      <c r="BY23" s="832"/>
      <c r="BZ23" s="832">
        <f>Loan_Amount</f>
        <v>2614278.5890727686</v>
      </c>
      <c r="CA23" s="839">
        <f>PMT(16%/12,60,BZ23)</f>
        <v>-63574.176047146349</v>
      </c>
    </row>
    <row r="24" spans="1:90" s="844" customFormat="1" ht="3" customHeight="1">
      <c r="A24" s="796"/>
      <c r="B24" s="840"/>
      <c r="C24" s="840"/>
      <c r="D24" s="840"/>
      <c r="E24" s="840"/>
      <c r="F24" s="841"/>
      <c r="G24" s="840"/>
      <c r="H24" s="840"/>
      <c r="I24" s="842"/>
      <c r="J24" s="842"/>
      <c r="K24" s="843"/>
      <c r="BX24" s="845"/>
      <c r="BY24" s="845"/>
      <c r="BZ24" s="845"/>
    </row>
    <row r="25" spans="1:90" s="844" customFormat="1">
      <c r="A25" s="812">
        <f>IF(Values_Entered,1,"")</f>
        <v>1</v>
      </c>
      <c r="B25" s="846">
        <f>Loan_Start</f>
        <v>45005</v>
      </c>
      <c r="C25" s="847">
        <f>IF(Values_Entered,Loan_Amount,"")</f>
        <v>2614278.5890727686</v>
      </c>
      <c r="D25" s="847">
        <f>IF(Pay_Num&lt;&gt;"",Scheduled_Monthly_Payment,"")</f>
        <v>32413.313177607219</v>
      </c>
      <c r="E25" s="848"/>
      <c r="F25" s="849">
        <f>IF(AND(Pay_Num&lt;&gt;"",Sched_Pay+Extra_Pay&lt;Beg_Bal),Sched_Pay+Extra_Pay,IF(Pay_Num&lt;&gt;"",Beg_Bal,""))</f>
        <v>32413.313177607219</v>
      </c>
      <c r="G25" s="847">
        <f>IF(Pay_Num&lt;&gt;"",Total_Pay-Int,"")</f>
        <v>13895.506505008441</v>
      </c>
      <c r="H25" s="882">
        <f>IF(Pay_Num&lt;&gt;"",Beg_Bal*(Interest_Rate/Num_Pmt_Per_Year),"")</f>
        <v>18517.806672598777</v>
      </c>
      <c r="I25" s="847">
        <f>IF(AND(Pay_Num&lt;&gt;"",Sched_Pay+Extra_Pay&lt;Beg_Bal),Beg_Bal-Princ,IF(Pay_Num&lt;&gt;"",0,""))</f>
        <v>2600383.0825677603</v>
      </c>
      <c r="J25" s="850" t="str">
        <f>'[3]B11-L8'!J32</f>
        <v>PAID</v>
      </c>
      <c r="K25" s="843"/>
      <c r="L25" s="851" t="str">
        <f>G23</f>
        <v>Principal</v>
      </c>
      <c r="M25" s="852">
        <f>INDEX($G$25:$H$288,COLUMN(A1),1)</f>
        <v>13895.506505008441</v>
      </c>
      <c r="N25" s="852">
        <f t="shared" ref="N25:BT25" si="2">INDEX($G$25:$H$288,COLUMN(B1),1)</f>
        <v>13993.933009418917</v>
      </c>
      <c r="O25" s="852">
        <f t="shared" si="2"/>
        <v>14093.056701568967</v>
      </c>
      <c r="P25" s="852">
        <f t="shared" si="2"/>
        <v>14192.88251987175</v>
      </c>
      <c r="Q25" s="852">
        <f t="shared" si="2"/>
        <v>14293.41543772084</v>
      </c>
      <c r="R25" s="852">
        <f t="shared" si="2"/>
        <v>14394.66046373803</v>
      </c>
      <c r="S25" s="852">
        <f t="shared" si="2"/>
        <v>14496.622642022841</v>
      </c>
      <c r="T25" s="852">
        <f t="shared" si="2"/>
        <v>14599.307052403838</v>
      </c>
      <c r="U25" s="852">
        <f t="shared" si="2"/>
        <v>14702.718810691698</v>
      </c>
      <c r="V25" s="852">
        <f t="shared" si="2"/>
        <v>14806.863068934097</v>
      </c>
      <c r="W25" s="852">
        <f t="shared" si="2"/>
        <v>14911.745015672379</v>
      </c>
      <c r="X25" s="852">
        <f t="shared" si="2"/>
        <v>15017.369876200057</v>
      </c>
      <c r="Y25" s="852">
        <f t="shared" si="2"/>
        <v>15123.742912823142</v>
      </c>
      <c r="Z25" s="852">
        <f t="shared" si="2"/>
        <v>15230.869425122306</v>
      </c>
      <c r="AA25" s="852">
        <f t="shared" si="2"/>
        <v>15338.754750216922</v>
      </c>
      <c r="AB25" s="852">
        <f t="shared" si="2"/>
        <v>15447.404263030956</v>
      </c>
      <c r="AC25" s="852">
        <f t="shared" si="2"/>
        <v>15556.823376560758</v>
      </c>
      <c r="AD25" s="852">
        <f t="shared" si="2"/>
        <v>15667.017542144727</v>
      </c>
      <c r="AE25" s="852">
        <f t="shared" si="2"/>
        <v>15777.992249734922</v>
      </c>
      <c r="AF25" s="852">
        <f t="shared" si="2"/>
        <v>15889.75302817054</v>
      </c>
      <c r="AG25" s="852">
        <f t="shared" si="2"/>
        <v>16002.305445453418</v>
      </c>
      <c r="AH25" s="852">
        <f t="shared" si="2"/>
        <v>16115.65510902538</v>
      </c>
      <c r="AI25" s="852">
        <f t="shared" si="2"/>
        <v>16229.807666047644</v>
      </c>
      <c r="AJ25" s="852">
        <f t="shared" si="2"/>
        <v>16344.768803682147</v>
      </c>
      <c r="AK25" s="852">
        <f t="shared" si="2"/>
        <v>16460.5442493749</v>
      </c>
      <c r="AL25" s="852">
        <f t="shared" si="2"/>
        <v>16577.139771141301</v>
      </c>
      <c r="AM25" s="852">
        <f t="shared" si="2"/>
        <v>16694.561177853553</v>
      </c>
      <c r="AN25" s="852">
        <f t="shared" si="2"/>
        <v>16812.814319530014</v>
      </c>
      <c r="AO25" s="852">
        <f t="shared" si="2"/>
        <v>16931.905087626685</v>
      </c>
      <c r="AP25" s="852">
        <f t="shared" si="2"/>
        <v>17051.839415330709</v>
      </c>
      <c r="AQ25" s="852">
        <f t="shared" si="2"/>
        <v>17172.623277855964</v>
      </c>
      <c r="AR25" s="852">
        <f t="shared" si="2"/>
        <v>17294.262692740776</v>
      </c>
      <c r="AS25" s="852">
        <f t="shared" si="2"/>
        <v>17416.76372014769</v>
      </c>
      <c r="AT25" s="852">
        <f t="shared" si="2"/>
        <v>17540.132463165406</v>
      </c>
      <c r="AU25" s="852">
        <f t="shared" si="2"/>
        <v>17664.375068112829</v>
      </c>
      <c r="AV25" s="852">
        <f t="shared" si="2"/>
        <v>17789.497724845292</v>
      </c>
      <c r="AW25" s="852">
        <f t="shared" si="2"/>
        <v>17915.506667062946</v>
      </c>
      <c r="AX25" s="852">
        <f t="shared" si="2"/>
        <v>18042.408172621312</v>
      </c>
      <c r="AY25" s="852">
        <f t="shared" si="2"/>
        <v>18170.20856384404</v>
      </c>
      <c r="AZ25" s="852">
        <f t="shared" si="2"/>
        <v>18298.914207837937</v>
      </c>
      <c r="BA25" s="852">
        <f t="shared" si="2"/>
        <v>18428.531516810122</v>
      </c>
      <c r="BB25" s="852">
        <f t="shared" si="2"/>
        <v>18559.066948387532</v>
      </c>
      <c r="BC25" s="852">
        <f t="shared" si="2"/>
        <v>18690.527005938609</v>
      </c>
      <c r="BD25" s="852">
        <f t="shared" si="2"/>
        <v>18822.918238897342</v>
      </c>
      <c r="BE25" s="852">
        <f t="shared" si="2"/>
        <v>18956.247243089529</v>
      </c>
      <c r="BF25" s="852">
        <f t="shared" si="2"/>
        <v>19090.520661061411</v>
      </c>
      <c r="BG25" s="852">
        <f t="shared" si="2"/>
        <v>19225.745182410596</v>
      </c>
      <c r="BH25" s="852">
        <f t="shared" si="2"/>
        <v>19361.927544119339</v>
      </c>
      <c r="BI25" s="852">
        <f t="shared" si="2"/>
        <v>19499.074530890182</v>
      </c>
      <c r="BJ25" s="852">
        <f t="shared" si="2"/>
        <v>19637.192975483995</v>
      </c>
      <c r="BK25" s="852">
        <f t="shared" si="2"/>
        <v>19776.289759060339</v>
      </c>
      <c r="BL25" s="852">
        <f t="shared" si="2"/>
        <v>19916.371811520345</v>
      </c>
      <c r="BM25" s="852">
        <f t="shared" si="2"/>
        <v>20057.446111851947</v>
      </c>
      <c r="BN25" s="852">
        <f t="shared" si="2"/>
        <v>20199.519688477565</v>
      </c>
      <c r="BO25" s="852">
        <f t="shared" si="2"/>
        <v>20342.599619604283</v>
      </c>
      <c r="BP25" s="852">
        <f t="shared" si="2"/>
        <v>20486.693033576477</v>
      </c>
      <c r="BQ25" s="852">
        <f t="shared" si="2"/>
        <v>20631.807109230976</v>
      </c>
      <c r="BR25" s="852">
        <f t="shared" si="2"/>
        <v>20777.949076254699</v>
      </c>
      <c r="BS25" s="852">
        <f t="shared" si="2"/>
        <v>20925.126215544835</v>
      </c>
      <c r="BT25" s="852">
        <f t="shared" si="2"/>
        <v>21073.345859571607</v>
      </c>
      <c r="BW25" s="853">
        <v>34058</v>
      </c>
      <c r="BX25" s="854">
        <f>BW25-BY25</f>
        <v>-799.04785430357879</v>
      </c>
      <c r="BY25" s="853">
        <f>BZ23*16%/12</f>
        <v>34857.047854303579</v>
      </c>
      <c r="BZ25" s="854">
        <f>BZ23-BX25</f>
        <v>2615077.636927072</v>
      </c>
    </row>
    <row r="26" spans="1:90" s="844" customFormat="1">
      <c r="A26" s="812">
        <f>IF(Values_Entered,A25+1,"")</f>
        <v>2</v>
      </c>
      <c r="B26" s="846">
        <f>Loan_Start+31</f>
        <v>45036</v>
      </c>
      <c r="C26" s="855">
        <f>IF(Pay_Num&lt;&gt;"",I25,"")</f>
        <v>2600383.0825677603</v>
      </c>
      <c r="D26" s="855">
        <f>IF(Pay_Num&lt;&gt;"",Scheduled_Monthly_Payment,"")</f>
        <v>32413.313177607219</v>
      </c>
      <c r="E26" s="856"/>
      <c r="F26" s="857">
        <f t="shared" ref="F26:F88" si="3">IF(AND(Pay_Num&lt;&gt;"",Sched_Pay+Extra_Pay&lt;Beg_Bal),Sched_Pay+Extra_Pay,IF(Pay_Num&lt;&gt;"",Beg_Bal,""))</f>
        <v>32413.313177607219</v>
      </c>
      <c r="G26" s="855">
        <f t="shared" ref="G26:G89" si="4">IF(Pay_Num&lt;&gt;"",Total_Pay-Int,"")</f>
        <v>13993.933009418917</v>
      </c>
      <c r="H26" s="883">
        <f t="shared" ref="H26:H89" si="5">IF(Pay_Num&lt;&gt;"",Beg_Bal*Interest_Rate/Num_Pmt_Per_Year,"")</f>
        <v>18419.380168188301</v>
      </c>
      <c r="I26" s="855">
        <f t="shared" ref="I26:I89" si="6">IF(AND(Pay_Num&lt;&gt;"",Sched_Pay+Extra_Pay&lt;Beg_Bal),Beg_Bal-Princ,IF(Pay_Num&lt;&gt;"",0,""))</f>
        <v>2586389.1495583411</v>
      </c>
      <c r="J26" s="850" t="str">
        <f>'[3]B11-L8'!J33</f>
        <v>PAID</v>
      </c>
      <c r="K26" s="843"/>
      <c r="L26" s="858" t="str">
        <f>H23</f>
        <v>Interest</v>
      </c>
      <c r="M26" s="859">
        <f>INDEX($H$25:$H$164,COLUMN(A2),1)</f>
        <v>18517.806672598777</v>
      </c>
      <c r="N26" s="859">
        <f t="shared" ref="N26:BT26" si="7">INDEX($H$25:$H$164,COLUMN(B2),1)</f>
        <v>18419.380168188301</v>
      </c>
      <c r="O26" s="859">
        <f t="shared" si="7"/>
        <v>18320.256476038252</v>
      </c>
      <c r="P26" s="859">
        <f t="shared" si="7"/>
        <v>18220.430657735469</v>
      </c>
      <c r="Q26" s="859">
        <f t="shared" si="7"/>
        <v>18119.897739886379</v>
      </c>
      <c r="R26" s="859">
        <f t="shared" si="7"/>
        <v>18018.652713869189</v>
      </c>
      <c r="S26" s="859">
        <f t="shared" si="7"/>
        <v>17916.690535584377</v>
      </c>
      <c r="T26" s="859">
        <f t="shared" si="7"/>
        <v>17814.006125203381</v>
      </c>
      <c r="U26" s="859">
        <f t="shared" si="7"/>
        <v>17710.59436691552</v>
      </c>
      <c r="V26" s="859">
        <f t="shared" si="7"/>
        <v>17606.450108673122</v>
      </c>
      <c r="W26" s="859">
        <f t="shared" si="7"/>
        <v>17501.56816193484</v>
      </c>
      <c r="X26" s="859">
        <f t="shared" si="7"/>
        <v>17395.943301407162</v>
      </c>
      <c r="Y26" s="860">
        <f t="shared" si="7"/>
        <v>17289.570264784077</v>
      </c>
      <c r="Z26" s="860">
        <f t="shared" si="7"/>
        <v>17182.443752484913</v>
      </c>
      <c r="AA26" s="860">
        <f t="shared" si="7"/>
        <v>17074.558427390297</v>
      </c>
      <c r="AB26" s="860">
        <f t="shared" si="7"/>
        <v>16965.908914576263</v>
      </c>
      <c r="AC26" s="860">
        <f t="shared" si="7"/>
        <v>16856.48980104646</v>
      </c>
      <c r="AD26" s="860">
        <f t="shared" si="7"/>
        <v>16746.295635462491</v>
      </c>
      <c r="AE26" s="860">
        <f t="shared" si="7"/>
        <v>16635.320927872297</v>
      </c>
      <c r="AF26" s="860">
        <f t="shared" si="7"/>
        <v>16523.560149436678</v>
      </c>
      <c r="AG26" s="860">
        <f t="shared" si="7"/>
        <v>16411.007732153801</v>
      </c>
      <c r="AH26" s="860">
        <f t="shared" si="7"/>
        <v>16297.658068581839</v>
      </c>
      <c r="AI26" s="860">
        <f t="shared" si="7"/>
        <v>16183.505511559575</v>
      </c>
      <c r="AJ26" s="860">
        <f t="shared" si="7"/>
        <v>16068.544373925071</v>
      </c>
      <c r="AK26" s="860">
        <f t="shared" si="7"/>
        <v>15952.768928232321</v>
      </c>
      <c r="AL26" s="860">
        <f t="shared" si="7"/>
        <v>15836.173406465918</v>
      </c>
      <c r="AM26" s="860">
        <f t="shared" si="7"/>
        <v>15718.751999753667</v>
      </c>
      <c r="AN26" s="860">
        <f t="shared" si="7"/>
        <v>15600.498858077204</v>
      </c>
      <c r="AO26" s="860">
        <f t="shared" si="7"/>
        <v>15481.408089980534</v>
      </c>
      <c r="AP26" s="860">
        <f t="shared" si="7"/>
        <v>15361.473762276511</v>
      </c>
      <c r="AQ26" s="860">
        <f t="shared" si="7"/>
        <v>15240.689899751253</v>
      </c>
      <c r="AR26" s="860">
        <f t="shared" si="7"/>
        <v>15119.05048486644</v>
      </c>
      <c r="AS26" s="860">
        <f t="shared" si="7"/>
        <v>14996.549457459527</v>
      </c>
      <c r="AT26" s="860">
        <f t="shared" si="7"/>
        <v>14873.180714441813</v>
      </c>
      <c r="AU26" s="860">
        <f t="shared" si="7"/>
        <v>14748.938109494391</v>
      </c>
      <c r="AV26" s="860">
        <f t="shared" si="7"/>
        <v>14623.815452761926</v>
      </c>
      <c r="AW26" s="860">
        <f t="shared" si="7"/>
        <v>14497.806510544273</v>
      </c>
      <c r="AX26" s="860">
        <f t="shared" si="7"/>
        <v>14370.905004985909</v>
      </c>
      <c r="AY26" s="860">
        <f t="shared" si="7"/>
        <v>14243.104613763177</v>
      </c>
      <c r="AZ26" s="860">
        <f t="shared" si="7"/>
        <v>14114.39896976928</v>
      </c>
      <c r="BA26" s="860">
        <f t="shared" si="7"/>
        <v>13984.781660797094</v>
      </c>
      <c r="BB26" s="860">
        <f t="shared" si="7"/>
        <v>13854.246229219689</v>
      </c>
      <c r="BC26" s="860">
        <f t="shared" si="7"/>
        <v>13722.786171668609</v>
      </c>
      <c r="BD26" s="860">
        <f t="shared" si="7"/>
        <v>13590.394938709878</v>
      </c>
      <c r="BE26" s="860">
        <f t="shared" si="7"/>
        <v>13457.06593451769</v>
      </c>
      <c r="BF26" s="860">
        <f t="shared" si="7"/>
        <v>13322.792516545805</v>
      </c>
      <c r="BG26" s="860">
        <f t="shared" si="7"/>
        <v>13187.567995196621</v>
      </c>
      <c r="BH26" s="860">
        <f t="shared" si="7"/>
        <v>13051.385633487878</v>
      </c>
      <c r="BI26" s="860">
        <f t="shared" si="7"/>
        <v>12914.238646717034</v>
      </c>
      <c r="BJ26" s="860">
        <f t="shared" si="7"/>
        <v>12776.120202123226</v>
      </c>
      <c r="BK26" s="860">
        <f t="shared" si="7"/>
        <v>12637.023418546882</v>
      </c>
      <c r="BL26" s="860">
        <f t="shared" si="7"/>
        <v>12496.941366086872</v>
      </c>
      <c r="BM26" s="860">
        <f t="shared" si="7"/>
        <v>12355.86706575527</v>
      </c>
      <c r="BN26" s="860">
        <f t="shared" si="7"/>
        <v>12213.793489129652</v>
      </c>
      <c r="BO26" s="860">
        <f t="shared" si="7"/>
        <v>12070.713558002935</v>
      </c>
      <c r="BP26" s="860">
        <f t="shared" si="7"/>
        <v>11926.62014403074</v>
      </c>
      <c r="BQ26" s="860">
        <f t="shared" si="7"/>
        <v>11781.50606837624</v>
      </c>
      <c r="BR26" s="860">
        <f t="shared" si="7"/>
        <v>11635.364101352519</v>
      </c>
      <c r="BS26" s="860">
        <f t="shared" si="7"/>
        <v>11488.186962062384</v>
      </c>
      <c r="BT26" s="860">
        <f t="shared" si="7"/>
        <v>11339.967318035609</v>
      </c>
      <c r="BW26" s="853">
        <v>34058</v>
      </c>
      <c r="BX26" s="854">
        <f>BW26-BY26</f>
        <v>-809.70182569429016</v>
      </c>
      <c r="BY26" s="853">
        <f>BZ25*16%/12</f>
        <v>34867.70182569429</v>
      </c>
      <c r="BZ26" s="854">
        <f>BZ25-BX26</f>
        <v>2615887.3387527661</v>
      </c>
    </row>
    <row r="27" spans="1:90" s="844" customFormat="1" ht="13.5" thickBot="1">
      <c r="A27" s="812">
        <f>IF(Values_Entered,A26+1,"")</f>
        <v>3</v>
      </c>
      <c r="B27" s="846">
        <f>B26+30</f>
        <v>45066</v>
      </c>
      <c r="C27" s="855">
        <f t="shared" ref="C27:C86" si="8">IF(Pay_Num&lt;&gt;"",I26,"")</f>
        <v>2586389.1495583411</v>
      </c>
      <c r="D27" s="855">
        <f t="shared" ref="D27:D90" si="9">IF(Pay_Num&lt;&gt;"",Scheduled_Monthly_Payment,"")</f>
        <v>32413.313177607219</v>
      </c>
      <c r="E27" s="856"/>
      <c r="F27" s="857">
        <f t="shared" si="3"/>
        <v>32413.313177607219</v>
      </c>
      <c r="G27" s="855">
        <f t="shared" si="4"/>
        <v>14093.056701568967</v>
      </c>
      <c r="H27" s="883">
        <f t="shared" si="5"/>
        <v>18320.256476038252</v>
      </c>
      <c r="I27" s="861">
        <f t="shared" si="6"/>
        <v>2572296.0928567722</v>
      </c>
      <c r="J27" s="850" t="str">
        <f>'[3]B11-L8'!J34</f>
        <v>PAID</v>
      </c>
      <c r="K27" s="843"/>
      <c r="L27" s="862" t="s">
        <v>49</v>
      </c>
      <c r="M27" s="863">
        <f>SUM(M25:M26)</f>
        <v>32413.313177607219</v>
      </c>
      <c r="N27" s="863">
        <f t="shared" ref="N27:U27" si="10">SUM(N25:N26)</f>
        <v>32413.313177607219</v>
      </c>
      <c r="O27" s="863">
        <f t="shared" si="10"/>
        <v>32413.313177607219</v>
      </c>
      <c r="P27" s="863">
        <f t="shared" si="10"/>
        <v>32413.313177607219</v>
      </c>
      <c r="Q27" s="863">
        <f t="shared" si="10"/>
        <v>32413.313177607219</v>
      </c>
      <c r="R27" s="863">
        <f t="shared" si="10"/>
        <v>32413.313177607219</v>
      </c>
      <c r="S27" s="863">
        <f t="shared" si="10"/>
        <v>32413.313177607219</v>
      </c>
      <c r="T27" s="863">
        <f t="shared" si="10"/>
        <v>32413.313177607219</v>
      </c>
      <c r="U27" s="863">
        <f t="shared" si="10"/>
        <v>32413.313177607219</v>
      </c>
      <c r="V27" s="863">
        <f>SUM(V25:V26)</f>
        <v>32413.313177607219</v>
      </c>
      <c r="W27" s="863">
        <f t="shared" ref="W27:BT27" si="11">SUM(W25:W26)</f>
        <v>32413.313177607219</v>
      </c>
      <c r="X27" s="863">
        <f t="shared" si="11"/>
        <v>32413.313177607219</v>
      </c>
      <c r="Y27" s="863">
        <f t="shared" si="11"/>
        <v>32413.313177607219</v>
      </c>
      <c r="Z27" s="863">
        <f t="shared" si="11"/>
        <v>32413.313177607219</v>
      </c>
      <c r="AA27" s="863">
        <f t="shared" si="11"/>
        <v>32413.313177607219</v>
      </c>
      <c r="AB27" s="863">
        <f t="shared" si="11"/>
        <v>32413.313177607219</v>
      </c>
      <c r="AC27" s="863">
        <f t="shared" si="11"/>
        <v>32413.313177607219</v>
      </c>
      <c r="AD27" s="863">
        <f t="shared" si="11"/>
        <v>32413.313177607219</v>
      </c>
      <c r="AE27" s="863">
        <f t="shared" si="11"/>
        <v>32413.313177607219</v>
      </c>
      <c r="AF27" s="863">
        <f t="shared" si="11"/>
        <v>32413.313177607219</v>
      </c>
      <c r="AG27" s="863">
        <f t="shared" si="11"/>
        <v>32413.313177607219</v>
      </c>
      <c r="AH27" s="863">
        <f t="shared" si="11"/>
        <v>32413.313177607219</v>
      </c>
      <c r="AI27" s="863">
        <f t="shared" si="11"/>
        <v>32413.313177607219</v>
      </c>
      <c r="AJ27" s="863">
        <f t="shared" si="11"/>
        <v>32413.313177607219</v>
      </c>
      <c r="AK27" s="863">
        <f t="shared" si="11"/>
        <v>32413.313177607219</v>
      </c>
      <c r="AL27" s="863">
        <f t="shared" si="11"/>
        <v>32413.313177607219</v>
      </c>
      <c r="AM27" s="863">
        <f t="shared" si="11"/>
        <v>32413.313177607219</v>
      </c>
      <c r="AN27" s="863">
        <f t="shared" si="11"/>
        <v>32413.313177607219</v>
      </c>
      <c r="AO27" s="863">
        <f t="shared" si="11"/>
        <v>32413.313177607219</v>
      </c>
      <c r="AP27" s="863">
        <f t="shared" si="11"/>
        <v>32413.313177607219</v>
      </c>
      <c r="AQ27" s="863">
        <f t="shared" si="11"/>
        <v>32413.313177607219</v>
      </c>
      <c r="AR27" s="863">
        <f t="shared" si="11"/>
        <v>32413.313177607219</v>
      </c>
      <c r="AS27" s="863">
        <f t="shared" si="11"/>
        <v>32413.313177607219</v>
      </c>
      <c r="AT27" s="863">
        <f t="shared" si="11"/>
        <v>32413.313177607219</v>
      </c>
      <c r="AU27" s="863">
        <f t="shared" si="11"/>
        <v>32413.313177607219</v>
      </c>
      <c r="AV27" s="863">
        <f t="shared" si="11"/>
        <v>32413.313177607219</v>
      </c>
      <c r="AW27" s="863">
        <f t="shared" si="11"/>
        <v>32413.313177607219</v>
      </c>
      <c r="AX27" s="863">
        <f t="shared" si="11"/>
        <v>32413.313177607219</v>
      </c>
      <c r="AY27" s="863">
        <f t="shared" si="11"/>
        <v>32413.313177607219</v>
      </c>
      <c r="AZ27" s="863">
        <f t="shared" si="11"/>
        <v>32413.313177607219</v>
      </c>
      <c r="BA27" s="863">
        <f t="shared" si="11"/>
        <v>32413.313177607219</v>
      </c>
      <c r="BB27" s="863">
        <f t="shared" si="11"/>
        <v>32413.313177607219</v>
      </c>
      <c r="BC27" s="863">
        <f t="shared" si="11"/>
        <v>32413.313177607219</v>
      </c>
      <c r="BD27" s="863">
        <f t="shared" si="11"/>
        <v>32413.313177607219</v>
      </c>
      <c r="BE27" s="863">
        <f t="shared" si="11"/>
        <v>32413.313177607219</v>
      </c>
      <c r="BF27" s="863">
        <f t="shared" si="11"/>
        <v>32413.313177607219</v>
      </c>
      <c r="BG27" s="863">
        <f t="shared" si="11"/>
        <v>32413.313177607219</v>
      </c>
      <c r="BH27" s="863">
        <f t="shared" si="11"/>
        <v>32413.313177607219</v>
      </c>
      <c r="BI27" s="863">
        <f t="shared" si="11"/>
        <v>32413.313177607219</v>
      </c>
      <c r="BJ27" s="863">
        <f t="shared" si="11"/>
        <v>32413.313177607219</v>
      </c>
      <c r="BK27" s="863">
        <f t="shared" si="11"/>
        <v>32413.313177607219</v>
      </c>
      <c r="BL27" s="863">
        <f t="shared" si="11"/>
        <v>32413.313177607219</v>
      </c>
      <c r="BM27" s="863">
        <f t="shared" si="11"/>
        <v>32413.313177607219</v>
      </c>
      <c r="BN27" s="863">
        <f t="shared" si="11"/>
        <v>32413.313177607219</v>
      </c>
      <c r="BO27" s="863">
        <f t="shared" si="11"/>
        <v>32413.313177607219</v>
      </c>
      <c r="BP27" s="863">
        <f t="shared" si="11"/>
        <v>32413.313177607219</v>
      </c>
      <c r="BQ27" s="863">
        <f t="shared" si="11"/>
        <v>32413.313177607219</v>
      </c>
      <c r="BR27" s="863">
        <f t="shared" si="11"/>
        <v>32413.313177607219</v>
      </c>
      <c r="BS27" s="863">
        <f t="shared" si="11"/>
        <v>32413.313177607219</v>
      </c>
      <c r="BT27" s="863">
        <f t="shared" si="11"/>
        <v>32413.313177607219</v>
      </c>
      <c r="BW27" s="853">
        <v>34058</v>
      </c>
      <c r="BX27" s="854">
        <f t="shared" ref="BX27:BX83" si="12">BW27-BY27</f>
        <v>-820.49785003688157</v>
      </c>
      <c r="BY27" s="853">
        <f t="shared" ref="BY27:BY84" si="13">BZ26*16%/12</f>
        <v>34878.497850036882</v>
      </c>
      <c r="BZ27" s="854">
        <f t="shared" ref="BZ27:BZ84" si="14">BZ26-BX27</f>
        <v>2616707.8366028029</v>
      </c>
    </row>
    <row r="28" spans="1:90" s="844" customFormat="1">
      <c r="A28" s="812">
        <f>IF(Values_Entered,A27+1,"")</f>
        <v>4</v>
      </c>
      <c r="B28" s="846">
        <f>B27+31</f>
        <v>45097</v>
      </c>
      <c r="C28" s="855">
        <f t="shared" si="8"/>
        <v>2572296.0928567722</v>
      </c>
      <c r="D28" s="855">
        <f t="shared" si="9"/>
        <v>32413.313177607219</v>
      </c>
      <c r="E28" s="856"/>
      <c r="F28" s="857">
        <f t="shared" si="3"/>
        <v>32413.313177607219</v>
      </c>
      <c r="G28" s="855">
        <f t="shared" si="4"/>
        <v>14192.88251987175</v>
      </c>
      <c r="H28" s="883">
        <f t="shared" si="5"/>
        <v>18220.430657735469</v>
      </c>
      <c r="I28" s="855">
        <f t="shared" si="6"/>
        <v>2558103.2103369003</v>
      </c>
      <c r="J28" s="850" t="str">
        <f>'[3]B11-L8'!J35</f>
        <v>PAID</v>
      </c>
      <c r="K28" s="843"/>
      <c r="M28" s="864" t="str">
        <f>J25</f>
        <v>PAID</v>
      </c>
      <c r="N28" s="864">
        <f>K25</f>
        <v>0</v>
      </c>
      <c r="BW28" s="853">
        <v>34058</v>
      </c>
      <c r="BX28" s="854">
        <f t="shared" si="12"/>
        <v>-831.4378213707023</v>
      </c>
      <c r="BY28" s="853">
        <f t="shared" si="13"/>
        <v>34889.437821370702</v>
      </c>
      <c r="BZ28" s="854">
        <f t="shared" si="14"/>
        <v>2617539.2744241734</v>
      </c>
    </row>
    <row r="29" spans="1:90" s="844" customFormat="1">
      <c r="A29" s="812">
        <f>IF(Values_Entered,A28+1,"")</f>
        <v>5</v>
      </c>
      <c r="B29" s="846">
        <f t="shared" ref="B29:B89" si="15">B28+30</f>
        <v>45127</v>
      </c>
      <c r="C29" s="855">
        <f t="shared" si="8"/>
        <v>2558103.2103369003</v>
      </c>
      <c r="D29" s="855">
        <f t="shared" si="9"/>
        <v>32413.313177607219</v>
      </c>
      <c r="E29" s="856"/>
      <c r="F29" s="857">
        <f t="shared" si="3"/>
        <v>32413.313177607219</v>
      </c>
      <c r="G29" s="855">
        <f t="shared" si="4"/>
        <v>14293.41543772084</v>
      </c>
      <c r="H29" s="883">
        <f t="shared" si="5"/>
        <v>18119.897739886379</v>
      </c>
      <c r="I29" s="855">
        <f t="shared" si="6"/>
        <v>2543809.7948991796</v>
      </c>
      <c r="J29" s="850" t="str">
        <f>'[3]B11-L8'!J36</f>
        <v>PAID</v>
      </c>
      <c r="K29" s="843"/>
      <c r="M29" s="864"/>
      <c r="BW29" s="853">
        <v>34058</v>
      </c>
      <c r="BX29" s="854">
        <f t="shared" si="12"/>
        <v>-842.52365898897551</v>
      </c>
      <c r="BY29" s="853">
        <f t="shared" si="13"/>
        <v>34900.523658988976</v>
      </c>
      <c r="BZ29" s="854">
        <f t="shared" si="14"/>
        <v>2618381.7980831624</v>
      </c>
    </row>
    <row r="30" spans="1:90">
      <c r="A30" s="812">
        <f>IF(Values_Entered,A29+1,"")</f>
        <v>6</v>
      </c>
      <c r="B30" s="846">
        <f>B29+31</f>
        <v>45158</v>
      </c>
      <c r="C30" s="855">
        <f>IF(Pay_Num&lt;&gt;"",I29,"")</f>
        <v>2543809.7948991796</v>
      </c>
      <c r="D30" s="855">
        <f t="shared" si="9"/>
        <v>32413.313177607219</v>
      </c>
      <c r="E30" s="856"/>
      <c r="F30" s="857">
        <f t="shared" si="3"/>
        <v>32413.313177607219</v>
      </c>
      <c r="G30" s="855">
        <f t="shared" si="4"/>
        <v>14394.66046373803</v>
      </c>
      <c r="H30" s="883">
        <f t="shared" si="5"/>
        <v>18018.652713869189</v>
      </c>
      <c r="I30" s="855">
        <f t="shared" si="6"/>
        <v>2529415.1344354413</v>
      </c>
      <c r="J30" s="850" t="str">
        <f>'[3]B11-L8'!J37</f>
        <v>PAID</v>
      </c>
      <c r="K30" s="843"/>
      <c r="L30" s="864"/>
      <c r="M30" s="864"/>
      <c r="BW30" s="853">
        <v>34058</v>
      </c>
      <c r="BX30" s="854">
        <f t="shared" si="12"/>
        <v>-853.75730777550052</v>
      </c>
      <c r="BY30" s="853">
        <f t="shared" si="13"/>
        <v>34911.757307775501</v>
      </c>
      <c r="BZ30" s="854">
        <f t="shared" si="14"/>
        <v>2619235.5553909377</v>
      </c>
    </row>
    <row r="31" spans="1:90">
      <c r="A31" s="812">
        <f>IF(Values_Entered,A30+1,"")</f>
        <v>7</v>
      </c>
      <c r="B31" s="846">
        <f>B30+31</f>
        <v>45189</v>
      </c>
      <c r="C31" s="855">
        <f t="shared" si="8"/>
        <v>2529415.1344354413</v>
      </c>
      <c r="D31" s="855">
        <f t="shared" si="9"/>
        <v>32413.313177607219</v>
      </c>
      <c r="E31" s="856"/>
      <c r="F31" s="857">
        <f t="shared" si="3"/>
        <v>32413.313177607219</v>
      </c>
      <c r="G31" s="855">
        <f t="shared" si="4"/>
        <v>14496.622642022841</v>
      </c>
      <c r="H31" s="883">
        <f t="shared" si="5"/>
        <v>17916.690535584377</v>
      </c>
      <c r="I31" s="855">
        <f t="shared" si="6"/>
        <v>2514918.5117934183</v>
      </c>
      <c r="J31" s="850" t="str">
        <f>'[3]B11-L8'!J38</f>
        <v>PAID</v>
      </c>
      <c r="K31" s="843"/>
      <c r="L31" s="844"/>
      <c r="M31" s="865"/>
      <c r="BW31" s="853">
        <v>34058</v>
      </c>
      <c r="BX31" s="854">
        <f t="shared" si="12"/>
        <v>-865.14073854583694</v>
      </c>
      <c r="BY31" s="853">
        <f t="shared" si="13"/>
        <v>34923.140738545837</v>
      </c>
      <c r="BZ31" s="854">
        <f t="shared" si="14"/>
        <v>2620100.6961294836</v>
      </c>
      <c r="CJ31" s="884" t="s">
        <v>50</v>
      </c>
      <c r="CK31" s="885"/>
      <c r="CL31" s="885"/>
    </row>
    <row r="32" spans="1:90">
      <c r="A32" s="812">
        <f>IF(Values_Entered,A31+1,"")</f>
        <v>8</v>
      </c>
      <c r="B32" s="846">
        <f t="shared" si="15"/>
        <v>45219</v>
      </c>
      <c r="C32" s="855">
        <f>IF(Pay_Num&lt;&gt;"",I31,"")</f>
        <v>2514918.5117934183</v>
      </c>
      <c r="D32" s="855">
        <f t="shared" si="9"/>
        <v>32413.313177607219</v>
      </c>
      <c r="E32" s="856"/>
      <c r="F32" s="857">
        <f t="shared" si="3"/>
        <v>32413.313177607219</v>
      </c>
      <c r="G32" s="855">
        <f t="shared" si="4"/>
        <v>14599.307052403838</v>
      </c>
      <c r="H32" s="883">
        <f t="shared" si="5"/>
        <v>17814.006125203381</v>
      </c>
      <c r="I32" s="855">
        <f t="shared" si="6"/>
        <v>2500319.2047410146</v>
      </c>
      <c r="J32" s="850" t="str">
        <f>'[3]B11-L8'!J39</f>
        <v>PAID</v>
      </c>
      <c r="K32" s="843"/>
      <c r="L32" s="844"/>
      <c r="M32" s="865"/>
      <c r="BW32" s="853">
        <v>34058</v>
      </c>
      <c r="BX32" s="854">
        <f t="shared" si="12"/>
        <v>-876.67594839311641</v>
      </c>
      <c r="BY32" s="853">
        <f t="shared" si="13"/>
        <v>34934.675948393116</v>
      </c>
      <c r="BZ32" s="854">
        <f t="shared" si="14"/>
        <v>2620977.3720778767</v>
      </c>
      <c r="CJ32" s="886">
        <f>SUM(H25:H30)</f>
        <v>109616.42442831637</v>
      </c>
      <c r="CK32" s="885"/>
      <c r="CL32" s="885"/>
    </row>
    <row r="33" spans="1:78">
      <c r="A33" s="812">
        <f>IF(Values_Entered,A32+1,"")</f>
        <v>9</v>
      </c>
      <c r="B33" s="846">
        <f>B32+31</f>
        <v>45250</v>
      </c>
      <c r="C33" s="855">
        <f t="shared" si="8"/>
        <v>2500319.2047410146</v>
      </c>
      <c r="D33" s="855">
        <f t="shared" si="9"/>
        <v>32413.313177607219</v>
      </c>
      <c r="E33" s="856"/>
      <c r="F33" s="857">
        <f t="shared" si="3"/>
        <v>32413.313177607219</v>
      </c>
      <c r="G33" s="855">
        <f t="shared" si="4"/>
        <v>14702.718810691698</v>
      </c>
      <c r="H33" s="883">
        <f t="shared" si="5"/>
        <v>17710.59436691552</v>
      </c>
      <c r="I33" s="855">
        <f t="shared" si="6"/>
        <v>2485616.4859303231</v>
      </c>
      <c r="J33" s="850" t="str">
        <f>'[3]B11-L8'!J40</f>
        <v>PAID</v>
      </c>
      <c r="K33" s="843"/>
      <c r="L33" s="844"/>
      <c r="M33" s="865"/>
      <c r="BW33" s="853">
        <v>34058</v>
      </c>
      <c r="BX33" s="854">
        <f t="shared" si="12"/>
        <v>-888.36496103835816</v>
      </c>
      <c r="BY33" s="853">
        <f t="shared" si="13"/>
        <v>34946.364961038358</v>
      </c>
      <c r="BZ33" s="854">
        <f t="shared" si="14"/>
        <v>2621865.737038915</v>
      </c>
    </row>
    <row r="34" spans="1:78">
      <c r="A34" s="812">
        <f>IF(Values_Entered,A33+1,"")</f>
        <v>10</v>
      </c>
      <c r="B34" s="846">
        <f t="shared" si="15"/>
        <v>45280</v>
      </c>
      <c r="C34" s="855">
        <f t="shared" si="8"/>
        <v>2485616.4859303231</v>
      </c>
      <c r="D34" s="855">
        <f t="shared" si="9"/>
        <v>32413.313177607219</v>
      </c>
      <c r="E34" s="856"/>
      <c r="F34" s="857">
        <f t="shared" si="3"/>
        <v>32413.313177607219</v>
      </c>
      <c r="G34" s="855">
        <f t="shared" si="4"/>
        <v>14806.863068934097</v>
      </c>
      <c r="H34" s="855">
        <f t="shared" si="5"/>
        <v>17606.450108673122</v>
      </c>
      <c r="I34" s="855">
        <f t="shared" si="6"/>
        <v>2470809.6228613891</v>
      </c>
      <c r="J34" s="850" t="str">
        <f>'[3]B11-L8'!J41</f>
        <v>PAID</v>
      </c>
      <c r="K34" s="866"/>
      <c r="L34" s="844"/>
      <c r="M34" s="865"/>
      <c r="BW34" s="853">
        <v>34058</v>
      </c>
      <c r="BX34" s="854">
        <f t="shared" si="12"/>
        <v>-900.20982718553569</v>
      </c>
      <c r="BY34" s="853">
        <f t="shared" si="13"/>
        <v>34958.209827185536</v>
      </c>
      <c r="BZ34" s="854">
        <f t="shared" si="14"/>
        <v>2622765.9468661007</v>
      </c>
    </row>
    <row r="35" spans="1:78">
      <c r="A35" s="812">
        <f>IF(Values_Entered,A34+1,"")</f>
        <v>11</v>
      </c>
      <c r="B35" s="846">
        <f>B34+31</f>
        <v>45311</v>
      </c>
      <c r="C35" s="855">
        <f t="shared" si="8"/>
        <v>2470809.6228613891</v>
      </c>
      <c r="D35" s="855">
        <f t="shared" si="9"/>
        <v>32413.313177607219</v>
      </c>
      <c r="E35" s="856"/>
      <c r="F35" s="857">
        <f t="shared" si="3"/>
        <v>32413.313177607219</v>
      </c>
      <c r="G35" s="855">
        <f t="shared" si="4"/>
        <v>14911.745015672379</v>
      </c>
      <c r="H35" s="855">
        <f t="shared" si="5"/>
        <v>17501.56816193484</v>
      </c>
      <c r="I35" s="855">
        <f>IF(AND(Pay_Num&lt;&gt;"",Sched_Pay+Extra_Pay&lt;Beg_Bal),Beg_Bal-Princ,IF(Pay_Num&lt;&gt;"",0,""))</f>
        <v>2455897.8778457167</v>
      </c>
      <c r="J35" s="850" t="str">
        <f>'[3]B11-L8'!J42</f>
        <v>PAID</v>
      </c>
      <c r="K35" s="843"/>
      <c r="L35" s="867" t="s">
        <v>51</v>
      </c>
      <c r="M35" s="865"/>
      <c r="BW35" s="853">
        <v>34058</v>
      </c>
      <c r="BX35" s="854">
        <f t="shared" si="12"/>
        <v>-912.2126248813438</v>
      </c>
      <c r="BY35" s="853">
        <f t="shared" si="13"/>
        <v>34970.212624881344</v>
      </c>
      <c r="BZ35" s="854">
        <f t="shared" si="14"/>
        <v>2623678.1594909821</v>
      </c>
    </row>
    <row r="36" spans="1:78">
      <c r="A36" s="812">
        <f>IF(Values_Entered,A35+1,"")</f>
        <v>12</v>
      </c>
      <c r="B36" s="846">
        <f>B35+31</f>
        <v>45342</v>
      </c>
      <c r="C36" s="855">
        <f t="shared" si="8"/>
        <v>2455897.8778457167</v>
      </c>
      <c r="D36" s="855">
        <f t="shared" si="9"/>
        <v>32413.313177607219</v>
      </c>
      <c r="E36" s="856"/>
      <c r="F36" s="857">
        <f t="shared" si="3"/>
        <v>32413.313177607219</v>
      </c>
      <c r="G36" s="855">
        <f t="shared" si="4"/>
        <v>15017.369876200057</v>
      </c>
      <c r="H36" s="855">
        <f t="shared" si="5"/>
        <v>17395.943301407162</v>
      </c>
      <c r="I36" s="855">
        <f t="shared" si="6"/>
        <v>2440880.5079695168</v>
      </c>
      <c r="J36" s="850" t="str">
        <f>'[3]B11-L8'!J43</f>
        <v>PAID</v>
      </c>
      <c r="K36" s="843"/>
      <c r="L36" s="864">
        <f>SUM(F25:F84)</f>
        <v>1944798.7906564346</v>
      </c>
      <c r="M36" s="865"/>
      <c r="BW36" s="853">
        <v>34058</v>
      </c>
      <c r="BX36" s="854">
        <f t="shared" si="12"/>
        <v>-924.37545987976046</v>
      </c>
      <c r="BY36" s="853">
        <f t="shared" si="13"/>
        <v>34982.37545987976</v>
      </c>
      <c r="BZ36" s="854">
        <f t="shared" si="14"/>
        <v>2624602.5349508617</v>
      </c>
    </row>
    <row r="37" spans="1:78">
      <c r="A37" s="812">
        <f>IF(Values_Entered,A36+1,"")</f>
        <v>13</v>
      </c>
      <c r="B37" s="846">
        <f>B36+29</f>
        <v>45371</v>
      </c>
      <c r="C37" s="855">
        <f t="shared" si="8"/>
        <v>2440880.5079695168</v>
      </c>
      <c r="D37" s="855">
        <f t="shared" si="9"/>
        <v>32413.313177607219</v>
      </c>
      <c r="E37" s="856"/>
      <c r="F37" s="857">
        <f t="shared" si="3"/>
        <v>32413.313177607219</v>
      </c>
      <c r="G37" s="855">
        <f t="shared" si="4"/>
        <v>15123.742912823142</v>
      </c>
      <c r="H37" s="855">
        <f t="shared" si="5"/>
        <v>17289.570264784077</v>
      </c>
      <c r="I37" s="855">
        <f t="shared" si="6"/>
        <v>2425756.7650566935</v>
      </c>
      <c r="J37" s="850" t="str">
        <f>'[3]B11-L8'!J44</f>
        <v>PAID</v>
      </c>
      <c r="K37" s="843"/>
      <c r="L37" s="844"/>
      <c r="M37" s="865"/>
      <c r="BW37" s="853">
        <v>34058</v>
      </c>
      <c r="BX37" s="854">
        <f t="shared" si="12"/>
        <v>-936.70046601149079</v>
      </c>
      <c r="BY37" s="853">
        <f t="shared" si="13"/>
        <v>34994.700466011491</v>
      </c>
      <c r="BZ37" s="854">
        <f t="shared" si="14"/>
        <v>2625539.2354168734</v>
      </c>
    </row>
    <row r="38" spans="1:78">
      <c r="A38" s="812">
        <f>IF(Values_Entered,A37+1,"")</f>
        <v>14</v>
      </c>
      <c r="B38" s="846">
        <f>B37+31</f>
        <v>45402</v>
      </c>
      <c r="C38" s="855">
        <f t="shared" si="8"/>
        <v>2425756.7650566935</v>
      </c>
      <c r="D38" s="855">
        <f t="shared" si="9"/>
        <v>32413.313177607219</v>
      </c>
      <c r="E38" s="856"/>
      <c r="F38" s="857">
        <f t="shared" si="3"/>
        <v>32413.313177607219</v>
      </c>
      <c r="G38" s="855">
        <f t="shared" si="4"/>
        <v>15230.869425122306</v>
      </c>
      <c r="H38" s="855">
        <f t="shared" si="5"/>
        <v>17182.443752484913</v>
      </c>
      <c r="I38" s="855">
        <f t="shared" si="6"/>
        <v>2410525.8956315713</v>
      </c>
      <c r="J38" s="850" t="str">
        <f>'[3]B11-L8'!J45</f>
        <v>PAID</v>
      </c>
      <c r="K38" s="843"/>
      <c r="L38" s="844"/>
      <c r="M38" s="865"/>
      <c r="BW38" s="853">
        <v>34058</v>
      </c>
      <c r="BX38" s="854">
        <f t="shared" si="12"/>
        <v>-949.18980555830785</v>
      </c>
      <c r="BY38" s="853">
        <f t="shared" si="13"/>
        <v>35007.189805558308</v>
      </c>
      <c r="BZ38" s="854">
        <f t="shared" si="14"/>
        <v>2626488.4252224318</v>
      </c>
    </row>
    <row r="39" spans="1:78">
      <c r="A39" s="812">
        <f>IF(Values_Entered,A38+1,"")</f>
        <v>15</v>
      </c>
      <c r="B39" s="846">
        <f t="shared" si="15"/>
        <v>45432</v>
      </c>
      <c r="C39" s="855">
        <f t="shared" si="8"/>
        <v>2410525.8956315713</v>
      </c>
      <c r="D39" s="855">
        <f t="shared" si="9"/>
        <v>32413.313177607219</v>
      </c>
      <c r="E39" s="856"/>
      <c r="F39" s="857">
        <f t="shared" si="3"/>
        <v>32413.313177607219</v>
      </c>
      <c r="G39" s="855">
        <f t="shared" si="4"/>
        <v>15338.754750216922</v>
      </c>
      <c r="H39" s="855">
        <f t="shared" si="5"/>
        <v>17074.558427390297</v>
      </c>
      <c r="I39" s="855">
        <f t="shared" si="6"/>
        <v>2395187.1408813545</v>
      </c>
      <c r="J39" s="850" t="str">
        <f>'[3]B11-L8'!J46</f>
        <v>PAID</v>
      </c>
      <c r="K39" s="843"/>
      <c r="L39" s="844"/>
      <c r="M39" s="865"/>
      <c r="BW39" s="853">
        <v>34058</v>
      </c>
      <c r="BX39" s="854">
        <f t="shared" si="12"/>
        <v>-961.84566963242105</v>
      </c>
      <c r="BY39" s="853">
        <f t="shared" si="13"/>
        <v>35019.845669632421</v>
      </c>
      <c r="BZ39" s="854">
        <f t="shared" si="14"/>
        <v>2627450.2708920641</v>
      </c>
    </row>
    <row r="40" spans="1:78">
      <c r="A40" s="812">
        <f>IF(Values_Entered,A39+1,"")</f>
        <v>16</v>
      </c>
      <c r="B40" s="846">
        <f>B39+31</f>
        <v>45463</v>
      </c>
      <c r="C40" s="855">
        <f t="shared" si="8"/>
        <v>2395187.1408813545</v>
      </c>
      <c r="D40" s="855">
        <f t="shared" si="9"/>
        <v>32413.313177607219</v>
      </c>
      <c r="E40" s="856"/>
      <c r="F40" s="857">
        <f t="shared" si="3"/>
        <v>32413.313177607219</v>
      </c>
      <c r="G40" s="855">
        <f t="shared" si="4"/>
        <v>15447.404263030956</v>
      </c>
      <c r="H40" s="855">
        <f t="shared" si="5"/>
        <v>16965.908914576263</v>
      </c>
      <c r="I40" s="855">
        <f t="shared" si="6"/>
        <v>2379739.7366183237</v>
      </c>
      <c r="J40" s="850" t="str">
        <f>'[3]B11-L8'!J47</f>
        <v>PAID</v>
      </c>
      <c r="K40" s="843"/>
      <c r="L40" s="844"/>
      <c r="M40" s="865"/>
      <c r="BW40" s="853">
        <v>34058</v>
      </c>
      <c r="BX40" s="854">
        <f t="shared" si="12"/>
        <v>-974.6702785608577</v>
      </c>
      <c r="BY40" s="853">
        <f t="shared" si="13"/>
        <v>35032.670278560858</v>
      </c>
      <c r="BZ40" s="854">
        <f t="shared" si="14"/>
        <v>2628424.9411706249</v>
      </c>
    </row>
    <row r="41" spans="1:78" s="873" customFormat="1">
      <c r="A41" s="868">
        <f>IF(Values_Entered,A40+1,"")</f>
        <v>17</v>
      </c>
      <c r="B41" s="846">
        <f t="shared" si="15"/>
        <v>45493</v>
      </c>
      <c r="C41" s="861">
        <f t="shared" si="8"/>
        <v>2379739.7366183237</v>
      </c>
      <c r="D41" s="861">
        <f t="shared" si="9"/>
        <v>32413.313177607219</v>
      </c>
      <c r="E41" s="856"/>
      <c r="F41" s="869">
        <f t="shared" si="3"/>
        <v>32413.313177607219</v>
      </c>
      <c r="G41" s="861">
        <f t="shared" si="4"/>
        <v>15556.823376560758</v>
      </c>
      <c r="H41" s="861">
        <f t="shared" si="5"/>
        <v>16856.48980104646</v>
      </c>
      <c r="I41" s="861">
        <f t="shared" si="6"/>
        <v>2364182.9132417631</v>
      </c>
      <c r="J41" s="870" t="str">
        <f>'[3]B11-L8'!J48</f>
        <v>PAID</v>
      </c>
      <c r="K41" s="871"/>
      <c r="L41" s="871"/>
      <c r="M41" s="872"/>
      <c r="BW41" s="874">
        <v>34058</v>
      </c>
      <c r="BX41" s="875">
        <f t="shared" si="12"/>
        <v>-987.66588227499597</v>
      </c>
      <c r="BY41" s="874">
        <f t="shared" si="13"/>
        <v>35045.665882274996</v>
      </c>
      <c r="BZ41" s="875">
        <f t="shared" si="14"/>
        <v>2629412.6070528999</v>
      </c>
    </row>
    <row r="42" spans="1:78">
      <c r="A42" s="812">
        <f>IF(Values_Entered,A41+1,"")</f>
        <v>18</v>
      </c>
      <c r="B42" s="846">
        <f>B41+31</f>
        <v>45524</v>
      </c>
      <c r="C42" s="855">
        <f t="shared" si="8"/>
        <v>2364182.9132417631</v>
      </c>
      <c r="D42" s="855">
        <f t="shared" si="9"/>
        <v>32413.313177607219</v>
      </c>
      <c r="E42" s="856"/>
      <c r="F42" s="857">
        <f t="shared" si="3"/>
        <v>32413.313177607219</v>
      </c>
      <c r="G42" s="855">
        <f t="shared" si="4"/>
        <v>15667.017542144727</v>
      </c>
      <c r="H42" s="855">
        <f t="shared" si="5"/>
        <v>16746.295635462491</v>
      </c>
      <c r="I42" s="855">
        <f t="shared" si="6"/>
        <v>2348515.8956996184</v>
      </c>
      <c r="J42" s="850" t="str">
        <f>'[3]B11-L8'!J49</f>
        <v>PAID</v>
      </c>
      <c r="K42" s="843"/>
      <c r="L42" s="844"/>
      <c r="M42" s="865"/>
      <c r="BW42" s="853">
        <v>34058</v>
      </c>
      <c r="BX42" s="854">
        <f t="shared" si="12"/>
        <v>-1000.8347607053365</v>
      </c>
      <c r="BY42" s="853">
        <f t="shared" si="13"/>
        <v>35058.834760705337</v>
      </c>
      <c r="BZ42" s="854">
        <f t="shared" si="14"/>
        <v>2630413.4418136054</v>
      </c>
    </row>
    <row r="43" spans="1:78">
      <c r="A43" s="812">
        <f>IF(Values_Entered,A42+1,"")</f>
        <v>19</v>
      </c>
      <c r="B43" s="846">
        <f>B42+31</f>
        <v>45555</v>
      </c>
      <c r="C43" s="855">
        <f t="shared" si="8"/>
        <v>2348515.8956996184</v>
      </c>
      <c r="D43" s="855">
        <f t="shared" si="9"/>
        <v>32413.313177607219</v>
      </c>
      <c r="E43" s="856"/>
      <c r="F43" s="857">
        <f t="shared" si="3"/>
        <v>32413.313177607219</v>
      </c>
      <c r="G43" s="855">
        <f t="shared" si="4"/>
        <v>15777.992249734922</v>
      </c>
      <c r="H43" s="855">
        <f t="shared" si="5"/>
        <v>16635.320927872297</v>
      </c>
      <c r="I43" s="855">
        <f t="shared" si="6"/>
        <v>2332737.9034498837</v>
      </c>
      <c r="J43" s="850" t="str">
        <f>'[3]B11-L8'!J50</f>
        <v>PAID</v>
      </c>
      <c r="K43" s="843"/>
      <c r="L43" s="844"/>
      <c r="M43" s="865"/>
      <c r="BW43" s="853">
        <v>34058</v>
      </c>
      <c r="BX43" s="854">
        <f t="shared" si="12"/>
        <v>-1014.1792241814037</v>
      </c>
      <c r="BY43" s="853">
        <f t="shared" si="13"/>
        <v>35072.179224181404</v>
      </c>
      <c r="BZ43" s="854">
        <f t="shared" si="14"/>
        <v>2631427.6210377868</v>
      </c>
    </row>
    <row r="44" spans="1:78">
      <c r="A44" s="812">
        <f>IF(Values_Entered,A43+1,"")</f>
        <v>20</v>
      </c>
      <c r="B44" s="846">
        <f t="shared" si="15"/>
        <v>45585</v>
      </c>
      <c r="C44" s="855">
        <f t="shared" si="8"/>
        <v>2332737.9034498837</v>
      </c>
      <c r="D44" s="855">
        <f t="shared" si="9"/>
        <v>32413.313177607219</v>
      </c>
      <c r="E44" s="856"/>
      <c r="F44" s="857">
        <f t="shared" si="3"/>
        <v>32413.313177607219</v>
      </c>
      <c r="G44" s="855">
        <f t="shared" si="4"/>
        <v>15889.75302817054</v>
      </c>
      <c r="H44" s="855">
        <f t="shared" si="5"/>
        <v>16523.560149436678</v>
      </c>
      <c r="I44" s="855">
        <f t="shared" si="6"/>
        <v>2316848.150421713</v>
      </c>
      <c r="J44" s="850" t="str">
        <f>'[3]B11-L8'!J51</f>
        <v>PAID</v>
      </c>
      <c r="K44" s="843"/>
      <c r="L44" s="844"/>
      <c r="M44" s="865"/>
      <c r="BW44" s="853">
        <v>34058</v>
      </c>
      <c r="BX44" s="854">
        <f t="shared" si="12"/>
        <v>-1027.7016138371619</v>
      </c>
      <c r="BY44" s="853">
        <f t="shared" si="13"/>
        <v>35085.701613837162</v>
      </c>
      <c r="BZ44" s="854">
        <f t="shared" si="14"/>
        <v>2632455.3226516242</v>
      </c>
    </row>
    <row r="45" spans="1:78">
      <c r="A45" s="812">
        <f>IF(Values_Entered,A44+1,"")</f>
        <v>21</v>
      </c>
      <c r="B45" s="846">
        <f>B44+31</f>
        <v>45616</v>
      </c>
      <c r="C45" s="855">
        <f t="shared" si="8"/>
        <v>2316848.150421713</v>
      </c>
      <c r="D45" s="855">
        <f t="shared" si="9"/>
        <v>32413.313177607219</v>
      </c>
      <c r="E45" s="856"/>
      <c r="F45" s="857">
        <f t="shared" si="3"/>
        <v>32413.313177607219</v>
      </c>
      <c r="G45" s="855">
        <f t="shared" si="4"/>
        <v>16002.305445453418</v>
      </c>
      <c r="H45" s="855">
        <f t="shared" si="5"/>
        <v>16411.007732153801</v>
      </c>
      <c r="I45" s="855">
        <f t="shared" si="6"/>
        <v>2300845.8449762594</v>
      </c>
      <c r="J45" s="850" t="str">
        <f>'[3]B11-L8'!J52</f>
        <v>PAID</v>
      </c>
      <c r="K45" s="843"/>
      <c r="L45" s="844"/>
      <c r="M45" s="865"/>
      <c r="BW45" s="853">
        <v>34058</v>
      </c>
      <c r="BX45" s="854">
        <f t="shared" si="12"/>
        <v>-1041.4043020216559</v>
      </c>
      <c r="BY45" s="853">
        <f t="shared" si="13"/>
        <v>35099.404302021656</v>
      </c>
      <c r="BZ45" s="854">
        <f t="shared" si="14"/>
        <v>2633496.7269536457</v>
      </c>
    </row>
    <row r="46" spans="1:78">
      <c r="A46" s="812">
        <f>IF(Values_Entered,A45+1,"")</f>
        <v>22</v>
      </c>
      <c r="B46" s="846">
        <f t="shared" si="15"/>
        <v>45646</v>
      </c>
      <c r="C46" s="855">
        <f t="shared" si="8"/>
        <v>2300845.8449762594</v>
      </c>
      <c r="D46" s="855">
        <f t="shared" si="9"/>
        <v>32413.313177607219</v>
      </c>
      <c r="E46" s="856"/>
      <c r="F46" s="857">
        <f t="shared" si="3"/>
        <v>32413.313177607219</v>
      </c>
      <c r="G46" s="855">
        <f t="shared" si="4"/>
        <v>16115.65510902538</v>
      </c>
      <c r="H46" s="855">
        <f t="shared" si="5"/>
        <v>16297.658068581839</v>
      </c>
      <c r="I46" s="855">
        <f t="shared" si="6"/>
        <v>2284730.1898672339</v>
      </c>
      <c r="J46" s="850" t="str">
        <f>'[3]B11-L8'!J53</f>
        <v>PAID</v>
      </c>
      <c r="K46" s="843"/>
      <c r="L46" s="844"/>
      <c r="M46" s="865"/>
      <c r="BW46" s="853">
        <v>34058</v>
      </c>
      <c r="BX46" s="854">
        <f t="shared" si="12"/>
        <v>-1055.289692715276</v>
      </c>
      <c r="BY46" s="853">
        <f t="shared" si="13"/>
        <v>35113.289692715276</v>
      </c>
      <c r="BZ46" s="854">
        <f t="shared" si="14"/>
        <v>2634552.016646361</v>
      </c>
    </row>
    <row r="47" spans="1:78">
      <c r="A47" s="812">
        <f>IF(Values_Entered,A46+1,"")</f>
        <v>23</v>
      </c>
      <c r="B47" s="846">
        <f>B46+31</f>
        <v>45677</v>
      </c>
      <c r="C47" s="855">
        <f t="shared" si="8"/>
        <v>2284730.1898672339</v>
      </c>
      <c r="D47" s="855">
        <f t="shared" si="9"/>
        <v>32413.313177607219</v>
      </c>
      <c r="E47" s="856"/>
      <c r="F47" s="857">
        <f t="shared" si="3"/>
        <v>32413.313177607219</v>
      </c>
      <c r="G47" s="855">
        <f t="shared" si="4"/>
        <v>16229.807666047644</v>
      </c>
      <c r="H47" s="855">
        <f t="shared" si="5"/>
        <v>16183.505511559575</v>
      </c>
      <c r="I47" s="855">
        <f t="shared" si="6"/>
        <v>2268500.3822011864</v>
      </c>
      <c r="J47" s="850" t="str">
        <f>'[3]B11-L8'!J54</f>
        <v>PAID</v>
      </c>
      <c r="K47" s="843"/>
      <c r="L47" s="844"/>
      <c r="M47" s="865"/>
      <c r="BW47" s="853">
        <v>34058</v>
      </c>
      <c r="BX47" s="854">
        <f t="shared" si="12"/>
        <v>-1069.3602219514796</v>
      </c>
      <c r="BY47" s="853">
        <f t="shared" si="13"/>
        <v>35127.36022195148</v>
      </c>
      <c r="BZ47" s="854">
        <f t="shared" si="14"/>
        <v>2635621.3768683122</v>
      </c>
    </row>
    <row r="48" spans="1:78">
      <c r="A48" s="812">
        <f>IF(Values_Entered,A47+1,"")</f>
        <v>24</v>
      </c>
      <c r="B48" s="846">
        <f>B47+31</f>
        <v>45708</v>
      </c>
      <c r="C48" s="855">
        <f t="shared" si="8"/>
        <v>2268500.3822011864</v>
      </c>
      <c r="D48" s="855">
        <f t="shared" si="9"/>
        <v>32413.313177607219</v>
      </c>
      <c r="E48" s="856"/>
      <c r="F48" s="857">
        <f t="shared" si="3"/>
        <v>32413.313177607219</v>
      </c>
      <c r="G48" s="855">
        <f t="shared" si="4"/>
        <v>16344.768803682147</v>
      </c>
      <c r="H48" s="855">
        <f t="shared" si="5"/>
        <v>16068.544373925071</v>
      </c>
      <c r="I48" s="855">
        <f t="shared" si="6"/>
        <v>2252155.6133975042</v>
      </c>
      <c r="J48" s="850" t="str">
        <f>'[3]B11-L8'!J55</f>
        <v>PAID</v>
      </c>
      <c r="K48" s="843"/>
      <c r="L48" s="844"/>
      <c r="M48" s="865"/>
      <c r="BW48" s="853">
        <v>34058</v>
      </c>
      <c r="BX48" s="854">
        <f t="shared" si="12"/>
        <v>-1083.6183582441663</v>
      </c>
      <c r="BY48" s="853">
        <f t="shared" si="13"/>
        <v>35141.618358244166</v>
      </c>
      <c r="BZ48" s="854">
        <f t="shared" si="14"/>
        <v>2636704.9952265564</v>
      </c>
    </row>
    <row r="49" spans="1:78">
      <c r="A49" s="812">
        <f>IF(Values_Entered,A48+1,"")</f>
        <v>25</v>
      </c>
      <c r="B49" s="846">
        <f>B48+28</f>
        <v>45736</v>
      </c>
      <c r="C49" s="855">
        <f t="shared" si="8"/>
        <v>2252155.6133975042</v>
      </c>
      <c r="D49" s="855">
        <f t="shared" si="9"/>
        <v>32413.313177607219</v>
      </c>
      <c r="E49" s="856"/>
      <c r="F49" s="857">
        <f t="shared" si="3"/>
        <v>32413.313177607219</v>
      </c>
      <c r="G49" s="855">
        <f t="shared" si="4"/>
        <v>16460.5442493749</v>
      </c>
      <c r="H49" s="855">
        <f t="shared" si="5"/>
        <v>15952.768928232321</v>
      </c>
      <c r="I49" s="855">
        <f t="shared" si="6"/>
        <v>2235695.0691481293</v>
      </c>
      <c r="J49" s="850" t="str">
        <f>'[3]B11-L8'!J56</f>
        <v>PAID</v>
      </c>
      <c r="K49" s="843"/>
      <c r="BW49" s="853">
        <v>34058</v>
      </c>
      <c r="BX49" s="854">
        <f t="shared" si="12"/>
        <v>-1098.0666030207576</v>
      </c>
      <c r="BY49" s="853">
        <f t="shared" si="13"/>
        <v>35156.066603020758</v>
      </c>
      <c r="BZ49" s="854">
        <f t="shared" si="14"/>
        <v>2637803.0618295772</v>
      </c>
    </row>
    <row r="50" spans="1:78">
      <c r="A50" s="812">
        <f>IF(Values_Entered,A49+1,"")</f>
        <v>26</v>
      </c>
      <c r="B50" s="846">
        <f>B49+31</f>
        <v>45767</v>
      </c>
      <c r="C50" s="855">
        <f t="shared" si="8"/>
        <v>2235695.0691481293</v>
      </c>
      <c r="D50" s="855">
        <f t="shared" si="9"/>
        <v>32413.313177607219</v>
      </c>
      <c r="E50" s="856"/>
      <c r="F50" s="857">
        <f t="shared" si="3"/>
        <v>32413.313177607219</v>
      </c>
      <c r="G50" s="855">
        <f t="shared" si="4"/>
        <v>16577.139771141301</v>
      </c>
      <c r="H50" s="855">
        <f t="shared" si="5"/>
        <v>15836.173406465918</v>
      </c>
      <c r="I50" s="855">
        <f t="shared" si="6"/>
        <v>2219117.9293769882</v>
      </c>
      <c r="J50" s="850" t="str">
        <f>'[3]B11-L8'!J57</f>
        <v>PAID</v>
      </c>
      <c r="K50" s="843"/>
      <c r="M50" s="876"/>
      <c r="BW50" s="853">
        <v>34058</v>
      </c>
      <c r="BX50" s="854">
        <f t="shared" si="12"/>
        <v>-1112.7074910610318</v>
      </c>
      <c r="BY50" s="853">
        <f t="shared" si="13"/>
        <v>35170.707491061032</v>
      </c>
      <c r="BZ50" s="854">
        <f t="shared" si="14"/>
        <v>2638915.7693206384</v>
      </c>
    </row>
    <row r="51" spans="1:78">
      <c r="A51" s="812">
        <f>IF(Values_Entered,A50+1,"")</f>
        <v>27</v>
      </c>
      <c r="B51" s="846">
        <f t="shared" si="15"/>
        <v>45797</v>
      </c>
      <c r="C51" s="855">
        <f t="shared" si="8"/>
        <v>2219117.9293769882</v>
      </c>
      <c r="D51" s="855">
        <f t="shared" si="9"/>
        <v>32413.313177607219</v>
      </c>
      <c r="E51" s="856"/>
      <c r="F51" s="857">
        <f t="shared" si="3"/>
        <v>32413.313177607219</v>
      </c>
      <c r="G51" s="855">
        <f t="shared" si="4"/>
        <v>16694.561177853553</v>
      </c>
      <c r="H51" s="855">
        <f t="shared" si="5"/>
        <v>15718.751999753667</v>
      </c>
      <c r="I51" s="855">
        <f t="shared" si="6"/>
        <v>2202423.3681991347</v>
      </c>
      <c r="J51" s="850" t="str">
        <f>'[3]B11-L8'!J58</f>
        <v>PAID</v>
      </c>
      <c r="K51" s="843"/>
      <c r="M51" s="876"/>
      <c r="BW51" s="853">
        <v>34058</v>
      </c>
      <c r="BX51" s="854">
        <f t="shared" si="12"/>
        <v>-1127.5435909418447</v>
      </c>
      <c r="BY51" s="853">
        <f t="shared" si="13"/>
        <v>35185.543590941845</v>
      </c>
      <c r="BZ51" s="854">
        <f t="shared" si="14"/>
        <v>2640043.3129115803</v>
      </c>
    </row>
    <row r="52" spans="1:78">
      <c r="A52" s="812">
        <f>IF(Values_Entered,A51+1,"")</f>
        <v>28</v>
      </c>
      <c r="B52" s="846">
        <f>B51+31</f>
        <v>45828</v>
      </c>
      <c r="C52" s="855">
        <f t="shared" si="8"/>
        <v>2202423.3681991347</v>
      </c>
      <c r="D52" s="855">
        <f t="shared" si="9"/>
        <v>32413.313177607219</v>
      </c>
      <c r="E52" s="856"/>
      <c r="F52" s="857">
        <f t="shared" si="3"/>
        <v>32413.313177607219</v>
      </c>
      <c r="G52" s="855">
        <f t="shared" si="4"/>
        <v>16812.814319530014</v>
      </c>
      <c r="H52" s="855">
        <f t="shared" si="5"/>
        <v>15600.498858077204</v>
      </c>
      <c r="I52" s="855">
        <f t="shared" si="6"/>
        <v>2185610.5538796047</v>
      </c>
      <c r="J52" s="850" t="str">
        <f>'[3]B11-L8'!J59</f>
        <v>PAID</v>
      </c>
      <c r="K52" s="843"/>
      <c r="BW52" s="853">
        <v>34058</v>
      </c>
      <c r="BX52" s="854">
        <f t="shared" si="12"/>
        <v>-1142.5775054877377</v>
      </c>
      <c r="BY52" s="853">
        <f t="shared" si="13"/>
        <v>35200.577505487738</v>
      </c>
      <c r="BZ52" s="854">
        <f t="shared" si="14"/>
        <v>2641185.8904170683</v>
      </c>
    </row>
    <row r="53" spans="1:78">
      <c r="A53" s="812">
        <f>IF(Values_Entered,A52+1,"")</f>
        <v>29</v>
      </c>
      <c r="B53" s="846">
        <f t="shared" si="15"/>
        <v>45858</v>
      </c>
      <c r="C53" s="855">
        <f t="shared" si="8"/>
        <v>2185610.5538796047</v>
      </c>
      <c r="D53" s="855">
        <f t="shared" si="9"/>
        <v>32413.313177607219</v>
      </c>
      <c r="E53" s="856"/>
      <c r="F53" s="857">
        <f t="shared" si="3"/>
        <v>32413.313177607219</v>
      </c>
      <c r="G53" s="855">
        <f t="shared" si="4"/>
        <v>16931.905087626685</v>
      </c>
      <c r="H53" s="855">
        <f t="shared" si="5"/>
        <v>15481.408089980534</v>
      </c>
      <c r="I53" s="855">
        <f t="shared" si="6"/>
        <v>2168678.6487919781</v>
      </c>
      <c r="J53" s="850" t="str">
        <f>'[3]B11-L8'!J60</f>
        <v>PAID</v>
      </c>
      <c r="K53" s="843"/>
      <c r="BW53" s="853">
        <v>34058</v>
      </c>
      <c r="BX53" s="854">
        <f t="shared" si="12"/>
        <v>-1157.8118722275758</v>
      </c>
      <c r="BY53" s="853">
        <f t="shared" si="13"/>
        <v>35215.811872227576</v>
      </c>
      <c r="BZ53" s="854">
        <f t="shared" si="14"/>
        <v>2642343.7022892958</v>
      </c>
    </row>
    <row r="54" spans="1:78">
      <c r="A54" s="812">
        <f>IF(Values_Entered,A53+1,"")</f>
        <v>30</v>
      </c>
      <c r="B54" s="846">
        <f>B53+31</f>
        <v>45889</v>
      </c>
      <c r="C54" s="855">
        <f t="shared" si="8"/>
        <v>2168678.6487919781</v>
      </c>
      <c r="D54" s="855">
        <f t="shared" si="9"/>
        <v>32413.313177607219</v>
      </c>
      <c r="E54" s="856"/>
      <c r="F54" s="857">
        <f t="shared" si="3"/>
        <v>32413.313177607219</v>
      </c>
      <c r="G54" s="855">
        <f t="shared" si="4"/>
        <v>17051.839415330709</v>
      </c>
      <c r="H54" s="855">
        <f t="shared" si="5"/>
        <v>15361.473762276511</v>
      </c>
      <c r="I54" s="855">
        <f t="shared" si="6"/>
        <v>2151626.8093766472</v>
      </c>
      <c r="J54" s="850" t="str">
        <f>'[3]B11-L8'!J61</f>
        <v>PAID</v>
      </c>
      <c r="K54" s="843"/>
      <c r="BW54" s="853">
        <v>34058</v>
      </c>
      <c r="BX54" s="854">
        <f t="shared" si="12"/>
        <v>-1173.2493638572778</v>
      </c>
      <c r="BY54" s="853">
        <f t="shared" si="13"/>
        <v>35231.249363857278</v>
      </c>
      <c r="BZ54" s="854">
        <f t="shared" si="14"/>
        <v>2643516.9516531532</v>
      </c>
    </row>
    <row r="55" spans="1:78">
      <c r="A55" s="812">
        <f>IF(Values_Entered,A54+1,"")</f>
        <v>31</v>
      </c>
      <c r="B55" s="846">
        <f>B54+31</f>
        <v>45920</v>
      </c>
      <c r="C55" s="855">
        <f t="shared" si="8"/>
        <v>2151626.8093766472</v>
      </c>
      <c r="D55" s="855">
        <f t="shared" si="9"/>
        <v>32413.313177607219</v>
      </c>
      <c r="E55" s="856"/>
      <c r="F55" s="857">
        <f t="shared" si="3"/>
        <v>32413.313177607219</v>
      </c>
      <c r="G55" s="855">
        <f t="shared" si="4"/>
        <v>17172.623277855964</v>
      </c>
      <c r="H55" s="855">
        <f t="shared" si="5"/>
        <v>15240.689899751253</v>
      </c>
      <c r="I55" s="855">
        <f t="shared" si="6"/>
        <v>2134454.1860987912</v>
      </c>
      <c r="J55" s="850" t="str">
        <f>'[3]B11-L8'!J62</f>
        <v>PAID</v>
      </c>
      <c r="K55" s="843"/>
      <c r="BW55" s="853">
        <v>34058</v>
      </c>
      <c r="BX55" s="854">
        <f t="shared" si="12"/>
        <v>-1188.8926887087073</v>
      </c>
      <c r="BY55" s="853">
        <f t="shared" si="13"/>
        <v>35246.892688708707</v>
      </c>
      <c r="BZ55" s="854">
        <f t="shared" si="14"/>
        <v>2644705.844341862</v>
      </c>
    </row>
    <row r="56" spans="1:78">
      <c r="A56" s="812">
        <f>IF(Values_Entered,A55+1,"")</f>
        <v>32</v>
      </c>
      <c r="B56" s="846">
        <f t="shared" si="15"/>
        <v>45950</v>
      </c>
      <c r="C56" s="855">
        <f t="shared" si="8"/>
        <v>2134454.1860987912</v>
      </c>
      <c r="D56" s="855">
        <f t="shared" si="9"/>
        <v>32413.313177607219</v>
      </c>
      <c r="E56" s="856"/>
      <c r="F56" s="857">
        <f t="shared" si="3"/>
        <v>32413.313177607219</v>
      </c>
      <c r="G56" s="855">
        <f t="shared" si="4"/>
        <v>17294.262692740776</v>
      </c>
      <c r="H56" s="855">
        <f t="shared" si="5"/>
        <v>15119.05048486644</v>
      </c>
      <c r="I56" s="855">
        <f t="shared" si="6"/>
        <v>2117159.9234060505</v>
      </c>
      <c r="J56" s="850" t="str">
        <f>'[3]B11-L8'!J63</f>
        <v>PAID</v>
      </c>
      <c r="K56" s="843"/>
      <c r="BW56" s="853">
        <v>34058</v>
      </c>
      <c r="BX56" s="854">
        <f t="shared" si="12"/>
        <v>-1204.7445912248295</v>
      </c>
      <c r="BY56" s="853">
        <f t="shared" si="13"/>
        <v>35262.744591224829</v>
      </c>
      <c r="BZ56" s="854">
        <f t="shared" si="14"/>
        <v>2645910.588933087</v>
      </c>
    </row>
    <row r="57" spans="1:78">
      <c r="A57" s="812">
        <f>IF(Values_Entered,A56+1,"")</f>
        <v>33</v>
      </c>
      <c r="B57" s="846">
        <f>B56+31</f>
        <v>45981</v>
      </c>
      <c r="C57" s="855">
        <f t="shared" si="8"/>
        <v>2117159.9234060505</v>
      </c>
      <c r="D57" s="855">
        <f t="shared" si="9"/>
        <v>32413.313177607219</v>
      </c>
      <c r="E57" s="856"/>
      <c r="F57" s="857">
        <f t="shared" si="3"/>
        <v>32413.313177607219</v>
      </c>
      <c r="G57" s="855">
        <f t="shared" si="4"/>
        <v>17416.76372014769</v>
      </c>
      <c r="H57" s="855">
        <f t="shared" si="5"/>
        <v>14996.549457459527</v>
      </c>
      <c r="I57" s="855">
        <f t="shared" si="6"/>
        <v>2099743.1596859028</v>
      </c>
      <c r="J57" s="850" t="str">
        <f>'[3]B11-L8'!J64</f>
        <v>PAID</v>
      </c>
      <c r="K57" s="843"/>
      <c r="BW57" s="853">
        <v>34058</v>
      </c>
      <c r="BX57" s="854">
        <f t="shared" si="12"/>
        <v>-1220.8078524411612</v>
      </c>
      <c r="BY57" s="853">
        <f t="shared" si="13"/>
        <v>35278.807852441161</v>
      </c>
      <c r="BZ57" s="854">
        <f t="shared" si="14"/>
        <v>2647131.3967855279</v>
      </c>
    </row>
    <row r="58" spans="1:78">
      <c r="A58" s="812">
        <f>IF(Values_Entered,A57+1,"")</f>
        <v>34</v>
      </c>
      <c r="B58" s="846">
        <f t="shared" si="15"/>
        <v>46011</v>
      </c>
      <c r="C58" s="855">
        <f t="shared" si="8"/>
        <v>2099743.1596859028</v>
      </c>
      <c r="D58" s="855">
        <f t="shared" si="9"/>
        <v>32413.313177607219</v>
      </c>
      <c r="E58" s="856"/>
      <c r="F58" s="857">
        <f t="shared" si="3"/>
        <v>32413.313177607219</v>
      </c>
      <c r="G58" s="855">
        <f t="shared" si="4"/>
        <v>17540.132463165406</v>
      </c>
      <c r="H58" s="855">
        <f t="shared" si="5"/>
        <v>14873.180714441813</v>
      </c>
      <c r="I58" s="855">
        <f t="shared" si="6"/>
        <v>2082203.0272227374</v>
      </c>
      <c r="J58" s="850" t="str">
        <f>'[3]B11-L8'!J65</f>
        <v>PAID</v>
      </c>
      <c r="K58" s="843"/>
      <c r="BW58" s="853">
        <v>34058</v>
      </c>
      <c r="BX58" s="854">
        <f t="shared" si="12"/>
        <v>-1237.0852904737039</v>
      </c>
      <c r="BY58" s="853">
        <f t="shared" si="13"/>
        <v>35295.085290473704</v>
      </c>
      <c r="BZ58" s="854">
        <f t="shared" si="14"/>
        <v>2648368.4820760018</v>
      </c>
    </row>
    <row r="59" spans="1:78">
      <c r="A59" s="812">
        <f>IF(Values_Entered,A58+1,"")</f>
        <v>35</v>
      </c>
      <c r="B59" s="846">
        <f>B58+31</f>
        <v>46042</v>
      </c>
      <c r="C59" s="855">
        <f t="shared" si="8"/>
        <v>2082203.0272227374</v>
      </c>
      <c r="D59" s="855">
        <f t="shared" si="9"/>
        <v>32413.313177607219</v>
      </c>
      <c r="E59" s="856"/>
      <c r="F59" s="857">
        <f t="shared" si="3"/>
        <v>32413.313177607219</v>
      </c>
      <c r="G59" s="855">
        <f t="shared" si="4"/>
        <v>17664.375068112829</v>
      </c>
      <c r="H59" s="855">
        <f t="shared" si="5"/>
        <v>14748.938109494391</v>
      </c>
      <c r="I59" s="855">
        <f t="shared" si="6"/>
        <v>2064538.6521546247</v>
      </c>
      <c r="J59" s="850" t="str">
        <f>'[3]B11-L8'!J66</f>
        <v>PAID</v>
      </c>
      <c r="K59" s="843"/>
      <c r="BW59" s="853">
        <v>34058</v>
      </c>
      <c r="BX59" s="854">
        <f t="shared" si="12"/>
        <v>-1253.5797610133595</v>
      </c>
      <c r="BY59" s="853">
        <f t="shared" si="13"/>
        <v>35311.57976101336</v>
      </c>
      <c r="BZ59" s="854">
        <f t="shared" si="14"/>
        <v>2649622.0618370152</v>
      </c>
    </row>
    <row r="60" spans="1:78">
      <c r="A60" s="812">
        <f>IF(Values_Entered,A59+1,"")</f>
        <v>36</v>
      </c>
      <c r="B60" s="846">
        <f>B59+31</f>
        <v>46073</v>
      </c>
      <c r="C60" s="855">
        <f t="shared" si="8"/>
        <v>2064538.6521546247</v>
      </c>
      <c r="D60" s="855">
        <f t="shared" si="9"/>
        <v>32413.313177607219</v>
      </c>
      <c r="E60" s="856"/>
      <c r="F60" s="857">
        <f t="shared" si="3"/>
        <v>32413.313177607219</v>
      </c>
      <c r="G60" s="855">
        <f t="shared" si="4"/>
        <v>17789.497724845292</v>
      </c>
      <c r="H60" s="855">
        <f t="shared" si="5"/>
        <v>14623.815452761926</v>
      </c>
      <c r="I60" s="855">
        <f t="shared" si="6"/>
        <v>2046749.1544297794</v>
      </c>
      <c r="J60" s="850" t="str">
        <f>'[3]B11-L8'!J67</f>
        <v>PAID</v>
      </c>
      <c r="K60" s="843"/>
      <c r="BW60" s="853">
        <v>34058</v>
      </c>
      <c r="BX60" s="854">
        <f t="shared" si="12"/>
        <v>-1270.2941578268728</v>
      </c>
      <c r="BY60" s="853">
        <f t="shared" si="13"/>
        <v>35328.294157826873</v>
      </c>
      <c r="BZ60" s="854">
        <f t="shared" si="14"/>
        <v>2650892.355994842</v>
      </c>
    </row>
    <row r="61" spans="1:78">
      <c r="A61" s="812">
        <f>IF(Values_Entered,A60+1,"")</f>
        <v>37</v>
      </c>
      <c r="B61" s="846">
        <f>B60+28</f>
        <v>46101</v>
      </c>
      <c r="C61" s="855">
        <f>IF(Pay_Num&lt;&gt;"",I60,"")</f>
        <v>2046749.1544297794</v>
      </c>
      <c r="D61" s="855">
        <f t="shared" si="9"/>
        <v>32413.313177607219</v>
      </c>
      <c r="E61" s="856"/>
      <c r="F61" s="857">
        <f t="shared" si="3"/>
        <v>32413.313177607219</v>
      </c>
      <c r="G61" s="855">
        <f t="shared" si="4"/>
        <v>17915.506667062946</v>
      </c>
      <c r="H61" s="855">
        <f t="shared" si="5"/>
        <v>14497.806510544273</v>
      </c>
      <c r="I61" s="855">
        <f t="shared" si="6"/>
        <v>2028833.6477627165</v>
      </c>
      <c r="J61" s="850" t="str">
        <f>'[3]B11-L8'!J68</f>
        <v>PAID</v>
      </c>
      <c r="K61" s="843"/>
      <c r="BW61" s="853">
        <v>34058</v>
      </c>
      <c r="BX61" s="854">
        <f t="shared" si="12"/>
        <v>-1287.2314132645624</v>
      </c>
      <c r="BY61" s="853">
        <f t="shared" si="13"/>
        <v>35345.231413264562</v>
      </c>
      <c r="BZ61" s="854">
        <f t="shared" si="14"/>
        <v>2652179.5874081068</v>
      </c>
    </row>
    <row r="62" spans="1:78">
      <c r="A62" s="812">
        <f>IF(Values_Entered,A61+1,"")</f>
        <v>38</v>
      </c>
      <c r="B62" s="846">
        <f>B61+31</f>
        <v>46132</v>
      </c>
      <c r="C62" s="855">
        <f t="shared" si="8"/>
        <v>2028833.6477627165</v>
      </c>
      <c r="D62" s="855">
        <f t="shared" si="9"/>
        <v>32413.313177607219</v>
      </c>
      <c r="E62" s="856"/>
      <c r="F62" s="857">
        <f t="shared" si="3"/>
        <v>32413.313177607219</v>
      </c>
      <c r="G62" s="855">
        <f t="shared" si="4"/>
        <v>18042.408172621312</v>
      </c>
      <c r="H62" s="855">
        <f t="shared" si="5"/>
        <v>14370.905004985909</v>
      </c>
      <c r="I62" s="855">
        <f t="shared" si="6"/>
        <v>2010791.2395900951</v>
      </c>
      <c r="J62" s="850" t="str">
        <f>'[3]B11-L8'!J69</f>
        <v>BOUNCED CHECK 2.28.2024</v>
      </c>
      <c r="K62" s="843"/>
      <c r="BW62" s="853">
        <v>34058</v>
      </c>
      <c r="BX62" s="854">
        <f t="shared" si="12"/>
        <v>-1304.39449877476</v>
      </c>
      <c r="BY62" s="853">
        <f t="shared" si="13"/>
        <v>35362.39449877476</v>
      </c>
      <c r="BZ62" s="854">
        <f t="shared" si="14"/>
        <v>2653483.9819068816</v>
      </c>
    </row>
    <row r="63" spans="1:78">
      <c r="A63" s="812">
        <f>IF(Values_Entered,A62+1,"")</f>
        <v>39</v>
      </c>
      <c r="B63" s="846">
        <f t="shared" si="15"/>
        <v>46162</v>
      </c>
      <c r="C63" s="855">
        <f t="shared" si="8"/>
        <v>2010791.2395900951</v>
      </c>
      <c r="D63" s="855">
        <f t="shared" si="9"/>
        <v>32413.313177607219</v>
      </c>
      <c r="E63" s="856"/>
      <c r="F63" s="857">
        <f t="shared" si="3"/>
        <v>32413.313177607219</v>
      </c>
      <c r="G63" s="855">
        <f t="shared" si="4"/>
        <v>18170.20856384404</v>
      </c>
      <c r="H63" s="855">
        <f t="shared" si="5"/>
        <v>14243.104613763177</v>
      </c>
      <c r="I63" s="855">
        <f t="shared" si="6"/>
        <v>1992621.0310262511</v>
      </c>
      <c r="J63" s="850">
        <f>'[3]B11-L8'!J70</f>
        <v>0</v>
      </c>
      <c r="K63" s="843"/>
      <c r="BW63" s="853">
        <v>34058</v>
      </c>
      <c r="BX63" s="854">
        <f t="shared" si="12"/>
        <v>-1321.786425425089</v>
      </c>
      <c r="BY63" s="853">
        <f t="shared" si="13"/>
        <v>35379.786425425089</v>
      </c>
      <c r="BZ63" s="854">
        <f t="shared" si="14"/>
        <v>2654805.7683323068</v>
      </c>
    </row>
    <row r="64" spans="1:78">
      <c r="A64" s="812">
        <f>IF(Values_Entered,A63+1,"")</f>
        <v>40</v>
      </c>
      <c r="B64" s="846">
        <f>B63+31</f>
        <v>46193</v>
      </c>
      <c r="C64" s="855">
        <f t="shared" si="8"/>
        <v>1992621.0310262511</v>
      </c>
      <c r="D64" s="855">
        <f t="shared" si="9"/>
        <v>32413.313177607219</v>
      </c>
      <c r="E64" s="856"/>
      <c r="F64" s="857">
        <f t="shared" si="3"/>
        <v>32413.313177607219</v>
      </c>
      <c r="G64" s="855">
        <f t="shared" si="4"/>
        <v>18298.914207837937</v>
      </c>
      <c r="H64" s="855">
        <f t="shared" si="5"/>
        <v>14114.39896976928</v>
      </c>
      <c r="I64" s="855">
        <f t="shared" si="6"/>
        <v>1974322.1168184131</v>
      </c>
      <c r="J64" s="850" t="str">
        <f>'[3]B11-L8'!J71</f>
        <v>PAID</v>
      </c>
      <c r="K64" s="843"/>
      <c r="BW64" s="853">
        <v>34058</v>
      </c>
      <c r="BX64" s="854">
        <f t="shared" si="12"/>
        <v>-1339.4102444307573</v>
      </c>
      <c r="BY64" s="853">
        <f t="shared" si="13"/>
        <v>35397.410244430757</v>
      </c>
      <c r="BZ64" s="854">
        <f t="shared" si="14"/>
        <v>2656145.1785767376</v>
      </c>
    </row>
    <row r="65" spans="1:78">
      <c r="A65" s="812">
        <f>IF(Values_Entered,A64+1,"")</f>
        <v>41</v>
      </c>
      <c r="B65" s="846">
        <f t="shared" si="15"/>
        <v>46223</v>
      </c>
      <c r="C65" s="855">
        <f t="shared" si="8"/>
        <v>1974322.1168184131</v>
      </c>
      <c r="D65" s="855">
        <f t="shared" si="9"/>
        <v>32413.313177607219</v>
      </c>
      <c r="E65" s="856"/>
      <c r="F65" s="857">
        <f t="shared" si="3"/>
        <v>32413.313177607219</v>
      </c>
      <c r="G65" s="855">
        <f t="shared" si="4"/>
        <v>18428.531516810122</v>
      </c>
      <c r="H65" s="855">
        <f t="shared" si="5"/>
        <v>13984.781660797094</v>
      </c>
      <c r="I65" s="855">
        <f t="shared" si="6"/>
        <v>1955893.585301603</v>
      </c>
      <c r="J65" s="850" t="str">
        <f>'[3]B11-L8'!J72</f>
        <v>PAID</v>
      </c>
      <c r="K65" s="843"/>
      <c r="BW65" s="853">
        <v>34058</v>
      </c>
      <c r="BX65" s="854">
        <f t="shared" si="12"/>
        <v>-1357.2690476898351</v>
      </c>
      <c r="BY65" s="853">
        <f t="shared" si="13"/>
        <v>35415.269047689835</v>
      </c>
      <c r="BZ65" s="854">
        <f t="shared" si="14"/>
        <v>2657502.4476244273</v>
      </c>
    </row>
    <row r="66" spans="1:78">
      <c r="A66" s="812">
        <f>IF(Values_Entered,A65+1,"")</f>
        <v>42</v>
      </c>
      <c r="B66" s="846">
        <f>B65+31</f>
        <v>46254</v>
      </c>
      <c r="C66" s="855">
        <f t="shared" si="8"/>
        <v>1955893.585301603</v>
      </c>
      <c r="D66" s="855">
        <f t="shared" si="9"/>
        <v>32413.313177607219</v>
      </c>
      <c r="E66" s="856"/>
      <c r="F66" s="857">
        <f t="shared" si="3"/>
        <v>32413.313177607219</v>
      </c>
      <c r="G66" s="855">
        <f t="shared" si="4"/>
        <v>18559.066948387532</v>
      </c>
      <c r="H66" s="855">
        <f t="shared" si="5"/>
        <v>13854.246229219689</v>
      </c>
      <c r="I66" s="855">
        <f t="shared" si="6"/>
        <v>1937334.5183532154</v>
      </c>
      <c r="J66" s="850" t="str">
        <f>'[3]B11-L8'!J73</f>
        <v>PAID</v>
      </c>
      <c r="K66" s="843"/>
      <c r="BW66" s="853">
        <v>34058</v>
      </c>
      <c r="BX66" s="854">
        <f t="shared" si="12"/>
        <v>-1375.3659683256992</v>
      </c>
      <c r="BY66" s="853">
        <f t="shared" si="13"/>
        <v>35433.365968325699</v>
      </c>
      <c r="BZ66" s="854">
        <f t="shared" si="14"/>
        <v>2658877.8135927529</v>
      </c>
    </row>
    <row r="67" spans="1:78">
      <c r="A67" s="812">
        <f>IF(Values_Entered,A66+1,"")</f>
        <v>43</v>
      </c>
      <c r="B67" s="846">
        <f>B66+31</f>
        <v>46285</v>
      </c>
      <c r="C67" s="855">
        <f t="shared" si="8"/>
        <v>1937334.5183532154</v>
      </c>
      <c r="D67" s="855">
        <f t="shared" si="9"/>
        <v>32413.313177607219</v>
      </c>
      <c r="E67" s="856"/>
      <c r="F67" s="857">
        <f t="shared" si="3"/>
        <v>32413.313177607219</v>
      </c>
      <c r="G67" s="855">
        <f t="shared" si="4"/>
        <v>18690.527005938609</v>
      </c>
      <c r="H67" s="855">
        <f t="shared" si="5"/>
        <v>13722.786171668609</v>
      </c>
      <c r="I67" s="855">
        <f t="shared" si="6"/>
        <v>1918643.9913472768</v>
      </c>
      <c r="J67" s="850" t="str">
        <f>'[3]B11-L8'!J74</f>
        <v>PAID</v>
      </c>
      <c r="K67" s="843"/>
      <c r="BW67" s="853">
        <v>34058</v>
      </c>
      <c r="BX67" s="854">
        <f t="shared" si="12"/>
        <v>-1393.7041812367024</v>
      </c>
      <c r="BY67" s="853">
        <f t="shared" si="13"/>
        <v>35451.704181236702</v>
      </c>
      <c r="BZ67" s="854">
        <f t="shared" si="14"/>
        <v>2660271.5177739896</v>
      </c>
    </row>
    <row r="68" spans="1:78">
      <c r="A68" s="812">
        <f>IF(Values_Entered,A67+1,"")</f>
        <v>44</v>
      </c>
      <c r="B68" s="846">
        <f t="shared" si="15"/>
        <v>46315</v>
      </c>
      <c r="C68" s="855">
        <f t="shared" si="8"/>
        <v>1918643.9913472768</v>
      </c>
      <c r="D68" s="855">
        <f t="shared" si="9"/>
        <v>32413.313177607219</v>
      </c>
      <c r="E68" s="856"/>
      <c r="F68" s="857">
        <f t="shared" si="3"/>
        <v>32413.313177607219</v>
      </c>
      <c r="G68" s="855">
        <f t="shared" si="4"/>
        <v>18822.918238897342</v>
      </c>
      <c r="H68" s="855">
        <f t="shared" si="5"/>
        <v>13590.394938709878</v>
      </c>
      <c r="I68" s="855">
        <f t="shared" si="6"/>
        <v>1899821.0731083795</v>
      </c>
      <c r="J68" s="850" t="str">
        <f>'[3]B11-L8'!J75</f>
        <v>PAID</v>
      </c>
      <c r="K68" s="843"/>
      <c r="BW68" s="853">
        <v>34058</v>
      </c>
      <c r="BX68" s="854">
        <f t="shared" si="12"/>
        <v>-1412.2869036531993</v>
      </c>
      <c r="BY68" s="853">
        <f t="shared" si="13"/>
        <v>35470.286903653199</v>
      </c>
      <c r="BZ68" s="854">
        <f t="shared" si="14"/>
        <v>2661683.8046776429</v>
      </c>
    </row>
    <row r="69" spans="1:78">
      <c r="A69" s="812">
        <f>IF(Values_Entered,A68+1,"")</f>
        <v>45</v>
      </c>
      <c r="B69" s="846">
        <f>B68+31</f>
        <v>46346</v>
      </c>
      <c r="C69" s="855">
        <f t="shared" si="8"/>
        <v>1899821.0731083795</v>
      </c>
      <c r="D69" s="855">
        <f t="shared" si="9"/>
        <v>32413.313177607219</v>
      </c>
      <c r="E69" s="856"/>
      <c r="F69" s="857">
        <f t="shared" si="3"/>
        <v>32413.313177607219</v>
      </c>
      <c r="G69" s="855">
        <f t="shared" si="4"/>
        <v>18956.247243089529</v>
      </c>
      <c r="H69" s="855">
        <f t="shared" si="5"/>
        <v>13457.06593451769</v>
      </c>
      <c r="I69" s="855">
        <f t="shared" si="6"/>
        <v>1880864.8258652899</v>
      </c>
      <c r="J69" s="850" t="str">
        <f>'[3]B11-L8'!J76</f>
        <v>PAID</v>
      </c>
      <c r="K69" s="843"/>
      <c r="BW69" s="853">
        <v>34058</v>
      </c>
      <c r="BX69" s="854">
        <f t="shared" si="12"/>
        <v>-1431.1173957019055</v>
      </c>
      <c r="BY69" s="853">
        <f t="shared" si="13"/>
        <v>35489.117395701905</v>
      </c>
      <c r="BZ69" s="854">
        <f t="shared" si="14"/>
        <v>2663114.9220733447</v>
      </c>
    </row>
    <row r="70" spans="1:78">
      <c r="A70" s="812">
        <f>IF(Values_Entered,A69+1,"")</f>
        <v>46</v>
      </c>
      <c r="B70" s="846">
        <f t="shared" si="15"/>
        <v>46376</v>
      </c>
      <c r="C70" s="855">
        <f t="shared" si="8"/>
        <v>1880864.8258652899</v>
      </c>
      <c r="D70" s="855">
        <f t="shared" si="9"/>
        <v>32413.313177607219</v>
      </c>
      <c r="E70" s="856"/>
      <c r="F70" s="857">
        <f t="shared" si="3"/>
        <v>32413.313177607219</v>
      </c>
      <c r="G70" s="855">
        <f t="shared" si="4"/>
        <v>19090.520661061411</v>
      </c>
      <c r="H70" s="855">
        <f t="shared" si="5"/>
        <v>13322.792516545805</v>
      </c>
      <c r="I70" s="855">
        <f t="shared" si="6"/>
        <v>1861774.3052042285</v>
      </c>
      <c r="J70" s="850" t="str">
        <f>'[3]B11-L8'!J77</f>
        <v>PAID</v>
      </c>
      <c r="K70" s="843"/>
      <c r="BW70" s="853">
        <v>34058</v>
      </c>
      <c r="BX70" s="854">
        <f t="shared" si="12"/>
        <v>-1450.1989609779339</v>
      </c>
      <c r="BY70" s="853">
        <f t="shared" si="13"/>
        <v>35508.198960977934</v>
      </c>
      <c r="BZ70" s="854">
        <f t="shared" si="14"/>
        <v>2664565.1210343228</v>
      </c>
    </row>
    <row r="71" spans="1:78">
      <c r="A71" s="812">
        <f>IF(Values_Entered,A70+1,"")</f>
        <v>47</v>
      </c>
      <c r="B71" s="846">
        <f>B70+31</f>
        <v>46407</v>
      </c>
      <c r="C71" s="855">
        <f t="shared" si="8"/>
        <v>1861774.3052042285</v>
      </c>
      <c r="D71" s="855">
        <f t="shared" si="9"/>
        <v>32413.313177607219</v>
      </c>
      <c r="E71" s="856"/>
      <c r="F71" s="857">
        <f t="shared" si="3"/>
        <v>32413.313177607219</v>
      </c>
      <c r="G71" s="855">
        <f t="shared" si="4"/>
        <v>19225.745182410596</v>
      </c>
      <c r="H71" s="855">
        <f t="shared" si="5"/>
        <v>13187.567995196621</v>
      </c>
      <c r="I71" s="855">
        <f t="shared" si="6"/>
        <v>1842548.5600218179</v>
      </c>
      <c r="J71" s="850" t="str">
        <f>'[3]B11-L8'!J78</f>
        <v>PAID</v>
      </c>
      <c r="K71" s="843"/>
      <c r="BW71" s="853">
        <v>34058</v>
      </c>
      <c r="BX71" s="854">
        <f t="shared" si="12"/>
        <v>-1469.5349471243026</v>
      </c>
      <c r="BY71" s="853">
        <f t="shared" si="13"/>
        <v>35527.534947124303</v>
      </c>
      <c r="BZ71" s="854">
        <f t="shared" si="14"/>
        <v>2666034.6559814471</v>
      </c>
    </row>
    <row r="72" spans="1:78">
      <c r="A72" s="812">
        <f>IF(Values_Entered,A71+1,"")</f>
        <v>48</v>
      </c>
      <c r="B72" s="846">
        <f>B71+31</f>
        <v>46438</v>
      </c>
      <c r="C72" s="855">
        <f t="shared" si="8"/>
        <v>1842548.5600218179</v>
      </c>
      <c r="D72" s="855">
        <f t="shared" si="9"/>
        <v>32413.313177607219</v>
      </c>
      <c r="E72" s="856"/>
      <c r="F72" s="857">
        <f t="shared" si="3"/>
        <v>32413.313177607219</v>
      </c>
      <c r="G72" s="855">
        <f t="shared" si="4"/>
        <v>19361.927544119339</v>
      </c>
      <c r="H72" s="855">
        <f t="shared" si="5"/>
        <v>13051.385633487878</v>
      </c>
      <c r="I72" s="855">
        <f t="shared" si="6"/>
        <v>1823186.6324776986</v>
      </c>
      <c r="J72" s="850" t="str">
        <f>'[3]B11-L8'!J79</f>
        <v>PAID</v>
      </c>
      <c r="K72" s="843"/>
      <c r="BW72" s="853">
        <v>34058</v>
      </c>
      <c r="BX72" s="854">
        <f t="shared" si="12"/>
        <v>-1489.1287464192937</v>
      </c>
      <c r="BY72" s="853">
        <f t="shared" si="13"/>
        <v>35547.128746419294</v>
      </c>
      <c r="BZ72" s="854">
        <f t="shared" si="14"/>
        <v>2667523.7847278663</v>
      </c>
    </row>
    <row r="73" spans="1:78">
      <c r="A73" s="812">
        <f>IF(Values_Entered,A72+1,"")</f>
        <v>49</v>
      </c>
      <c r="B73" s="846">
        <f>B72+28</f>
        <v>46466</v>
      </c>
      <c r="C73" s="855">
        <f t="shared" si="8"/>
        <v>1823186.6324776986</v>
      </c>
      <c r="D73" s="855">
        <f t="shared" si="9"/>
        <v>32413.313177607219</v>
      </c>
      <c r="E73" s="856"/>
      <c r="F73" s="857">
        <f t="shared" si="3"/>
        <v>32413.313177607219</v>
      </c>
      <c r="G73" s="855">
        <f t="shared" si="4"/>
        <v>19499.074530890182</v>
      </c>
      <c r="H73" s="855">
        <f t="shared" si="5"/>
        <v>12914.238646717034</v>
      </c>
      <c r="I73" s="855">
        <f t="shared" si="6"/>
        <v>1803687.5579468084</v>
      </c>
      <c r="J73" s="850" t="str">
        <f>'[3]B11-L8'!J80</f>
        <v>PAID</v>
      </c>
      <c r="K73" s="843"/>
      <c r="BW73" s="853">
        <v>34058</v>
      </c>
      <c r="BX73" s="854">
        <f t="shared" si="12"/>
        <v>-1508.9837963715472</v>
      </c>
      <c r="BY73" s="853">
        <f t="shared" si="13"/>
        <v>35566.983796371547</v>
      </c>
      <c r="BZ73" s="854">
        <f t="shared" si="14"/>
        <v>2669032.7685242379</v>
      </c>
    </row>
    <row r="74" spans="1:78">
      <c r="A74" s="812">
        <f>IF(Values_Entered,A73+1,"")</f>
        <v>50</v>
      </c>
      <c r="B74" s="846">
        <f>B73+31</f>
        <v>46497</v>
      </c>
      <c r="C74" s="855">
        <f t="shared" si="8"/>
        <v>1803687.5579468084</v>
      </c>
      <c r="D74" s="855">
        <f t="shared" si="9"/>
        <v>32413.313177607219</v>
      </c>
      <c r="E74" s="856"/>
      <c r="F74" s="857">
        <f t="shared" si="3"/>
        <v>32413.313177607219</v>
      </c>
      <c r="G74" s="855">
        <f t="shared" si="4"/>
        <v>19637.192975483995</v>
      </c>
      <c r="H74" s="855">
        <f t="shared" si="5"/>
        <v>12776.120202123226</v>
      </c>
      <c r="I74" s="855">
        <f t="shared" si="6"/>
        <v>1784050.3649713243</v>
      </c>
      <c r="J74" s="850" t="str">
        <f>'[3]B11-L8'!J81</f>
        <v>PAID</v>
      </c>
      <c r="K74" s="843"/>
      <c r="BW74" s="853">
        <v>34058</v>
      </c>
      <c r="BX74" s="854">
        <f t="shared" si="12"/>
        <v>-1529.1035803231716</v>
      </c>
      <c r="BY74" s="853">
        <f t="shared" si="13"/>
        <v>35587.103580323172</v>
      </c>
      <c r="BZ74" s="854">
        <f t="shared" si="14"/>
        <v>2670561.872104561</v>
      </c>
    </row>
    <row r="75" spans="1:78">
      <c r="A75" s="812">
        <f>IF(Values_Entered,A74+1,"")</f>
        <v>51</v>
      </c>
      <c r="B75" s="846">
        <f t="shared" si="15"/>
        <v>46527</v>
      </c>
      <c r="C75" s="855">
        <f t="shared" si="8"/>
        <v>1784050.3649713243</v>
      </c>
      <c r="D75" s="855">
        <f t="shared" si="9"/>
        <v>32413.313177607219</v>
      </c>
      <c r="E75" s="856"/>
      <c r="F75" s="857">
        <f t="shared" si="3"/>
        <v>32413.313177607219</v>
      </c>
      <c r="G75" s="855">
        <f t="shared" si="4"/>
        <v>19776.289759060339</v>
      </c>
      <c r="H75" s="855">
        <f t="shared" si="5"/>
        <v>12637.023418546882</v>
      </c>
      <c r="I75" s="855">
        <f t="shared" si="6"/>
        <v>1764274.075212264</v>
      </c>
      <c r="J75" s="850" t="str">
        <f>'[3]B11-L8'!J82</f>
        <v>PAID</v>
      </c>
      <c r="K75" s="843"/>
      <c r="BW75" s="853">
        <v>34058</v>
      </c>
      <c r="BX75" s="854">
        <f t="shared" si="12"/>
        <v>-1549.4916280608159</v>
      </c>
      <c r="BY75" s="853">
        <f t="shared" si="13"/>
        <v>35607.491628060816</v>
      </c>
      <c r="BZ75" s="854">
        <f t="shared" si="14"/>
        <v>2672111.363732622</v>
      </c>
    </row>
    <row r="76" spans="1:78">
      <c r="A76" s="812">
        <f>IF(Values_Entered,A75+1,"")</f>
        <v>52</v>
      </c>
      <c r="B76" s="846">
        <f>B75+31</f>
        <v>46558</v>
      </c>
      <c r="C76" s="855">
        <f t="shared" si="8"/>
        <v>1764274.075212264</v>
      </c>
      <c r="D76" s="855">
        <f t="shared" si="9"/>
        <v>32413.313177607219</v>
      </c>
      <c r="E76" s="856"/>
      <c r="F76" s="857">
        <f t="shared" si="3"/>
        <v>32413.313177607219</v>
      </c>
      <c r="G76" s="855">
        <f t="shared" si="4"/>
        <v>19916.371811520345</v>
      </c>
      <c r="H76" s="855">
        <f t="shared" si="5"/>
        <v>12496.941366086872</v>
      </c>
      <c r="I76" s="855">
        <f t="shared" si="6"/>
        <v>1744357.7034007437</v>
      </c>
      <c r="J76" s="850" t="str">
        <f>'[3]B11-L8'!J83</f>
        <v>PAID</v>
      </c>
      <c r="K76" s="843"/>
      <c r="BW76" s="853">
        <v>34058</v>
      </c>
      <c r="BX76" s="854">
        <f t="shared" si="12"/>
        <v>-1570.1515164349621</v>
      </c>
      <c r="BY76" s="853">
        <f t="shared" si="13"/>
        <v>35628.151516434962</v>
      </c>
      <c r="BZ76" s="854">
        <f t="shared" si="14"/>
        <v>2673681.5152490567</v>
      </c>
    </row>
    <row r="77" spans="1:78">
      <c r="A77" s="812">
        <f>IF(Values_Entered,A76+1,"")</f>
        <v>53</v>
      </c>
      <c r="B77" s="846">
        <f t="shared" si="15"/>
        <v>46588</v>
      </c>
      <c r="C77" s="855">
        <f t="shared" si="8"/>
        <v>1744357.7034007437</v>
      </c>
      <c r="D77" s="855">
        <f t="shared" si="9"/>
        <v>32413.313177607219</v>
      </c>
      <c r="E77" s="856"/>
      <c r="F77" s="857">
        <f t="shared" si="3"/>
        <v>32413.313177607219</v>
      </c>
      <c r="G77" s="855">
        <f t="shared" si="4"/>
        <v>20057.446111851947</v>
      </c>
      <c r="H77" s="855">
        <f t="shared" si="5"/>
        <v>12355.86706575527</v>
      </c>
      <c r="I77" s="855">
        <f t="shared" si="6"/>
        <v>1724300.2572888918</v>
      </c>
      <c r="J77" s="850" t="str">
        <f>'[3]B11-L8'!J84</f>
        <v>PAID</v>
      </c>
      <c r="K77" s="843"/>
      <c r="BW77" s="853">
        <v>34058</v>
      </c>
      <c r="BX77" s="854">
        <f t="shared" si="12"/>
        <v>-1591.0868699874263</v>
      </c>
      <c r="BY77" s="853">
        <f t="shared" si="13"/>
        <v>35649.086869987426</v>
      </c>
      <c r="BZ77" s="854">
        <f t="shared" si="14"/>
        <v>2675272.6021190444</v>
      </c>
    </row>
    <row r="78" spans="1:78">
      <c r="A78" s="812">
        <f>IF(Values_Entered,A77+1,"")</f>
        <v>54</v>
      </c>
      <c r="B78" s="846">
        <f>B77+31</f>
        <v>46619</v>
      </c>
      <c r="C78" s="855">
        <f t="shared" si="8"/>
        <v>1724300.2572888918</v>
      </c>
      <c r="D78" s="855">
        <f t="shared" si="9"/>
        <v>32413.313177607219</v>
      </c>
      <c r="E78" s="856"/>
      <c r="F78" s="857">
        <f t="shared" si="3"/>
        <v>32413.313177607219</v>
      </c>
      <c r="G78" s="855">
        <f t="shared" si="4"/>
        <v>20199.519688477565</v>
      </c>
      <c r="H78" s="855">
        <f t="shared" si="5"/>
        <v>12213.793489129652</v>
      </c>
      <c r="I78" s="855">
        <f t="shared" si="6"/>
        <v>1704100.7376004143</v>
      </c>
      <c r="J78" s="850" t="str">
        <f>'[3]B11-L8'!J85</f>
        <v>PAID</v>
      </c>
      <c r="K78" s="843"/>
      <c r="BW78" s="853">
        <v>34058</v>
      </c>
      <c r="BX78" s="854">
        <f t="shared" si="12"/>
        <v>-1612.3013615872551</v>
      </c>
      <c r="BY78" s="853">
        <f t="shared" si="13"/>
        <v>35670.301361587255</v>
      </c>
      <c r="BZ78" s="854">
        <f t="shared" si="14"/>
        <v>2676884.9034806318</v>
      </c>
    </row>
    <row r="79" spans="1:78">
      <c r="A79" s="812">
        <f>IF(Values_Entered,A78+1,"")</f>
        <v>55</v>
      </c>
      <c r="B79" s="846">
        <f>B78+31</f>
        <v>46650</v>
      </c>
      <c r="C79" s="855">
        <f t="shared" si="8"/>
        <v>1704100.7376004143</v>
      </c>
      <c r="D79" s="855">
        <f t="shared" si="9"/>
        <v>32413.313177607219</v>
      </c>
      <c r="E79" s="856"/>
      <c r="F79" s="857">
        <f t="shared" si="3"/>
        <v>32413.313177607219</v>
      </c>
      <c r="G79" s="855">
        <f t="shared" si="4"/>
        <v>20342.599619604283</v>
      </c>
      <c r="H79" s="855">
        <f t="shared" si="5"/>
        <v>12070.713558002935</v>
      </c>
      <c r="I79" s="855">
        <f t="shared" si="6"/>
        <v>1683758.1379808101</v>
      </c>
      <c r="J79" s="850" t="str">
        <f>'[3]B11-L8'!J86</f>
        <v>PAID</v>
      </c>
      <c r="K79" s="843"/>
      <c r="BW79" s="853">
        <v>34058</v>
      </c>
      <c r="BX79" s="854">
        <f t="shared" si="12"/>
        <v>-1633.7987130750917</v>
      </c>
      <c r="BY79" s="853">
        <f t="shared" si="13"/>
        <v>35691.798713075092</v>
      </c>
      <c r="BZ79" s="854">
        <f t="shared" si="14"/>
        <v>2678518.7021937068</v>
      </c>
    </row>
    <row r="80" spans="1:78">
      <c r="A80" s="812">
        <f>IF(Values_Entered,A79+1,"")</f>
        <v>56</v>
      </c>
      <c r="B80" s="846">
        <f t="shared" si="15"/>
        <v>46680</v>
      </c>
      <c r="C80" s="855">
        <f t="shared" si="8"/>
        <v>1683758.1379808101</v>
      </c>
      <c r="D80" s="855">
        <f t="shared" si="9"/>
        <v>32413.313177607219</v>
      </c>
      <c r="E80" s="856"/>
      <c r="F80" s="857">
        <f t="shared" si="3"/>
        <v>32413.313177607219</v>
      </c>
      <c r="G80" s="855">
        <f t="shared" si="4"/>
        <v>20486.693033576477</v>
      </c>
      <c r="H80" s="855">
        <f t="shared" si="5"/>
        <v>11926.62014403074</v>
      </c>
      <c r="I80" s="855">
        <f t="shared" si="6"/>
        <v>1663271.4449472337</v>
      </c>
      <c r="J80" s="850">
        <f>'[3]B11-L8'!J87</f>
        <v>0</v>
      </c>
      <c r="K80" s="843"/>
      <c r="BW80" s="853">
        <v>34058</v>
      </c>
      <c r="BX80" s="854">
        <f t="shared" si="12"/>
        <v>-1655.5826959160913</v>
      </c>
      <c r="BY80" s="853">
        <f t="shared" si="13"/>
        <v>35713.582695916091</v>
      </c>
      <c r="BZ80" s="854">
        <f t="shared" si="14"/>
        <v>2680174.2848896231</v>
      </c>
    </row>
    <row r="81" spans="1:78">
      <c r="A81" s="812">
        <f>IF(Values_Entered,A80+1,"")</f>
        <v>57</v>
      </c>
      <c r="B81" s="846">
        <f>B80+31</f>
        <v>46711</v>
      </c>
      <c r="C81" s="855">
        <f t="shared" si="8"/>
        <v>1663271.4449472337</v>
      </c>
      <c r="D81" s="855">
        <f t="shared" si="9"/>
        <v>32413.313177607219</v>
      </c>
      <c r="E81" s="856"/>
      <c r="F81" s="857">
        <f t="shared" si="3"/>
        <v>32413.313177607219</v>
      </c>
      <c r="G81" s="855">
        <f t="shared" si="4"/>
        <v>20631.807109230976</v>
      </c>
      <c r="H81" s="855">
        <f t="shared" si="5"/>
        <v>11781.50606837624</v>
      </c>
      <c r="I81" s="855">
        <f t="shared" si="6"/>
        <v>1642639.6378380028</v>
      </c>
      <c r="J81" s="850">
        <f>'[3]B11-L8'!J88</f>
        <v>0</v>
      </c>
      <c r="K81" s="843"/>
      <c r="BW81" s="853">
        <v>34058</v>
      </c>
      <c r="BX81" s="854">
        <f t="shared" si="12"/>
        <v>-1677.6571318616407</v>
      </c>
      <c r="BY81" s="853">
        <f t="shared" si="13"/>
        <v>35735.657131861641</v>
      </c>
      <c r="BZ81" s="854">
        <f t="shared" si="14"/>
        <v>2681851.9420214845</v>
      </c>
    </row>
    <row r="82" spans="1:78">
      <c r="A82" s="812">
        <f>IF(Values_Entered,A81+1,"")</f>
        <v>58</v>
      </c>
      <c r="B82" s="846">
        <f t="shared" si="15"/>
        <v>46741</v>
      </c>
      <c r="C82" s="855">
        <f t="shared" si="8"/>
        <v>1642639.6378380028</v>
      </c>
      <c r="D82" s="855">
        <f t="shared" si="9"/>
        <v>32413.313177607219</v>
      </c>
      <c r="E82" s="856"/>
      <c r="F82" s="857">
        <f t="shared" si="3"/>
        <v>32413.313177607219</v>
      </c>
      <c r="G82" s="855">
        <f t="shared" si="4"/>
        <v>20777.949076254699</v>
      </c>
      <c r="H82" s="855">
        <f t="shared" si="5"/>
        <v>11635.364101352519</v>
      </c>
      <c r="I82" s="855">
        <f t="shared" si="6"/>
        <v>1621861.6887617481</v>
      </c>
      <c r="J82" s="850">
        <f>'[3]B11-L8'!J89</f>
        <v>0</v>
      </c>
      <c r="K82" s="843"/>
      <c r="BW82" s="853">
        <v>34058</v>
      </c>
      <c r="BX82" s="854">
        <f t="shared" si="12"/>
        <v>-1700.0258936197934</v>
      </c>
      <c r="BY82" s="853">
        <f t="shared" si="13"/>
        <v>35758.025893619793</v>
      </c>
      <c r="BZ82" s="854">
        <f t="shared" si="14"/>
        <v>2683551.9679151042</v>
      </c>
    </row>
    <row r="83" spans="1:78">
      <c r="A83" s="812">
        <f>IF(Values_Entered,A82+1,"")</f>
        <v>59</v>
      </c>
      <c r="B83" s="846">
        <f>B82+31</f>
        <v>46772</v>
      </c>
      <c r="C83" s="855">
        <f t="shared" si="8"/>
        <v>1621861.6887617481</v>
      </c>
      <c r="D83" s="855">
        <f t="shared" si="9"/>
        <v>32413.313177607219</v>
      </c>
      <c r="E83" s="856"/>
      <c r="F83" s="857">
        <f t="shared" si="3"/>
        <v>32413.313177607219</v>
      </c>
      <c r="G83" s="855">
        <f t="shared" si="4"/>
        <v>20925.126215544835</v>
      </c>
      <c r="H83" s="855">
        <f t="shared" si="5"/>
        <v>11488.186962062384</v>
      </c>
      <c r="I83" s="855">
        <f t="shared" si="6"/>
        <v>1600936.5625462034</v>
      </c>
      <c r="J83" s="850">
        <f>'[3]B11-L8'!J90</f>
        <v>0</v>
      </c>
      <c r="K83" s="843"/>
      <c r="BW83" s="853">
        <v>34058</v>
      </c>
      <c r="BX83" s="854">
        <f t="shared" si="12"/>
        <v>-1722.6929055347209</v>
      </c>
      <c r="BY83" s="853">
        <f t="shared" si="13"/>
        <v>35780.692905534721</v>
      </c>
      <c r="BZ83" s="854">
        <f t="shared" si="14"/>
        <v>2685274.6608206388</v>
      </c>
    </row>
    <row r="84" spans="1:78">
      <c r="A84" s="812">
        <f>IF(Values_Entered,A83+1,"")</f>
        <v>60</v>
      </c>
      <c r="B84" s="846">
        <f>B83+31</f>
        <v>46803</v>
      </c>
      <c r="C84" s="855">
        <f t="shared" si="8"/>
        <v>1600936.5625462034</v>
      </c>
      <c r="D84" s="855">
        <f t="shared" si="9"/>
        <v>32413.313177607219</v>
      </c>
      <c r="E84" s="856"/>
      <c r="F84" s="857">
        <f t="shared" si="3"/>
        <v>32413.313177607219</v>
      </c>
      <c r="G84" s="855">
        <f>IF(Pay_Num&lt;&gt;"",Total_Pay-Int,"")</f>
        <v>21073.345859571607</v>
      </c>
      <c r="H84" s="855">
        <f t="shared" si="5"/>
        <v>11339.967318035609</v>
      </c>
      <c r="I84" s="855">
        <f t="shared" si="6"/>
        <v>1579863.2166866318</v>
      </c>
      <c r="J84" s="850">
        <f>'[3]B11-L8'!J91</f>
        <v>0</v>
      </c>
      <c r="K84" s="843"/>
      <c r="BW84" s="853">
        <v>34058</v>
      </c>
      <c r="BX84" s="854">
        <f>BW84-BY84-0.44</f>
        <v>-1746.1021442751858</v>
      </c>
      <c r="BY84" s="853">
        <f t="shared" si="13"/>
        <v>35803.662144275186</v>
      </c>
      <c r="BZ84" s="854">
        <f t="shared" si="14"/>
        <v>2687020.7629649141</v>
      </c>
    </row>
    <row r="85" spans="1:78">
      <c r="A85" s="812">
        <f>IF(Values_Entered,A84+1,"")</f>
        <v>61</v>
      </c>
      <c r="B85" s="846">
        <f>B84+29</f>
        <v>46832</v>
      </c>
      <c r="C85" s="855">
        <f t="shared" si="8"/>
        <v>1579863.2166866318</v>
      </c>
      <c r="D85" s="855">
        <f t="shared" si="9"/>
        <v>32413.313177607219</v>
      </c>
      <c r="E85" s="856"/>
      <c r="F85" s="857">
        <f t="shared" si="3"/>
        <v>32413.313177607219</v>
      </c>
      <c r="G85" s="855">
        <f t="shared" si="4"/>
        <v>21222.615392743573</v>
      </c>
      <c r="H85" s="855">
        <f t="shared" si="5"/>
        <v>11190.697784863643</v>
      </c>
      <c r="I85" s="855">
        <f t="shared" si="6"/>
        <v>1558640.6012938882</v>
      </c>
      <c r="J85" s="877"/>
      <c r="K85" s="843"/>
    </row>
    <row r="86" spans="1:78">
      <c r="A86" s="812">
        <f>IF(Values_Entered,A85+1,"")</f>
        <v>62</v>
      </c>
      <c r="B86" s="846">
        <f>B85+31</f>
        <v>46863</v>
      </c>
      <c r="C86" s="855">
        <f t="shared" si="8"/>
        <v>1558640.6012938882</v>
      </c>
      <c r="D86" s="855">
        <f t="shared" si="9"/>
        <v>32413.313177607219</v>
      </c>
      <c r="E86" s="856"/>
      <c r="F86" s="857">
        <f t="shared" si="3"/>
        <v>32413.313177607219</v>
      </c>
      <c r="G86" s="855">
        <f t="shared" si="4"/>
        <v>21372.942251775508</v>
      </c>
      <c r="H86" s="855">
        <f t="shared" si="5"/>
        <v>11040.370925831709</v>
      </c>
      <c r="I86" s="855">
        <f t="shared" si="6"/>
        <v>1537267.6590421128</v>
      </c>
      <c r="J86" s="877"/>
      <c r="K86" s="843"/>
    </row>
    <row r="87" spans="1:78">
      <c r="A87" s="812">
        <f>IF(Values_Entered,A86+1,"")</f>
        <v>63</v>
      </c>
      <c r="B87" s="846">
        <f t="shared" si="15"/>
        <v>46893</v>
      </c>
      <c r="C87" s="855">
        <f t="shared" ref="C87:C145" si="16">IF(Pay_Num&lt;&gt;"",I86,"")</f>
        <v>1537267.6590421128</v>
      </c>
      <c r="D87" s="855">
        <f t="shared" si="9"/>
        <v>32413.313177607219</v>
      </c>
      <c r="E87" s="856"/>
      <c r="F87" s="857">
        <f t="shared" si="3"/>
        <v>32413.313177607219</v>
      </c>
      <c r="G87" s="855">
        <f>F84-H8</f>
        <v>32413.313177607219</v>
      </c>
      <c r="H87" s="855">
        <f t="shared" si="5"/>
        <v>10888.9792515483</v>
      </c>
      <c r="I87" s="855">
        <f t="shared" si="6"/>
        <v>1504854.3458645055</v>
      </c>
      <c r="J87" s="877"/>
      <c r="K87" s="843"/>
    </row>
    <row r="88" spans="1:78">
      <c r="A88" s="812">
        <f>IF(Values_Entered,A87+1,"")</f>
        <v>64</v>
      </c>
      <c r="B88" s="846">
        <f>B87+31</f>
        <v>46924</v>
      </c>
      <c r="C88" s="855">
        <f t="shared" si="16"/>
        <v>1504854.3458645055</v>
      </c>
      <c r="D88" s="855">
        <f t="shared" si="9"/>
        <v>32413.313177607219</v>
      </c>
      <c r="E88" s="856"/>
      <c r="F88" s="857">
        <f t="shared" si="3"/>
        <v>32413.313177607219</v>
      </c>
      <c r="G88" s="855">
        <f t="shared" si="4"/>
        <v>21753.928227733639</v>
      </c>
      <c r="H88" s="855">
        <f t="shared" si="5"/>
        <v>10659.384949873582</v>
      </c>
      <c r="I88" s="855">
        <f t="shared" si="6"/>
        <v>1483100.4176367719</v>
      </c>
      <c r="J88" s="877"/>
      <c r="K88" s="843"/>
    </row>
    <row r="89" spans="1:78">
      <c r="A89" s="812">
        <f>IF(Values_Entered,A88+1,"")</f>
        <v>65</v>
      </c>
      <c r="B89" s="846">
        <f t="shared" si="15"/>
        <v>46954</v>
      </c>
      <c r="C89" s="855">
        <f t="shared" si="16"/>
        <v>1483100.4176367719</v>
      </c>
      <c r="D89" s="855">
        <f t="shared" si="9"/>
        <v>32413.313177607219</v>
      </c>
      <c r="E89" s="856"/>
      <c r="F89" s="857">
        <f t="shared" ref="F89:F152" si="17">IF(AND(Pay_Num&lt;&gt;"",Sched_Pay+Extra_Pay&lt;Beg_Bal),Sched_Pay+Extra_Pay,IF(Pay_Num&lt;&gt;"",Beg_Bal,""))</f>
        <v>32413.313177607219</v>
      </c>
      <c r="G89" s="855">
        <f t="shared" si="4"/>
        <v>21908.018552680085</v>
      </c>
      <c r="H89" s="855">
        <f t="shared" si="5"/>
        <v>10505.294624927135</v>
      </c>
      <c r="I89" s="855">
        <f t="shared" si="6"/>
        <v>1461192.3990840919</v>
      </c>
      <c r="J89" s="877"/>
      <c r="K89" s="843"/>
    </row>
    <row r="90" spans="1:78">
      <c r="A90" s="812">
        <f>IF(Values_Entered,A89+1,"")</f>
        <v>66</v>
      </c>
      <c r="B90" s="846">
        <f>B89+31</f>
        <v>46985</v>
      </c>
      <c r="C90" s="855">
        <f t="shared" si="16"/>
        <v>1461192.3990840919</v>
      </c>
      <c r="D90" s="855">
        <f t="shared" si="9"/>
        <v>32413.313177607219</v>
      </c>
      <c r="E90" s="856"/>
      <c r="F90" s="857">
        <f t="shared" si="17"/>
        <v>32413.313177607219</v>
      </c>
      <c r="G90" s="855">
        <f t="shared" ref="G90:G153" si="18">IF(Pay_Num&lt;&gt;"",Total_Pay-Int,"")</f>
        <v>22063.200350761566</v>
      </c>
      <c r="H90" s="855">
        <f t="shared" ref="H90:H153" si="19">IF(Pay_Num&lt;&gt;"",Beg_Bal*Interest_Rate/Num_Pmt_Per_Year,"")</f>
        <v>10350.11282684565</v>
      </c>
      <c r="I90" s="855">
        <f t="shared" ref="I90:I153" si="20">IF(AND(Pay_Num&lt;&gt;"",Sched_Pay+Extra_Pay&lt;Beg_Bal),Beg_Bal-Princ,IF(Pay_Num&lt;&gt;"",0,""))</f>
        <v>1439129.1987333302</v>
      </c>
      <c r="J90" s="877"/>
      <c r="K90" s="843"/>
    </row>
    <row r="91" spans="1:78">
      <c r="A91" s="812">
        <f>IF(Values_Entered,A90+1,"")</f>
        <v>67</v>
      </c>
      <c r="B91" s="846">
        <f>B90+31</f>
        <v>47016</v>
      </c>
      <c r="C91" s="855">
        <f t="shared" si="16"/>
        <v>1439129.1987333302</v>
      </c>
      <c r="D91" s="855">
        <f t="shared" ref="D91:D145" si="21">IF(Pay_Num&lt;&gt;"",Scheduled_Monthly_Payment,"")</f>
        <v>32413.313177607219</v>
      </c>
      <c r="E91" s="856"/>
      <c r="F91" s="857">
        <f t="shared" si="17"/>
        <v>32413.313177607219</v>
      </c>
      <c r="G91" s="855">
        <f t="shared" si="18"/>
        <v>22219.481353246127</v>
      </c>
      <c r="H91" s="855">
        <f t="shared" si="19"/>
        <v>10193.83182436109</v>
      </c>
      <c r="I91" s="855">
        <f t="shared" si="20"/>
        <v>1416909.7173800841</v>
      </c>
      <c r="J91" s="877"/>
      <c r="K91" s="843"/>
    </row>
    <row r="92" spans="1:78">
      <c r="A92" s="812">
        <f>IF(Values_Entered,A91+1,"")</f>
        <v>68</v>
      </c>
      <c r="B92" s="846">
        <f t="shared" ref="B92:B142" si="22">B91+30</f>
        <v>47046</v>
      </c>
      <c r="C92" s="855">
        <f t="shared" si="16"/>
        <v>1416909.7173800841</v>
      </c>
      <c r="D92" s="855">
        <f t="shared" si="21"/>
        <v>32413.313177607219</v>
      </c>
      <c r="E92" s="856"/>
      <c r="F92" s="857">
        <f t="shared" si="17"/>
        <v>32413.313177607219</v>
      </c>
      <c r="G92" s="855">
        <f t="shared" si="18"/>
        <v>22376.869346164953</v>
      </c>
      <c r="H92" s="855">
        <f t="shared" si="19"/>
        <v>10036.443831442264</v>
      </c>
      <c r="I92" s="855">
        <f t="shared" si="20"/>
        <v>1394532.8480339192</v>
      </c>
      <c r="J92" s="877"/>
      <c r="K92" s="843"/>
    </row>
    <row r="93" spans="1:78">
      <c r="A93" s="812">
        <f>IF(Values_Entered,A92+1,"")</f>
        <v>69</v>
      </c>
      <c r="B93" s="846">
        <f>B92+31</f>
        <v>47077</v>
      </c>
      <c r="C93" s="855">
        <f t="shared" si="16"/>
        <v>1394532.8480339192</v>
      </c>
      <c r="D93" s="855">
        <f t="shared" si="21"/>
        <v>32413.313177607219</v>
      </c>
      <c r="E93" s="856"/>
      <c r="F93" s="857">
        <f t="shared" si="17"/>
        <v>32413.313177607219</v>
      </c>
      <c r="G93" s="855">
        <f t="shared" si="18"/>
        <v>22535.372170700291</v>
      </c>
      <c r="H93" s="855">
        <f t="shared" si="19"/>
        <v>9877.941006906929</v>
      </c>
      <c r="I93" s="855">
        <f t="shared" si="20"/>
        <v>1371997.475863219</v>
      </c>
      <c r="J93" s="877"/>
      <c r="K93" s="843"/>
    </row>
    <row r="94" spans="1:78">
      <c r="A94" s="812">
        <f>IF(Values_Entered,A93+1,"")</f>
        <v>70</v>
      </c>
      <c r="B94" s="846">
        <f t="shared" si="22"/>
        <v>47107</v>
      </c>
      <c r="C94" s="855">
        <f t="shared" si="16"/>
        <v>1371997.475863219</v>
      </c>
      <c r="D94" s="855">
        <f t="shared" si="21"/>
        <v>32413.313177607219</v>
      </c>
      <c r="E94" s="856"/>
      <c r="F94" s="857">
        <f t="shared" si="17"/>
        <v>32413.313177607219</v>
      </c>
      <c r="G94" s="855">
        <f t="shared" si="18"/>
        <v>22694.997723576082</v>
      </c>
      <c r="H94" s="855">
        <f t="shared" si="19"/>
        <v>9718.3154540311352</v>
      </c>
      <c r="I94" s="855">
        <f t="shared" si="20"/>
        <v>1349302.4781396429</v>
      </c>
      <c r="J94" s="877"/>
      <c r="K94" s="843"/>
    </row>
    <row r="95" spans="1:78">
      <c r="A95" s="812">
        <f>IF(Values_Entered,A94+1,"")</f>
        <v>71</v>
      </c>
      <c r="B95" s="846">
        <f>B94+31</f>
        <v>47138</v>
      </c>
      <c r="C95" s="855">
        <f t="shared" si="16"/>
        <v>1349302.4781396429</v>
      </c>
      <c r="D95" s="855">
        <f t="shared" si="21"/>
        <v>32413.313177607219</v>
      </c>
      <c r="E95" s="856"/>
      <c r="F95" s="857">
        <f t="shared" si="17"/>
        <v>32413.313177607219</v>
      </c>
      <c r="G95" s="855">
        <f t="shared" si="18"/>
        <v>22855.753957451416</v>
      </c>
      <c r="H95" s="855">
        <f t="shared" si="19"/>
        <v>9557.5592201558047</v>
      </c>
      <c r="I95" s="855">
        <f t="shared" si="20"/>
        <v>1326446.7241821915</v>
      </c>
      <c r="J95" s="877"/>
      <c r="K95" s="843"/>
    </row>
    <row r="96" spans="1:78">
      <c r="A96" s="812">
        <f>IF(Values_Entered,A95+1,"")</f>
        <v>72</v>
      </c>
      <c r="B96" s="846">
        <f>B95+31</f>
        <v>47169</v>
      </c>
      <c r="C96" s="855">
        <f t="shared" si="16"/>
        <v>1326446.7241821915</v>
      </c>
      <c r="D96" s="855">
        <f t="shared" si="21"/>
        <v>32413.313177607219</v>
      </c>
      <c r="E96" s="856"/>
      <c r="F96" s="857">
        <f t="shared" si="17"/>
        <v>32413.313177607219</v>
      </c>
      <c r="G96" s="855">
        <f t="shared" si="18"/>
        <v>23017.648881316694</v>
      </c>
      <c r="H96" s="855">
        <f t="shared" si="19"/>
        <v>9395.6642962905244</v>
      </c>
      <c r="I96" s="855">
        <f t="shared" si="20"/>
        <v>1303429.0753008749</v>
      </c>
      <c r="J96" s="877"/>
      <c r="K96" s="843"/>
    </row>
    <row r="97" spans="1:11">
      <c r="A97" s="812">
        <f>IF(Values_Entered,A96+1,"")</f>
        <v>73</v>
      </c>
      <c r="B97" s="846">
        <f>B96+28</f>
        <v>47197</v>
      </c>
      <c r="C97" s="855">
        <f t="shared" si="16"/>
        <v>1303429.0753008749</v>
      </c>
      <c r="D97" s="855">
        <f t="shared" si="21"/>
        <v>32413.313177607219</v>
      </c>
      <c r="E97" s="856"/>
      <c r="F97" s="857">
        <f t="shared" si="17"/>
        <v>32413.313177607219</v>
      </c>
      <c r="G97" s="855">
        <f t="shared" si="18"/>
        <v>23180.69056089269</v>
      </c>
      <c r="H97" s="855">
        <f t="shared" si="19"/>
        <v>9232.6226167145305</v>
      </c>
      <c r="I97" s="855">
        <f t="shared" si="20"/>
        <v>1280248.3847399822</v>
      </c>
      <c r="J97" s="877"/>
      <c r="K97" s="843"/>
    </row>
    <row r="98" spans="1:11">
      <c r="A98" s="812">
        <f>IF(Values_Entered,A97+1,"")</f>
        <v>74</v>
      </c>
      <c r="B98" s="846">
        <f>B97+31</f>
        <v>47228</v>
      </c>
      <c r="C98" s="855">
        <f t="shared" si="16"/>
        <v>1280248.3847399822</v>
      </c>
      <c r="D98" s="855">
        <f t="shared" si="21"/>
        <v>32413.313177607219</v>
      </c>
      <c r="E98" s="856"/>
      <c r="F98" s="857">
        <f t="shared" si="17"/>
        <v>32413.313177607219</v>
      </c>
      <c r="G98" s="855">
        <f t="shared" si="18"/>
        <v>23344.887119032344</v>
      </c>
      <c r="H98" s="855">
        <f t="shared" si="19"/>
        <v>9068.4260585748743</v>
      </c>
      <c r="I98" s="855">
        <f t="shared" si="20"/>
        <v>1256903.4976209498</v>
      </c>
      <c r="J98" s="877"/>
      <c r="K98" s="843"/>
    </row>
    <row r="99" spans="1:11">
      <c r="A99" s="812">
        <f>IF(Values_Entered,A98+1,"")</f>
        <v>75</v>
      </c>
      <c r="B99" s="846">
        <f t="shared" si="22"/>
        <v>47258</v>
      </c>
      <c r="C99" s="855">
        <f t="shared" si="16"/>
        <v>1256903.4976209498</v>
      </c>
      <c r="D99" s="855">
        <f t="shared" si="21"/>
        <v>32413.313177607219</v>
      </c>
      <c r="E99" s="856"/>
      <c r="F99" s="857">
        <f t="shared" si="17"/>
        <v>32413.313177607219</v>
      </c>
      <c r="G99" s="855">
        <f t="shared" si="18"/>
        <v>23510.246736125489</v>
      </c>
      <c r="H99" s="855">
        <f t="shared" si="19"/>
        <v>8903.0664414817275</v>
      </c>
      <c r="I99" s="855">
        <f t="shared" si="20"/>
        <v>1233393.2508848242</v>
      </c>
      <c r="J99" s="877"/>
      <c r="K99" s="843"/>
    </row>
    <row r="100" spans="1:11">
      <c r="A100" s="812">
        <f>IF(Values_Entered,A99+1,"")</f>
        <v>76</v>
      </c>
      <c r="B100" s="846">
        <f>B99+31</f>
        <v>47289</v>
      </c>
      <c r="C100" s="855">
        <f t="shared" si="16"/>
        <v>1233393.2508848242</v>
      </c>
      <c r="D100" s="855">
        <f t="shared" si="21"/>
        <v>32413.313177607219</v>
      </c>
      <c r="E100" s="856"/>
      <c r="F100" s="857">
        <f t="shared" si="17"/>
        <v>32413.313177607219</v>
      </c>
      <c r="G100" s="855">
        <f t="shared" si="18"/>
        <v>23676.777650506381</v>
      </c>
      <c r="H100" s="855">
        <f t="shared" si="19"/>
        <v>8736.5355271008393</v>
      </c>
      <c r="I100" s="855">
        <f t="shared" si="20"/>
        <v>1209716.4732343177</v>
      </c>
      <c r="J100" s="877"/>
      <c r="K100" s="843"/>
    </row>
    <row r="101" spans="1:11">
      <c r="A101" s="812">
        <f>IF(Values_Entered,A100+1,"")</f>
        <v>77</v>
      </c>
      <c r="B101" s="846">
        <f t="shared" si="22"/>
        <v>47319</v>
      </c>
      <c r="C101" s="855">
        <f t="shared" si="16"/>
        <v>1209716.4732343177</v>
      </c>
      <c r="D101" s="855">
        <f t="shared" si="21"/>
        <v>32413.313177607219</v>
      </c>
      <c r="E101" s="856"/>
      <c r="F101" s="857">
        <f t="shared" si="17"/>
        <v>32413.313177607219</v>
      </c>
      <c r="G101" s="855">
        <f t="shared" si="18"/>
        <v>23844.488158864136</v>
      </c>
      <c r="H101" s="855">
        <f t="shared" si="19"/>
        <v>8568.825018743084</v>
      </c>
      <c r="I101" s="855">
        <f t="shared" si="20"/>
        <v>1185871.9850754535</v>
      </c>
      <c r="J101" s="877"/>
      <c r="K101" s="843"/>
    </row>
    <row r="102" spans="1:11">
      <c r="A102" s="812">
        <f>IF(Values_Entered,A101+1,"")</f>
        <v>78</v>
      </c>
      <c r="B102" s="846">
        <f>B101+31</f>
        <v>47350</v>
      </c>
      <c r="C102" s="855">
        <f t="shared" si="16"/>
        <v>1185871.9850754535</v>
      </c>
      <c r="D102" s="855">
        <f t="shared" si="21"/>
        <v>32413.313177607219</v>
      </c>
      <c r="E102" s="856"/>
      <c r="F102" s="857">
        <f t="shared" si="17"/>
        <v>32413.313177607219</v>
      </c>
      <c r="G102" s="855">
        <f t="shared" si="18"/>
        <v>24013.386616656091</v>
      </c>
      <c r="H102" s="855">
        <f t="shared" si="19"/>
        <v>8399.9265609511294</v>
      </c>
      <c r="I102" s="855">
        <f t="shared" si="20"/>
        <v>1161858.5984587974</v>
      </c>
      <c r="J102" s="877"/>
      <c r="K102" s="843"/>
    </row>
    <row r="103" spans="1:11">
      <c r="A103" s="812">
        <f>IF(Values_Entered,A102+1,"")</f>
        <v>79</v>
      </c>
      <c r="B103" s="846">
        <f>B102+31</f>
        <v>47381</v>
      </c>
      <c r="C103" s="855">
        <f t="shared" si="16"/>
        <v>1161858.5984587974</v>
      </c>
      <c r="D103" s="855">
        <f t="shared" si="21"/>
        <v>32413.313177607219</v>
      </c>
      <c r="E103" s="856"/>
      <c r="F103" s="857">
        <f t="shared" si="17"/>
        <v>32413.313177607219</v>
      </c>
      <c r="G103" s="855">
        <f t="shared" si="18"/>
        <v>24183.481438524068</v>
      </c>
      <c r="H103" s="855">
        <f t="shared" si="19"/>
        <v>8229.8317390831489</v>
      </c>
      <c r="I103" s="855">
        <f t="shared" si="20"/>
        <v>1137675.1170202733</v>
      </c>
      <c r="J103" s="877"/>
      <c r="K103" s="843"/>
    </row>
    <row r="104" spans="1:11">
      <c r="A104" s="812">
        <f>IF(Values_Entered,A103+1,"")</f>
        <v>80</v>
      </c>
      <c r="B104" s="846">
        <f t="shared" si="22"/>
        <v>47411</v>
      </c>
      <c r="C104" s="855">
        <f t="shared" si="16"/>
        <v>1137675.1170202733</v>
      </c>
      <c r="D104" s="855">
        <f t="shared" si="21"/>
        <v>32413.313177607219</v>
      </c>
      <c r="E104" s="856"/>
      <c r="F104" s="857">
        <f t="shared" si="17"/>
        <v>32413.313177607219</v>
      </c>
      <c r="G104" s="855">
        <f t="shared" si="18"/>
        <v>24354.781098713614</v>
      </c>
      <c r="H104" s="855">
        <f t="shared" si="19"/>
        <v>8058.5320788936033</v>
      </c>
      <c r="I104" s="855">
        <f t="shared" si="20"/>
        <v>1113320.3359215597</v>
      </c>
      <c r="J104" s="877"/>
      <c r="K104" s="843"/>
    </row>
    <row r="105" spans="1:11">
      <c r="A105" s="812">
        <f>IF(Values_Entered,A104+1,"")</f>
        <v>81</v>
      </c>
      <c r="B105" s="846">
        <f>B104+31</f>
        <v>47442</v>
      </c>
      <c r="C105" s="855">
        <f t="shared" si="16"/>
        <v>1113320.3359215597</v>
      </c>
      <c r="D105" s="855">
        <f t="shared" si="21"/>
        <v>32413.313177607219</v>
      </c>
      <c r="E105" s="856"/>
      <c r="F105" s="857">
        <f t="shared" si="17"/>
        <v>32413.313177607219</v>
      </c>
      <c r="G105" s="855">
        <f t="shared" si="18"/>
        <v>24527.294131496172</v>
      </c>
      <c r="H105" s="855">
        <f t="shared" si="19"/>
        <v>7886.0190461110478</v>
      </c>
      <c r="I105" s="855">
        <f t="shared" si="20"/>
        <v>1088793.0417900635</v>
      </c>
      <c r="J105" s="877"/>
      <c r="K105" s="843"/>
    </row>
    <row r="106" spans="1:11">
      <c r="A106" s="812">
        <f>IF(Values_Entered,A105+1,"")</f>
        <v>82</v>
      </c>
      <c r="B106" s="846">
        <f t="shared" si="22"/>
        <v>47472</v>
      </c>
      <c r="C106" s="855">
        <f t="shared" si="16"/>
        <v>1088793.0417900635</v>
      </c>
      <c r="D106" s="855">
        <f t="shared" si="21"/>
        <v>32413.313177607219</v>
      </c>
      <c r="E106" s="856"/>
      <c r="F106" s="857">
        <f t="shared" si="17"/>
        <v>32413.313177607219</v>
      </c>
      <c r="G106" s="855">
        <f t="shared" si="18"/>
        <v>24701.029131594267</v>
      </c>
      <c r="H106" s="855">
        <f t="shared" si="19"/>
        <v>7712.284046012951</v>
      </c>
      <c r="I106" s="855">
        <f t="shared" si="20"/>
        <v>1064092.0126584691</v>
      </c>
      <c r="J106" s="877"/>
      <c r="K106" s="843"/>
    </row>
    <row r="107" spans="1:11">
      <c r="A107" s="812">
        <f>IF(Values_Entered,A106+1,"")</f>
        <v>83</v>
      </c>
      <c r="B107" s="846">
        <f>B106+31</f>
        <v>47503</v>
      </c>
      <c r="C107" s="855">
        <f t="shared" si="16"/>
        <v>1064092.0126584691</v>
      </c>
      <c r="D107" s="855">
        <f t="shared" si="21"/>
        <v>32413.313177607219</v>
      </c>
      <c r="E107" s="856"/>
      <c r="F107" s="857">
        <f t="shared" si="17"/>
        <v>32413.313177607219</v>
      </c>
      <c r="G107" s="855">
        <f t="shared" si="18"/>
        <v>24875.994754609728</v>
      </c>
      <c r="H107" s="855">
        <f t="shared" si="19"/>
        <v>7537.3184229974904</v>
      </c>
      <c r="I107" s="855">
        <f t="shared" si="20"/>
        <v>1039216.0179038594</v>
      </c>
      <c r="J107" s="877"/>
      <c r="K107" s="843"/>
    </row>
    <row r="108" spans="1:11">
      <c r="A108" s="812">
        <f>IF(Values_Entered,A107+1,"")</f>
        <v>84</v>
      </c>
      <c r="B108" s="846">
        <f>B107+31</f>
        <v>47534</v>
      </c>
      <c r="C108" s="855">
        <f t="shared" si="16"/>
        <v>1039216.0179038594</v>
      </c>
      <c r="D108" s="855">
        <f t="shared" si="21"/>
        <v>32413.313177607219</v>
      </c>
      <c r="E108" s="856"/>
      <c r="F108" s="857">
        <f t="shared" si="17"/>
        <v>32413.313177607219</v>
      </c>
      <c r="G108" s="855">
        <f t="shared" si="18"/>
        <v>25052.199717454881</v>
      </c>
      <c r="H108" s="855">
        <f t="shared" si="19"/>
        <v>7361.1134601523372</v>
      </c>
      <c r="I108" s="855">
        <f t="shared" si="20"/>
        <v>1014163.8181864045</v>
      </c>
      <c r="J108" s="877"/>
      <c r="K108" s="843"/>
    </row>
    <row r="109" spans="1:11">
      <c r="A109" s="812">
        <f>IF(Values_Entered,A108+1,"")</f>
        <v>85</v>
      </c>
      <c r="B109" s="846">
        <f>B108+28</f>
        <v>47562</v>
      </c>
      <c r="C109" s="855">
        <f t="shared" si="16"/>
        <v>1014163.8181864045</v>
      </c>
      <c r="D109" s="855">
        <f t="shared" si="21"/>
        <v>32413.313177607219</v>
      </c>
      <c r="E109" s="856"/>
      <c r="F109" s="857">
        <f t="shared" si="17"/>
        <v>32413.313177607219</v>
      </c>
      <c r="G109" s="855">
        <f t="shared" si="18"/>
        <v>25229.652798786854</v>
      </c>
      <c r="H109" s="855">
        <f t="shared" si="19"/>
        <v>7183.6603788203656</v>
      </c>
      <c r="I109" s="855">
        <f t="shared" si="20"/>
        <v>988934.16538761766</v>
      </c>
      <c r="J109" s="877"/>
      <c r="K109" s="843"/>
    </row>
    <row r="110" spans="1:11">
      <c r="A110" s="812">
        <f>IF(Values_Entered,A109+1,"")</f>
        <v>86</v>
      </c>
      <c r="B110" s="846">
        <f>B109+31</f>
        <v>47593</v>
      </c>
      <c r="C110" s="855">
        <f t="shared" si="16"/>
        <v>988934.16538761766</v>
      </c>
      <c r="D110" s="855">
        <f t="shared" si="21"/>
        <v>32413.313177607219</v>
      </c>
      <c r="E110" s="856"/>
      <c r="F110" s="857">
        <f t="shared" si="17"/>
        <v>32413.313177607219</v>
      </c>
      <c r="G110" s="855">
        <f t="shared" si="18"/>
        <v>25408.362839444926</v>
      </c>
      <c r="H110" s="855">
        <f t="shared" si="19"/>
        <v>7004.9503381622926</v>
      </c>
      <c r="I110" s="855">
        <f t="shared" si="20"/>
        <v>963525.80254817277</v>
      </c>
      <c r="J110" s="877"/>
      <c r="K110" s="843"/>
    </row>
    <row r="111" spans="1:11">
      <c r="A111" s="812">
        <f>IF(Values_Entered,A110+1,"")</f>
        <v>87</v>
      </c>
      <c r="B111" s="846">
        <f t="shared" si="22"/>
        <v>47623</v>
      </c>
      <c r="C111" s="855">
        <f t="shared" si="16"/>
        <v>963525.80254817277</v>
      </c>
      <c r="D111" s="855">
        <f t="shared" si="21"/>
        <v>32413.313177607219</v>
      </c>
      <c r="E111" s="856"/>
      <c r="F111" s="857">
        <f t="shared" si="17"/>
        <v>32413.313177607219</v>
      </c>
      <c r="G111" s="855">
        <f t="shared" si="18"/>
        <v>25588.338742890995</v>
      </c>
      <c r="H111" s="855">
        <f t="shared" si="19"/>
        <v>6824.9744347162241</v>
      </c>
      <c r="I111" s="855">
        <f t="shared" si="20"/>
        <v>937937.46380528179</v>
      </c>
      <c r="J111" s="877"/>
      <c r="K111" s="843"/>
    </row>
    <row r="112" spans="1:11">
      <c r="A112" s="812">
        <f>IF(Values_Entered,A111+1,"")</f>
        <v>88</v>
      </c>
      <c r="B112" s="846">
        <f>B111+31</f>
        <v>47654</v>
      </c>
      <c r="C112" s="855">
        <f t="shared" si="16"/>
        <v>937937.46380528179</v>
      </c>
      <c r="D112" s="855">
        <f t="shared" si="21"/>
        <v>32413.313177607219</v>
      </c>
      <c r="E112" s="856"/>
      <c r="F112" s="857">
        <f t="shared" si="17"/>
        <v>32413.313177607219</v>
      </c>
      <c r="G112" s="855">
        <f t="shared" si="18"/>
        <v>25769.589475653138</v>
      </c>
      <c r="H112" s="855">
        <f t="shared" si="19"/>
        <v>6643.7237019540798</v>
      </c>
      <c r="I112" s="855">
        <f t="shared" si="20"/>
        <v>912167.87432962866</v>
      </c>
      <c r="J112" s="877"/>
      <c r="K112" s="843"/>
    </row>
    <row r="113" spans="1:11">
      <c r="A113" s="812">
        <f>IF(Values_Entered,A112+1,"")</f>
        <v>89</v>
      </c>
      <c r="B113" s="846">
        <f t="shared" si="22"/>
        <v>47684</v>
      </c>
      <c r="C113" s="855">
        <f t="shared" si="16"/>
        <v>912167.87432962866</v>
      </c>
      <c r="D113" s="855">
        <f t="shared" si="21"/>
        <v>32413.313177607219</v>
      </c>
      <c r="E113" s="856"/>
      <c r="F113" s="857">
        <f t="shared" si="17"/>
        <v>32413.313177607219</v>
      </c>
      <c r="G113" s="855">
        <f t="shared" si="18"/>
        <v>25952.124067772347</v>
      </c>
      <c r="H113" s="855">
        <f t="shared" si="19"/>
        <v>6461.1891098348706</v>
      </c>
      <c r="I113" s="855">
        <f t="shared" si="20"/>
        <v>886215.75026185636</v>
      </c>
      <c r="J113" s="877"/>
      <c r="K113" s="843"/>
    </row>
    <row r="114" spans="1:11">
      <c r="A114" s="812">
        <f>IF(Values_Entered,A113+1,"")</f>
        <v>90</v>
      </c>
      <c r="B114" s="846">
        <f>B113+31</f>
        <v>47715</v>
      </c>
      <c r="C114" s="855">
        <f t="shared" si="16"/>
        <v>886215.75026185636</v>
      </c>
      <c r="D114" s="855">
        <f t="shared" si="21"/>
        <v>32413.313177607219</v>
      </c>
      <c r="E114" s="856"/>
      <c r="F114" s="857">
        <f t="shared" si="17"/>
        <v>32413.313177607219</v>
      </c>
      <c r="G114" s="855">
        <f t="shared" si="18"/>
        <v>26135.951613252404</v>
      </c>
      <c r="H114" s="855">
        <f t="shared" si="19"/>
        <v>6277.3615643548155</v>
      </c>
      <c r="I114" s="855">
        <f t="shared" si="20"/>
        <v>860079.79864860396</v>
      </c>
      <c r="J114" s="877"/>
      <c r="K114" s="843"/>
    </row>
    <row r="115" spans="1:11">
      <c r="A115" s="812">
        <f>IF(Values_Entered,A114+1,"")</f>
        <v>91</v>
      </c>
      <c r="B115" s="846">
        <f>B114+31</f>
        <v>47746</v>
      </c>
      <c r="C115" s="855">
        <f t="shared" si="16"/>
        <v>860079.79864860396</v>
      </c>
      <c r="D115" s="855">
        <f t="shared" si="21"/>
        <v>32413.313177607219</v>
      </c>
      <c r="E115" s="856"/>
      <c r="F115" s="857">
        <f t="shared" si="17"/>
        <v>32413.313177607219</v>
      </c>
      <c r="G115" s="855">
        <f t="shared" si="18"/>
        <v>26321.081270512939</v>
      </c>
      <c r="H115" s="855">
        <f t="shared" si="19"/>
        <v>6092.2319070942785</v>
      </c>
      <c r="I115" s="855">
        <f t="shared" si="20"/>
        <v>833758.71737809107</v>
      </c>
      <c r="J115" s="877"/>
      <c r="K115" s="843"/>
    </row>
    <row r="116" spans="1:11">
      <c r="A116" s="812">
        <f>IF(Values_Entered,A115+1,"")</f>
        <v>92</v>
      </c>
      <c r="B116" s="846">
        <f t="shared" si="22"/>
        <v>47776</v>
      </c>
      <c r="C116" s="855">
        <f t="shared" si="16"/>
        <v>833758.71737809107</v>
      </c>
      <c r="D116" s="855">
        <f t="shared" si="21"/>
        <v>32413.313177607219</v>
      </c>
      <c r="E116" s="856"/>
      <c r="F116" s="857">
        <f t="shared" si="17"/>
        <v>32413.313177607219</v>
      </c>
      <c r="G116" s="855">
        <f t="shared" si="18"/>
        <v>26507.522262845741</v>
      </c>
      <c r="H116" s="855">
        <f t="shared" si="19"/>
        <v>5905.7909147614782</v>
      </c>
      <c r="I116" s="855">
        <f t="shared" si="20"/>
        <v>807251.1951152453</v>
      </c>
      <c r="J116" s="877"/>
      <c r="K116" s="843"/>
    </row>
    <row r="117" spans="1:11">
      <c r="A117" s="812">
        <f>IF(Values_Entered,A116+1,"")</f>
        <v>93</v>
      </c>
      <c r="B117" s="846">
        <f>B116+31</f>
        <v>47807</v>
      </c>
      <c r="C117" s="855">
        <f t="shared" si="16"/>
        <v>807251.1951152453</v>
      </c>
      <c r="D117" s="855">
        <f t="shared" si="21"/>
        <v>32413.313177607219</v>
      </c>
      <c r="E117" s="856"/>
      <c r="F117" s="857">
        <f t="shared" si="17"/>
        <v>32413.313177607219</v>
      </c>
      <c r="G117" s="855">
        <f t="shared" si="18"/>
        <v>26695.28387887423</v>
      </c>
      <c r="H117" s="855">
        <f t="shared" si="19"/>
        <v>5718.0292987329876</v>
      </c>
      <c r="I117" s="855">
        <f t="shared" si="20"/>
        <v>780555.91123637103</v>
      </c>
      <c r="J117" s="877"/>
      <c r="K117" s="843"/>
    </row>
    <row r="118" spans="1:11">
      <c r="A118" s="812">
        <f>IF(Values_Entered,A117+1,"")</f>
        <v>94</v>
      </c>
      <c r="B118" s="846">
        <f t="shared" si="22"/>
        <v>47837</v>
      </c>
      <c r="C118" s="855">
        <f t="shared" si="16"/>
        <v>780555.91123637103</v>
      </c>
      <c r="D118" s="855">
        <f t="shared" si="21"/>
        <v>32413.313177607219</v>
      </c>
      <c r="E118" s="856"/>
      <c r="F118" s="857">
        <f t="shared" si="17"/>
        <v>32413.313177607219</v>
      </c>
      <c r="G118" s="855">
        <f t="shared" si="18"/>
        <v>26884.375473016258</v>
      </c>
      <c r="H118" s="855">
        <f t="shared" si="19"/>
        <v>5528.9377045909614</v>
      </c>
      <c r="I118" s="855">
        <f t="shared" si="20"/>
        <v>753671.53576335474</v>
      </c>
      <c r="J118" s="877"/>
      <c r="K118" s="843"/>
    </row>
    <row r="119" spans="1:11">
      <c r="A119" s="812">
        <f>IF(Values_Entered,A118+1,"")</f>
        <v>95</v>
      </c>
      <c r="B119" s="846">
        <f>B118+31</f>
        <v>47868</v>
      </c>
      <c r="C119" s="855">
        <f t="shared" si="16"/>
        <v>753671.53576335474</v>
      </c>
      <c r="D119" s="855">
        <f t="shared" si="21"/>
        <v>32413.313177607219</v>
      </c>
      <c r="E119" s="856"/>
      <c r="F119" s="857">
        <f t="shared" si="17"/>
        <v>32413.313177607219</v>
      </c>
      <c r="G119" s="855">
        <f t="shared" si="18"/>
        <v>27074.806465950121</v>
      </c>
      <c r="H119" s="855">
        <f t="shared" si="19"/>
        <v>5338.5067116570963</v>
      </c>
      <c r="I119" s="855">
        <f t="shared" si="20"/>
        <v>726596.72929740464</v>
      </c>
      <c r="J119" s="877"/>
      <c r="K119" s="843"/>
    </row>
    <row r="120" spans="1:11">
      <c r="A120" s="812">
        <f>IF(Values_Entered,A119+1,"")</f>
        <v>96</v>
      </c>
      <c r="B120" s="846">
        <f>B119+31</f>
        <v>47899</v>
      </c>
      <c r="C120" s="855">
        <f t="shared" si="16"/>
        <v>726596.72929740464</v>
      </c>
      <c r="D120" s="855">
        <f t="shared" si="21"/>
        <v>32413.313177607219</v>
      </c>
      <c r="E120" s="856"/>
      <c r="F120" s="857">
        <f t="shared" si="17"/>
        <v>32413.313177607219</v>
      </c>
      <c r="G120" s="855">
        <f t="shared" si="18"/>
        <v>27266.586345083935</v>
      </c>
      <c r="H120" s="855">
        <f t="shared" si="19"/>
        <v>5146.7268325232835</v>
      </c>
      <c r="I120" s="855">
        <f t="shared" si="20"/>
        <v>699330.14295232075</v>
      </c>
      <c r="J120" s="877"/>
      <c r="K120" s="843"/>
    </row>
    <row r="121" spans="1:11">
      <c r="A121" s="812">
        <f>IF(Values_Entered,A120+1,"")</f>
        <v>97</v>
      </c>
      <c r="B121" s="846">
        <f>B120+28</f>
        <v>47927</v>
      </c>
      <c r="C121" s="855">
        <f t="shared" si="16"/>
        <v>699330.14295232075</v>
      </c>
      <c r="D121" s="855">
        <f t="shared" si="21"/>
        <v>32413.313177607219</v>
      </c>
      <c r="E121" s="856"/>
      <c r="F121" s="857">
        <f t="shared" si="17"/>
        <v>32413.313177607219</v>
      </c>
      <c r="G121" s="855">
        <f t="shared" si="18"/>
        <v>27459.72466502828</v>
      </c>
      <c r="H121" s="855">
        <f t="shared" si="19"/>
        <v>4953.5885125789391</v>
      </c>
      <c r="I121" s="855">
        <f t="shared" si="20"/>
        <v>671870.41828729247</v>
      </c>
      <c r="J121" s="877"/>
      <c r="K121" s="843"/>
    </row>
    <row r="122" spans="1:11">
      <c r="A122" s="812">
        <f>IF(Values_Entered,A121+1,"")</f>
        <v>98</v>
      </c>
      <c r="B122" s="846">
        <f>B121+31</f>
        <v>47958</v>
      </c>
      <c r="C122" s="855">
        <f t="shared" si="16"/>
        <v>671870.41828729247</v>
      </c>
      <c r="D122" s="855">
        <f t="shared" si="21"/>
        <v>32413.313177607219</v>
      </c>
      <c r="E122" s="856"/>
      <c r="F122" s="857">
        <f t="shared" si="17"/>
        <v>32413.313177607219</v>
      </c>
      <c r="G122" s="855">
        <f t="shared" si="18"/>
        <v>27654.23104807223</v>
      </c>
      <c r="H122" s="855">
        <f t="shared" si="19"/>
        <v>4759.0821295349888</v>
      </c>
      <c r="I122" s="855">
        <f t="shared" si="20"/>
        <v>644216.18723922025</v>
      </c>
      <c r="J122" s="877"/>
      <c r="K122" s="843"/>
    </row>
    <row r="123" spans="1:11">
      <c r="A123" s="812">
        <f>IF(Values_Entered,A122+1,"")</f>
        <v>99</v>
      </c>
      <c r="B123" s="846">
        <f t="shared" si="22"/>
        <v>47988</v>
      </c>
      <c r="C123" s="855">
        <f t="shared" si="16"/>
        <v>644216.18723922025</v>
      </c>
      <c r="D123" s="855">
        <f t="shared" si="21"/>
        <v>32413.313177607219</v>
      </c>
      <c r="E123" s="856"/>
      <c r="F123" s="857">
        <f t="shared" si="17"/>
        <v>32413.313177607219</v>
      </c>
      <c r="G123" s="855">
        <f t="shared" si="18"/>
        <v>27850.11518466274</v>
      </c>
      <c r="H123" s="855">
        <f t="shared" si="19"/>
        <v>4563.1979929444769</v>
      </c>
      <c r="I123" s="855">
        <f t="shared" si="20"/>
        <v>616366.0720545575</v>
      </c>
      <c r="J123" s="877"/>
      <c r="K123" s="843"/>
    </row>
    <row r="124" spans="1:11">
      <c r="A124" s="812">
        <f>IF(Values_Entered,A123+1,"")</f>
        <v>100</v>
      </c>
      <c r="B124" s="846">
        <f>B123+31</f>
        <v>48019</v>
      </c>
      <c r="C124" s="855">
        <f t="shared" si="16"/>
        <v>616366.0720545575</v>
      </c>
      <c r="D124" s="855">
        <f t="shared" si="21"/>
        <v>32413.313177607219</v>
      </c>
      <c r="E124" s="856"/>
      <c r="F124" s="857">
        <f t="shared" si="17"/>
        <v>32413.313177607219</v>
      </c>
      <c r="G124" s="855">
        <f t="shared" si="18"/>
        <v>28047.386833887438</v>
      </c>
      <c r="H124" s="855">
        <f t="shared" si="19"/>
        <v>4365.9263437197824</v>
      </c>
      <c r="I124" s="855">
        <f t="shared" si="20"/>
        <v>588318.68522067007</v>
      </c>
      <c r="J124" s="877"/>
      <c r="K124" s="843"/>
    </row>
    <row r="125" spans="1:11">
      <c r="A125" s="812">
        <f>IF(Values_Entered,A124+1,"")</f>
        <v>101</v>
      </c>
      <c r="B125" s="846">
        <f t="shared" si="22"/>
        <v>48049</v>
      </c>
      <c r="C125" s="855">
        <f t="shared" si="16"/>
        <v>588318.68522067007</v>
      </c>
      <c r="D125" s="855">
        <f t="shared" si="21"/>
        <v>32413.313177607219</v>
      </c>
      <c r="E125" s="856"/>
      <c r="F125" s="857">
        <f t="shared" si="17"/>
        <v>32413.313177607219</v>
      </c>
      <c r="G125" s="855">
        <f t="shared" si="18"/>
        <v>28246.055823960807</v>
      </c>
      <c r="H125" s="855">
        <f t="shared" si="19"/>
        <v>4167.2573536464133</v>
      </c>
      <c r="I125" s="855">
        <f t="shared" si="20"/>
        <v>560072.62939670926</v>
      </c>
      <c r="J125" s="877"/>
      <c r="K125" s="843"/>
    </row>
    <row r="126" spans="1:11">
      <c r="A126" s="812">
        <f>IF(Values_Entered,A125+1,"")</f>
        <v>102</v>
      </c>
      <c r="B126" s="846">
        <f>B125+31</f>
        <v>48080</v>
      </c>
      <c r="C126" s="855">
        <f t="shared" si="16"/>
        <v>560072.62939670926</v>
      </c>
      <c r="D126" s="855">
        <f t="shared" si="21"/>
        <v>32413.313177607219</v>
      </c>
      <c r="E126" s="856"/>
      <c r="F126" s="857">
        <f t="shared" si="17"/>
        <v>32413.313177607219</v>
      </c>
      <c r="G126" s="855">
        <f t="shared" si="18"/>
        <v>28446.13205271386</v>
      </c>
      <c r="H126" s="855">
        <f t="shared" si="19"/>
        <v>3967.1811248933577</v>
      </c>
      <c r="I126" s="855">
        <f t="shared" si="20"/>
        <v>531626.49734399538</v>
      </c>
      <c r="J126" s="877"/>
      <c r="K126" s="843"/>
    </row>
    <row r="127" spans="1:11">
      <c r="A127" s="812">
        <f>IF(Values_Entered,A126+1,"")</f>
        <v>103</v>
      </c>
      <c r="B127" s="846">
        <f>B126+31</f>
        <v>48111</v>
      </c>
      <c r="C127" s="855">
        <f t="shared" si="16"/>
        <v>531626.49734399538</v>
      </c>
      <c r="D127" s="855">
        <f t="shared" si="21"/>
        <v>32413.313177607219</v>
      </c>
      <c r="E127" s="856"/>
      <c r="F127" s="857">
        <f t="shared" si="17"/>
        <v>32413.313177607219</v>
      </c>
      <c r="G127" s="855">
        <f t="shared" si="18"/>
        <v>28647.625488087251</v>
      </c>
      <c r="H127" s="855">
        <f t="shared" si="19"/>
        <v>3765.6876895199675</v>
      </c>
      <c r="I127" s="855">
        <f t="shared" si="20"/>
        <v>502978.87185590813</v>
      </c>
      <c r="J127" s="877"/>
      <c r="K127" s="843"/>
    </row>
    <row r="128" spans="1:11">
      <c r="A128" s="812">
        <f>IF(Values_Entered,A127+1,"")</f>
        <v>104</v>
      </c>
      <c r="B128" s="846">
        <f t="shared" si="22"/>
        <v>48141</v>
      </c>
      <c r="C128" s="855">
        <f t="shared" si="16"/>
        <v>502978.87185590813</v>
      </c>
      <c r="D128" s="855">
        <f t="shared" si="21"/>
        <v>32413.313177607219</v>
      </c>
      <c r="E128" s="856"/>
      <c r="F128" s="857">
        <f t="shared" si="17"/>
        <v>32413.313177607219</v>
      </c>
      <c r="G128" s="855">
        <f t="shared" si="18"/>
        <v>28850.546168627869</v>
      </c>
      <c r="H128" s="855">
        <f t="shared" si="19"/>
        <v>3562.7670089793496</v>
      </c>
      <c r="I128" s="855">
        <f t="shared" si="20"/>
        <v>474128.32568728027</v>
      </c>
      <c r="J128" s="877"/>
      <c r="K128" s="843"/>
    </row>
    <row r="129" spans="1:11">
      <c r="A129" s="812">
        <f>IF(Values_Entered,A128+1,"")</f>
        <v>105</v>
      </c>
      <c r="B129" s="846">
        <f>B128+31</f>
        <v>48172</v>
      </c>
      <c r="C129" s="855">
        <f t="shared" si="16"/>
        <v>474128.32568728027</v>
      </c>
      <c r="D129" s="855">
        <f t="shared" si="21"/>
        <v>32413.313177607219</v>
      </c>
      <c r="E129" s="856"/>
      <c r="F129" s="857">
        <f t="shared" si="17"/>
        <v>32413.313177607219</v>
      </c>
      <c r="G129" s="855">
        <f t="shared" si="18"/>
        <v>29054.904203988983</v>
      </c>
      <c r="H129" s="855">
        <f t="shared" si="19"/>
        <v>3358.4089736182354</v>
      </c>
      <c r="I129" s="855">
        <f t="shared" si="20"/>
        <v>445073.42148329131</v>
      </c>
      <c r="J129" s="877"/>
      <c r="K129" s="843"/>
    </row>
    <row r="130" spans="1:11">
      <c r="A130" s="812">
        <f>IF(Values_Entered,A129+1,"")</f>
        <v>106</v>
      </c>
      <c r="B130" s="846">
        <f t="shared" si="22"/>
        <v>48202</v>
      </c>
      <c r="C130" s="855">
        <f t="shared" si="16"/>
        <v>445073.42148329131</v>
      </c>
      <c r="D130" s="855">
        <f t="shared" si="21"/>
        <v>32413.313177607219</v>
      </c>
      <c r="E130" s="856"/>
      <c r="F130" s="857">
        <f t="shared" si="17"/>
        <v>32413.313177607219</v>
      </c>
      <c r="G130" s="855">
        <f t="shared" si="18"/>
        <v>29260.709775433905</v>
      </c>
      <c r="H130" s="855">
        <f t="shared" si="19"/>
        <v>3152.603402173314</v>
      </c>
      <c r="I130" s="855">
        <f t="shared" si="20"/>
        <v>415812.71170785744</v>
      </c>
      <c r="J130" s="877"/>
      <c r="K130" s="843"/>
    </row>
    <row r="131" spans="1:11">
      <c r="A131" s="812">
        <f>IF(Values_Entered,A130+1,"")</f>
        <v>107</v>
      </c>
      <c r="B131" s="846">
        <f>B130+31</f>
        <v>48233</v>
      </c>
      <c r="C131" s="855">
        <f t="shared" si="16"/>
        <v>415812.71170785744</v>
      </c>
      <c r="D131" s="855">
        <f t="shared" si="21"/>
        <v>32413.313177607219</v>
      </c>
      <c r="E131" s="856"/>
      <c r="F131" s="857">
        <f t="shared" si="17"/>
        <v>32413.313177607219</v>
      </c>
      <c r="G131" s="855">
        <f t="shared" si="18"/>
        <v>29467.973136343229</v>
      </c>
      <c r="H131" s="855">
        <f t="shared" si="19"/>
        <v>2945.3400412639908</v>
      </c>
      <c r="I131" s="855">
        <f t="shared" si="20"/>
        <v>386344.7385715142</v>
      </c>
      <c r="J131" s="877"/>
      <c r="K131" s="843"/>
    </row>
    <row r="132" spans="1:11">
      <c r="A132" s="812">
        <f>IF(Values_Entered,A131+1,"")</f>
        <v>108</v>
      </c>
      <c r="B132" s="846">
        <f>B131+31</f>
        <v>48264</v>
      </c>
      <c r="C132" s="855">
        <f t="shared" si="16"/>
        <v>386344.7385715142</v>
      </c>
      <c r="D132" s="855">
        <f t="shared" si="21"/>
        <v>32413.313177607219</v>
      </c>
      <c r="E132" s="856"/>
      <c r="F132" s="857">
        <f t="shared" si="17"/>
        <v>32413.313177607219</v>
      </c>
      <c r="G132" s="855">
        <f t="shared" si="18"/>
        <v>29676.704612725658</v>
      </c>
      <c r="H132" s="855">
        <f t="shared" si="19"/>
        <v>2736.6085648815592</v>
      </c>
      <c r="I132" s="855">
        <f t="shared" si="20"/>
        <v>356668.03395878855</v>
      </c>
      <c r="J132" s="877"/>
      <c r="K132" s="843"/>
    </row>
    <row r="133" spans="1:11">
      <c r="A133" s="812">
        <f>IF(Values_Entered,A132+1,"")</f>
        <v>109</v>
      </c>
      <c r="B133" s="846">
        <f>B132+29</f>
        <v>48293</v>
      </c>
      <c r="C133" s="855">
        <f t="shared" si="16"/>
        <v>356668.03395878855</v>
      </c>
      <c r="D133" s="855">
        <f t="shared" si="21"/>
        <v>32413.313177607219</v>
      </c>
      <c r="E133" s="856"/>
      <c r="F133" s="857">
        <f t="shared" si="17"/>
        <v>32413.313177607219</v>
      </c>
      <c r="G133" s="855">
        <f t="shared" si="18"/>
        <v>29886.914603732468</v>
      </c>
      <c r="H133" s="855">
        <f t="shared" si="19"/>
        <v>2526.3985738747524</v>
      </c>
      <c r="I133" s="855">
        <f t="shared" si="20"/>
        <v>326781.11935505609</v>
      </c>
      <c r="J133" s="877"/>
      <c r="K133" s="843"/>
    </row>
    <row r="134" spans="1:11">
      <c r="A134" s="812">
        <f>IF(Values_Entered,A133+1,"")</f>
        <v>110</v>
      </c>
      <c r="B134" s="846">
        <f>B133+31</f>
        <v>48324</v>
      </c>
      <c r="C134" s="855">
        <f t="shared" si="16"/>
        <v>326781.11935505609</v>
      </c>
      <c r="D134" s="855">
        <f t="shared" si="21"/>
        <v>32413.313177607219</v>
      </c>
      <c r="E134" s="856"/>
      <c r="F134" s="857">
        <f t="shared" si="17"/>
        <v>32413.313177607219</v>
      </c>
      <c r="G134" s="855">
        <f t="shared" si="18"/>
        <v>30098.613582175571</v>
      </c>
      <c r="H134" s="855">
        <f t="shared" si="19"/>
        <v>2314.6995954316476</v>
      </c>
      <c r="I134" s="855">
        <f t="shared" si="20"/>
        <v>296682.50577288051</v>
      </c>
      <c r="J134" s="877"/>
      <c r="K134" s="843"/>
    </row>
    <row r="135" spans="1:11">
      <c r="A135" s="812">
        <f>IF(Values_Entered,A134+1,"")</f>
        <v>111</v>
      </c>
      <c r="B135" s="846">
        <f t="shared" si="22"/>
        <v>48354</v>
      </c>
      <c r="C135" s="855">
        <f t="shared" si="16"/>
        <v>296682.50577288051</v>
      </c>
      <c r="D135" s="855">
        <f t="shared" si="21"/>
        <v>32413.313177607219</v>
      </c>
      <c r="E135" s="856"/>
      <c r="F135" s="857">
        <f t="shared" si="17"/>
        <v>32413.313177607219</v>
      </c>
      <c r="G135" s="855">
        <f t="shared" si="18"/>
        <v>30311.812095049314</v>
      </c>
      <c r="H135" s="855">
        <f t="shared" si="19"/>
        <v>2101.5010825579038</v>
      </c>
      <c r="I135" s="855">
        <f t="shared" si="20"/>
        <v>266370.69367783121</v>
      </c>
      <c r="J135" s="877"/>
      <c r="K135" s="843"/>
    </row>
    <row r="136" spans="1:11">
      <c r="A136" s="812">
        <f>IF(Values_Entered,A135+1,"")</f>
        <v>112</v>
      </c>
      <c r="B136" s="846">
        <f>B135+31</f>
        <v>48385</v>
      </c>
      <c r="C136" s="855">
        <f t="shared" si="16"/>
        <v>266370.69367783121</v>
      </c>
      <c r="D136" s="855">
        <f t="shared" si="21"/>
        <v>32413.313177607219</v>
      </c>
      <c r="E136" s="856"/>
      <c r="F136" s="857">
        <f t="shared" si="17"/>
        <v>32413.313177607219</v>
      </c>
      <c r="G136" s="855">
        <f t="shared" si="18"/>
        <v>30526.520764055913</v>
      </c>
      <c r="H136" s="855">
        <f t="shared" si="19"/>
        <v>1886.7924135513047</v>
      </c>
      <c r="I136" s="855">
        <f t="shared" si="20"/>
        <v>235844.17291377528</v>
      </c>
      <c r="J136" s="877"/>
      <c r="K136" s="843"/>
    </row>
    <row r="137" spans="1:11">
      <c r="A137" s="812">
        <f>IF(Values_Entered,A136+1,"")</f>
        <v>113</v>
      </c>
      <c r="B137" s="846">
        <f t="shared" si="22"/>
        <v>48415</v>
      </c>
      <c r="C137" s="855">
        <f t="shared" si="16"/>
        <v>235844.17291377528</v>
      </c>
      <c r="D137" s="855">
        <f t="shared" si="21"/>
        <v>32413.313177607219</v>
      </c>
      <c r="E137" s="856"/>
      <c r="F137" s="857">
        <f t="shared" si="17"/>
        <v>32413.313177607219</v>
      </c>
      <c r="G137" s="855">
        <f t="shared" si="18"/>
        <v>30742.750286134644</v>
      </c>
      <c r="H137" s="855">
        <f t="shared" si="19"/>
        <v>1670.5628914725751</v>
      </c>
      <c r="I137" s="855">
        <f t="shared" si="20"/>
        <v>205101.42262764066</v>
      </c>
      <c r="J137" s="877"/>
      <c r="K137" s="843"/>
    </row>
    <row r="138" spans="1:11">
      <c r="A138" s="812">
        <f>IF(Values_Entered,A137+1,"")</f>
        <v>114</v>
      </c>
      <c r="B138" s="846">
        <f>B137+31</f>
        <v>48446</v>
      </c>
      <c r="C138" s="855">
        <f t="shared" si="16"/>
        <v>205101.42262764066</v>
      </c>
      <c r="D138" s="855">
        <f t="shared" si="21"/>
        <v>32413.313177607219</v>
      </c>
      <c r="E138" s="856"/>
      <c r="F138" s="857">
        <f t="shared" si="17"/>
        <v>32413.313177607219</v>
      </c>
      <c r="G138" s="855">
        <f t="shared" si="18"/>
        <v>30960.511433994765</v>
      </c>
      <c r="H138" s="855">
        <f t="shared" si="19"/>
        <v>1452.8017436124546</v>
      </c>
      <c r="I138" s="855">
        <f t="shared" si="20"/>
        <v>174140.91119364588</v>
      </c>
      <c r="J138" s="877"/>
      <c r="K138" s="843"/>
    </row>
    <row r="139" spans="1:11">
      <c r="A139" s="812">
        <f>IF(Values_Entered,A138+1,"")</f>
        <v>115</v>
      </c>
      <c r="B139" s="846">
        <f>B138+31</f>
        <v>48477</v>
      </c>
      <c r="C139" s="855">
        <f t="shared" si="16"/>
        <v>174140.91119364588</v>
      </c>
      <c r="D139" s="855">
        <f t="shared" si="21"/>
        <v>32413.313177607219</v>
      </c>
      <c r="E139" s="856"/>
      <c r="F139" s="857">
        <f t="shared" si="17"/>
        <v>32413.313177607219</v>
      </c>
      <c r="G139" s="855">
        <f t="shared" si="18"/>
        <v>31179.815056652227</v>
      </c>
      <c r="H139" s="855">
        <f t="shared" si="19"/>
        <v>1233.4981209549917</v>
      </c>
      <c r="I139" s="855">
        <f t="shared" si="20"/>
        <v>142961.09613699364</v>
      </c>
      <c r="J139" s="877"/>
      <c r="K139" s="843"/>
    </row>
    <row r="140" spans="1:11">
      <c r="A140" s="812">
        <f>IF(Values_Entered,A139+1,"")</f>
        <v>116</v>
      </c>
      <c r="B140" s="846">
        <f t="shared" si="22"/>
        <v>48507</v>
      </c>
      <c r="C140" s="855">
        <f t="shared" si="16"/>
        <v>142961.09613699364</v>
      </c>
      <c r="D140" s="855">
        <f t="shared" si="21"/>
        <v>32413.313177607219</v>
      </c>
      <c r="E140" s="856"/>
      <c r="F140" s="857">
        <f t="shared" si="17"/>
        <v>32413.313177607219</v>
      </c>
      <c r="G140" s="855">
        <f t="shared" si="18"/>
        <v>31400.67207997018</v>
      </c>
      <c r="H140" s="855">
        <f t="shared" si="19"/>
        <v>1012.6410976370383</v>
      </c>
      <c r="I140" s="855">
        <f t="shared" si="20"/>
        <v>111560.42405702345</v>
      </c>
      <c r="J140" s="877"/>
      <c r="K140" s="843"/>
    </row>
    <row r="141" spans="1:11">
      <c r="A141" s="812">
        <f>IF(Values_Entered,A140+1,"")</f>
        <v>117</v>
      </c>
      <c r="B141" s="846">
        <f>B140+31</f>
        <v>48538</v>
      </c>
      <c r="C141" s="855">
        <f t="shared" si="16"/>
        <v>111560.42405702345</v>
      </c>
      <c r="D141" s="855">
        <f t="shared" si="21"/>
        <v>32413.313177607219</v>
      </c>
      <c r="E141" s="856"/>
      <c r="F141" s="857">
        <f t="shared" si="17"/>
        <v>32413.313177607219</v>
      </c>
      <c r="G141" s="855">
        <f t="shared" si="18"/>
        <v>31623.093507203303</v>
      </c>
      <c r="H141" s="855">
        <f t="shared" si="19"/>
        <v>790.21967040391621</v>
      </c>
      <c r="I141" s="855">
        <f t="shared" si="20"/>
        <v>79937.330549820152</v>
      </c>
      <c r="J141" s="877"/>
      <c r="K141" s="843"/>
    </row>
    <row r="142" spans="1:11">
      <c r="A142" s="812">
        <f>IF(Values_Entered,A141+1,"")</f>
        <v>118</v>
      </c>
      <c r="B142" s="846">
        <f t="shared" si="22"/>
        <v>48568</v>
      </c>
      <c r="C142" s="855">
        <f t="shared" si="16"/>
        <v>79937.330549820152</v>
      </c>
      <c r="D142" s="855">
        <f t="shared" si="21"/>
        <v>32413.313177607219</v>
      </c>
      <c r="E142" s="856"/>
      <c r="F142" s="857">
        <f t="shared" si="17"/>
        <v>32413.313177607219</v>
      </c>
      <c r="G142" s="855">
        <f t="shared" si="18"/>
        <v>31847.090419545992</v>
      </c>
      <c r="H142" s="855">
        <f t="shared" si="19"/>
        <v>566.22275806122605</v>
      </c>
      <c r="I142" s="855">
        <f t="shared" si="20"/>
        <v>48090.240130274164</v>
      </c>
      <c r="J142" s="877"/>
      <c r="K142" s="843"/>
    </row>
    <row r="143" spans="1:11">
      <c r="A143" s="812">
        <f>IF(Values_Entered,A142+1,"")</f>
        <v>119</v>
      </c>
      <c r="B143" s="846">
        <f>B142+31</f>
        <v>48599</v>
      </c>
      <c r="C143" s="855">
        <f t="shared" si="16"/>
        <v>48090.240130274164</v>
      </c>
      <c r="D143" s="855">
        <f t="shared" si="21"/>
        <v>32413.313177607219</v>
      </c>
      <c r="E143" s="856"/>
      <c r="F143" s="857">
        <f t="shared" si="17"/>
        <v>32413.313177607219</v>
      </c>
      <c r="G143" s="855">
        <f t="shared" si="18"/>
        <v>32072.673976684444</v>
      </c>
      <c r="H143" s="855">
        <f t="shared" si="19"/>
        <v>340.63920092277539</v>
      </c>
      <c r="I143" s="855">
        <f t="shared" si="20"/>
        <v>16017.56615358972</v>
      </c>
      <c r="J143" s="877"/>
      <c r="K143" s="843"/>
    </row>
    <row r="144" spans="1:11">
      <c r="A144" s="812">
        <f>IF(Values_Entered,A143+1,"")</f>
        <v>120</v>
      </c>
      <c r="B144" s="846">
        <f>B143+31</f>
        <v>48630</v>
      </c>
      <c r="C144" s="855">
        <f t="shared" si="16"/>
        <v>16017.56615358972</v>
      </c>
      <c r="D144" s="855">
        <f t="shared" si="21"/>
        <v>32413.313177607219</v>
      </c>
      <c r="E144" s="856"/>
      <c r="F144" s="857">
        <f t="shared" si="17"/>
        <v>16017.56615358972</v>
      </c>
      <c r="G144" s="855">
        <f t="shared" si="18"/>
        <v>15904.108393335126</v>
      </c>
      <c r="H144" s="855">
        <f t="shared" si="19"/>
        <v>113.45776025459385</v>
      </c>
      <c r="I144" s="855">
        <f t="shared" si="20"/>
        <v>0</v>
      </c>
      <c r="J144" s="877"/>
      <c r="K144" s="843"/>
    </row>
    <row r="145" spans="1:11">
      <c r="A145" s="812">
        <f>IF(Values_Entered,A144+1,"")</f>
        <v>121</v>
      </c>
      <c r="B145" s="846">
        <v>42032</v>
      </c>
      <c r="C145" s="855">
        <f t="shared" si="16"/>
        <v>0</v>
      </c>
      <c r="D145" s="855">
        <f t="shared" si="21"/>
        <v>32413.313177607219</v>
      </c>
      <c r="E145" s="856"/>
      <c r="F145" s="857">
        <f t="shared" si="17"/>
        <v>0</v>
      </c>
      <c r="G145" s="855">
        <f t="shared" si="18"/>
        <v>0</v>
      </c>
      <c r="H145" s="855">
        <f t="shared" si="19"/>
        <v>0</v>
      </c>
      <c r="I145" s="855">
        <f t="shared" si="20"/>
        <v>0</v>
      </c>
      <c r="J145" s="877"/>
      <c r="K145" s="843"/>
    </row>
    <row r="146" spans="1:11">
      <c r="A146" s="812">
        <f>IF(Values_Entered,A145+1,"")</f>
        <v>122</v>
      </c>
      <c r="B146" s="846">
        <f t="shared" ref="B146:B152" si="23">IF(Pay_Num&lt;&gt;"",DATE(YEAR(Loan_Start),MONTH(Loan_Start)+(Pay_Num)*12/Num_Pmt_Per_Year,DAY(Loan_Start)),"")</f>
        <v>48719</v>
      </c>
      <c r="C146" s="855">
        <f t="shared" ref="C146:C154" si="24">IF(Pay_Num&lt;&gt;"",I145,"")</f>
        <v>0</v>
      </c>
      <c r="D146" s="855">
        <f t="shared" ref="D146:D154" si="25">IF(Pay_Num&lt;&gt;"",Scheduled_Monthly_Payment,"")</f>
        <v>32413.313177607219</v>
      </c>
      <c r="E146" s="856">
        <f t="shared" ref="E146:E152" si="26">IF(AND(Pay_Num&lt;&gt;"",Sched_Pay+Scheduled_Extra_Payments&lt;Beg_Bal),Scheduled_Extra_Payments,IF(AND(Pay_Num&lt;&gt;"",Beg_Bal-Sched_Pay&gt;0),Beg_Bal-Sched_Pay,IF(Pay_Num&lt;&gt;"",0,"")))</f>
        <v>0</v>
      </c>
      <c r="F146" s="857">
        <f t="shared" si="17"/>
        <v>0</v>
      </c>
      <c r="G146" s="855">
        <f t="shared" si="18"/>
        <v>0</v>
      </c>
      <c r="H146" s="855">
        <f t="shared" si="19"/>
        <v>0</v>
      </c>
      <c r="I146" s="855">
        <f t="shared" si="20"/>
        <v>0</v>
      </c>
      <c r="J146" s="877"/>
      <c r="K146" s="843"/>
    </row>
    <row r="147" spans="1:11">
      <c r="A147" s="812">
        <f>IF(Values_Entered,A146+1,"")</f>
        <v>123</v>
      </c>
      <c r="B147" s="846">
        <f t="shared" si="23"/>
        <v>48750</v>
      </c>
      <c r="C147" s="855">
        <f t="shared" si="24"/>
        <v>0</v>
      </c>
      <c r="D147" s="855">
        <f t="shared" si="25"/>
        <v>32413.313177607219</v>
      </c>
      <c r="E147" s="856">
        <f t="shared" si="26"/>
        <v>0</v>
      </c>
      <c r="F147" s="857">
        <f t="shared" si="17"/>
        <v>0</v>
      </c>
      <c r="G147" s="855">
        <f t="shared" si="18"/>
        <v>0</v>
      </c>
      <c r="H147" s="855">
        <f t="shared" si="19"/>
        <v>0</v>
      </c>
      <c r="I147" s="855">
        <f t="shared" si="20"/>
        <v>0</v>
      </c>
      <c r="J147" s="877"/>
      <c r="K147" s="843"/>
    </row>
    <row r="148" spans="1:11">
      <c r="A148" s="812">
        <f>IF(Values_Entered,A147+1,"")</f>
        <v>124</v>
      </c>
      <c r="B148" s="846">
        <f t="shared" si="23"/>
        <v>48780</v>
      </c>
      <c r="C148" s="855">
        <f t="shared" si="24"/>
        <v>0</v>
      </c>
      <c r="D148" s="855">
        <f t="shared" si="25"/>
        <v>32413.313177607219</v>
      </c>
      <c r="E148" s="856">
        <f t="shared" si="26"/>
        <v>0</v>
      </c>
      <c r="F148" s="857">
        <f t="shared" si="17"/>
        <v>0</v>
      </c>
      <c r="G148" s="855">
        <f t="shared" si="18"/>
        <v>0</v>
      </c>
      <c r="H148" s="855">
        <f t="shared" si="19"/>
        <v>0</v>
      </c>
      <c r="I148" s="855">
        <f t="shared" si="20"/>
        <v>0</v>
      </c>
      <c r="J148" s="877"/>
      <c r="K148" s="843"/>
    </row>
    <row r="149" spans="1:11">
      <c r="A149" s="812">
        <f>IF(Values_Entered,A148+1,"")</f>
        <v>125</v>
      </c>
      <c r="B149" s="846">
        <f t="shared" si="23"/>
        <v>48811</v>
      </c>
      <c r="C149" s="855">
        <f t="shared" si="24"/>
        <v>0</v>
      </c>
      <c r="D149" s="855">
        <f t="shared" si="25"/>
        <v>32413.313177607219</v>
      </c>
      <c r="E149" s="856">
        <f t="shared" si="26"/>
        <v>0</v>
      </c>
      <c r="F149" s="857">
        <f t="shared" si="17"/>
        <v>0</v>
      </c>
      <c r="G149" s="855">
        <f t="shared" si="18"/>
        <v>0</v>
      </c>
      <c r="H149" s="855">
        <f t="shared" si="19"/>
        <v>0</v>
      </c>
      <c r="I149" s="855">
        <f t="shared" si="20"/>
        <v>0</v>
      </c>
      <c r="J149" s="877"/>
      <c r="K149" s="843"/>
    </row>
    <row r="150" spans="1:11">
      <c r="A150" s="812">
        <f>IF(Values_Entered,A149+1,"")</f>
        <v>126</v>
      </c>
      <c r="B150" s="846">
        <f t="shared" si="23"/>
        <v>48842</v>
      </c>
      <c r="C150" s="855">
        <f t="shared" si="24"/>
        <v>0</v>
      </c>
      <c r="D150" s="855">
        <f t="shared" si="25"/>
        <v>32413.313177607219</v>
      </c>
      <c r="E150" s="856">
        <f t="shared" si="26"/>
        <v>0</v>
      </c>
      <c r="F150" s="857">
        <f t="shared" si="17"/>
        <v>0</v>
      </c>
      <c r="G150" s="855">
        <f t="shared" si="18"/>
        <v>0</v>
      </c>
      <c r="H150" s="855">
        <f t="shared" si="19"/>
        <v>0</v>
      </c>
      <c r="I150" s="855">
        <f t="shared" si="20"/>
        <v>0</v>
      </c>
      <c r="J150" s="877"/>
      <c r="K150" s="843"/>
    </row>
    <row r="151" spans="1:11">
      <c r="A151" s="812">
        <f>IF(Values_Entered,A150+1,"")</f>
        <v>127</v>
      </c>
      <c r="B151" s="846">
        <f t="shared" si="23"/>
        <v>48872</v>
      </c>
      <c r="C151" s="855">
        <f t="shared" si="24"/>
        <v>0</v>
      </c>
      <c r="D151" s="855">
        <f t="shared" si="25"/>
        <v>32413.313177607219</v>
      </c>
      <c r="E151" s="856">
        <f t="shared" si="26"/>
        <v>0</v>
      </c>
      <c r="F151" s="857">
        <f t="shared" si="17"/>
        <v>0</v>
      </c>
      <c r="G151" s="855">
        <f t="shared" si="18"/>
        <v>0</v>
      </c>
      <c r="H151" s="855">
        <f t="shared" si="19"/>
        <v>0</v>
      </c>
      <c r="I151" s="855">
        <f t="shared" si="20"/>
        <v>0</v>
      </c>
      <c r="J151" s="877"/>
      <c r="K151" s="843"/>
    </row>
    <row r="152" spans="1:11">
      <c r="A152" s="812">
        <f>IF(Values_Entered,A151+1,"")</f>
        <v>128</v>
      </c>
      <c r="B152" s="846">
        <f t="shared" si="23"/>
        <v>48903</v>
      </c>
      <c r="C152" s="855">
        <f t="shared" si="24"/>
        <v>0</v>
      </c>
      <c r="D152" s="855">
        <f t="shared" si="25"/>
        <v>32413.313177607219</v>
      </c>
      <c r="E152" s="856">
        <f t="shared" si="26"/>
        <v>0</v>
      </c>
      <c r="F152" s="857">
        <f t="shared" si="17"/>
        <v>0</v>
      </c>
      <c r="G152" s="855">
        <f t="shared" si="18"/>
        <v>0</v>
      </c>
      <c r="H152" s="855">
        <f t="shared" si="19"/>
        <v>0</v>
      </c>
      <c r="I152" s="855">
        <f t="shared" si="20"/>
        <v>0</v>
      </c>
      <c r="J152" s="877"/>
      <c r="K152" s="843"/>
    </row>
    <row r="153" spans="1:11">
      <c r="A153" s="812">
        <f>IF(Values_Entered,A152+1,"")</f>
        <v>129</v>
      </c>
      <c r="B153" s="846">
        <f t="shared" ref="B153:B216" si="27">IF(Pay_Num&lt;&gt;"",DATE(YEAR(Loan_Start),MONTH(Loan_Start)+(Pay_Num)*12/Num_Pmt_Per_Year,DAY(Loan_Start)),"")</f>
        <v>48933</v>
      </c>
      <c r="C153" s="855">
        <f t="shared" si="24"/>
        <v>0</v>
      </c>
      <c r="D153" s="855">
        <f t="shared" si="25"/>
        <v>32413.313177607219</v>
      </c>
      <c r="E153" s="856">
        <f t="shared" ref="E153:E216" si="28">IF(AND(Pay_Num&lt;&gt;"",Sched_Pay+Scheduled_Extra_Payments&lt;Beg_Bal),Scheduled_Extra_Payments,IF(AND(Pay_Num&lt;&gt;"",Beg_Bal-Sched_Pay&gt;0),Beg_Bal-Sched_Pay,IF(Pay_Num&lt;&gt;"",0,"")))</f>
        <v>0</v>
      </c>
      <c r="F153" s="857">
        <f t="shared" ref="F153:F204" si="29">IF(AND(Pay_Num&lt;&gt;"",Sched_Pay+Extra_Pay&lt;Beg_Bal),Sched_Pay+Extra_Pay,IF(Pay_Num&lt;&gt;"",Beg_Bal,""))</f>
        <v>0</v>
      </c>
      <c r="G153" s="855">
        <f t="shared" si="18"/>
        <v>0</v>
      </c>
      <c r="H153" s="855">
        <f t="shared" si="19"/>
        <v>0</v>
      </c>
      <c r="I153" s="855">
        <f t="shared" si="20"/>
        <v>0</v>
      </c>
      <c r="J153" s="877"/>
      <c r="K153" s="843"/>
    </row>
    <row r="154" spans="1:11">
      <c r="A154" s="812">
        <f>IF(Values_Entered,A153+1,"")</f>
        <v>130</v>
      </c>
      <c r="B154" s="846">
        <f t="shared" si="27"/>
        <v>48964</v>
      </c>
      <c r="C154" s="855">
        <f t="shared" si="24"/>
        <v>0</v>
      </c>
      <c r="D154" s="855">
        <f t="shared" si="25"/>
        <v>32413.313177607219</v>
      </c>
      <c r="E154" s="856">
        <f t="shared" si="28"/>
        <v>0</v>
      </c>
      <c r="F154" s="857">
        <f t="shared" si="29"/>
        <v>0</v>
      </c>
      <c r="G154" s="855">
        <f t="shared" ref="G154:G204" si="30">IF(Pay_Num&lt;&gt;"",Total_Pay-Int,"")</f>
        <v>0</v>
      </c>
      <c r="H154" s="855">
        <f t="shared" ref="H154:H204" si="31">IF(Pay_Num&lt;&gt;"",Beg_Bal*Interest_Rate/Num_Pmt_Per_Year,"")</f>
        <v>0</v>
      </c>
      <c r="I154" s="855">
        <f t="shared" ref="I154:I204" si="32">IF(AND(Pay_Num&lt;&gt;"",Sched_Pay+Extra_Pay&lt;Beg_Bal),Beg_Bal-Princ,IF(Pay_Num&lt;&gt;"",0,""))</f>
        <v>0</v>
      </c>
      <c r="J154" s="877"/>
      <c r="K154" s="843"/>
    </row>
    <row r="155" spans="1:11">
      <c r="A155" s="812">
        <f>IF(Values_Entered,A154+1,"")</f>
        <v>131</v>
      </c>
      <c r="B155" s="846">
        <f t="shared" si="27"/>
        <v>48995</v>
      </c>
      <c r="C155" s="855">
        <f t="shared" ref="C155:C218" si="33">IF(Pay_Num&lt;&gt;"",I154,"")</f>
        <v>0</v>
      </c>
      <c r="D155" s="855">
        <f t="shared" ref="D155:D218" si="34">IF(Pay_Num&lt;&gt;"",Scheduled_Monthly_Payment,"")</f>
        <v>32413.313177607219</v>
      </c>
      <c r="E155" s="856">
        <f t="shared" si="28"/>
        <v>0</v>
      </c>
      <c r="F155" s="857">
        <f t="shared" si="29"/>
        <v>0</v>
      </c>
      <c r="G155" s="855">
        <f t="shared" si="30"/>
        <v>0</v>
      </c>
      <c r="H155" s="855">
        <f t="shared" si="31"/>
        <v>0</v>
      </c>
      <c r="I155" s="855">
        <f t="shared" si="32"/>
        <v>0</v>
      </c>
      <c r="J155" s="877"/>
      <c r="K155" s="843"/>
    </row>
    <row r="156" spans="1:11">
      <c r="A156" s="812">
        <f>IF(Values_Entered,A155+1,"")</f>
        <v>132</v>
      </c>
      <c r="B156" s="846">
        <f t="shared" si="27"/>
        <v>49023</v>
      </c>
      <c r="C156" s="855">
        <f t="shared" si="33"/>
        <v>0</v>
      </c>
      <c r="D156" s="855">
        <f t="shared" si="34"/>
        <v>32413.313177607219</v>
      </c>
      <c r="E156" s="856">
        <f t="shared" si="28"/>
        <v>0</v>
      </c>
      <c r="F156" s="857">
        <f t="shared" si="29"/>
        <v>0</v>
      </c>
      <c r="G156" s="855">
        <f t="shared" si="30"/>
        <v>0</v>
      </c>
      <c r="H156" s="855">
        <f t="shared" si="31"/>
        <v>0</v>
      </c>
      <c r="I156" s="855">
        <f t="shared" si="32"/>
        <v>0</v>
      </c>
      <c r="J156" s="877"/>
      <c r="K156" s="843"/>
    </row>
    <row r="157" spans="1:11">
      <c r="A157" s="812">
        <f>IF(Values_Entered,A156+1,"")</f>
        <v>133</v>
      </c>
      <c r="B157" s="846">
        <f t="shared" si="27"/>
        <v>49054</v>
      </c>
      <c r="C157" s="855">
        <f t="shared" si="33"/>
        <v>0</v>
      </c>
      <c r="D157" s="855">
        <f t="shared" si="34"/>
        <v>32413.313177607219</v>
      </c>
      <c r="E157" s="856">
        <f t="shared" si="28"/>
        <v>0</v>
      </c>
      <c r="F157" s="857">
        <f t="shared" si="29"/>
        <v>0</v>
      </c>
      <c r="G157" s="855">
        <f t="shared" si="30"/>
        <v>0</v>
      </c>
      <c r="H157" s="855">
        <f t="shared" si="31"/>
        <v>0</v>
      </c>
      <c r="I157" s="855">
        <f t="shared" si="32"/>
        <v>0</v>
      </c>
      <c r="J157" s="877"/>
      <c r="K157" s="843"/>
    </row>
    <row r="158" spans="1:11">
      <c r="A158" s="812">
        <f>IF(Values_Entered,A157+1,"")</f>
        <v>134</v>
      </c>
      <c r="B158" s="846">
        <f t="shared" si="27"/>
        <v>49084</v>
      </c>
      <c r="C158" s="855">
        <f t="shared" si="33"/>
        <v>0</v>
      </c>
      <c r="D158" s="855">
        <f t="shared" si="34"/>
        <v>32413.313177607219</v>
      </c>
      <c r="E158" s="856">
        <f t="shared" si="28"/>
        <v>0</v>
      </c>
      <c r="F158" s="857">
        <f t="shared" si="29"/>
        <v>0</v>
      </c>
      <c r="G158" s="855">
        <f t="shared" si="30"/>
        <v>0</v>
      </c>
      <c r="H158" s="855">
        <f t="shared" si="31"/>
        <v>0</v>
      </c>
      <c r="I158" s="855">
        <f t="shared" si="32"/>
        <v>0</v>
      </c>
      <c r="J158" s="877"/>
      <c r="K158" s="843"/>
    </row>
    <row r="159" spans="1:11">
      <c r="A159" s="812">
        <f>IF(Values_Entered,A158+1,"")</f>
        <v>135</v>
      </c>
      <c r="B159" s="846">
        <f t="shared" si="27"/>
        <v>49115</v>
      </c>
      <c r="C159" s="855">
        <f t="shared" si="33"/>
        <v>0</v>
      </c>
      <c r="D159" s="855">
        <f t="shared" si="34"/>
        <v>32413.313177607219</v>
      </c>
      <c r="E159" s="856">
        <f t="shared" si="28"/>
        <v>0</v>
      </c>
      <c r="F159" s="857">
        <f t="shared" si="29"/>
        <v>0</v>
      </c>
      <c r="G159" s="855">
        <f t="shared" si="30"/>
        <v>0</v>
      </c>
      <c r="H159" s="855">
        <f t="shared" si="31"/>
        <v>0</v>
      </c>
      <c r="I159" s="855">
        <f t="shared" si="32"/>
        <v>0</v>
      </c>
      <c r="J159" s="877"/>
      <c r="K159" s="843"/>
    </row>
    <row r="160" spans="1:11">
      <c r="A160" s="812">
        <f>IF(Values_Entered,A159+1,"")</f>
        <v>136</v>
      </c>
      <c r="B160" s="846">
        <f t="shared" si="27"/>
        <v>49145</v>
      </c>
      <c r="C160" s="855">
        <f t="shared" si="33"/>
        <v>0</v>
      </c>
      <c r="D160" s="855">
        <f t="shared" si="34"/>
        <v>32413.313177607219</v>
      </c>
      <c r="E160" s="856">
        <f t="shared" si="28"/>
        <v>0</v>
      </c>
      <c r="F160" s="857">
        <f t="shared" si="29"/>
        <v>0</v>
      </c>
      <c r="G160" s="855">
        <f t="shared" si="30"/>
        <v>0</v>
      </c>
      <c r="H160" s="855">
        <f t="shared" si="31"/>
        <v>0</v>
      </c>
      <c r="I160" s="855">
        <f t="shared" si="32"/>
        <v>0</v>
      </c>
      <c r="J160" s="877"/>
      <c r="K160" s="843"/>
    </row>
    <row r="161" spans="1:11">
      <c r="A161" s="812">
        <f>IF(Values_Entered,A160+1,"")</f>
        <v>137</v>
      </c>
      <c r="B161" s="846">
        <f t="shared" si="27"/>
        <v>49176</v>
      </c>
      <c r="C161" s="855">
        <f t="shared" si="33"/>
        <v>0</v>
      </c>
      <c r="D161" s="855">
        <f t="shared" si="34"/>
        <v>32413.313177607219</v>
      </c>
      <c r="E161" s="856">
        <f t="shared" si="28"/>
        <v>0</v>
      </c>
      <c r="F161" s="857">
        <f t="shared" si="29"/>
        <v>0</v>
      </c>
      <c r="G161" s="855">
        <f t="shared" si="30"/>
        <v>0</v>
      </c>
      <c r="H161" s="855">
        <f t="shared" si="31"/>
        <v>0</v>
      </c>
      <c r="I161" s="855">
        <f t="shared" si="32"/>
        <v>0</v>
      </c>
      <c r="J161" s="877"/>
      <c r="K161" s="843"/>
    </row>
    <row r="162" spans="1:11">
      <c r="A162" s="812">
        <f>IF(Values_Entered,A161+1,"")</f>
        <v>138</v>
      </c>
      <c r="B162" s="846">
        <f t="shared" si="27"/>
        <v>49207</v>
      </c>
      <c r="C162" s="855">
        <f t="shared" si="33"/>
        <v>0</v>
      </c>
      <c r="D162" s="855">
        <f t="shared" si="34"/>
        <v>32413.313177607219</v>
      </c>
      <c r="E162" s="856">
        <f t="shared" si="28"/>
        <v>0</v>
      </c>
      <c r="F162" s="857">
        <f t="shared" si="29"/>
        <v>0</v>
      </c>
      <c r="G162" s="855">
        <f t="shared" si="30"/>
        <v>0</v>
      </c>
      <c r="H162" s="855">
        <f t="shared" si="31"/>
        <v>0</v>
      </c>
      <c r="I162" s="855">
        <f t="shared" si="32"/>
        <v>0</v>
      </c>
      <c r="J162" s="877"/>
      <c r="K162" s="843"/>
    </row>
    <row r="163" spans="1:11">
      <c r="A163" s="812">
        <f>IF(Values_Entered,A162+1,"")</f>
        <v>139</v>
      </c>
      <c r="B163" s="846">
        <f t="shared" si="27"/>
        <v>49237</v>
      </c>
      <c r="C163" s="855">
        <f t="shared" si="33"/>
        <v>0</v>
      </c>
      <c r="D163" s="855">
        <f t="shared" si="34"/>
        <v>32413.313177607219</v>
      </c>
      <c r="E163" s="856">
        <f t="shared" si="28"/>
        <v>0</v>
      </c>
      <c r="F163" s="857">
        <f t="shared" si="29"/>
        <v>0</v>
      </c>
      <c r="G163" s="855">
        <f t="shared" si="30"/>
        <v>0</v>
      </c>
      <c r="H163" s="855">
        <f t="shared" si="31"/>
        <v>0</v>
      </c>
      <c r="I163" s="855">
        <f t="shared" si="32"/>
        <v>0</v>
      </c>
      <c r="J163" s="877"/>
      <c r="K163" s="843"/>
    </row>
    <row r="164" spans="1:11">
      <c r="A164" s="812">
        <f>IF(Values_Entered,A163+1,"")</f>
        <v>140</v>
      </c>
      <c r="B164" s="846">
        <f t="shared" si="27"/>
        <v>49268</v>
      </c>
      <c r="C164" s="855">
        <f t="shared" si="33"/>
        <v>0</v>
      </c>
      <c r="D164" s="855">
        <f t="shared" si="34"/>
        <v>32413.313177607219</v>
      </c>
      <c r="E164" s="856">
        <f t="shared" si="28"/>
        <v>0</v>
      </c>
      <c r="F164" s="857">
        <f t="shared" si="29"/>
        <v>0</v>
      </c>
      <c r="G164" s="855">
        <f t="shared" si="30"/>
        <v>0</v>
      </c>
      <c r="H164" s="855">
        <f t="shared" si="31"/>
        <v>0</v>
      </c>
      <c r="I164" s="855">
        <f t="shared" si="32"/>
        <v>0</v>
      </c>
      <c r="J164" s="877"/>
      <c r="K164" s="843"/>
    </row>
    <row r="165" spans="1:11">
      <c r="A165" s="812">
        <f>IF(Values_Entered,A164+1,"")</f>
        <v>141</v>
      </c>
      <c r="B165" s="846">
        <f t="shared" si="27"/>
        <v>49298</v>
      </c>
      <c r="C165" s="855">
        <f t="shared" si="33"/>
        <v>0</v>
      </c>
      <c r="D165" s="855">
        <f t="shared" si="34"/>
        <v>32413.313177607219</v>
      </c>
      <c r="E165" s="856">
        <f t="shared" si="28"/>
        <v>0</v>
      </c>
      <c r="F165" s="857">
        <f t="shared" si="29"/>
        <v>0</v>
      </c>
      <c r="G165" s="855">
        <f t="shared" si="30"/>
        <v>0</v>
      </c>
      <c r="H165" s="855">
        <f t="shared" si="31"/>
        <v>0</v>
      </c>
      <c r="I165" s="855">
        <f t="shared" si="32"/>
        <v>0</v>
      </c>
      <c r="J165" s="877"/>
      <c r="K165" s="843"/>
    </row>
    <row r="166" spans="1:11">
      <c r="A166" s="812">
        <f>IF(Values_Entered,A165+1,"")</f>
        <v>142</v>
      </c>
      <c r="B166" s="846">
        <f t="shared" si="27"/>
        <v>49329</v>
      </c>
      <c r="C166" s="855">
        <f t="shared" si="33"/>
        <v>0</v>
      </c>
      <c r="D166" s="855">
        <f t="shared" si="34"/>
        <v>32413.313177607219</v>
      </c>
      <c r="E166" s="856">
        <f t="shared" si="28"/>
        <v>0</v>
      </c>
      <c r="F166" s="857">
        <f t="shared" si="29"/>
        <v>0</v>
      </c>
      <c r="G166" s="855">
        <f t="shared" si="30"/>
        <v>0</v>
      </c>
      <c r="H166" s="855">
        <f t="shared" si="31"/>
        <v>0</v>
      </c>
      <c r="I166" s="855">
        <f t="shared" si="32"/>
        <v>0</v>
      </c>
      <c r="J166" s="877"/>
      <c r="K166" s="843"/>
    </row>
    <row r="167" spans="1:11">
      <c r="A167" s="812">
        <f>IF(Values_Entered,A166+1,"")</f>
        <v>143</v>
      </c>
      <c r="B167" s="846">
        <f t="shared" si="27"/>
        <v>49360</v>
      </c>
      <c r="C167" s="855">
        <f t="shared" si="33"/>
        <v>0</v>
      </c>
      <c r="D167" s="855">
        <f t="shared" si="34"/>
        <v>32413.313177607219</v>
      </c>
      <c r="E167" s="856">
        <f t="shared" si="28"/>
        <v>0</v>
      </c>
      <c r="F167" s="857">
        <f t="shared" si="29"/>
        <v>0</v>
      </c>
      <c r="G167" s="855">
        <f t="shared" si="30"/>
        <v>0</v>
      </c>
      <c r="H167" s="855">
        <f t="shared" si="31"/>
        <v>0</v>
      </c>
      <c r="I167" s="855">
        <f t="shared" si="32"/>
        <v>0</v>
      </c>
      <c r="J167" s="877"/>
      <c r="K167" s="843"/>
    </row>
    <row r="168" spans="1:11">
      <c r="A168" s="812">
        <f>IF(Values_Entered,A167+1,"")</f>
        <v>144</v>
      </c>
      <c r="B168" s="846">
        <f t="shared" si="27"/>
        <v>49388</v>
      </c>
      <c r="C168" s="855">
        <f t="shared" si="33"/>
        <v>0</v>
      </c>
      <c r="D168" s="855">
        <f t="shared" si="34"/>
        <v>32413.313177607219</v>
      </c>
      <c r="E168" s="856">
        <f t="shared" si="28"/>
        <v>0</v>
      </c>
      <c r="F168" s="857">
        <f t="shared" si="29"/>
        <v>0</v>
      </c>
      <c r="G168" s="855">
        <f t="shared" si="30"/>
        <v>0</v>
      </c>
      <c r="H168" s="855">
        <f t="shared" si="31"/>
        <v>0</v>
      </c>
      <c r="I168" s="855">
        <f t="shared" si="32"/>
        <v>0</v>
      </c>
      <c r="J168" s="877"/>
      <c r="K168" s="843"/>
    </row>
    <row r="169" spans="1:11">
      <c r="A169" s="812">
        <f>IF(Values_Entered,A168+1,"")</f>
        <v>145</v>
      </c>
      <c r="B169" s="846">
        <f t="shared" si="27"/>
        <v>49419</v>
      </c>
      <c r="C169" s="855">
        <f t="shared" si="33"/>
        <v>0</v>
      </c>
      <c r="D169" s="855">
        <f t="shared" si="34"/>
        <v>32413.313177607219</v>
      </c>
      <c r="E169" s="856">
        <f t="shared" si="28"/>
        <v>0</v>
      </c>
      <c r="F169" s="857">
        <f t="shared" si="29"/>
        <v>0</v>
      </c>
      <c r="G169" s="855">
        <f t="shared" si="30"/>
        <v>0</v>
      </c>
      <c r="H169" s="855">
        <f t="shared" si="31"/>
        <v>0</v>
      </c>
      <c r="I169" s="855">
        <f t="shared" si="32"/>
        <v>0</v>
      </c>
      <c r="J169" s="877"/>
      <c r="K169" s="843"/>
    </row>
    <row r="170" spans="1:11">
      <c r="A170" s="812">
        <f>IF(Values_Entered,A169+1,"")</f>
        <v>146</v>
      </c>
      <c r="B170" s="846">
        <f t="shared" si="27"/>
        <v>49449</v>
      </c>
      <c r="C170" s="855">
        <f t="shared" si="33"/>
        <v>0</v>
      </c>
      <c r="D170" s="855">
        <f t="shared" si="34"/>
        <v>32413.313177607219</v>
      </c>
      <c r="E170" s="856">
        <f t="shared" si="28"/>
        <v>0</v>
      </c>
      <c r="F170" s="857">
        <f t="shared" si="29"/>
        <v>0</v>
      </c>
      <c r="G170" s="855">
        <f t="shared" si="30"/>
        <v>0</v>
      </c>
      <c r="H170" s="855">
        <f t="shared" si="31"/>
        <v>0</v>
      </c>
      <c r="I170" s="855">
        <f t="shared" si="32"/>
        <v>0</v>
      </c>
      <c r="J170" s="877"/>
      <c r="K170" s="843"/>
    </row>
    <row r="171" spans="1:11">
      <c r="A171" s="812">
        <f>IF(Values_Entered,A170+1,"")</f>
        <v>147</v>
      </c>
      <c r="B171" s="846">
        <f t="shared" si="27"/>
        <v>49480</v>
      </c>
      <c r="C171" s="855">
        <f t="shared" si="33"/>
        <v>0</v>
      </c>
      <c r="D171" s="855">
        <f t="shared" si="34"/>
        <v>32413.313177607219</v>
      </c>
      <c r="E171" s="856">
        <f t="shared" si="28"/>
        <v>0</v>
      </c>
      <c r="F171" s="857">
        <f t="shared" si="29"/>
        <v>0</v>
      </c>
      <c r="G171" s="855">
        <f t="shared" si="30"/>
        <v>0</v>
      </c>
      <c r="H171" s="855">
        <f t="shared" si="31"/>
        <v>0</v>
      </c>
      <c r="I171" s="855">
        <f t="shared" si="32"/>
        <v>0</v>
      </c>
      <c r="J171" s="877"/>
      <c r="K171" s="843"/>
    </row>
    <row r="172" spans="1:11">
      <c r="A172" s="812">
        <f>IF(Values_Entered,A171+1,"")</f>
        <v>148</v>
      </c>
      <c r="B172" s="846">
        <f t="shared" si="27"/>
        <v>49510</v>
      </c>
      <c r="C172" s="855">
        <f t="shared" si="33"/>
        <v>0</v>
      </c>
      <c r="D172" s="855">
        <f t="shared" si="34"/>
        <v>32413.313177607219</v>
      </c>
      <c r="E172" s="856">
        <f t="shared" si="28"/>
        <v>0</v>
      </c>
      <c r="F172" s="857">
        <f t="shared" si="29"/>
        <v>0</v>
      </c>
      <c r="G172" s="855">
        <f t="shared" si="30"/>
        <v>0</v>
      </c>
      <c r="H172" s="855">
        <f t="shared" si="31"/>
        <v>0</v>
      </c>
      <c r="I172" s="855">
        <f t="shared" si="32"/>
        <v>0</v>
      </c>
      <c r="J172" s="877"/>
      <c r="K172" s="843"/>
    </row>
    <row r="173" spans="1:11">
      <c r="A173" s="812">
        <f>IF(Values_Entered,A172+1,"")</f>
        <v>149</v>
      </c>
      <c r="B173" s="846">
        <f t="shared" si="27"/>
        <v>49541</v>
      </c>
      <c r="C173" s="855">
        <f t="shared" si="33"/>
        <v>0</v>
      </c>
      <c r="D173" s="855">
        <f t="shared" si="34"/>
        <v>32413.313177607219</v>
      </c>
      <c r="E173" s="856">
        <f t="shared" si="28"/>
        <v>0</v>
      </c>
      <c r="F173" s="857">
        <f t="shared" si="29"/>
        <v>0</v>
      </c>
      <c r="G173" s="855">
        <f t="shared" si="30"/>
        <v>0</v>
      </c>
      <c r="H173" s="855">
        <f t="shared" si="31"/>
        <v>0</v>
      </c>
      <c r="I173" s="855">
        <f t="shared" si="32"/>
        <v>0</v>
      </c>
      <c r="J173" s="877"/>
      <c r="K173" s="843"/>
    </row>
    <row r="174" spans="1:11">
      <c r="A174" s="812">
        <f>IF(Values_Entered,A173+1,"")</f>
        <v>150</v>
      </c>
      <c r="B174" s="846">
        <f t="shared" si="27"/>
        <v>49572</v>
      </c>
      <c r="C174" s="855">
        <f t="shared" si="33"/>
        <v>0</v>
      </c>
      <c r="D174" s="855">
        <f t="shared" si="34"/>
        <v>32413.313177607219</v>
      </c>
      <c r="E174" s="856">
        <f t="shared" si="28"/>
        <v>0</v>
      </c>
      <c r="F174" s="857">
        <f t="shared" si="29"/>
        <v>0</v>
      </c>
      <c r="G174" s="855">
        <f t="shared" si="30"/>
        <v>0</v>
      </c>
      <c r="H174" s="855">
        <f t="shared" si="31"/>
        <v>0</v>
      </c>
      <c r="I174" s="855">
        <f t="shared" si="32"/>
        <v>0</v>
      </c>
      <c r="J174" s="877"/>
      <c r="K174" s="843"/>
    </row>
    <row r="175" spans="1:11">
      <c r="A175" s="812">
        <f>IF(Values_Entered,A174+1,"")</f>
        <v>151</v>
      </c>
      <c r="B175" s="846">
        <f t="shared" si="27"/>
        <v>49602</v>
      </c>
      <c r="C175" s="855">
        <f t="shared" si="33"/>
        <v>0</v>
      </c>
      <c r="D175" s="855">
        <f t="shared" si="34"/>
        <v>32413.313177607219</v>
      </c>
      <c r="E175" s="856">
        <f t="shared" si="28"/>
        <v>0</v>
      </c>
      <c r="F175" s="857">
        <f t="shared" si="29"/>
        <v>0</v>
      </c>
      <c r="G175" s="855">
        <f t="shared" si="30"/>
        <v>0</v>
      </c>
      <c r="H175" s="855">
        <f t="shared" si="31"/>
        <v>0</v>
      </c>
      <c r="I175" s="855">
        <f t="shared" si="32"/>
        <v>0</v>
      </c>
      <c r="J175" s="877"/>
      <c r="K175" s="843"/>
    </row>
    <row r="176" spans="1:11">
      <c r="A176" s="812">
        <f>IF(Values_Entered,A175+1,"")</f>
        <v>152</v>
      </c>
      <c r="B176" s="846">
        <f t="shared" si="27"/>
        <v>49633</v>
      </c>
      <c r="C176" s="855">
        <f t="shared" si="33"/>
        <v>0</v>
      </c>
      <c r="D176" s="855">
        <f t="shared" si="34"/>
        <v>32413.313177607219</v>
      </c>
      <c r="E176" s="856">
        <f t="shared" si="28"/>
        <v>0</v>
      </c>
      <c r="F176" s="857">
        <f t="shared" si="29"/>
        <v>0</v>
      </c>
      <c r="G176" s="855">
        <f t="shared" si="30"/>
        <v>0</v>
      </c>
      <c r="H176" s="855">
        <f t="shared" si="31"/>
        <v>0</v>
      </c>
      <c r="I176" s="855">
        <f t="shared" si="32"/>
        <v>0</v>
      </c>
      <c r="J176" s="877"/>
      <c r="K176" s="843"/>
    </row>
    <row r="177" spans="1:11">
      <c r="A177" s="812">
        <f>IF(Values_Entered,A176+1,"")</f>
        <v>153</v>
      </c>
      <c r="B177" s="846">
        <f t="shared" si="27"/>
        <v>49663</v>
      </c>
      <c r="C177" s="855">
        <f t="shared" si="33"/>
        <v>0</v>
      </c>
      <c r="D177" s="855">
        <f t="shared" si="34"/>
        <v>32413.313177607219</v>
      </c>
      <c r="E177" s="856">
        <f t="shared" si="28"/>
        <v>0</v>
      </c>
      <c r="F177" s="857">
        <f t="shared" si="29"/>
        <v>0</v>
      </c>
      <c r="G177" s="855">
        <f t="shared" si="30"/>
        <v>0</v>
      </c>
      <c r="H177" s="855">
        <f t="shared" si="31"/>
        <v>0</v>
      </c>
      <c r="I177" s="855">
        <f t="shared" si="32"/>
        <v>0</v>
      </c>
      <c r="J177" s="877"/>
      <c r="K177" s="843"/>
    </row>
    <row r="178" spans="1:11">
      <c r="A178" s="812">
        <f>IF(Values_Entered,A177+1,"")</f>
        <v>154</v>
      </c>
      <c r="B178" s="846">
        <f t="shared" si="27"/>
        <v>49694</v>
      </c>
      <c r="C178" s="855">
        <f t="shared" si="33"/>
        <v>0</v>
      </c>
      <c r="D178" s="855">
        <f t="shared" si="34"/>
        <v>32413.313177607219</v>
      </c>
      <c r="E178" s="856">
        <f t="shared" si="28"/>
        <v>0</v>
      </c>
      <c r="F178" s="857">
        <f t="shared" si="29"/>
        <v>0</v>
      </c>
      <c r="G178" s="855">
        <f t="shared" si="30"/>
        <v>0</v>
      </c>
      <c r="H178" s="855">
        <f t="shared" si="31"/>
        <v>0</v>
      </c>
      <c r="I178" s="855">
        <f t="shared" si="32"/>
        <v>0</v>
      </c>
      <c r="J178" s="877"/>
      <c r="K178" s="843"/>
    </row>
    <row r="179" spans="1:11">
      <c r="A179" s="812">
        <f>IF(Values_Entered,A178+1,"")</f>
        <v>155</v>
      </c>
      <c r="B179" s="846">
        <f t="shared" si="27"/>
        <v>49725</v>
      </c>
      <c r="C179" s="855">
        <f t="shared" si="33"/>
        <v>0</v>
      </c>
      <c r="D179" s="855">
        <f t="shared" si="34"/>
        <v>32413.313177607219</v>
      </c>
      <c r="E179" s="856">
        <f t="shared" si="28"/>
        <v>0</v>
      </c>
      <c r="F179" s="857">
        <f t="shared" si="29"/>
        <v>0</v>
      </c>
      <c r="G179" s="855">
        <f t="shared" si="30"/>
        <v>0</v>
      </c>
      <c r="H179" s="855">
        <f t="shared" si="31"/>
        <v>0</v>
      </c>
      <c r="I179" s="855">
        <f t="shared" si="32"/>
        <v>0</v>
      </c>
      <c r="J179" s="877"/>
      <c r="K179" s="843"/>
    </row>
    <row r="180" spans="1:11">
      <c r="A180" s="812">
        <f>IF(Values_Entered,A179+1,"")</f>
        <v>156</v>
      </c>
      <c r="B180" s="846">
        <f t="shared" si="27"/>
        <v>49754</v>
      </c>
      <c r="C180" s="855">
        <f t="shared" si="33"/>
        <v>0</v>
      </c>
      <c r="D180" s="855">
        <f t="shared" si="34"/>
        <v>32413.313177607219</v>
      </c>
      <c r="E180" s="856">
        <f t="shared" si="28"/>
        <v>0</v>
      </c>
      <c r="F180" s="857">
        <f t="shared" si="29"/>
        <v>0</v>
      </c>
      <c r="G180" s="855">
        <f t="shared" si="30"/>
        <v>0</v>
      </c>
      <c r="H180" s="855">
        <f t="shared" si="31"/>
        <v>0</v>
      </c>
      <c r="I180" s="855">
        <f t="shared" si="32"/>
        <v>0</v>
      </c>
      <c r="J180" s="877"/>
      <c r="K180" s="843"/>
    </row>
    <row r="181" spans="1:11">
      <c r="A181" s="812">
        <f>IF(Values_Entered,A180+1,"")</f>
        <v>157</v>
      </c>
      <c r="B181" s="846">
        <f t="shared" si="27"/>
        <v>49785</v>
      </c>
      <c r="C181" s="855">
        <f t="shared" si="33"/>
        <v>0</v>
      </c>
      <c r="D181" s="855">
        <f t="shared" si="34"/>
        <v>32413.313177607219</v>
      </c>
      <c r="E181" s="856">
        <f t="shared" si="28"/>
        <v>0</v>
      </c>
      <c r="F181" s="857">
        <f t="shared" si="29"/>
        <v>0</v>
      </c>
      <c r="G181" s="855">
        <f t="shared" si="30"/>
        <v>0</v>
      </c>
      <c r="H181" s="855">
        <f t="shared" si="31"/>
        <v>0</v>
      </c>
      <c r="I181" s="855">
        <f t="shared" si="32"/>
        <v>0</v>
      </c>
      <c r="J181" s="877"/>
      <c r="K181" s="843"/>
    </row>
    <row r="182" spans="1:11">
      <c r="A182" s="812">
        <f>IF(Values_Entered,A181+1,"")</f>
        <v>158</v>
      </c>
      <c r="B182" s="846">
        <f t="shared" si="27"/>
        <v>49815</v>
      </c>
      <c r="C182" s="855">
        <f t="shared" si="33"/>
        <v>0</v>
      </c>
      <c r="D182" s="855">
        <f t="shared" si="34"/>
        <v>32413.313177607219</v>
      </c>
      <c r="E182" s="856">
        <f t="shared" si="28"/>
        <v>0</v>
      </c>
      <c r="F182" s="857">
        <f t="shared" si="29"/>
        <v>0</v>
      </c>
      <c r="G182" s="855">
        <f t="shared" si="30"/>
        <v>0</v>
      </c>
      <c r="H182" s="855">
        <f t="shared" si="31"/>
        <v>0</v>
      </c>
      <c r="I182" s="855">
        <f t="shared" si="32"/>
        <v>0</v>
      </c>
      <c r="J182" s="877"/>
      <c r="K182" s="843"/>
    </row>
    <row r="183" spans="1:11">
      <c r="A183" s="812">
        <f>IF(Values_Entered,A182+1,"")</f>
        <v>159</v>
      </c>
      <c r="B183" s="846">
        <f t="shared" si="27"/>
        <v>49846</v>
      </c>
      <c r="C183" s="855">
        <f t="shared" si="33"/>
        <v>0</v>
      </c>
      <c r="D183" s="855">
        <f t="shared" si="34"/>
        <v>32413.313177607219</v>
      </c>
      <c r="E183" s="856">
        <f t="shared" si="28"/>
        <v>0</v>
      </c>
      <c r="F183" s="857">
        <f t="shared" si="29"/>
        <v>0</v>
      </c>
      <c r="G183" s="855">
        <f t="shared" si="30"/>
        <v>0</v>
      </c>
      <c r="H183" s="855">
        <f t="shared" si="31"/>
        <v>0</v>
      </c>
      <c r="I183" s="855">
        <f t="shared" si="32"/>
        <v>0</v>
      </c>
      <c r="J183" s="877"/>
      <c r="K183" s="843"/>
    </row>
    <row r="184" spans="1:11">
      <c r="A184" s="812">
        <f>IF(Values_Entered,A183+1,"")</f>
        <v>160</v>
      </c>
      <c r="B184" s="846">
        <f t="shared" si="27"/>
        <v>49876</v>
      </c>
      <c r="C184" s="855">
        <f t="shared" si="33"/>
        <v>0</v>
      </c>
      <c r="D184" s="855">
        <f t="shared" si="34"/>
        <v>32413.313177607219</v>
      </c>
      <c r="E184" s="856">
        <f t="shared" si="28"/>
        <v>0</v>
      </c>
      <c r="F184" s="857">
        <f t="shared" si="29"/>
        <v>0</v>
      </c>
      <c r="G184" s="855">
        <f t="shared" si="30"/>
        <v>0</v>
      </c>
      <c r="H184" s="855">
        <f t="shared" si="31"/>
        <v>0</v>
      </c>
      <c r="I184" s="855">
        <f t="shared" si="32"/>
        <v>0</v>
      </c>
      <c r="J184" s="877"/>
      <c r="K184" s="843"/>
    </row>
    <row r="185" spans="1:11">
      <c r="A185" s="812">
        <f>IF(Values_Entered,A184+1,"")</f>
        <v>161</v>
      </c>
      <c r="B185" s="846">
        <f t="shared" si="27"/>
        <v>49907</v>
      </c>
      <c r="C185" s="855">
        <f t="shared" si="33"/>
        <v>0</v>
      </c>
      <c r="D185" s="855">
        <f t="shared" si="34"/>
        <v>32413.313177607219</v>
      </c>
      <c r="E185" s="856">
        <f t="shared" si="28"/>
        <v>0</v>
      </c>
      <c r="F185" s="857">
        <f t="shared" si="29"/>
        <v>0</v>
      </c>
      <c r="G185" s="855">
        <f t="shared" si="30"/>
        <v>0</v>
      </c>
      <c r="H185" s="855">
        <f t="shared" si="31"/>
        <v>0</v>
      </c>
      <c r="I185" s="855">
        <f t="shared" si="32"/>
        <v>0</v>
      </c>
      <c r="J185" s="877"/>
      <c r="K185" s="843"/>
    </row>
    <row r="186" spans="1:11">
      <c r="A186" s="812">
        <f>IF(Values_Entered,A185+1,"")</f>
        <v>162</v>
      </c>
      <c r="B186" s="846">
        <f t="shared" si="27"/>
        <v>49938</v>
      </c>
      <c r="C186" s="855">
        <f t="shared" si="33"/>
        <v>0</v>
      </c>
      <c r="D186" s="855">
        <f t="shared" si="34"/>
        <v>32413.313177607219</v>
      </c>
      <c r="E186" s="856">
        <f t="shared" si="28"/>
        <v>0</v>
      </c>
      <c r="F186" s="857">
        <f t="shared" si="29"/>
        <v>0</v>
      </c>
      <c r="G186" s="855">
        <f t="shared" si="30"/>
        <v>0</v>
      </c>
      <c r="H186" s="855">
        <f t="shared" si="31"/>
        <v>0</v>
      </c>
      <c r="I186" s="855">
        <f t="shared" si="32"/>
        <v>0</v>
      </c>
      <c r="J186" s="877"/>
      <c r="K186" s="843"/>
    </row>
    <row r="187" spans="1:11">
      <c r="A187" s="812">
        <f>IF(Values_Entered,A186+1,"")</f>
        <v>163</v>
      </c>
      <c r="B187" s="846">
        <f t="shared" si="27"/>
        <v>49968</v>
      </c>
      <c r="C187" s="855">
        <f t="shared" si="33"/>
        <v>0</v>
      </c>
      <c r="D187" s="855">
        <f t="shared" si="34"/>
        <v>32413.313177607219</v>
      </c>
      <c r="E187" s="856">
        <f t="shared" si="28"/>
        <v>0</v>
      </c>
      <c r="F187" s="857">
        <f t="shared" si="29"/>
        <v>0</v>
      </c>
      <c r="G187" s="855">
        <f t="shared" si="30"/>
        <v>0</v>
      </c>
      <c r="H187" s="855">
        <f t="shared" si="31"/>
        <v>0</v>
      </c>
      <c r="I187" s="855">
        <f t="shared" si="32"/>
        <v>0</v>
      </c>
      <c r="J187" s="877"/>
      <c r="K187" s="843"/>
    </row>
    <row r="188" spans="1:11">
      <c r="A188" s="812">
        <f>IF(Values_Entered,A187+1,"")</f>
        <v>164</v>
      </c>
      <c r="B188" s="846">
        <f t="shared" si="27"/>
        <v>49999</v>
      </c>
      <c r="C188" s="855">
        <f t="shared" si="33"/>
        <v>0</v>
      </c>
      <c r="D188" s="855">
        <f t="shared" si="34"/>
        <v>32413.313177607219</v>
      </c>
      <c r="E188" s="856">
        <f t="shared" si="28"/>
        <v>0</v>
      </c>
      <c r="F188" s="857">
        <f t="shared" si="29"/>
        <v>0</v>
      </c>
      <c r="G188" s="855">
        <f t="shared" si="30"/>
        <v>0</v>
      </c>
      <c r="H188" s="855">
        <f t="shared" si="31"/>
        <v>0</v>
      </c>
      <c r="I188" s="855">
        <f t="shared" si="32"/>
        <v>0</v>
      </c>
      <c r="J188" s="877"/>
      <c r="K188" s="843"/>
    </row>
    <row r="189" spans="1:11">
      <c r="A189" s="812">
        <f>IF(Values_Entered,A188+1,"")</f>
        <v>165</v>
      </c>
      <c r="B189" s="846">
        <f t="shared" si="27"/>
        <v>50029</v>
      </c>
      <c r="C189" s="855">
        <f t="shared" si="33"/>
        <v>0</v>
      </c>
      <c r="D189" s="855">
        <f t="shared" si="34"/>
        <v>32413.313177607219</v>
      </c>
      <c r="E189" s="856">
        <f t="shared" si="28"/>
        <v>0</v>
      </c>
      <c r="F189" s="857">
        <f t="shared" si="29"/>
        <v>0</v>
      </c>
      <c r="G189" s="855">
        <f t="shared" si="30"/>
        <v>0</v>
      </c>
      <c r="H189" s="855">
        <f t="shared" si="31"/>
        <v>0</v>
      </c>
      <c r="I189" s="855">
        <f t="shared" si="32"/>
        <v>0</v>
      </c>
      <c r="J189" s="877"/>
      <c r="K189" s="843"/>
    </row>
    <row r="190" spans="1:11">
      <c r="A190" s="812">
        <f>IF(Values_Entered,A189+1,"")</f>
        <v>166</v>
      </c>
      <c r="B190" s="846">
        <f t="shared" si="27"/>
        <v>50060</v>
      </c>
      <c r="C190" s="855">
        <f t="shared" si="33"/>
        <v>0</v>
      </c>
      <c r="D190" s="855">
        <f t="shared" si="34"/>
        <v>32413.313177607219</v>
      </c>
      <c r="E190" s="856">
        <f t="shared" si="28"/>
        <v>0</v>
      </c>
      <c r="F190" s="857">
        <f t="shared" si="29"/>
        <v>0</v>
      </c>
      <c r="G190" s="855">
        <f t="shared" si="30"/>
        <v>0</v>
      </c>
      <c r="H190" s="855">
        <f t="shared" si="31"/>
        <v>0</v>
      </c>
      <c r="I190" s="855">
        <f t="shared" si="32"/>
        <v>0</v>
      </c>
      <c r="J190" s="877"/>
      <c r="K190" s="843"/>
    </row>
    <row r="191" spans="1:11">
      <c r="A191" s="812">
        <f>IF(Values_Entered,A190+1,"")</f>
        <v>167</v>
      </c>
      <c r="B191" s="846">
        <f t="shared" si="27"/>
        <v>50091</v>
      </c>
      <c r="C191" s="855">
        <f t="shared" si="33"/>
        <v>0</v>
      </c>
      <c r="D191" s="855">
        <f t="shared" si="34"/>
        <v>32413.313177607219</v>
      </c>
      <c r="E191" s="856">
        <f t="shared" si="28"/>
        <v>0</v>
      </c>
      <c r="F191" s="857">
        <f t="shared" si="29"/>
        <v>0</v>
      </c>
      <c r="G191" s="855">
        <f t="shared" si="30"/>
        <v>0</v>
      </c>
      <c r="H191" s="855">
        <f t="shared" si="31"/>
        <v>0</v>
      </c>
      <c r="I191" s="855">
        <f t="shared" si="32"/>
        <v>0</v>
      </c>
      <c r="J191" s="877"/>
      <c r="K191" s="843"/>
    </row>
    <row r="192" spans="1:11">
      <c r="A192" s="812">
        <f>IF(Values_Entered,A191+1,"")</f>
        <v>168</v>
      </c>
      <c r="B192" s="846">
        <f t="shared" si="27"/>
        <v>50119</v>
      </c>
      <c r="C192" s="855">
        <f t="shared" si="33"/>
        <v>0</v>
      </c>
      <c r="D192" s="855">
        <f t="shared" si="34"/>
        <v>32413.313177607219</v>
      </c>
      <c r="E192" s="856">
        <f t="shared" si="28"/>
        <v>0</v>
      </c>
      <c r="F192" s="857">
        <f t="shared" si="29"/>
        <v>0</v>
      </c>
      <c r="G192" s="855">
        <f t="shared" si="30"/>
        <v>0</v>
      </c>
      <c r="H192" s="855">
        <f t="shared" si="31"/>
        <v>0</v>
      </c>
      <c r="I192" s="855">
        <f t="shared" si="32"/>
        <v>0</v>
      </c>
      <c r="J192" s="877"/>
      <c r="K192" s="843"/>
    </row>
    <row r="193" spans="1:11">
      <c r="A193" s="812">
        <f>IF(Values_Entered,A192+1,"")</f>
        <v>169</v>
      </c>
      <c r="B193" s="846">
        <f t="shared" si="27"/>
        <v>50150</v>
      </c>
      <c r="C193" s="855">
        <f t="shared" si="33"/>
        <v>0</v>
      </c>
      <c r="D193" s="855">
        <f t="shared" si="34"/>
        <v>32413.313177607219</v>
      </c>
      <c r="E193" s="856">
        <f t="shared" si="28"/>
        <v>0</v>
      </c>
      <c r="F193" s="857">
        <f t="shared" si="29"/>
        <v>0</v>
      </c>
      <c r="G193" s="855">
        <f t="shared" si="30"/>
        <v>0</v>
      </c>
      <c r="H193" s="855">
        <f t="shared" si="31"/>
        <v>0</v>
      </c>
      <c r="I193" s="855">
        <f t="shared" si="32"/>
        <v>0</v>
      </c>
      <c r="J193" s="877"/>
      <c r="K193" s="843"/>
    </row>
    <row r="194" spans="1:11">
      <c r="A194" s="812">
        <f>IF(Values_Entered,A193+1,"")</f>
        <v>170</v>
      </c>
      <c r="B194" s="846">
        <f t="shared" si="27"/>
        <v>50180</v>
      </c>
      <c r="C194" s="855">
        <f t="shared" si="33"/>
        <v>0</v>
      </c>
      <c r="D194" s="855">
        <f t="shared" si="34"/>
        <v>32413.313177607219</v>
      </c>
      <c r="E194" s="856">
        <f t="shared" si="28"/>
        <v>0</v>
      </c>
      <c r="F194" s="857">
        <f t="shared" si="29"/>
        <v>0</v>
      </c>
      <c r="G194" s="855">
        <f t="shared" si="30"/>
        <v>0</v>
      </c>
      <c r="H194" s="855">
        <f t="shared" si="31"/>
        <v>0</v>
      </c>
      <c r="I194" s="855">
        <f t="shared" si="32"/>
        <v>0</v>
      </c>
      <c r="J194" s="877"/>
      <c r="K194" s="843"/>
    </row>
    <row r="195" spans="1:11">
      <c r="A195" s="812">
        <f>IF(Values_Entered,A194+1,"")</f>
        <v>171</v>
      </c>
      <c r="B195" s="846">
        <f t="shared" si="27"/>
        <v>50211</v>
      </c>
      <c r="C195" s="855">
        <f t="shared" si="33"/>
        <v>0</v>
      </c>
      <c r="D195" s="855">
        <f t="shared" si="34"/>
        <v>32413.313177607219</v>
      </c>
      <c r="E195" s="856">
        <f t="shared" si="28"/>
        <v>0</v>
      </c>
      <c r="F195" s="857">
        <f t="shared" si="29"/>
        <v>0</v>
      </c>
      <c r="G195" s="855">
        <f t="shared" si="30"/>
        <v>0</v>
      </c>
      <c r="H195" s="855">
        <f t="shared" si="31"/>
        <v>0</v>
      </c>
      <c r="I195" s="855">
        <f t="shared" si="32"/>
        <v>0</v>
      </c>
      <c r="J195" s="877"/>
      <c r="K195" s="843"/>
    </row>
    <row r="196" spans="1:11">
      <c r="A196" s="812">
        <f>IF(Values_Entered,A195+1,"")</f>
        <v>172</v>
      </c>
      <c r="B196" s="846">
        <f t="shared" si="27"/>
        <v>50241</v>
      </c>
      <c r="C196" s="855">
        <f t="shared" si="33"/>
        <v>0</v>
      </c>
      <c r="D196" s="855">
        <f t="shared" si="34"/>
        <v>32413.313177607219</v>
      </c>
      <c r="E196" s="856">
        <f t="shared" si="28"/>
        <v>0</v>
      </c>
      <c r="F196" s="857">
        <f t="shared" si="29"/>
        <v>0</v>
      </c>
      <c r="G196" s="855">
        <f t="shared" si="30"/>
        <v>0</v>
      </c>
      <c r="H196" s="855">
        <f t="shared" si="31"/>
        <v>0</v>
      </c>
      <c r="I196" s="855">
        <f t="shared" si="32"/>
        <v>0</v>
      </c>
      <c r="J196" s="877"/>
      <c r="K196" s="843"/>
    </row>
    <row r="197" spans="1:11">
      <c r="A197" s="812">
        <f>IF(Values_Entered,A196+1,"")</f>
        <v>173</v>
      </c>
      <c r="B197" s="846">
        <f t="shared" si="27"/>
        <v>50272</v>
      </c>
      <c r="C197" s="855">
        <f t="shared" si="33"/>
        <v>0</v>
      </c>
      <c r="D197" s="855">
        <f t="shared" si="34"/>
        <v>32413.313177607219</v>
      </c>
      <c r="E197" s="856">
        <f t="shared" si="28"/>
        <v>0</v>
      </c>
      <c r="F197" s="857">
        <f t="shared" si="29"/>
        <v>0</v>
      </c>
      <c r="G197" s="855">
        <f t="shared" si="30"/>
        <v>0</v>
      </c>
      <c r="H197" s="855">
        <f t="shared" si="31"/>
        <v>0</v>
      </c>
      <c r="I197" s="855">
        <f t="shared" si="32"/>
        <v>0</v>
      </c>
      <c r="J197" s="877"/>
      <c r="K197" s="843"/>
    </row>
    <row r="198" spans="1:11">
      <c r="A198" s="812">
        <f>IF(Values_Entered,A197+1,"")</f>
        <v>174</v>
      </c>
      <c r="B198" s="846">
        <f t="shared" si="27"/>
        <v>50303</v>
      </c>
      <c r="C198" s="855">
        <f t="shared" si="33"/>
        <v>0</v>
      </c>
      <c r="D198" s="855">
        <f t="shared" si="34"/>
        <v>32413.313177607219</v>
      </c>
      <c r="E198" s="856">
        <f t="shared" si="28"/>
        <v>0</v>
      </c>
      <c r="F198" s="857">
        <f t="shared" si="29"/>
        <v>0</v>
      </c>
      <c r="G198" s="855">
        <f t="shared" si="30"/>
        <v>0</v>
      </c>
      <c r="H198" s="855">
        <f t="shared" si="31"/>
        <v>0</v>
      </c>
      <c r="I198" s="855">
        <f t="shared" si="32"/>
        <v>0</v>
      </c>
      <c r="J198" s="877"/>
      <c r="K198" s="843"/>
    </row>
    <row r="199" spans="1:11">
      <c r="A199" s="812">
        <f>IF(Values_Entered,A198+1,"")</f>
        <v>175</v>
      </c>
      <c r="B199" s="846">
        <f t="shared" si="27"/>
        <v>50333</v>
      </c>
      <c r="C199" s="855">
        <f t="shared" si="33"/>
        <v>0</v>
      </c>
      <c r="D199" s="855">
        <f t="shared" si="34"/>
        <v>32413.313177607219</v>
      </c>
      <c r="E199" s="856">
        <f t="shared" si="28"/>
        <v>0</v>
      </c>
      <c r="F199" s="857">
        <f t="shared" si="29"/>
        <v>0</v>
      </c>
      <c r="G199" s="855">
        <f t="shared" si="30"/>
        <v>0</v>
      </c>
      <c r="H199" s="855">
        <f t="shared" si="31"/>
        <v>0</v>
      </c>
      <c r="I199" s="855">
        <f t="shared" si="32"/>
        <v>0</v>
      </c>
      <c r="J199" s="877"/>
      <c r="K199" s="843"/>
    </row>
    <row r="200" spans="1:11">
      <c r="A200" s="812">
        <f>IF(Values_Entered,A199+1,"")</f>
        <v>176</v>
      </c>
      <c r="B200" s="846">
        <f t="shared" si="27"/>
        <v>50364</v>
      </c>
      <c r="C200" s="855">
        <f t="shared" si="33"/>
        <v>0</v>
      </c>
      <c r="D200" s="855">
        <f t="shared" si="34"/>
        <v>32413.313177607219</v>
      </c>
      <c r="E200" s="856">
        <f t="shared" si="28"/>
        <v>0</v>
      </c>
      <c r="F200" s="857">
        <f t="shared" si="29"/>
        <v>0</v>
      </c>
      <c r="G200" s="855">
        <f t="shared" si="30"/>
        <v>0</v>
      </c>
      <c r="H200" s="855">
        <f t="shared" si="31"/>
        <v>0</v>
      </c>
      <c r="I200" s="855">
        <f t="shared" si="32"/>
        <v>0</v>
      </c>
      <c r="J200" s="877"/>
      <c r="K200" s="843"/>
    </row>
    <row r="201" spans="1:11">
      <c r="A201" s="812">
        <f>IF(Values_Entered,A200+1,"")</f>
        <v>177</v>
      </c>
      <c r="B201" s="846">
        <f t="shared" si="27"/>
        <v>50394</v>
      </c>
      <c r="C201" s="855">
        <f t="shared" si="33"/>
        <v>0</v>
      </c>
      <c r="D201" s="855">
        <f t="shared" si="34"/>
        <v>32413.313177607219</v>
      </c>
      <c r="E201" s="856">
        <f t="shared" si="28"/>
        <v>0</v>
      </c>
      <c r="F201" s="857">
        <f t="shared" si="29"/>
        <v>0</v>
      </c>
      <c r="G201" s="855">
        <f t="shared" si="30"/>
        <v>0</v>
      </c>
      <c r="H201" s="855">
        <f t="shared" si="31"/>
        <v>0</v>
      </c>
      <c r="I201" s="855">
        <f t="shared" si="32"/>
        <v>0</v>
      </c>
      <c r="J201" s="877"/>
      <c r="K201" s="843"/>
    </row>
    <row r="202" spans="1:11">
      <c r="A202" s="812">
        <f>IF(Values_Entered,A201+1,"")</f>
        <v>178</v>
      </c>
      <c r="B202" s="846">
        <f t="shared" si="27"/>
        <v>50425</v>
      </c>
      <c r="C202" s="855">
        <f t="shared" si="33"/>
        <v>0</v>
      </c>
      <c r="D202" s="855">
        <f t="shared" si="34"/>
        <v>32413.313177607219</v>
      </c>
      <c r="E202" s="856">
        <f t="shared" si="28"/>
        <v>0</v>
      </c>
      <c r="F202" s="857">
        <f t="shared" si="29"/>
        <v>0</v>
      </c>
      <c r="G202" s="855">
        <f t="shared" si="30"/>
        <v>0</v>
      </c>
      <c r="H202" s="855">
        <f t="shared" si="31"/>
        <v>0</v>
      </c>
      <c r="I202" s="855">
        <f t="shared" si="32"/>
        <v>0</v>
      </c>
      <c r="J202" s="877"/>
      <c r="K202" s="843"/>
    </row>
    <row r="203" spans="1:11">
      <c r="A203" s="812">
        <f>IF(Values_Entered,A202+1,"")</f>
        <v>179</v>
      </c>
      <c r="B203" s="846">
        <f t="shared" si="27"/>
        <v>50456</v>
      </c>
      <c r="C203" s="855">
        <f t="shared" si="33"/>
        <v>0</v>
      </c>
      <c r="D203" s="855">
        <f t="shared" si="34"/>
        <v>32413.313177607219</v>
      </c>
      <c r="E203" s="856">
        <f t="shared" si="28"/>
        <v>0</v>
      </c>
      <c r="F203" s="857">
        <f t="shared" si="29"/>
        <v>0</v>
      </c>
      <c r="G203" s="855">
        <f t="shared" si="30"/>
        <v>0</v>
      </c>
      <c r="H203" s="855">
        <f t="shared" si="31"/>
        <v>0</v>
      </c>
      <c r="I203" s="855">
        <f t="shared" si="32"/>
        <v>0</v>
      </c>
      <c r="J203" s="877"/>
      <c r="K203" s="843"/>
    </row>
    <row r="204" spans="1:11">
      <c r="A204" s="812">
        <f>IF(Values_Entered,A203+1,"")</f>
        <v>180</v>
      </c>
      <c r="B204" s="878">
        <f t="shared" si="27"/>
        <v>50484</v>
      </c>
      <c r="C204" s="855">
        <f t="shared" si="33"/>
        <v>0</v>
      </c>
      <c r="D204" s="855">
        <f t="shared" si="34"/>
        <v>32413.313177607219</v>
      </c>
      <c r="E204" s="856">
        <f t="shared" si="28"/>
        <v>0</v>
      </c>
      <c r="F204" s="857">
        <f t="shared" si="29"/>
        <v>0</v>
      </c>
      <c r="G204" s="855">
        <f t="shared" si="30"/>
        <v>0</v>
      </c>
      <c r="H204" s="855">
        <f t="shared" si="31"/>
        <v>0</v>
      </c>
      <c r="I204" s="855">
        <f t="shared" si="32"/>
        <v>0</v>
      </c>
      <c r="J204" s="877"/>
      <c r="K204" s="843"/>
    </row>
    <row r="205" spans="1:11">
      <c r="A205" s="812">
        <f>IF(Values_Entered,A204+1,"")</f>
        <v>181</v>
      </c>
      <c r="B205" s="878">
        <f t="shared" si="27"/>
        <v>50515</v>
      </c>
      <c r="C205" s="855">
        <f t="shared" si="33"/>
        <v>0</v>
      </c>
      <c r="D205" s="855">
        <f t="shared" si="34"/>
        <v>32413.313177607219</v>
      </c>
      <c r="E205" s="856">
        <f t="shared" si="28"/>
        <v>0</v>
      </c>
      <c r="F205" s="857">
        <f t="shared" ref="F205:F216" si="35">IF(AND(Pay_Num&lt;&gt;"",Sched_Pay+Extra_Pay&lt;Beg_Bal),Sched_Pay+Extra_Pay,IF(Pay_Num&lt;&gt;"",Beg_Bal,""))</f>
        <v>0</v>
      </c>
      <c r="G205" s="855">
        <f t="shared" ref="G205:G217" si="36">IF(Pay_Num&lt;&gt;"",Total_Pay-Int,"")</f>
        <v>0</v>
      </c>
      <c r="H205" s="855">
        <f t="shared" ref="H205:H217" si="37">IF(Pay_Num&lt;&gt;"",Beg_Bal*Interest_Rate/Num_Pmt_Per_Year,"")</f>
        <v>0</v>
      </c>
      <c r="I205" s="855">
        <f t="shared" ref="I205:I216" si="38">IF(AND(Pay_Num&lt;&gt;"",Sched_Pay+Extra_Pay&lt;Beg_Bal),Beg_Bal-Princ,IF(Pay_Num&lt;&gt;"",0,""))</f>
        <v>0</v>
      </c>
      <c r="J205" s="877"/>
      <c r="K205" s="843"/>
    </row>
    <row r="206" spans="1:11">
      <c r="A206" s="812">
        <f>IF(Values_Entered,A205+1,"")</f>
        <v>182</v>
      </c>
      <c r="B206" s="878">
        <f t="shared" si="27"/>
        <v>50545</v>
      </c>
      <c r="C206" s="855">
        <f t="shared" si="33"/>
        <v>0</v>
      </c>
      <c r="D206" s="855">
        <f t="shared" si="34"/>
        <v>32413.313177607219</v>
      </c>
      <c r="E206" s="856">
        <f t="shared" si="28"/>
        <v>0</v>
      </c>
      <c r="F206" s="857">
        <f t="shared" si="35"/>
        <v>0</v>
      </c>
      <c r="G206" s="855">
        <f t="shared" si="36"/>
        <v>0</v>
      </c>
      <c r="H206" s="855">
        <f t="shared" si="37"/>
        <v>0</v>
      </c>
      <c r="I206" s="855">
        <f t="shared" si="38"/>
        <v>0</v>
      </c>
      <c r="J206" s="877"/>
      <c r="K206" s="843"/>
    </row>
    <row r="207" spans="1:11">
      <c r="A207" s="812">
        <f>IF(Values_Entered,A206+1,"")</f>
        <v>183</v>
      </c>
      <c r="B207" s="878">
        <f t="shared" si="27"/>
        <v>50576</v>
      </c>
      <c r="C207" s="855">
        <f t="shared" si="33"/>
        <v>0</v>
      </c>
      <c r="D207" s="855">
        <f t="shared" si="34"/>
        <v>32413.313177607219</v>
      </c>
      <c r="E207" s="856">
        <f t="shared" si="28"/>
        <v>0</v>
      </c>
      <c r="F207" s="857">
        <f t="shared" si="35"/>
        <v>0</v>
      </c>
      <c r="G207" s="855">
        <f t="shared" si="36"/>
        <v>0</v>
      </c>
      <c r="H207" s="855">
        <f t="shared" si="37"/>
        <v>0</v>
      </c>
      <c r="I207" s="855">
        <f t="shared" si="38"/>
        <v>0</v>
      </c>
      <c r="J207" s="877"/>
      <c r="K207" s="843"/>
    </row>
    <row r="208" spans="1:11">
      <c r="A208" s="812">
        <f>IF(Values_Entered,A207+1,"")</f>
        <v>184</v>
      </c>
      <c r="B208" s="879">
        <f t="shared" si="27"/>
        <v>50606</v>
      </c>
      <c r="C208" s="855">
        <f t="shared" si="33"/>
        <v>0</v>
      </c>
      <c r="D208" s="855">
        <f t="shared" si="34"/>
        <v>32413.313177607219</v>
      </c>
      <c r="E208" s="856">
        <f t="shared" si="28"/>
        <v>0</v>
      </c>
      <c r="F208" s="857">
        <f t="shared" si="35"/>
        <v>0</v>
      </c>
      <c r="G208" s="855">
        <f t="shared" si="36"/>
        <v>0</v>
      </c>
      <c r="H208" s="855">
        <f t="shared" si="37"/>
        <v>0</v>
      </c>
      <c r="I208" s="855">
        <f t="shared" si="38"/>
        <v>0</v>
      </c>
      <c r="J208" s="877"/>
      <c r="K208" s="843"/>
    </row>
    <row r="209" spans="1:11">
      <c r="A209" s="812">
        <f>IF(Values_Entered,A208+1,"")</f>
        <v>185</v>
      </c>
      <c r="B209" s="879">
        <f t="shared" si="27"/>
        <v>50637</v>
      </c>
      <c r="C209" s="855">
        <f t="shared" si="33"/>
        <v>0</v>
      </c>
      <c r="D209" s="855">
        <f t="shared" si="34"/>
        <v>32413.313177607219</v>
      </c>
      <c r="E209" s="856">
        <f t="shared" si="28"/>
        <v>0</v>
      </c>
      <c r="F209" s="857">
        <f t="shared" si="35"/>
        <v>0</v>
      </c>
      <c r="G209" s="855">
        <f t="shared" si="36"/>
        <v>0</v>
      </c>
      <c r="H209" s="855">
        <f t="shared" si="37"/>
        <v>0</v>
      </c>
      <c r="I209" s="855">
        <f t="shared" si="38"/>
        <v>0</v>
      </c>
      <c r="J209" s="877"/>
      <c r="K209" s="843"/>
    </row>
    <row r="210" spans="1:11">
      <c r="A210" s="812">
        <f>IF(Values_Entered,A209+1,"")</f>
        <v>186</v>
      </c>
      <c r="B210" s="879">
        <f t="shared" si="27"/>
        <v>50668</v>
      </c>
      <c r="C210" s="855">
        <f t="shared" si="33"/>
        <v>0</v>
      </c>
      <c r="D210" s="855">
        <f t="shared" si="34"/>
        <v>32413.313177607219</v>
      </c>
      <c r="E210" s="856">
        <f t="shared" si="28"/>
        <v>0</v>
      </c>
      <c r="F210" s="857">
        <f t="shared" si="35"/>
        <v>0</v>
      </c>
      <c r="G210" s="855">
        <f t="shared" si="36"/>
        <v>0</v>
      </c>
      <c r="H210" s="855">
        <f t="shared" si="37"/>
        <v>0</v>
      </c>
      <c r="I210" s="855">
        <f t="shared" si="38"/>
        <v>0</v>
      </c>
      <c r="J210" s="877"/>
      <c r="K210" s="843"/>
    </row>
    <row r="211" spans="1:11">
      <c r="A211" s="812">
        <f>IF(Values_Entered,A210+1,"")</f>
        <v>187</v>
      </c>
      <c r="B211" s="879">
        <f t="shared" si="27"/>
        <v>50698</v>
      </c>
      <c r="C211" s="855">
        <f t="shared" si="33"/>
        <v>0</v>
      </c>
      <c r="D211" s="855">
        <f t="shared" si="34"/>
        <v>32413.313177607219</v>
      </c>
      <c r="E211" s="856">
        <f t="shared" si="28"/>
        <v>0</v>
      </c>
      <c r="F211" s="857">
        <f t="shared" si="35"/>
        <v>0</v>
      </c>
      <c r="G211" s="855">
        <f t="shared" si="36"/>
        <v>0</v>
      </c>
      <c r="H211" s="855">
        <f t="shared" si="37"/>
        <v>0</v>
      </c>
      <c r="I211" s="855">
        <f t="shared" si="38"/>
        <v>0</v>
      </c>
      <c r="J211" s="877"/>
      <c r="K211" s="843"/>
    </row>
    <row r="212" spans="1:11">
      <c r="A212" s="812">
        <f>IF(Values_Entered,A211+1,"")</f>
        <v>188</v>
      </c>
      <c r="B212" s="879">
        <f t="shared" si="27"/>
        <v>50729</v>
      </c>
      <c r="C212" s="855">
        <f t="shared" si="33"/>
        <v>0</v>
      </c>
      <c r="D212" s="855">
        <f t="shared" si="34"/>
        <v>32413.313177607219</v>
      </c>
      <c r="E212" s="856">
        <f t="shared" si="28"/>
        <v>0</v>
      </c>
      <c r="F212" s="857">
        <f t="shared" si="35"/>
        <v>0</v>
      </c>
      <c r="G212" s="855">
        <f t="shared" si="36"/>
        <v>0</v>
      </c>
      <c r="H212" s="855">
        <f t="shared" si="37"/>
        <v>0</v>
      </c>
      <c r="I212" s="855">
        <f t="shared" si="38"/>
        <v>0</v>
      </c>
      <c r="J212" s="877"/>
      <c r="K212" s="843"/>
    </row>
    <row r="213" spans="1:11">
      <c r="A213" s="812">
        <f>IF(Values_Entered,A212+1,"")</f>
        <v>189</v>
      </c>
      <c r="B213" s="879">
        <f t="shared" si="27"/>
        <v>50759</v>
      </c>
      <c r="C213" s="855">
        <f t="shared" si="33"/>
        <v>0</v>
      </c>
      <c r="D213" s="855">
        <f t="shared" si="34"/>
        <v>32413.313177607219</v>
      </c>
      <c r="E213" s="856">
        <f t="shared" si="28"/>
        <v>0</v>
      </c>
      <c r="F213" s="857">
        <f t="shared" si="35"/>
        <v>0</v>
      </c>
      <c r="G213" s="855">
        <f t="shared" si="36"/>
        <v>0</v>
      </c>
      <c r="H213" s="855">
        <f t="shared" si="37"/>
        <v>0</v>
      </c>
      <c r="I213" s="855">
        <f t="shared" si="38"/>
        <v>0</v>
      </c>
      <c r="J213" s="877"/>
      <c r="K213" s="843"/>
    </row>
    <row r="214" spans="1:11">
      <c r="A214" s="812">
        <f>IF(Values_Entered,A213+1,"")</f>
        <v>190</v>
      </c>
      <c r="B214" s="879">
        <f t="shared" si="27"/>
        <v>50790</v>
      </c>
      <c r="C214" s="855">
        <f t="shared" si="33"/>
        <v>0</v>
      </c>
      <c r="D214" s="855">
        <f t="shared" si="34"/>
        <v>32413.313177607219</v>
      </c>
      <c r="E214" s="856">
        <f t="shared" si="28"/>
        <v>0</v>
      </c>
      <c r="F214" s="857">
        <f t="shared" si="35"/>
        <v>0</v>
      </c>
      <c r="G214" s="855">
        <f t="shared" si="36"/>
        <v>0</v>
      </c>
      <c r="H214" s="855">
        <f t="shared" si="37"/>
        <v>0</v>
      </c>
      <c r="I214" s="855">
        <f t="shared" si="38"/>
        <v>0</v>
      </c>
      <c r="J214" s="877"/>
      <c r="K214" s="843"/>
    </row>
    <row r="215" spans="1:11">
      <c r="A215" s="812">
        <f>IF(Values_Entered,A214+1,"")</f>
        <v>191</v>
      </c>
      <c r="B215" s="879">
        <f t="shared" si="27"/>
        <v>50821</v>
      </c>
      <c r="C215" s="855">
        <f t="shared" si="33"/>
        <v>0</v>
      </c>
      <c r="D215" s="855">
        <f t="shared" si="34"/>
        <v>32413.313177607219</v>
      </c>
      <c r="E215" s="856">
        <f t="shared" si="28"/>
        <v>0</v>
      </c>
      <c r="F215" s="857">
        <f t="shared" si="35"/>
        <v>0</v>
      </c>
      <c r="G215" s="855">
        <f t="shared" si="36"/>
        <v>0</v>
      </c>
      <c r="H215" s="855">
        <f t="shared" si="37"/>
        <v>0</v>
      </c>
      <c r="I215" s="855">
        <f t="shared" si="38"/>
        <v>0</v>
      </c>
      <c r="J215" s="877"/>
      <c r="K215" s="843"/>
    </row>
    <row r="216" spans="1:11">
      <c r="A216" s="812">
        <f>IF(Values_Entered,A215+1,"")</f>
        <v>192</v>
      </c>
      <c r="B216" s="879">
        <f t="shared" si="27"/>
        <v>50849</v>
      </c>
      <c r="C216" s="855">
        <f t="shared" si="33"/>
        <v>0</v>
      </c>
      <c r="D216" s="855">
        <f t="shared" si="34"/>
        <v>32413.313177607219</v>
      </c>
      <c r="E216" s="856">
        <f t="shared" si="28"/>
        <v>0</v>
      </c>
      <c r="F216" s="857">
        <f t="shared" si="35"/>
        <v>0</v>
      </c>
      <c r="G216" s="855">
        <f t="shared" si="36"/>
        <v>0</v>
      </c>
      <c r="H216" s="855">
        <f t="shared" si="37"/>
        <v>0</v>
      </c>
      <c r="I216" s="855">
        <f t="shared" si="38"/>
        <v>0</v>
      </c>
      <c r="J216" s="877"/>
      <c r="K216" s="843"/>
    </row>
    <row r="217" spans="1:11">
      <c r="A217" s="812">
        <f>IF(Values_Entered,A216+1,"")</f>
        <v>193</v>
      </c>
      <c r="B217" s="879">
        <f t="shared" ref="B217:B280" si="39">IF(Pay_Num&lt;&gt;"",DATE(YEAR(Loan_Start),MONTH(Loan_Start)+(Pay_Num)*12/Num_Pmt_Per_Year,DAY(Loan_Start)),"")</f>
        <v>50880</v>
      </c>
      <c r="C217" s="855">
        <f t="shared" si="33"/>
        <v>0</v>
      </c>
      <c r="D217" s="855">
        <f t="shared" si="34"/>
        <v>32413.313177607219</v>
      </c>
      <c r="E217" s="856">
        <f t="shared" ref="E217:E280" si="40">IF(AND(Pay_Num&lt;&gt;"",Sched_Pay+Scheduled_Extra_Payments&lt;Beg_Bal),Scheduled_Extra_Payments,IF(AND(Pay_Num&lt;&gt;"",Beg_Bal-Sched_Pay&gt;0),Beg_Bal-Sched_Pay,IF(Pay_Num&lt;&gt;"",0,"")))</f>
        <v>0</v>
      </c>
      <c r="F217" s="857">
        <f t="shared" ref="F217:F280" si="41">IF(AND(Pay_Num&lt;&gt;"",Sched_Pay+Extra_Pay&lt;Beg_Bal),Sched_Pay+Extra_Pay,IF(Pay_Num&lt;&gt;"",Beg_Bal,""))</f>
        <v>0</v>
      </c>
      <c r="G217" s="855">
        <f t="shared" si="36"/>
        <v>0</v>
      </c>
      <c r="H217" s="855">
        <f t="shared" si="37"/>
        <v>0</v>
      </c>
      <c r="I217" s="855">
        <f t="shared" ref="I217:I280" si="42">IF(AND(Pay_Num&lt;&gt;"",Sched_Pay+Extra_Pay&lt;Beg_Bal),Beg_Bal-Princ,IF(Pay_Num&lt;&gt;"",0,""))</f>
        <v>0</v>
      </c>
      <c r="J217" s="877"/>
      <c r="K217" s="843"/>
    </row>
    <row r="218" spans="1:11">
      <c r="A218" s="812">
        <f>IF(Values_Entered,A217+1,"")</f>
        <v>194</v>
      </c>
      <c r="B218" s="879">
        <f t="shared" si="39"/>
        <v>50910</v>
      </c>
      <c r="C218" s="855">
        <f t="shared" si="33"/>
        <v>0</v>
      </c>
      <c r="D218" s="855">
        <f t="shared" si="34"/>
        <v>32413.313177607219</v>
      </c>
      <c r="E218" s="856">
        <f t="shared" si="40"/>
        <v>0</v>
      </c>
      <c r="F218" s="857">
        <f t="shared" si="41"/>
        <v>0</v>
      </c>
      <c r="G218" s="855">
        <f t="shared" ref="G218:G281" si="43">IF(Pay_Num&lt;&gt;"",Total_Pay-Int,"")</f>
        <v>0</v>
      </c>
      <c r="H218" s="855">
        <f t="shared" ref="H218:H281" si="44">IF(Pay_Num&lt;&gt;"",Beg_Bal*Interest_Rate/Num_Pmt_Per_Year,"")</f>
        <v>0</v>
      </c>
      <c r="I218" s="855">
        <f t="shared" si="42"/>
        <v>0</v>
      </c>
      <c r="J218" s="877"/>
      <c r="K218" s="843"/>
    </row>
    <row r="219" spans="1:11">
      <c r="A219" s="812">
        <f>IF(Values_Entered,A218+1,"")</f>
        <v>195</v>
      </c>
      <c r="B219" s="879">
        <f t="shared" si="39"/>
        <v>50941</v>
      </c>
      <c r="C219" s="855">
        <f t="shared" ref="C219:C282" si="45">IF(Pay_Num&lt;&gt;"",I218,"")</f>
        <v>0</v>
      </c>
      <c r="D219" s="855">
        <f t="shared" ref="D219:D282" si="46">IF(Pay_Num&lt;&gt;"",Scheduled_Monthly_Payment,"")</f>
        <v>32413.313177607219</v>
      </c>
      <c r="E219" s="856">
        <f t="shared" si="40"/>
        <v>0</v>
      </c>
      <c r="F219" s="857">
        <f t="shared" si="41"/>
        <v>0</v>
      </c>
      <c r="G219" s="855">
        <f t="shared" si="43"/>
        <v>0</v>
      </c>
      <c r="H219" s="855">
        <f t="shared" si="44"/>
        <v>0</v>
      </c>
      <c r="I219" s="855">
        <f t="shared" si="42"/>
        <v>0</v>
      </c>
      <c r="J219" s="877"/>
      <c r="K219" s="843"/>
    </row>
    <row r="220" spans="1:11">
      <c r="A220" s="812">
        <f>IF(Values_Entered,A219+1,"")</f>
        <v>196</v>
      </c>
      <c r="B220" s="879">
        <f t="shared" si="39"/>
        <v>50971</v>
      </c>
      <c r="C220" s="855">
        <f t="shared" si="45"/>
        <v>0</v>
      </c>
      <c r="D220" s="855">
        <f t="shared" si="46"/>
        <v>32413.313177607219</v>
      </c>
      <c r="E220" s="856">
        <f t="shared" si="40"/>
        <v>0</v>
      </c>
      <c r="F220" s="857">
        <f t="shared" si="41"/>
        <v>0</v>
      </c>
      <c r="G220" s="855">
        <f t="shared" si="43"/>
        <v>0</v>
      </c>
      <c r="H220" s="855">
        <f t="shared" si="44"/>
        <v>0</v>
      </c>
      <c r="I220" s="855">
        <f t="shared" si="42"/>
        <v>0</v>
      </c>
      <c r="J220" s="877"/>
      <c r="K220" s="843"/>
    </row>
    <row r="221" spans="1:11">
      <c r="A221" s="812">
        <f>IF(Values_Entered,A220+1,"")</f>
        <v>197</v>
      </c>
      <c r="B221" s="879">
        <f t="shared" si="39"/>
        <v>51002</v>
      </c>
      <c r="C221" s="855">
        <f t="shared" si="45"/>
        <v>0</v>
      </c>
      <c r="D221" s="855">
        <f t="shared" si="46"/>
        <v>32413.313177607219</v>
      </c>
      <c r="E221" s="856">
        <f t="shared" si="40"/>
        <v>0</v>
      </c>
      <c r="F221" s="857">
        <f t="shared" si="41"/>
        <v>0</v>
      </c>
      <c r="G221" s="855">
        <f t="shared" si="43"/>
        <v>0</v>
      </c>
      <c r="H221" s="855">
        <f t="shared" si="44"/>
        <v>0</v>
      </c>
      <c r="I221" s="855">
        <f t="shared" si="42"/>
        <v>0</v>
      </c>
      <c r="J221" s="877"/>
      <c r="K221" s="843"/>
    </row>
    <row r="222" spans="1:11">
      <c r="A222" s="812">
        <f>IF(Values_Entered,A221+1,"")</f>
        <v>198</v>
      </c>
      <c r="B222" s="879">
        <f t="shared" si="39"/>
        <v>51033</v>
      </c>
      <c r="C222" s="855">
        <f t="shared" si="45"/>
        <v>0</v>
      </c>
      <c r="D222" s="855">
        <f t="shared" si="46"/>
        <v>32413.313177607219</v>
      </c>
      <c r="E222" s="856">
        <f t="shared" si="40"/>
        <v>0</v>
      </c>
      <c r="F222" s="857">
        <f t="shared" si="41"/>
        <v>0</v>
      </c>
      <c r="G222" s="855">
        <f t="shared" si="43"/>
        <v>0</v>
      </c>
      <c r="H222" s="855">
        <f t="shared" si="44"/>
        <v>0</v>
      </c>
      <c r="I222" s="855">
        <f t="shared" si="42"/>
        <v>0</v>
      </c>
      <c r="J222" s="877"/>
      <c r="K222" s="843"/>
    </row>
    <row r="223" spans="1:11">
      <c r="A223" s="812">
        <f>IF(Values_Entered,A222+1,"")</f>
        <v>199</v>
      </c>
      <c r="B223" s="879">
        <f t="shared" si="39"/>
        <v>51063</v>
      </c>
      <c r="C223" s="855">
        <f t="shared" si="45"/>
        <v>0</v>
      </c>
      <c r="D223" s="855">
        <f t="shared" si="46"/>
        <v>32413.313177607219</v>
      </c>
      <c r="E223" s="856">
        <f t="shared" si="40"/>
        <v>0</v>
      </c>
      <c r="F223" s="857">
        <f t="shared" si="41"/>
        <v>0</v>
      </c>
      <c r="G223" s="855">
        <f t="shared" si="43"/>
        <v>0</v>
      </c>
      <c r="H223" s="855">
        <f t="shared" si="44"/>
        <v>0</v>
      </c>
      <c r="I223" s="855">
        <f t="shared" si="42"/>
        <v>0</v>
      </c>
      <c r="J223" s="877"/>
      <c r="K223" s="843"/>
    </row>
    <row r="224" spans="1:11">
      <c r="A224" s="812">
        <f>IF(Values_Entered,A223+1,"")</f>
        <v>200</v>
      </c>
      <c r="B224" s="879">
        <f t="shared" si="39"/>
        <v>51094</v>
      </c>
      <c r="C224" s="855">
        <f t="shared" si="45"/>
        <v>0</v>
      </c>
      <c r="D224" s="855">
        <f t="shared" si="46"/>
        <v>32413.313177607219</v>
      </c>
      <c r="E224" s="856">
        <f t="shared" si="40"/>
        <v>0</v>
      </c>
      <c r="F224" s="857">
        <f t="shared" si="41"/>
        <v>0</v>
      </c>
      <c r="G224" s="855">
        <f t="shared" si="43"/>
        <v>0</v>
      </c>
      <c r="H224" s="855">
        <f t="shared" si="44"/>
        <v>0</v>
      </c>
      <c r="I224" s="855">
        <f t="shared" si="42"/>
        <v>0</v>
      </c>
      <c r="J224" s="877"/>
      <c r="K224" s="843"/>
    </row>
    <row r="225" spans="1:11">
      <c r="A225" s="812">
        <f>IF(Values_Entered,A224+1,"")</f>
        <v>201</v>
      </c>
      <c r="B225" s="879">
        <f t="shared" si="39"/>
        <v>51124</v>
      </c>
      <c r="C225" s="855">
        <f t="shared" si="45"/>
        <v>0</v>
      </c>
      <c r="D225" s="855">
        <f t="shared" si="46"/>
        <v>32413.313177607219</v>
      </c>
      <c r="E225" s="856">
        <f t="shared" si="40"/>
        <v>0</v>
      </c>
      <c r="F225" s="857">
        <f t="shared" si="41"/>
        <v>0</v>
      </c>
      <c r="G225" s="855">
        <f t="shared" si="43"/>
        <v>0</v>
      </c>
      <c r="H225" s="855">
        <f t="shared" si="44"/>
        <v>0</v>
      </c>
      <c r="I225" s="855">
        <f t="shared" si="42"/>
        <v>0</v>
      </c>
      <c r="J225" s="877"/>
      <c r="K225" s="843"/>
    </row>
    <row r="226" spans="1:11">
      <c r="A226" s="812">
        <f>IF(Values_Entered,A225+1,"")</f>
        <v>202</v>
      </c>
      <c r="B226" s="879">
        <f t="shared" si="39"/>
        <v>51155</v>
      </c>
      <c r="C226" s="855">
        <f t="shared" si="45"/>
        <v>0</v>
      </c>
      <c r="D226" s="855">
        <f t="shared" si="46"/>
        <v>32413.313177607219</v>
      </c>
      <c r="E226" s="856">
        <f t="shared" si="40"/>
        <v>0</v>
      </c>
      <c r="F226" s="857">
        <f t="shared" si="41"/>
        <v>0</v>
      </c>
      <c r="G226" s="855">
        <f t="shared" si="43"/>
        <v>0</v>
      </c>
      <c r="H226" s="855">
        <f t="shared" si="44"/>
        <v>0</v>
      </c>
      <c r="I226" s="855">
        <f t="shared" si="42"/>
        <v>0</v>
      </c>
      <c r="J226" s="877"/>
      <c r="K226" s="843"/>
    </row>
    <row r="227" spans="1:11">
      <c r="A227" s="812">
        <f>IF(Values_Entered,A226+1,"")</f>
        <v>203</v>
      </c>
      <c r="B227" s="879">
        <f t="shared" si="39"/>
        <v>51186</v>
      </c>
      <c r="C227" s="855">
        <f t="shared" si="45"/>
        <v>0</v>
      </c>
      <c r="D227" s="855">
        <f t="shared" si="46"/>
        <v>32413.313177607219</v>
      </c>
      <c r="E227" s="856">
        <f t="shared" si="40"/>
        <v>0</v>
      </c>
      <c r="F227" s="857">
        <f t="shared" si="41"/>
        <v>0</v>
      </c>
      <c r="G227" s="855">
        <f t="shared" si="43"/>
        <v>0</v>
      </c>
      <c r="H227" s="855">
        <f t="shared" si="44"/>
        <v>0</v>
      </c>
      <c r="I227" s="855">
        <f t="shared" si="42"/>
        <v>0</v>
      </c>
      <c r="J227" s="880"/>
      <c r="K227" s="843"/>
    </row>
    <row r="228" spans="1:11">
      <c r="A228" s="812">
        <f>IF(Values_Entered,A227+1,"")</f>
        <v>204</v>
      </c>
      <c r="B228" s="879">
        <f t="shared" si="39"/>
        <v>51215</v>
      </c>
      <c r="C228" s="855">
        <f t="shared" si="45"/>
        <v>0</v>
      </c>
      <c r="D228" s="855">
        <f t="shared" si="46"/>
        <v>32413.313177607219</v>
      </c>
      <c r="E228" s="856">
        <f t="shared" si="40"/>
        <v>0</v>
      </c>
      <c r="F228" s="857">
        <f t="shared" si="41"/>
        <v>0</v>
      </c>
      <c r="G228" s="855">
        <f t="shared" si="43"/>
        <v>0</v>
      </c>
      <c r="H228" s="855">
        <f t="shared" si="44"/>
        <v>0</v>
      </c>
      <c r="I228" s="855">
        <f t="shared" si="42"/>
        <v>0</v>
      </c>
      <c r="J228" s="877"/>
      <c r="K228" s="843"/>
    </row>
    <row r="229" spans="1:11">
      <c r="A229" s="812">
        <f>IF(Values_Entered,A228+1,"")</f>
        <v>205</v>
      </c>
      <c r="B229" s="879">
        <f t="shared" si="39"/>
        <v>51246</v>
      </c>
      <c r="C229" s="855">
        <f t="shared" si="45"/>
        <v>0</v>
      </c>
      <c r="D229" s="855">
        <f t="shared" si="46"/>
        <v>32413.313177607219</v>
      </c>
      <c r="E229" s="856">
        <f t="shared" si="40"/>
        <v>0</v>
      </c>
      <c r="F229" s="857">
        <f t="shared" si="41"/>
        <v>0</v>
      </c>
      <c r="G229" s="855">
        <f t="shared" si="43"/>
        <v>0</v>
      </c>
      <c r="H229" s="855">
        <f t="shared" si="44"/>
        <v>0</v>
      </c>
      <c r="I229" s="855">
        <f t="shared" si="42"/>
        <v>0</v>
      </c>
      <c r="J229" s="877"/>
      <c r="K229" s="843"/>
    </row>
    <row r="230" spans="1:11">
      <c r="A230" s="812">
        <f>IF(Values_Entered,A229+1,"")</f>
        <v>206</v>
      </c>
      <c r="B230" s="879">
        <f t="shared" si="39"/>
        <v>51276</v>
      </c>
      <c r="C230" s="855">
        <f t="shared" si="45"/>
        <v>0</v>
      </c>
      <c r="D230" s="855">
        <f t="shared" si="46"/>
        <v>32413.313177607219</v>
      </c>
      <c r="E230" s="856">
        <f t="shared" si="40"/>
        <v>0</v>
      </c>
      <c r="F230" s="857">
        <f t="shared" si="41"/>
        <v>0</v>
      </c>
      <c r="G230" s="855">
        <f t="shared" si="43"/>
        <v>0</v>
      </c>
      <c r="H230" s="855">
        <f t="shared" si="44"/>
        <v>0</v>
      </c>
      <c r="I230" s="855">
        <f t="shared" si="42"/>
        <v>0</v>
      </c>
      <c r="J230" s="877"/>
      <c r="K230" s="843"/>
    </row>
    <row r="231" spans="1:11">
      <c r="A231" s="812">
        <f>IF(Values_Entered,A230+1,"")</f>
        <v>207</v>
      </c>
      <c r="B231" s="879">
        <f t="shared" si="39"/>
        <v>51307</v>
      </c>
      <c r="C231" s="855">
        <f t="shared" si="45"/>
        <v>0</v>
      </c>
      <c r="D231" s="855">
        <f t="shared" si="46"/>
        <v>32413.313177607219</v>
      </c>
      <c r="E231" s="856">
        <f t="shared" si="40"/>
        <v>0</v>
      </c>
      <c r="F231" s="857">
        <f t="shared" si="41"/>
        <v>0</v>
      </c>
      <c r="G231" s="855">
        <f t="shared" si="43"/>
        <v>0</v>
      </c>
      <c r="H231" s="855">
        <f t="shared" si="44"/>
        <v>0</v>
      </c>
      <c r="I231" s="855">
        <f t="shared" si="42"/>
        <v>0</v>
      </c>
      <c r="J231" s="877"/>
      <c r="K231" s="843"/>
    </row>
    <row r="232" spans="1:11">
      <c r="A232" s="812">
        <f>IF(Values_Entered,A231+1,"")</f>
        <v>208</v>
      </c>
      <c r="B232" s="879">
        <f t="shared" si="39"/>
        <v>51337</v>
      </c>
      <c r="C232" s="855">
        <f t="shared" si="45"/>
        <v>0</v>
      </c>
      <c r="D232" s="855">
        <f t="shared" si="46"/>
        <v>32413.313177607219</v>
      </c>
      <c r="E232" s="856">
        <f t="shared" si="40"/>
        <v>0</v>
      </c>
      <c r="F232" s="857">
        <f t="shared" si="41"/>
        <v>0</v>
      </c>
      <c r="G232" s="855">
        <f t="shared" si="43"/>
        <v>0</v>
      </c>
      <c r="H232" s="855">
        <f t="shared" si="44"/>
        <v>0</v>
      </c>
      <c r="I232" s="855">
        <f t="shared" si="42"/>
        <v>0</v>
      </c>
      <c r="J232" s="877"/>
      <c r="K232" s="843"/>
    </row>
    <row r="233" spans="1:11">
      <c r="A233" s="812">
        <f>IF(Values_Entered,A232+1,"")</f>
        <v>209</v>
      </c>
      <c r="B233" s="879">
        <f t="shared" si="39"/>
        <v>51368</v>
      </c>
      <c r="C233" s="855">
        <f t="shared" si="45"/>
        <v>0</v>
      </c>
      <c r="D233" s="855">
        <f t="shared" si="46"/>
        <v>32413.313177607219</v>
      </c>
      <c r="E233" s="856">
        <f t="shared" si="40"/>
        <v>0</v>
      </c>
      <c r="F233" s="857">
        <f t="shared" si="41"/>
        <v>0</v>
      </c>
      <c r="G233" s="855">
        <f t="shared" si="43"/>
        <v>0</v>
      </c>
      <c r="H233" s="855">
        <f t="shared" si="44"/>
        <v>0</v>
      </c>
      <c r="I233" s="855">
        <f t="shared" si="42"/>
        <v>0</v>
      </c>
      <c r="J233" s="877"/>
      <c r="K233" s="843"/>
    </row>
    <row r="234" spans="1:11">
      <c r="A234" s="812">
        <f>IF(Values_Entered,A233+1,"")</f>
        <v>210</v>
      </c>
      <c r="B234" s="879">
        <f t="shared" si="39"/>
        <v>51399</v>
      </c>
      <c r="C234" s="855">
        <f t="shared" si="45"/>
        <v>0</v>
      </c>
      <c r="D234" s="855">
        <f t="shared" si="46"/>
        <v>32413.313177607219</v>
      </c>
      <c r="E234" s="856">
        <f t="shared" si="40"/>
        <v>0</v>
      </c>
      <c r="F234" s="857">
        <f t="shared" si="41"/>
        <v>0</v>
      </c>
      <c r="G234" s="855">
        <f t="shared" si="43"/>
        <v>0</v>
      </c>
      <c r="H234" s="855">
        <f t="shared" si="44"/>
        <v>0</v>
      </c>
      <c r="I234" s="855">
        <f t="shared" si="42"/>
        <v>0</v>
      </c>
      <c r="J234" s="877"/>
      <c r="K234" s="843"/>
    </row>
    <row r="235" spans="1:11">
      <c r="A235" s="812">
        <f>IF(Values_Entered,A234+1,"")</f>
        <v>211</v>
      </c>
      <c r="B235" s="879">
        <f t="shared" si="39"/>
        <v>51429</v>
      </c>
      <c r="C235" s="855">
        <f t="shared" si="45"/>
        <v>0</v>
      </c>
      <c r="D235" s="855">
        <f t="shared" si="46"/>
        <v>32413.313177607219</v>
      </c>
      <c r="E235" s="856">
        <f t="shared" si="40"/>
        <v>0</v>
      </c>
      <c r="F235" s="857">
        <f t="shared" si="41"/>
        <v>0</v>
      </c>
      <c r="G235" s="855">
        <f t="shared" si="43"/>
        <v>0</v>
      </c>
      <c r="H235" s="855">
        <f t="shared" si="44"/>
        <v>0</v>
      </c>
      <c r="I235" s="855">
        <f t="shared" si="42"/>
        <v>0</v>
      </c>
      <c r="J235" s="877"/>
      <c r="K235" s="843"/>
    </row>
    <row r="236" spans="1:11">
      <c r="A236" s="812">
        <f>IF(Values_Entered,A235+1,"")</f>
        <v>212</v>
      </c>
      <c r="B236" s="879">
        <f t="shared" si="39"/>
        <v>51460</v>
      </c>
      <c r="C236" s="855">
        <f t="shared" si="45"/>
        <v>0</v>
      </c>
      <c r="D236" s="855">
        <f t="shared" si="46"/>
        <v>32413.313177607219</v>
      </c>
      <c r="E236" s="856">
        <f t="shared" si="40"/>
        <v>0</v>
      </c>
      <c r="F236" s="857">
        <f t="shared" si="41"/>
        <v>0</v>
      </c>
      <c r="G236" s="855">
        <f t="shared" si="43"/>
        <v>0</v>
      </c>
      <c r="H236" s="855">
        <f t="shared" si="44"/>
        <v>0</v>
      </c>
      <c r="I236" s="855">
        <f t="shared" si="42"/>
        <v>0</v>
      </c>
      <c r="J236" s="877"/>
      <c r="K236" s="843"/>
    </row>
    <row r="237" spans="1:11">
      <c r="A237" s="812">
        <f>IF(Values_Entered,A236+1,"")</f>
        <v>213</v>
      </c>
      <c r="B237" s="879">
        <f t="shared" si="39"/>
        <v>51490</v>
      </c>
      <c r="C237" s="855">
        <f t="shared" si="45"/>
        <v>0</v>
      </c>
      <c r="D237" s="855">
        <f t="shared" si="46"/>
        <v>32413.313177607219</v>
      </c>
      <c r="E237" s="856">
        <f t="shared" si="40"/>
        <v>0</v>
      </c>
      <c r="F237" s="857">
        <f t="shared" si="41"/>
        <v>0</v>
      </c>
      <c r="G237" s="855">
        <f t="shared" si="43"/>
        <v>0</v>
      </c>
      <c r="H237" s="855">
        <f t="shared" si="44"/>
        <v>0</v>
      </c>
      <c r="I237" s="855">
        <f t="shared" si="42"/>
        <v>0</v>
      </c>
      <c r="J237" s="877"/>
      <c r="K237" s="843"/>
    </row>
    <row r="238" spans="1:11">
      <c r="A238" s="812">
        <f>IF(Values_Entered,A237+1,"")</f>
        <v>214</v>
      </c>
      <c r="B238" s="879">
        <f t="shared" si="39"/>
        <v>51521</v>
      </c>
      <c r="C238" s="855">
        <f t="shared" si="45"/>
        <v>0</v>
      </c>
      <c r="D238" s="855">
        <f t="shared" si="46"/>
        <v>32413.313177607219</v>
      </c>
      <c r="E238" s="856">
        <f t="shared" si="40"/>
        <v>0</v>
      </c>
      <c r="F238" s="857">
        <f t="shared" si="41"/>
        <v>0</v>
      </c>
      <c r="G238" s="855">
        <f t="shared" si="43"/>
        <v>0</v>
      </c>
      <c r="H238" s="855">
        <f t="shared" si="44"/>
        <v>0</v>
      </c>
      <c r="I238" s="855">
        <f t="shared" si="42"/>
        <v>0</v>
      </c>
      <c r="J238" s="877"/>
      <c r="K238" s="843"/>
    </row>
    <row r="239" spans="1:11">
      <c r="A239" s="812">
        <f>IF(Values_Entered,A238+1,"")</f>
        <v>215</v>
      </c>
      <c r="B239" s="879">
        <f t="shared" si="39"/>
        <v>51552</v>
      </c>
      <c r="C239" s="855">
        <f t="shared" si="45"/>
        <v>0</v>
      </c>
      <c r="D239" s="855">
        <f t="shared" si="46"/>
        <v>32413.313177607219</v>
      </c>
      <c r="E239" s="856">
        <f t="shared" si="40"/>
        <v>0</v>
      </c>
      <c r="F239" s="857">
        <f t="shared" si="41"/>
        <v>0</v>
      </c>
      <c r="G239" s="855">
        <f t="shared" si="43"/>
        <v>0</v>
      </c>
      <c r="H239" s="855">
        <f t="shared" si="44"/>
        <v>0</v>
      </c>
      <c r="I239" s="855">
        <f t="shared" si="42"/>
        <v>0</v>
      </c>
      <c r="J239" s="877"/>
      <c r="K239" s="843"/>
    </row>
    <row r="240" spans="1:11">
      <c r="A240" s="812">
        <f>IF(Values_Entered,A239+1,"")</f>
        <v>216</v>
      </c>
      <c r="B240" s="879">
        <f t="shared" si="39"/>
        <v>51580</v>
      </c>
      <c r="C240" s="855">
        <f t="shared" si="45"/>
        <v>0</v>
      </c>
      <c r="D240" s="855">
        <f t="shared" si="46"/>
        <v>32413.313177607219</v>
      </c>
      <c r="E240" s="856">
        <f t="shared" si="40"/>
        <v>0</v>
      </c>
      <c r="F240" s="857">
        <f t="shared" si="41"/>
        <v>0</v>
      </c>
      <c r="G240" s="855">
        <f t="shared" si="43"/>
        <v>0</v>
      </c>
      <c r="H240" s="855">
        <f t="shared" si="44"/>
        <v>0</v>
      </c>
      <c r="I240" s="855">
        <f t="shared" si="42"/>
        <v>0</v>
      </c>
      <c r="J240" s="877"/>
      <c r="K240" s="843"/>
    </row>
    <row r="241" spans="1:11">
      <c r="A241" s="812">
        <f>IF(Values_Entered,A240+1,"")</f>
        <v>217</v>
      </c>
      <c r="B241" s="879">
        <f t="shared" si="39"/>
        <v>51611</v>
      </c>
      <c r="C241" s="855">
        <f t="shared" si="45"/>
        <v>0</v>
      </c>
      <c r="D241" s="855">
        <f t="shared" si="46"/>
        <v>32413.313177607219</v>
      </c>
      <c r="E241" s="856">
        <f t="shared" si="40"/>
        <v>0</v>
      </c>
      <c r="F241" s="857">
        <f t="shared" si="41"/>
        <v>0</v>
      </c>
      <c r="G241" s="855">
        <f t="shared" si="43"/>
        <v>0</v>
      </c>
      <c r="H241" s="855">
        <f t="shared" si="44"/>
        <v>0</v>
      </c>
      <c r="I241" s="855">
        <f t="shared" si="42"/>
        <v>0</v>
      </c>
      <c r="J241" s="877"/>
      <c r="K241" s="843"/>
    </row>
    <row r="242" spans="1:11">
      <c r="A242" s="812">
        <f>IF(Values_Entered,A241+1,"")</f>
        <v>218</v>
      </c>
      <c r="B242" s="879">
        <f t="shared" si="39"/>
        <v>51641</v>
      </c>
      <c r="C242" s="855">
        <f t="shared" si="45"/>
        <v>0</v>
      </c>
      <c r="D242" s="855">
        <f t="shared" si="46"/>
        <v>32413.313177607219</v>
      </c>
      <c r="E242" s="856">
        <f t="shared" si="40"/>
        <v>0</v>
      </c>
      <c r="F242" s="857">
        <f t="shared" si="41"/>
        <v>0</v>
      </c>
      <c r="G242" s="855">
        <f t="shared" si="43"/>
        <v>0</v>
      </c>
      <c r="H242" s="855">
        <f t="shared" si="44"/>
        <v>0</v>
      </c>
      <c r="I242" s="855">
        <f t="shared" si="42"/>
        <v>0</v>
      </c>
      <c r="J242" s="877"/>
      <c r="K242" s="843"/>
    </row>
    <row r="243" spans="1:11">
      <c r="A243" s="812">
        <f>IF(Values_Entered,A242+1,"")</f>
        <v>219</v>
      </c>
      <c r="B243" s="879">
        <f t="shared" si="39"/>
        <v>51672</v>
      </c>
      <c r="C243" s="855">
        <f t="shared" si="45"/>
        <v>0</v>
      </c>
      <c r="D243" s="855">
        <f t="shared" si="46"/>
        <v>32413.313177607219</v>
      </c>
      <c r="E243" s="856">
        <f t="shared" si="40"/>
        <v>0</v>
      </c>
      <c r="F243" s="857">
        <f t="shared" si="41"/>
        <v>0</v>
      </c>
      <c r="G243" s="855">
        <f t="shared" si="43"/>
        <v>0</v>
      </c>
      <c r="H243" s="855">
        <f t="shared" si="44"/>
        <v>0</v>
      </c>
      <c r="I243" s="855">
        <f t="shared" si="42"/>
        <v>0</v>
      </c>
      <c r="J243" s="877"/>
      <c r="K243" s="843"/>
    </row>
    <row r="244" spans="1:11">
      <c r="A244" s="812">
        <f>IF(Values_Entered,A243+1,"")</f>
        <v>220</v>
      </c>
      <c r="B244" s="879">
        <f t="shared" si="39"/>
        <v>51702</v>
      </c>
      <c r="C244" s="855">
        <f t="shared" si="45"/>
        <v>0</v>
      </c>
      <c r="D244" s="855">
        <f t="shared" si="46"/>
        <v>32413.313177607219</v>
      </c>
      <c r="E244" s="856">
        <f t="shared" si="40"/>
        <v>0</v>
      </c>
      <c r="F244" s="857">
        <f t="shared" si="41"/>
        <v>0</v>
      </c>
      <c r="G244" s="855">
        <f t="shared" si="43"/>
        <v>0</v>
      </c>
      <c r="H244" s="855">
        <f t="shared" si="44"/>
        <v>0</v>
      </c>
      <c r="I244" s="855">
        <f t="shared" si="42"/>
        <v>0</v>
      </c>
      <c r="J244" s="877"/>
      <c r="K244" s="843"/>
    </row>
    <row r="245" spans="1:11">
      <c r="A245" s="812">
        <f>IF(Values_Entered,A244+1,"")</f>
        <v>221</v>
      </c>
      <c r="B245" s="879">
        <f t="shared" si="39"/>
        <v>51733</v>
      </c>
      <c r="C245" s="855">
        <f t="shared" si="45"/>
        <v>0</v>
      </c>
      <c r="D245" s="855">
        <f t="shared" si="46"/>
        <v>32413.313177607219</v>
      </c>
      <c r="E245" s="856">
        <f t="shared" si="40"/>
        <v>0</v>
      </c>
      <c r="F245" s="857">
        <f t="shared" si="41"/>
        <v>0</v>
      </c>
      <c r="G245" s="855">
        <f t="shared" si="43"/>
        <v>0</v>
      </c>
      <c r="H245" s="855">
        <f t="shared" si="44"/>
        <v>0</v>
      </c>
      <c r="I245" s="855">
        <f t="shared" si="42"/>
        <v>0</v>
      </c>
      <c r="J245" s="877"/>
      <c r="K245" s="843"/>
    </row>
    <row r="246" spans="1:11">
      <c r="A246" s="812">
        <f>IF(Values_Entered,A245+1,"")</f>
        <v>222</v>
      </c>
      <c r="B246" s="879">
        <f t="shared" si="39"/>
        <v>51764</v>
      </c>
      <c r="C246" s="855">
        <f t="shared" si="45"/>
        <v>0</v>
      </c>
      <c r="D246" s="855">
        <f t="shared" si="46"/>
        <v>32413.313177607219</v>
      </c>
      <c r="E246" s="856">
        <f t="shared" si="40"/>
        <v>0</v>
      </c>
      <c r="F246" s="857">
        <f t="shared" si="41"/>
        <v>0</v>
      </c>
      <c r="G246" s="855">
        <f t="shared" si="43"/>
        <v>0</v>
      </c>
      <c r="H246" s="855">
        <f t="shared" si="44"/>
        <v>0</v>
      </c>
      <c r="I246" s="855">
        <f t="shared" si="42"/>
        <v>0</v>
      </c>
      <c r="J246" s="877"/>
      <c r="K246" s="843"/>
    </row>
    <row r="247" spans="1:11">
      <c r="A247" s="812">
        <f>IF(Values_Entered,A246+1,"")</f>
        <v>223</v>
      </c>
      <c r="B247" s="879">
        <f t="shared" si="39"/>
        <v>51794</v>
      </c>
      <c r="C247" s="855">
        <f t="shared" si="45"/>
        <v>0</v>
      </c>
      <c r="D247" s="855">
        <f t="shared" si="46"/>
        <v>32413.313177607219</v>
      </c>
      <c r="E247" s="856">
        <f t="shared" si="40"/>
        <v>0</v>
      </c>
      <c r="F247" s="857">
        <f t="shared" si="41"/>
        <v>0</v>
      </c>
      <c r="G247" s="855">
        <f t="shared" si="43"/>
        <v>0</v>
      </c>
      <c r="H247" s="855">
        <f t="shared" si="44"/>
        <v>0</v>
      </c>
      <c r="I247" s="855">
        <f t="shared" si="42"/>
        <v>0</v>
      </c>
      <c r="J247" s="877"/>
      <c r="K247" s="843"/>
    </row>
    <row r="248" spans="1:11">
      <c r="A248" s="812">
        <f>IF(Values_Entered,A247+1,"")</f>
        <v>224</v>
      </c>
      <c r="B248" s="879">
        <f t="shared" si="39"/>
        <v>51825</v>
      </c>
      <c r="C248" s="855">
        <f t="shared" si="45"/>
        <v>0</v>
      </c>
      <c r="D248" s="855">
        <f t="shared" si="46"/>
        <v>32413.313177607219</v>
      </c>
      <c r="E248" s="856">
        <f t="shared" si="40"/>
        <v>0</v>
      </c>
      <c r="F248" s="857">
        <f t="shared" si="41"/>
        <v>0</v>
      </c>
      <c r="G248" s="855">
        <f t="shared" si="43"/>
        <v>0</v>
      </c>
      <c r="H248" s="855">
        <f t="shared" si="44"/>
        <v>0</v>
      </c>
      <c r="I248" s="855">
        <f t="shared" si="42"/>
        <v>0</v>
      </c>
      <c r="J248" s="877"/>
      <c r="K248" s="843"/>
    </row>
    <row r="249" spans="1:11">
      <c r="A249" s="812">
        <f>IF(Values_Entered,A248+1,"")</f>
        <v>225</v>
      </c>
      <c r="B249" s="879">
        <f t="shared" si="39"/>
        <v>51855</v>
      </c>
      <c r="C249" s="855">
        <f t="shared" si="45"/>
        <v>0</v>
      </c>
      <c r="D249" s="855">
        <f t="shared" si="46"/>
        <v>32413.313177607219</v>
      </c>
      <c r="E249" s="856">
        <f t="shared" si="40"/>
        <v>0</v>
      </c>
      <c r="F249" s="857">
        <f t="shared" si="41"/>
        <v>0</v>
      </c>
      <c r="G249" s="855">
        <f t="shared" si="43"/>
        <v>0</v>
      </c>
      <c r="H249" s="855">
        <f t="shared" si="44"/>
        <v>0</v>
      </c>
      <c r="I249" s="855">
        <f t="shared" si="42"/>
        <v>0</v>
      </c>
      <c r="J249" s="877"/>
      <c r="K249" s="843"/>
    </row>
    <row r="250" spans="1:11">
      <c r="A250" s="812">
        <f>IF(Values_Entered,A249+1,"")</f>
        <v>226</v>
      </c>
      <c r="B250" s="879">
        <f t="shared" si="39"/>
        <v>51886</v>
      </c>
      <c r="C250" s="855">
        <f t="shared" si="45"/>
        <v>0</v>
      </c>
      <c r="D250" s="855">
        <f t="shared" si="46"/>
        <v>32413.313177607219</v>
      </c>
      <c r="E250" s="856">
        <f t="shared" si="40"/>
        <v>0</v>
      </c>
      <c r="F250" s="857">
        <f t="shared" si="41"/>
        <v>0</v>
      </c>
      <c r="G250" s="855">
        <f t="shared" si="43"/>
        <v>0</v>
      </c>
      <c r="H250" s="855">
        <f t="shared" si="44"/>
        <v>0</v>
      </c>
      <c r="I250" s="855">
        <f t="shared" si="42"/>
        <v>0</v>
      </c>
      <c r="J250" s="877"/>
      <c r="K250" s="843"/>
    </row>
    <row r="251" spans="1:11">
      <c r="A251" s="812">
        <f>IF(Values_Entered,A250+1,"")</f>
        <v>227</v>
      </c>
      <c r="B251" s="879">
        <f t="shared" si="39"/>
        <v>51917</v>
      </c>
      <c r="C251" s="855">
        <f t="shared" si="45"/>
        <v>0</v>
      </c>
      <c r="D251" s="855">
        <f t="shared" si="46"/>
        <v>32413.313177607219</v>
      </c>
      <c r="E251" s="856">
        <f t="shared" si="40"/>
        <v>0</v>
      </c>
      <c r="F251" s="857">
        <f t="shared" si="41"/>
        <v>0</v>
      </c>
      <c r="G251" s="855">
        <f t="shared" si="43"/>
        <v>0</v>
      </c>
      <c r="H251" s="855">
        <f t="shared" si="44"/>
        <v>0</v>
      </c>
      <c r="I251" s="855">
        <f t="shared" si="42"/>
        <v>0</v>
      </c>
      <c r="J251" s="877"/>
      <c r="K251" s="843"/>
    </row>
    <row r="252" spans="1:11">
      <c r="A252" s="812">
        <f>IF(Values_Entered,A251+1,"")</f>
        <v>228</v>
      </c>
      <c r="B252" s="879">
        <f t="shared" si="39"/>
        <v>51945</v>
      </c>
      <c r="C252" s="855">
        <f t="shared" si="45"/>
        <v>0</v>
      </c>
      <c r="D252" s="855">
        <f t="shared" si="46"/>
        <v>32413.313177607219</v>
      </c>
      <c r="E252" s="856">
        <f t="shared" si="40"/>
        <v>0</v>
      </c>
      <c r="F252" s="857">
        <f t="shared" si="41"/>
        <v>0</v>
      </c>
      <c r="G252" s="855">
        <f t="shared" si="43"/>
        <v>0</v>
      </c>
      <c r="H252" s="855">
        <f t="shared" si="44"/>
        <v>0</v>
      </c>
      <c r="I252" s="855">
        <f t="shared" si="42"/>
        <v>0</v>
      </c>
      <c r="J252" s="877"/>
      <c r="K252" s="843"/>
    </row>
    <row r="253" spans="1:11">
      <c r="A253" s="812">
        <f>IF(Values_Entered,A252+1,"")</f>
        <v>229</v>
      </c>
      <c r="B253" s="879">
        <f t="shared" si="39"/>
        <v>51976</v>
      </c>
      <c r="C253" s="855">
        <f t="shared" si="45"/>
        <v>0</v>
      </c>
      <c r="D253" s="855">
        <f t="shared" si="46"/>
        <v>32413.313177607219</v>
      </c>
      <c r="E253" s="856">
        <f t="shared" si="40"/>
        <v>0</v>
      </c>
      <c r="F253" s="857">
        <f t="shared" si="41"/>
        <v>0</v>
      </c>
      <c r="G253" s="855">
        <f t="shared" si="43"/>
        <v>0</v>
      </c>
      <c r="H253" s="855">
        <f t="shared" si="44"/>
        <v>0</v>
      </c>
      <c r="I253" s="855">
        <f t="shared" si="42"/>
        <v>0</v>
      </c>
      <c r="J253" s="877"/>
      <c r="K253" s="843"/>
    </row>
    <row r="254" spans="1:11">
      <c r="A254" s="812">
        <f>IF(Values_Entered,A253+1,"")</f>
        <v>230</v>
      </c>
      <c r="B254" s="879">
        <f t="shared" si="39"/>
        <v>52006</v>
      </c>
      <c r="C254" s="855">
        <f t="shared" si="45"/>
        <v>0</v>
      </c>
      <c r="D254" s="855">
        <f t="shared" si="46"/>
        <v>32413.313177607219</v>
      </c>
      <c r="E254" s="856">
        <f t="shared" si="40"/>
        <v>0</v>
      </c>
      <c r="F254" s="857">
        <f t="shared" si="41"/>
        <v>0</v>
      </c>
      <c r="G254" s="855">
        <f t="shared" si="43"/>
        <v>0</v>
      </c>
      <c r="H254" s="855">
        <f t="shared" si="44"/>
        <v>0</v>
      </c>
      <c r="I254" s="855">
        <f t="shared" si="42"/>
        <v>0</v>
      </c>
      <c r="J254" s="877"/>
      <c r="K254" s="843"/>
    </row>
    <row r="255" spans="1:11">
      <c r="A255" s="812">
        <f>IF(Values_Entered,A254+1,"")</f>
        <v>231</v>
      </c>
      <c r="B255" s="879">
        <f t="shared" si="39"/>
        <v>52037</v>
      </c>
      <c r="C255" s="855">
        <f t="shared" si="45"/>
        <v>0</v>
      </c>
      <c r="D255" s="855">
        <f t="shared" si="46"/>
        <v>32413.313177607219</v>
      </c>
      <c r="E255" s="856">
        <f t="shared" si="40"/>
        <v>0</v>
      </c>
      <c r="F255" s="857">
        <f t="shared" si="41"/>
        <v>0</v>
      </c>
      <c r="G255" s="855">
        <f t="shared" si="43"/>
        <v>0</v>
      </c>
      <c r="H255" s="855">
        <f t="shared" si="44"/>
        <v>0</v>
      </c>
      <c r="I255" s="855">
        <f t="shared" si="42"/>
        <v>0</v>
      </c>
      <c r="J255" s="877"/>
      <c r="K255" s="843"/>
    </row>
    <row r="256" spans="1:11">
      <c r="A256" s="812">
        <f>IF(Values_Entered,A255+1,"")</f>
        <v>232</v>
      </c>
      <c r="B256" s="879">
        <f t="shared" si="39"/>
        <v>52067</v>
      </c>
      <c r="C256" s="855">
        <f t="shared" si="45"/>
        <v>0</v>
      </c>
      <c r="D256" s="855">
        <f t="shared" si="46"/>
        <v>32413.313177607219</v>
      </c>
      <c r="E256" s="856">
        <f t="shared" si="40"/>
        <v>0</v>
      </c>
      <c r="F256" s="857">
        <f t="shared" si="41"/>
        <v>0</v>
      </c>
      <c r="G256" s="855">
        <f t="shared" si="43"/>
        <v>0</v>
      </c>
      <c r="H256" s="855">
        <f t="shared" si="44"/>
        <v>0</v>
      </c>
      <c r="I256" s="855">
        <f t="shared" si="42"/>
        <v>0</v>
      </c>
      <c r="J256" s="877"/>
      <c r="K256" s="843"/>
    </row>
    <row r="257" spans="1:11">
      <c r="A257" s="812">
        <f>IF(Values_Entered,A256+1,"")</f>
        <v>233</v>
      </c>
      <c r="B257" s="879">
        <f t="shared" si="39"/>
        <v>52098</v>
      </c>
      <c r="C257" s="855">
        <f t="shared" si="45"/>
        <v>0</v>
      </c>
      <c r="D257" s="855">
        <f t="shared" si="46"/>
        <v>32413.313177607219</v>
      </c>
      <c r="E257" s="856">
        <f t="shared" si="40"/>
        <v>0</v>
      </c>
      <c r="F257" s="857">
        <f t="shared" si="41"/>
        <v>0</v>
      </c>
      <c r="G257" s="855">
        <f t="shared" si="43"/>
        <v>0</v>
      </c>
      <c r="H257" s="855">
        <f t="shared" si="44"/>
        <v>0</v>
      </c>
      <c r="I257" s="855">
        <f t="shared" si="42"/>
        <v>0</v>
      </c>
      <c r="J257" s="877"/>
      <c r="K257" s="843"/>
    </row>
    <row r="258" spans="1:11">
      <c r="A258" s="812">
        <f>IF(Values_Entered,A257+1,"")</f>
        <v>234</v>
      </c>
      <c r="B258" s="879">
        <f t="shared" si="39"/>
        <v>52129</v>
      </c>
      <c r="C258" s="855">
        <f t="shared" si="45"/>
        <v>0</v>
      </c>
      <c r="D258" s="855">
        <f t="shared" si="46"/>
        <v>32413.313177607219</v>
      </c>
      <c r="E258" s="856">
        <f t="shared" si="40"/>
        <v>0</v>
      </c>
      <c r="F258" s="857">
        <f t="shared" si="41"/>
        <v>0</v>
      </c>
      <c r="G258" s="855">
        <f t="shared" si="43"/>
        <v>0</v>
      </c>
      <c r="H258" s="855">
        <f t="shared" si="44"/>
        <v>0</v>
      </c>
      <c r="I258" s="855">
        <f t="shared" si="42"/>
        <v>0</v>
      </c>
      <c r="J258" s="877"/>
      <c r="K258" s="843"/>
    </row>
    <row r="259" spans="1:11">
      <c r="A259" s="812">
        <f>IF(Values_Entered,A258+1,"")</f>
        <v>235</v>
      </c>
      <c r="B259" s="879">
        <f t="shared" si="39"/>
        <v>52159</v>
      </c>
      <c r="C259" s="855">
        <f t="shared" si="45"/>
        <v>0</v>
      </c>
      <c r="D259" s="855">
        <f t="shared" si="46"/>
        <v>32413.313177607219</v>
      </c>
      <c r="E259" s="856">
        <f t="shared" si="40"/>
        <v>0</v>
      </c>
      <c r="F259" s="857">
        <f t="shared" si="41"/>
        <v>0</v>
      </c>
      <c r="G259" s="855">
        <f t="shared" si="43"/>
        <v>0</v>
      </c>
      <c r="H259" s="855">
        <f t="shared" si="44"/>
        <v>0</v>
      </c>
      <c r="I259" s="855">
        <f t="shared" si="42"/>
        <v>0</v>
      </c>
      <c r="J259" s="877"/>
      <c r="K259" s="843"/>
    </row>
    <row r="260" spans="1:11">
      <c r="A260" s="812">
        <f>IF(Values_Entered,A259+1,"")</f>
        <v>236</v>
      </c>
      <c r="B260" s="879">
        <f t="shared" si="39"/>
        <v>52190</v>
      </c>
      <c r="C260" s="855">
        <f t="shared" si="45"/>
        <v>0</v>
      </c>
      <c r="D260" s="855">
        <f t="shared" si="46"/>
        <v>32413.313177607219</v>
      </c>
      <c r="E260" s="856">
        <f t="shared" si="40"/>
        <v>0</v>
      </c>
      <c r="F260" s="857">
        <f t="shared" si="41"/>
        <v>0</v>
      </c>
      <c r="G260" s="855">
        <f t="shared" si="43"/>
        <v>0</v>
      </c>
      <c r="H260" s="855">
        <f t="shared" si="44"/>
        <v>0</v>
      </c>
      <c r="I260" s="855">
        <f t="shared" si="42"/>
        <v>0</v>
      </c>
      <c r="J260" s="877"/>
      <c r="K260" s="843"/>
    </row>
    <row r="261" spans="1:11">
      <c r="A261" s="812">
        <f>IF(Values_Entered,A260+1,"")</f>
        <v>237</v>
      </c>
      <c r="B261" s="879">
        <f t="shared" si="39"/>
        <v>52220</v>
      </c>
      <c r="C261" s="855">
        <f t="shared" si="45"/>
        <v>0</v>
      </c>
      <c r="D261" s="855">
        <f t="shared" si="46"/>
        <v>32413.313177607219</v>
      </c>
      <c r="E261" s="856">
        <f t="shared" si="40"/>
        <v>0</v>
      </c>
      <c r="F261" s="857">
        <f t="shared" si="41"/>
        <v>0</v>
      </c>
      <c r="G261" s="855">
        <f t="shared" si="43"/>
        <v>0</v>
      </c>
      <c r="H261" s="855">
        <f t="shared" si="44"/>
        <v>0</v>
      </c>
      <c r="I261" s="855">
        <f t="shared" si="42"/>
        <v>0</v>
      </c>
      <c r="J261" s="877"/>
      <c r="K261" s="843"/>
    </row>
    <row r="262" spans="1:11">
      <c r="A262" s="812">
        <f>IF(Values_Entered,A261+1,"")</f>
        <v>238</v>
      </c>
      <c r="B262" s="879">
        <f t="shared" si="39"/>
        <v>52251</v>
      </c>
      <c r="C262" s="855">
        <f t="shared" si="45"/>
        <v>0</v>
      </c>
      <c r="D262" s="855">
        <f t="shared" si="46"/>
        <v>32413.313177607219</v>
      </c>
      <c r="E262" s="856">
        <f t="shared" si="40"/>
        <v>0</v>
      </c>
      <c r="F262" s="857">
        <f t="shared" si="41"/>
        <v>0</v>
      </c>
      <c r="G262" s="855">
        <f t="shared" si="43"/>
        <v>0</v>
      </c>
      <c r="H262" s="855">
        <f t="shared" si="44"/>
        <v>0</v>
      </c>
      <c r="I262" s="855">
        <f t="shared" si="42"/>
        <v>0</v>
      </c>
      <c r="J262" s="877"/>
      <c r="K262" s="843"/>
    </row>
    <row r="263" spans="1:11">
      <c r="A263" s="812">
        <f>IF(Values_Entered,A262+1,"")</f>
        <v>239</v>
      </c>
      <c r="B263" s="879">
        <f t="shared" si="39"/>
        <v>52282</v>
      </c>
      <c r="C263" s="855">
        <f t="shared" si="45"/>
        <v>0</v>
      </c>
      <c r="D263" s="855">
        <f t="shared" si="46"/>
        <v>32413.313177607219</v>
      </c>
      <c r="E263" s="856">
        <f t="shared" si="40"/>
        <v>0</v>
      </c>
      <c r="F263" s="857">
        <f t="shared" si="41"/>
        <v>0</v>
      </c>
      <c r="G263" s="855">
        <f t="shared" si="43"/>
        <v>0</v>
      </c>
      <c r="H263" s="855">
        <f t="shared" si="44"/>
        <v>0</v>
      </c>
      <c r="I263" s="855">
        <f t="shared" si="42"/>
        <v>0</v>
      </c>
      <c r="J263" s="877"/>
      <c r="K263" s="843"/>
    </row>
    <row r="264" spans="1:11">
      <c r="A264" s="812">
        <f>IF(Values_Entered,A263+1,"")</f>
        <v>240</v>
      </c>
      <c r="B264" s="879">
        <f t="shared" si="39"/>
        <v>52310</v>
      </c>
      <c r="C264" s="855">
        <f t="shared" si="45"/>
        <v>0</v>
      </c>
      <c r="D264" s="855">
        <f t="shared" si="46"/>
        <v>32413.313177607219</v>
      </c>
      <c r="E264" s="856">
        <f t="shared" si="40"/>
        <v>0</v>
      </c>
      <c r="F264" s="857">
        <f t="shared" si="41"/>
        <v>0</v>
      </c>
      <c r="G264" s="855">
        <f t="shared" si="43"/>
        <v>0</v>
      </c>
      <c r="H264" s="855">
        <f t="shared" si="44"/>
        <v>0</v>
      </c>
      <c r="I264" s="855">
        <f t="shared" si="42"/>
        <v>0</v>
      </c>
      <c r="J264" s="877"/>
      <c r="K264" s="843"/>
    </row>
    <row r="265" spans="1:11">
      <c r="A265" s="812">
        <f>IF(Values_Entered,A264+1,"")</f>
        <v>241</v>
      </c>
      <c r="B265" s="879">
        <f t="shared" si="39"/>
        <v>52341</v>
      </c>
      <c r="C265" s="855">
        <f t="shared" si="45"/>
        <v>0</v>
      </c>
      <c r="D265" s="855">
        <f t="shared" si="46"/>
        <v>32413.313177607219</v>
      </c>
      <c r="E265" s="856">
        <f t="shared" si="40"/>
        <v>0</v>
      </c>
      <c r="F265" s="857">
        <f t="shared" si="41"/>
        <v>0</v>
      </c>
      <c r="G265" s="855">
        <f t="shared" si="43"/>
        <v>0</v>
      </c>
      <c r="H265" s="855">
        <f t="shared" si="44"/>
        <v>0</v>
      </c>
      <c r="I265" s="855">
        <f t="shared" si="42"/>
        <v>0</v>
      </c>
      <c r="J265" s="877"/>
      <c r="K265" s="843"/>
    </row>
    <row r="266" spans="1:11">
      <c r="A266" s="812">
        <f>IF(Values_Entered,A265+1,"")</f>
        <v>242</v>
      </c>
      <c r="B266" s="879">
        <f t="shared" si="39"/>
        <v>52371</v>
      </c>
      <c r="C266" s="855">
        <f t="shared" si="45"/>
        <v>0</v>
      </c>
      <c r="D266" s="855">
        <f t="shared" si="46"/>
        <v>32413.313177607219</v>
      </c>
      <c r="E266" s="856">
        <f t="shared" si="40"/>
        <v>0</v>
      </c>
      <c r="F266" s="857">
        <f t="shared" si="41"/>
        <v>0</v>
      </c>
      <c r="G266" s="855">
        <f t="shared" si="43"/>
        <v>0</v>
      </c>
      <c r="H266" s="855">
        <f t="shared" si="44"/>
        <v>0</v>
      </c>
      <c r="I266" s="855">
        <f t="shared" si="42"/>
        <v>0</v>
      </c>
      <c r="J266" s="877"/>
      <c r="K266" s="843"/>
    </row>
    <row r="267" spans="1:11">
      <c r="A267" s="812">
        <f>IF(Values_Entered,A266+1,"")</f>
        <v>243</v>
      </c>
      <c r="B267" s="879">
        <f t="shared" si="39"/>
        <v>52402</v>
      </c>
      <c r="C267" s="855">
        <f t="shared" si="45"/>
        <v>0</v>
      </c>
      <c r="D267" s="855">
        <f t="shared" si="46"/>
        <v>32413.313177607219</v>
      </c>
      <c r="E267" s="856">
        <f t="shared" si="40"/>
        <v>0</v>
      </c>
      <c r="F267" s="857">
        <f t="shared" si="41"/>
        <v>0</v>
      </c>
      <c r="G267" s="855">
        <f t="shared" si="43"/>
        <v>0</v>
      </c>
      <c r="H267" s="855">
        <f t="shared" si="44"/>
        <v>0</v>
      </c>
      <c r="I267" s="855">
        <f t="shared" si="42"/>
        <v>0</v>
      </c>
      <c r="J267" s="877"/>
      <c r="K267" s="843"/>
    </row>
    <row r="268" spans="1:11">
      <c r="A268" s="812">
        <f>IF(Values_Entered,A267+1,"")</f>
        <v>244</v>
      </c>
      <c r="B268" s="879">
        <f t="shared" si="39"/>
        <v>52432</v>
      </c>
      <c r="C268" s="855">
        <f t="shared" si="45"/>
        <v>0</v>
      </c>
      <c r="D268" s="855">
        <f t="shared" si="46"/>
        <v>32413.313177607219</v>
      </c>
      <c r="E268" s="856">
        <f t="shared" si="40"/>
        <v>0</v>
      </c>
      <c r="F268" s="857">
        <f t="shared" si="41"/>
        <v>0</v>
      </c>
      <c r="G268" s="855">
        <f t="shared" si="43"/>
        <v>0</v>
      </c>
      <c r="H268" s="855">
        <f t="shared" si="44"/>
        <v>0</v>
      </c>
      <c r="I268" s="855">
        <f t="shared" si="42"/>
        <v>0</v>
      </c>
      <c r="J268" s="877"/>
      <c r="K268" s="843"/>
    </row>
    <row r="269" spans="1:11">
      <c r="A269" s="812">
        <f>IF(Values_Entered,A268+1,"")</f>
        <v>245</v>
      </c>
      <c r="B269" s="879">
        <f t="shared" si="39"/>
        <v>52463</v>
      </c>
      <c r="C269" s="855">
        <f t="shared" si="45"/>
        <v>0</v>
      </c>
      <c r="D269" s="855">
        <f t="shared" si="46"/>
        <v>32413.313177607219</v>
      </c>
      <c r="E269" s="856">
        <f t="shared" si="40"/>
        <v>0</v>
      </c>
      <c r="F269" s="857">
        <f t="shared" si="41"/>
        <v>0</v>
      </c>
      <c r="G269" s="855">
        <f t="shared" si="43"/>
        <v>0</v>
      </c>
      <c r="H269" s="855">
        <f t="shared" si="44"/>
        <v>0</v>
      </c>
      <c r="I269" s="855">
        <f t="shared" si="42"/>
        <v>0</v>
      </c>
      <c r="J269" s="877"/>
      <c r="K269" s="843"/>
    </row>
    <row r="270" spans="1:11">
      <c r="A270" s="812">
        <f>IF(Values_Entered,A269+1,"")</f>
        <v>246</v>
      </c>
      <c r="B270" s="879">
        <f t="shared" si="39"/>
        <v>52494</v>
      </c>
      <c r="C270" s="855">
        <f t="shared" si="45"/>
        <v>0</v>
      </c>
      <c r="D270" s="855">
        <f t="shared" si="46"/>
        <v>32413.313177607219</v>
      </c>
      <c r="E270" s="856">
        <f t="shared" si="40"/>
        <v>0</v>
      </c>
      <c r="F270" s="857">
        <f t="shared" si="41"/>
        <v>0</v>
      </c>
      <c r="G270" s="855">
        <f t="shared" si="43"/>
        <v>0</v>
      </c>
      <c r="H270" s="855">
        <f t="shared" si="44"/>
        <v>0</v>
      </c>
      <c r="I270" s="855">
        <f t="shared" si="42"/>
        <v>0</v>
      </c>
      <c r="J270" s="877"/>
      <c r="K270" s="843"/>
    </row>
    <row r="271" spans="1:11">
      <c r="A271" s="812">
        <f>IF(Values_Entered,A270+1,"")</f>
        <v>247</v>
      </c>
      <c r="B271" s="879">
        <f t="shared" si="39"/>
        <v>52524</v>
      </c>
      <c r="C271" s="855">
        <f t="shared" si="45"/>
        <v>0</v>
      </c>
      <c r="D271" s="855">
        <f t="shared" si="46"/>
        <v>32413.313177607219</v>
      </c>
      <c r="E271" s="856">
        <f t="shared" si="40"/>
        <v>0</v>
      </c>
      <c r="F271" s="857">
        <f t="shared" si="41"/>
        <v>0</v>
      </c>
      <c r="G271" s="855">
        <f t="shared" si="43"/>
        <v>0</v>
      </c>
      <c r="H271" s="855">
        <f t="shared" si="44"/>
        <v>0</v>
      </c>
      <c r="I271" s="855">
        <f t="shared" si="42"/>
        <v>0</v>
      </c>
      <c r="J271" s="877"/>
      <c r="K271" s="843"/>
    </row>
    <row r="272" spans="1:11">
      <c r="A272" s="812">
        <f>IF(Values_Entered,A271+1,"")</f>
        <v>248</v>
      </c>
      <c r="B272" s="879">
        <f t="shared" si="39"/>
        <v>52555</v>
      </c>
      <c r="C272" s="855">
        <f t="shared" si="45"/>
        <v>0</v>
      </c>
      <c r="D272" s="855">
        <f t="shared" si="46"/>
        <v>32413.313177607219</v>
      </c>
      <c r="E272" s="856">
        <f t="shared" si="40"/>
        <v>0</v>
      </c>
      <c r="F272" s="857">
        <f t="shared" si="41"/>
        <v>0</v>
      </c>
      <c r="G272" s="855">
        <f t="shared" si="43"/>
        <v>0</v>
      </c>
      <c r="H272" s="855">
        <f t="shared" si="44"/>
        <v>0</v>
      </c>
      <c r="I272" s="855">
        <f t="shared" si="42"/>
        <v>0</v>
      </c>
      <c r="J272" s="877"/>
      <c r="K272" s="843"/>
    </row>
    <row r="273" spans="1:11">
      <c r="A273" s="812">
        <f>IF(Values_Entered,A272+1,"")</f>
        <v>249</v>
      </c>
      <c r="B273" s="879">
        <f t="shared" si="39"/>
        <v>52585</v>
      </c>
      <c r="C273" s="855">
        <f t="shared" si="45"/>
        <v>0</v>
      </c>
      <c r="D273" s="855">
        <f t="shared" si="46"/>
        <v>32413.313177607219</v>
      </c>
      <c r="E273" s="856">
        <f t="shared" si="40"/>
        <v>0</v>
      </c>
      <c r="F273" s="857">
        <f t="shared" si="41"/>
        <v>0</v>
      </c>
      <c r="G273" s="855">
        <f t="shared" si="43"/>
        <v>0</v>
      </c>
      <c r="H273" s="855">
        <f t="shared" si="44"/>
        <v>0</v>
      </c>
      <c r="I273" s="855">
        <f t="shared" si="42"/>
        <v>0</v>
      </c>
      <c r="J273" s="877"/>
      <c r="K273" s="843"/>
    </row>
    <row r="274" spans="1:11">
      <c r="A274" s="812">
        <f>IF(Values_Entered,A273+1,"")</f>
        <v>250</v>
      </c>
      <c r="B274" s="879">
        <f t="shared" si="39"/>
        <v>52616</v>
      </c>
      <c r="C274" s="855">
        <f t="shared" si="45"/>
        <v>0</v>
      </c>
      <c r="D274" s="855">
        <f t="shared" si="46"/>
        <v>32413.313177607219</v>
      </c>
      <c r="E274" s="856">
        <f t="shared" si="40"/>
        <v>0</v>
      </c>
      <c r="F274" s="857">
        <f t="shared" si="41"/>
        <v>0</v>
      </c>
      <c r="G274" s="855">
        <f t="shared" si="43"/>
        <v>0</v>
      </c>
      <c r="H274" s="855">
        <f t="shared" si="44"/>
        <v>0</v>
      </c>
      <c r="I274" s="855">
        <f t="shared" si="42"/>
        <v>0</v>
      </c>
      <c r="J274" s="877"/>
      <c r="K274" s="843"/>
    </row>
    <row r="275" spans="1:11">
      <c r="A275" s="812">
        <f>IF(Values_Entered,A274+1,"")</f>
        <v>251</v>
      </c>
      <c r="B275" s="879">
        <f t="shared" si="39"/>
        <v>52647</v>
      </c>
      <c r="C275" s="855">
        <f t="shared" si="45"/>
        <v>0</v>
      </c>
      <c r="D275" s="855">
        <f t="shared" si="46"/>
        <v>32413.313177607219</v>
      </c>
      <c r="E275" s="856">
        <f t="shared" si="40"/>
        <v>0</v>
      </c>
      <c r="F275" s="857">
        <f t="shared" si="41"/>
        <v>0</v>
      </c>
      <c r="G275" s="855">
        <f t="shared" si="43"/>
        <v>0</v>
      </c>
      <c r="H275" s="855">
        <f t="shared" si="44"/>
        <v>0</v>
      </c>
      <c r="I275" s="855">
        <f t="shared" si="42"/>
        <v>0</v>
      </c>
      <c r="J275" s="877"/>
      <c r="K275" s="843"/>
    </row>
    <row r="276" spans="1:11">
      <c r="A276" s="812">
        <f>IF(Values_Entered,A275+1,"")</f>
        <v>252</v>
      </c>
      <c r="B276" s="879">
        <f t="shared" si="39"/>
        <v>52676</v>
      </c>
      <c r="C276" s="855">
        <f t="shared" si="45"/>
        <v>0</v>
      </c>
      <c r="D276" s="855">
        <f t="shared" si="46"/>
        <v>32413.313177607219</v>
      </c>
      <c r="E276" s="856">
        <f t="shared" si="40"/>
        <v>0</v>
      </c>
      <c r="F276" s="857">
        <f t="shared" si="41"/>
        <v>0</v>
      </c>
      <c r="G276" s="855">
        <f t="shared" si="43"/>
        <v>0</v>
      </c>
      <c r="H276" s="855">
        <f t="shared" si="44"/>
        <v>0</v>
      </c>
      <c r="I276" s="855">
        <f t="shared" si="42"/>
        <v>0</v>
      </c>
      <c r="J276" s="877"/>
      <c r="K276" s="843"/>
    </row>
    <row r="277" spans="1:11">
      <c r="A277" s="812">
        <f>IF(Values_Entered,A276+1,"")</f>
        <v>253</v>
      </c>
      <c r="B277" s="879">
        <f t="shared" si="39"/>
        <v>52707</v>
      </c>
      <c r="C277" s="855">
        <f t="shared" si="45"/>
        <v>0</v>
      </c>
      <c r="D277" s="855">
        <f t="shared" si="46"/>
        <v>32413.313177607219</v>
      </c>
      <c r="E277" s="856">
        <f t="shared" si="40"/>
        <v>0</v>
      </c>
      <c r="F277" s="857">
        <f t="shared" si="41"/>
        <v>0</v>
      </c>
      <c r="G277" s="855">
        <f t="shared" si="43"/>
        <v>0</v>
      </c>
      <c r="H277" s="855">
        <f t="shared" si="44"/>
        <v>0</v>
      </c>
      <c r="I277" s="855">
        <f t="shared" si="42"/>
        <v>0</v>
      </c>
      <c r="J277" s="877"/>
      <c r="K277" s="843"/>
    </row>
    <row r="278" spans="1:11">
      <c r="A278" s="812">
        <f>IF(Values_Entered,A277+1,"")</f>
        <v>254</v>
      </c>
      <c r="B278" s="879">
        <f t="shared" si="39"/>
        <v>52737</v>
      </c>
      <c r="C278" s="855">
        <f t="shared" si="45"/>
        <v>0</v>
      </c>
      <c r="D278" s="855">
        <f t="shared" si="46"/>
        <v>32413.313177607219</v>
      </c>
      <c r="E278" s="856">
        <f t="shared" si="40"/>
        <v>0</v>
      </c>
      <c r="F278" s="857">
        <f t="shared" si="41"/>
        <v>0</v>
      </c>
      <c r="G278" s="855">
        <f t="shared" si="43"/>
        <v>0</v>
      </c>
      <c r="H278" s="855">
        <f t="shared" si="44"/>
        <v>0</v>
      </c>
      <c r="I278" s="855">
        <f t="shared" si="42"/>
        <v>0</v>
      </c>
      <c r="J278" s="877"/>
      <c r="K278" s="843"/>
    </row>
    <row r="279" spans="1:11">
      <c r="A279" s="812">
        <f>IF(Values_Entered,A278+1,"")</f>
        <v>255</v>
      </c>
      <c r="B279" s="879">
        <f t="shared" si="39"/>
        <v>52768</v>
      </c>
      <c r="C279" s="855">
        <f t="shared" si="45"/>
        <v>0</v>
      </c>
      <c r="D279" s="855">
        <f t="shared" si="46"/>
        <v>32413.313177607219</v>
      </c>
      <c r="E279" s="856">
        <f t="shared" si="40"/>
        <v>0</v>
      </c>
      <c r="F279" s="857">
        <f t="shared" si="41"/>
        <v>0</v>
      </c>
      <c r="G279" s="855">
        <f t="shared" si="43"/>
        <v>0</v>
      </c>
      <c r="H279" s="855">
        <f t="shared" si="44"/>
        <v>0</v>
      </c>
      <c r="I279" s="855">
        <f t="shared" si="42"/>
        <v>0</v>
      </c>
      <c r="J279" s="877"/>
      <c r="K279" s="843"/>
    </row>
    <row r="280" spans="1:11">
      <c r="A280" s="812">
        <f>IF(Values_Entered,A279+1,"")</f>
        <v>256</v>
      </c>
      <c r="B280" s="879">
        <f t="shared" si="39"/>
        <v>52798</v>
      </c>
      <c r="C280" s="855">
        <f t="shared" si="45"/>
        <v>0</v>
      </c>
      <c r="D280" s="855">
        <f t="shared" si="46"/>
        <v>32413.313177607219</v>
      </c>
      <c r="E280" s="856">
        <f t="shared" si="40"/>
        <v>0</v>
      </c>
      <c r="F280" s="857">
        <f t="shared" si="41"/>
        <v>0</v>
      </c>
      <c r="G280" s="855">
        <f t="shared" si="43"/>
        <v>0</v>
      </c>
      <c r="H280" s="855">
        <f t="shared" si="44"/>
        <v>0</v>
      </c>
      <c r="I280" s="855">
        <f t="shared" si="42"/>
        <v>0</v>
      </c>
      <c r="J280" s="877"/>
      <c r="K280" s="843"/>
    </row>
    <row r="281" spans="1:11">
      <c r="A281" s="812">
        <f>IF(Values_Entered,A280+1,"")</f>
        <v>257</v>
      </c>
      <c r="B281" s="879">
        <f t="shared" ref="B281:B344" si="47">IF(Pay_Num&lt;&gt;"",DATE(YEAR(Loan_Start),MONTH(Loan_Start)+(Pay_Num)*12/Num_Pmt_Per_Year,DAY(Loan_Start)),"")</f>
        <v>52829</v>
      </c>
      <c r="C281" s="855">
        <f t="shared" si="45"/>
        <v>0</v>
      </c>
      <c r="D281" s="855">
        <f t="shared" si="46"/>
        <v>32413.313177607219</v>
      </c>
      <c r="E281" s="856">
        <f t="shared" ref="E281:E344" si="48">IF(AND(Pay_Num&lt;&gt;"",Sched_Pay+Scheduled_Extra_Payments&lt;Beg_Bal),Scheduled_Extra_Payments,IF(AND(Pay_Num&lt;&gt;"",Beg_Bal-Sched_Pay&gt;0),Beg_Bal-Sched_Pay,IF(Pay_Num&lt;&gt;"",0,"")))</f>
        <v>0</v>
      </c>
      <c r="F281" s="857">
        <f t="shared" ref="F281:F344" si="49">IF(AND(Pay_Num&lt;&gt;"",Sched_Pay+Extra_Pay&lt;Beg_Bal),Sched_Pay+Extra_Pay,IF(Pay_Num&lt;&gt;"",Beg_Bal,""))</f>
        <v>0</v>
      </c>
      <c r="G281" s="855">
        <f t="shared" si="43"/>
        <v>0</v>
      </c>
      <c r="H281" s="855">
        <f t="shared" si="44"/>
        <v>0</v>
      </c>
      <c r="I281" s="855">
        <f t="shared" ref="I281:I344" si="50">IF(AND(Pay_Num&lt;&gt;"",Sched_Pay+Extra_Pay&lt;Beg_Bal),Beg_Bal-Princ,IF(Pay_Num&lt;&gt;"",0,""))</f>
        <v>0</v>
      </c>
      <c r="J281" s="877"/>
      <c r="K281" s="843"/>
    </row>
    <row r="282" spans="1:11">
      <c r="A282" s="812">
        <f>IF(Values_Entered,A281+1,"")</f>
        <v>258</v>
      </c>
      <c r="B282" s="879">
        <f t="shared" si="47"/>
        <v>52860</v>
      </c>
      <c r="C282" s="855">
        <f t="shared" si="45"/>
        <v>0</v>
      </c>
      <c r="D282" s="855">
        <f t="shared" si="46"/>
        <v>32413.313177607219</v>
      </c>
      <c r="E282" s="856">
        <f t="shared" si="48"/>
        <v>0</v>
      </c>
      <c r="F282" s="857">
        <f t="shared" si="49"/>
        <v>0</v>
      </c>
      <c r="G282" s="855">
        <f t="shared" ref="G282:G345" si="51">IF(Pay_Num&lt;&gt;"",Total_Pay-Int,"")</f>
        <v>0</v>
      </c>
      <c r="H282" s="855">
        <f t="shared" ref="H282:H345" si="52">IF(Pay_Num&lt;&gt;"",Beg_Bal*Interest_Rate/Num_Pmt_Per_Year,"")</f>
        <v>0</v>
      </c>
      <c r="I282" s="855">
        <f t="shared" si="50"/>
        <v>0</v>
      </c>
      <c r="J282" s="877"/>
      <c r="K282" s="843"/>
    </row>
    <row r="283" spans="1:11">
      <c r="A283" s="812">
        <f>IF(Values_Entered,A282+1,"")</f>
        <v>259</v>
      </c>
      <c r="B283" s="879">
        <f t="shared" si="47"/>
        <v>52890</v>
      </c>
      <c r="C283" s="855">
        <f t="shared" ref="C283:C346" si="53">IF(Pay_Num&lt;&gt;"",I282,"")</f>
        <v>0</v>
      </c>
      <c r="D283" s="855">
        <f t="shared" ref="D283:D346" si="54">IF(Pay_Num&lt;&gt;"",Scheduled_Monthly_Payment,"")</f>
        <v>32413.313177607219</v>
      </c>
      <c r="E283" s="856">
        <f t="shared" si="48"/>
        <v>0</v>
      </c>
      <c r="F283" s="857">
        <f t="shared" si="49"/>
        <v>0</v>
      </c>
      <c r="G283" s="855">
        <f t="shared" si="51"/>
        <v>0</v>
      </c>
      <c r="H283" s="855">
        <f t="shared" si="52"/>
        <v>0</v>
      </c>
      <c r="I283" s="855">
        <f t="shared" si="50"/>
        <v>0</v>
      </c>
      <c r="J283" s="877"/>
      <c r="K283" s="843"/>
    </row>
    <row r="284" spans="1:11">
      <c r="A284" s="812">
        <f>IF(Values_Entered,A283+1,"")</f>
        <v>260</v>
      </c>
      <c r="B284" s="879">
        <f t="shared" si="47"/>
        <v>52921</v>
      </c>
      <c r="C284" s="855">
        <f t="shared" si="53"/>
        <v>0</v>
      </c>
      <c r="D284" s="855">
        <f t="shared" si="54"/>
        <v>32413.313177607219</v>
      </c>
      <c r="E284" s="856">
        <f t="shared" si="48"/>
        <v>0</v>
      </c>
      <c r="F284" s="857">
        <f t="shared" si="49"/>
        <v>0</v>
      </c>
      <c r="G284" s="855">
        <f t="shared" si="51"/>
        <v>0</v>
      </c>
      <c r="H284" s="855">
        <f t="shared" si="52"/>
        <v>0</v>
      </c>
      <c r="I284" s="855">
        <f t="shared" si="50"/>
        <v>0</v>
      </c>
      <c r="J284" s="877"/>
      <c r="K284" s="843"/>
    </row>
    <row r="285" spans="1:11">
      <c r="A285" s="812">
        <f>IF(Values_Entered,A284+1,"")</f>
        <v>261</v>
      </c>
      <c r="B285" s="879">
        <f t="shared" si="47"/>
        <v>52951</v>
      </c>
      <c r="C285" s="855">
        <f t="shared" si="53"/>
        <v>0</v>
      </c>
      <c r="D285" s="855">
        <f t="shared" si="54"/>
        <v>32413.313177607219</v>
      </c>
      <c r="E285" s="856">
        <f t="shared" si="48"/>
        <v>0</v>
      </c>
      <c r="F285" s="857">
        <f t="shared" si="49"/>
        <v>0</v>
      </c>
      <c r="G285" s="855">
        <f t="shared" si="51"/>
        <v>0</v>
      </c>
      <c r="H285" s="855">
        <f t="shared" si="52"/>
        <v>0</v>
      </c>
      <c r="I285" s="855">
        <f t="shared" si="50"/>
        <v>0</v>
      </c>
      <c r="J285" s="877"/>
      <c r="K285" s="843"/>
    </row>
    <row r="286" spans="1:11">
      <c r="A286" s="812">
        <f>IF(Values_Entered,A285+1,"")</f>
        <v>262</v>
      </c>
      <c r="B286" s="879">
        <f t="shared" si="47"/>
        <v>52982</v>
      </c>
      <c r="C286" s="855">
        <f t="shared" si="53"/>
        <v>0</v>
      </c>
      <c r="D286" s="855">
        <f t="shared" si="54"/>
        <v>32413.313177607219</v>
      </c>
      <c r="E286" s="856">
        <f t="shared" si="48"/>
        <v>0</v>
      </c>
      <c r="F286" s="857">
        <f t="shared" si="49"/>
        <v>0</v>
      </c>
      <c r="G286" s="855">
        <f t="shared" si="51"/>
        <v>0</v>
      </c>
      <c r="H286" s="855">
        <f t="shared" si="52"/>
        <v>0</v>
      </c>
      <c r="I286" s="855">
        <f t="shared" si="50"/>
        <v>0</v>
      </c>
      <c r="J286" s="877"/>
      <c r="K286" s="843"/>
    </row>
    <row r="287" spans="1:11">
      <c r="A287" s="812">
        <f>IF(Values_Entered,A286+1,"")</f>
        <v>263</v>
      </c>
      <c r="B287" s="879">
        <f t="shared" si="47"/>
        <v>53013</v>
      </c>
      <c r="C287" s="855">
        <f t="shared" si="53"/>
        <v>0</v>
      </c>
      <c r="D287" s="855">
        <f t="shared" si="54"/>
        <v>32413.313177607219</v>
      </c>
      <c r="E287" s="856">
        <f t="shared" si="48"/>
        <v>0</v>
      </c>
      <c r="F287" s="857">
        <f t="shared" si="49"/>
        <v>0</v>
      </c>
      <c r="G287" s="855">
        <f t="shared" si="51"/>
        <v>0</v>
      </c>
      <c r="H287" s="855">
        <f t="shared" si="52"/>
        <v>0</v>
      </c>
      <c r="I287" s="855">
        <f t="shared" si="50"/>
        <v>0</v>
      </c>
      <c r="J287" s="877"/>
      <c r="K287" s="843"/>
    </row>
    <row r="288" spans="1:11">
      <c r="A288" s="812">
        <f>IF(Values_Entered,A287+1,"")</f>
        <v>264</v>
      </c>
      <c r="B288" s="879">
        <f t="shared" si="47"/>
        <v>53041</v>
      </c>
      <c r="C288" s="855">
        <f t="shared" si="53"/>
        <v>0</v>
      </c>
      <c r="D288" s="855">
        <f t="shared" si="54"/>
        <v>32413.313177607219</v>
      </c>
      <c r="E288" s="856">
        <f t="shared" si="48"/>
        <v>0</v>
      </c>
      <c r="F288" s="857">
        <f t="shared" si="49"/>
        <v>0</v>
      </c>
      <c r="G288" s="855">
        <f t="shared" si="51"/>
        <v>0</v>
      </c>
      <c r="H288" s="855">
        <f t="shared" si="52"/>
        <v>0</v>
      </c>
      <c r="I288" s="855">
        <f t="shared" si="50"/>
        <v>0</v>
      </c>
      <c r="J288" s="877"/>
      <c r="K288" s="843"/>
    </row>
    <row r="289" spans="1:11">
      <c r="A289" s="812">
        <f>IF(Values_Entered,A288+1,"")</f>
        <v>265</v>
      </c>
      <c r="B289" s="879">
        <f t="shared" si="47"/>
        <v>53072</v>
      </c>
      <c r="C289" s="855">
        <f t="shared" si="53"/>
        <v>0</v>
      </c>
      <c r="D289" s="855">
        <f t="shared" si="54"/>
        <v>32413.313177607219</v>
      </c>
      <c r="E289" s="856">
        <f t="shared" si="48"/>
        <v>0</v>
      </c>
      <c r="F289" s="857">
        <f t="shared" si="49"/>
        <v>0</v>
      </c>
      <c r="G289" s="855">
        <f t="shared" si="51"/>
        <v>0</v>
      </c>
      <c r="H289" s="855">
        <f t="shared" si="52"/>
        <v>0</v>
      </c>
      <c r="I289" s="855">
        <f t="shared" si="50"/>
        <v>0</v>
      </c>
      <c r="J289" s="877"/>
      <c r="K289" s="843"/>
    </row>
    <row r="290" spans="1:11">
      <c r="A290" s="812">
        <f>IF(Values_Entered,A289+1,"")</f>
        <v>266</v>
      </c>
      <c r="B290" s="879">
        <f t="shared" si="47"/>
        <v>53102</v>
      </c>
      <c r="C290" s="855">
        <f t="shared" si="53"/>
        <v>0</v>
      </c>
      <c r="D290" s="855">
        <f t="shared" si="54"/>
        <v>32413.313177607219</v>
      </c>
      <c r="E290" s="856">
        <f t="shared" si="48"/>
        <v>0</v>
      </c>
      <c r="F290" s="857">
        <f t="shared" si="49"/>
        <v>0</v>
      </c>
      <c r="G290" s="855">
        <f t="shared" si="51"/>
        <v>0</v>
      </c>
      <c r="H290" s="855">
        <f t="shared" si="52"/>
        <v>0</v>
      </c>
      <c r="I290" s="855">
        <f t="shared" si="50"/>
        <v>0</v>
      </c>
      <c r="J290" s="877"/>
      <c r="K290" s="843"/>
    </row>
    <row r="291" spans="1:11">
      <c r="A291" s="812">
        <f>IF(Values_Entered,A290+1,"")</f>
        <v>267</v>
      </c>
      <c r="B291" s="879">
        <f t="shared" si="47"/>
        <v>53133</v>
      </c>
      <c r="C291" s="855">
        <f t="shared" si="53"/>
        <v>0</v>
      </c>
      <c r="D291" s="855">
        <f t="shared" si="54"/>
        <v>32413.313177607219</v>
      </c>
      <c r="E291" s="856">
        <f t="shared" si="48"/>
        <v>0</v>
      </c>
      <c r="F291" s="857">
        <f t="shared" si="49"/>
        <v>0</v>
      </c>
      <c r="G291" s="855">
        <f t="shared" si="51"/>
        <v>0</v>
      </c>
      <c r="H291" s="855">
        <f t="shared" si="52"/>
        <v>0</v>
      </c>
      <c r="I291" s="855">
        <f t="shared" si="50"/>
        <v>0</v>
      </c>
      <c r="J291" s="877"/>
      <c r="K291" s="843"/>
    </row>
    <row r="292" spans="1:11" ht="14.1">
      <c r="A292" s="812">
        <f>IF(Values_Entered,A291+1,"")</f>
        <v>268</v>
      </c>
      <c r="B292" s="879">
        <f t="shared" si="47"/>
        <v>53163</v>
      </c>
      <c r="C292" s="855">
        <f t="shared" si="53"/>
        <v>0</v>
      </c>
      <c r="D292" s="855">
        <f t="shared" si="54"/>
        <v>32413.313177607219</v>
      </c>
      <c r="E292" s="856">
        <f t="shared" si="48"/>
        <v>0</v>
      </c>
      <c r="F292" s="857">
        <f t="shared" si="49"/>
        <v>0</v>
      </c>
      <c r="G292" s="881">
        <f>SUM(G25:G291)</f>
        <v>2614165.1313125151</v>
      </c>
      <c r="H292" s="855">
        <f t="shared" si="52"/>
        <v>0</v>
      </c>
      <c r="I292" s="855">
        <f t="shared" si="50"/>
        <v>0</v>
      </c>
      <c r="J292" s="877"/>
      <c r="K292" s="843"/>
    </row>
    <row r="293" spans="1:11">
      <c r="A293" s="812">
        <f>IF(Values_Entered,A292+1,"")</f>
        <v>269</v>
      </c>
      <c r="B293" s="879">
        <f t="shared" si="47"/>
        <v>53194</v>
      </c>
      <c r="C293" s="855">
        <f t="shared" si="53"/>
        <v>0</v>
      </c>
      <c r="D293" s="855">
        <f t="shared" si="54"/>
        <v>32413.313177607219</v>
      </c>
      <c r="E293" s="856">
        <f t="shared" si="48"/>
        <v>0</v>
      </c>
      <c r="F293" s="857">
        <f t="shared" si="49"/>
        <v>0</v>
      </c>
      <c r="G293" s="855">
        <f t="shared" si="51"/>
        <v>0</v>
      </c>
      <c r="H293" s="855">
        <f t="shared" si="52"/>
        <v>0</v>
      </c>
      <c r="I293" s="855">
        <f t="shared" si="50"/>
        <v>0</v>
      </c>
      <c r="J293" s="877"/>
      <c r="K293" s="843"/>
    </row>
    <row r="294" spans="1:11">
      <c r="A294" s="812">
        <f>IF(Values_Entered,A293+1,"")</f>
        <v>270</v>
      </c>
      <c r="B294" s="879">
        <f t="shared" si="47"/>
        <v>53225</v>
      </c>
      <c r="C294" s="855">
        <f t="shared" si="53"/>
        <v>0</v>
      </c>
      <c r="D294" s="855">
        <f t="shared" si="54"/>
        <v>32413.313177607219</v>
      </c>
      <c r="E294" s="856">
        <f t="shared" si="48"/>
        <v>0</v>
      </c>
      <c r="F294" s="857">
        <f t="shared" si="49"/>
        <v>0</v>
      </c>
      <c r="G294" s="855">
        <f t="shared" si="51"/>
        <v>0</v>
      </c>
      <c r="H294" s="855">
        <f t="shared" si="52"/>
        <v>0</v>
      </c>
      <c r="I294" s="855">
        <f t="shared" si="50"/>
        <v>0</v>
      </c>
      <c r="J294" s="877"/>
      <c r="K294" s="843"/>
    </row>
    <row r="295" spans="1:11">
      <c r="A295" s="812">
        <f>IF(Values_Entered,A294+1,"")</f>
        <v>271</v>
      </c>
      <c r="B295" s="879">
        <f t="shared" si="47"/>
        <v>53255</v>
      </c>
      <c r="C295" s="855">
        <f t="shared" si="53"/>
        <v>0</v>
      </c>
      <c r="D295" s="855">
        <f t="shared" si="54"/>
        <v>32413.313177607219</v>
      </c>
      <c r="E295" s="856">
        <f t="shared" si="48"/>
        <v>0</v>
      </c>
      <c r="F295" s="857">
        <f t="shared" si="49"/>
        <v>0</v>
      </c>
      <c r="G295" s="855">
        <f t="shared" si="51"/>
        <v>0</v>
      </c>
      <c r="H295" s="855">
        <f t="shared" si="52"/>
        <v>0</v>
      </c>
      <c r="I295" s="855">
        <f t="shared" si="50"/>
        <v>0</v>
      </c>
      <c r="J295" s="877"/>
      <c r="K295" s="843"/>
    </row>
    <row r="296" spans="1:11">
      <c r="A296" s="812">
        <f>IF(Values_Entered,A295+1,"")</f>
        <v>272</v>
      </c>
      <c r="B296" s="879">
        <f t="shared" si="47"/>
        <v>53286</v>
      </c>
      <c r="C296" s="855">
        <f t="shared" si="53"/>
        <v>0</v>
      </c>
      <c r="D296" s="855">
        <f t="shared" si="54"/>
        <v>32413.313177607219</v>
      </c>
      <c r="E296" s="856">
        <f t="shared" si="48"/>
        <v>0</v>
      </c>
      <c r="F296" s="857">
        <f t="shared" si="49"/>
        <v>0</v>
      </c>
      <c r="G296" s="855">
        <f t="shared" si="51"/>
        <v>0</v>
      </c>
      <c r="H296" s="855">
        <f t="shared" si="52"/>
        <v>0</v>
      </c>
      <c r="I296" s="855">
        <f t="shared" si="50"/>
        <v>0</v>
      </c>
      <c r="J296" s="877"/>
      <c r="K296" s="843"/>
    </row>
    <row r="297" spans="1:11">
      <c r="A297" s="812">
        <f>IF(Values_Entered,A296+1,"")</f>
        <v>273</v>
      </c>
      <c r="B297" s="879">
        <f t="shared" si="47"/>
        <v>53316</v>
      </c>
      <c r="C297" s="855">
        <f t="shared" si="53"/>
        <v>0</v>
      </c>
      <c r="D297" s="855">
        <f t="shared" si="54"/>
        <v>32413.313177607219</v>
      </c>
      <c r="E297" s="856">
        <f t="shared" si="48"/>
        <v>0</v>
      </c>
      <c r="F297" s="857">
        <f t="shared" si="49"/>
        <v>0</v>
      </c>
      <c r="G297" s="855">
        <f t="shared" si="51"/>
        <v>0</v>
      </c>
      <c r="H297" s="855">
        <f t="shared" si="52"/>
        <v>0</v>
      </c>
      <c r="I297" s="855">
        <f t="shared" si="50"/>
        <v>0</v>
      </c>
      <c r="J297" s="877"/>
      <c r="K297" s="843"/>
    </row>
    <row r="298" spans="1:11">
      <c r="A298" s="812">
        <f>IF(Values_Entered,A297+1,"")</f>
        <v>274</v>
      </c>
      <c r="B298" s="879">
        <f t="shared" si="47"/>
        <v>53347</v>
      </c>
      <c r="C298" s="855">
        <f t="shared" si="53"/>
        <v>0</v>
      </c>
      <c r="D298" s="855">
        <f t="shared" si="54"/>
        <v>32413.313177607219</v>
      </c>
      <c r="E298" s="856">
        <f t="shared" si="48"/>
        <v>0</v>
      </c>
      <c r="F298" s="857">
        <f t="shared" si="49"/>
        <v>0</v>
      </c>
      <c r="G298" s="855">
        <f t="shared" si="51"/>
        <v>0</v>
      </c>
      <c r="H298" s="855">
        <f t="shared" si="52"/>
        <v>0</v>
      </c>
      <c r="I298" s="855">
        <f t="shared" si="50"/>
        <v>0</v>
      </c>
      <c r="J298" s="877"/>
      <c r="K298" s="843"/>
    </row>
    <row r="299" spans="1:11">
      <c r="A299" s="812">
        <f>IF(Values_Entered,A298+1,"")</f>
        <v>275</v>
      </c>
      <c r="B299" s="879">
        <f t="shared" si="47"/>
        <v>53378</v>
      </c>
      <c r="C299" s="855">
        <f t="shared" si="53"/>
        <v>0</v>
      </c>
      <c r="D299" s="855">
        <f t="shared" si="54"/>
        <v>32413.313177607219</v>
      </c>
      <c r="E299" s="856">
        <f t="shared" si="48"/>
        <v>0</v>
      </c>
      <c r="F299" s="857">
        <f t="shared" si="49"/>
        <v>0</v>
      </c>
      <c r="G299" s="855">
        <f t="shared" si="51"/>
        <v>0</v>
      </c>
      <c r="H299" s="855">
        <f t="shared" si="52"/>
        <v>0</v>
      </c>
      <c r="I299" s="855">
        <f t="shared" si="50"/>
        <v>0</v>
      </c>
      <c r="J299" s="877"/>
      <c r="K299" s="843"/>
    </row>
    <row r="300" spans="1:11">
      <c r="A300" s="812">
        <f>IF(Values_Entered,A299+1,"")</f>
        <v>276</v>
      </c>
      <c r="B300" s="879">
        <f t="shared" si="47"/>
        <v>53406</v>
      </c>
      <c r="C300" s="855">
        <f t="shared" si="53"/>
        <v>0</v>
      </c>
      <c r="D300" s="855">
        <f t="shared" si="54"/>
        <v>32413.313177607219</v>
      </c>
      <c r="E300" s="856">
        <f t="shared" si="48"/>
        <v>0</v>
      </c>
      <c r="F300" s="857">
        <f t="shared" si="49"/>
        <v>0</v>
      </c>
      <c r="G300" s="855">
        <f t="shared" si="51"/>
        <v>0</v>
      </c>
      <c r="H300" s="855">
        <f t="shared" si="52"/>
        <v>0</v>
      </c>
      <c r="I300" s="855">
        <f t="shared" si="50"/>
        <v>0</v>
      </c>
      <c r="J300" s="877"/>
      <c r="K300" s="843"/>
    </row>
    <row r="301" spans="1:11">
      <c r="A301" s="812">
        <f>IF(Values_Entered,A300+1,"")</f>
        <v>277</v>
      </c>
      <c r="B301" s="879">
        <f t="shared" si="47"/>
        <v>53437</v>
      </c>
      <c r="C301" s="855">
        <f t="shared" si="53"/>
        <v>0</v>
      </c>
      <c r="D301" s="855">
        <f t="shared" si="54"/>
        <v>32413.313177607219</v>
      </c>
      <c r="E301" s="856">
        <f t="shared" si="48"/>
        <v>0</v>
      </c>
      <c r="F301" s="857">
        <f t="shared" si="49"/>
        <v>0</v>
      </c>
      <c r="G301" s="855">
        <f t="shared" si="51"/>
        <v>0</v>
      </c>
      <c r="H301" s="855">
        <f t="shared" si="52"/>
        <v>0</v>
      </c>
      <c r="I301" s="855">
        <f t="shared" si="50"/>
        <v>0</v>
      </c>
      <c r="J301" s="877"/>
      <c r="K301" s="843"/>
    </row>
    <row r="302" spans="1:11">
      <c r="A302" s="812">
        <f>IF(Values_Entered,A301+1,"")</f>
        <v>278</v>
      </c>
      <c r="B302" s="879">
        <f t="shared" si="47"/>
        <v>53467</v>
      </c>
      <c r="C302" s="855">
        <f t="shared" si="53"/>
        <v>0</v>
      </c>
      <c r="D302" s="855">
        <f t="shared" si="54"/>
        <v>32413.313177607219</v>
      </c>
      <c r="E302" s="856">
        <f t="shared" si="48"/>
        <v>0</v>
      </c>
      <c r="F302" s="857">
        <f t="shared" si="49"/>
        <v>0</v>
      </c>
      <c r="G302" s="855">
        <f t="shared" si="51"/>
        <v>0</v>
      </c>
      <c r="H302" s="855">
        <f t="shared" si="52"/>
        <v>0</v>
      </c>
      <c r="I302" s="855">
        <f t="shared" si="50"/>
        <v>0</v>
      </c>
      <c r="J302" s="877"/>
      <c r="K302" s="843"/>
    </row>
    <row r="303" spans="1:11">
      <c r="A303" s="812">
        <f>IF(Values_Entered,A302+1,"")</f>
        <v>279</v>
      </c>
      <c r="B303" s="879">
        <f t="shared" si="47"/>
        <v>53498</v>
      </c>
      <c r="C303" s="855">
        <f t="shared" si="53"/>
        <v>0</v>
      </c>
      <c r="D303" s="855">
        <f t="shared" si="54"/>
        <v>32413.313177607219</v>
      </c>
      <c r="E303" s="856">
        <f t="shared" si="48"/>
        <v>0</v>
      </c>
      <c r="F303" s="857">
        <f t="shared" si="49"/>
        <v>0</v>
      </c>
      <c r="G303" s="855">
        <f t="shared" si="51"/>
        <v>0</v>
      </c>
      <c r="H303" s="855">
        <f t="shared" si="52"/>
        <v>0</v>
      </c>
      <c r="I303" s="855">
        <f t="shared" si="50"/>
        <v>0</v>
      </c>
      <c r="J303" s="877"/>
      <c r="K303" s="843"/>
    </row>
    <row r="304" spans="1:11">
      <c r="A304" s="812">
        <f>IF(Values_Entered,A303+1,"")</f>
        <v>280</v>
      </c>
      <c r="B304" s="879">
        <f t="shared" si="47"/>
        <v>53528</v>
      </c>
      <c r="C304" s="855">
        <f t="shared" si="53"/>
        <v>0</v>
      </c>
      <c r="D304" s="855">
        <f t="shared" si="54"/>
        <v>32413.313177607219</v>
      </c>
      <c r="E304" s="856">
        <f t="shared" si="48"/>
        <v>0</v>
      </c>
      <c r="F304" s="857">
        <f t="shared" si="49"/>
        <v>0</v>
      </c>
      <c r="G304" s="855">
        <f t="shared" si="51"/>
        <v>0</v>
      </c>
      <c r="H304" s="855">
        <f t="shared" si="52"/>
        <v>0</v>
      </c>
      <c r="I304" s="855">
        <f t="shared" si="50"/>
        <v>0</v>
      </c>
      <c r="J304" s="877"/>
      <c r="K304" s="843"/>
    </row>
    <row r="305" spans="1:11">
      <c r="A305" s="812">
        <f>IF(Values_Entered,A304+1,"")</f>
        <v>281</v>
      </c>
      <c r="B305" s="879">
        <f t="shared" si="47"/>
        <v>53559</v>
      </c>
      <c r="C305" s="855">
        <f t="shared" si="53"/>
        <v>0</v>
      </c>
      <c r="D305" s="855">
        <f t="shared" si="54"/>
        <v>32413.313177607219</v>
      </c>
      <c r="E305" s="856">
        <f t="shared" si="48"/>
        <v>0</v>
      </c>
      <c r="F305" s="857">
        <f t="shared" si="49"/>
        <v>0</v>
      </c>
      <c r="G305" s="855">
        <f t="shared" si="51"/>
        <v>0</v>
      </c>
      <c r="H305" s="855">
        <f t="shared" si="52"/>
        <v>0</v>
      </c>
      <c r="I305" s="855">
        <f t="shared" si="50"/>
        <v>0</v>
      </c>
      <c r="J305" s="877"/>
      <c r="K305" s="843"/>
    </row>
    <row r="306" spans="1:11">
      <c r="A306" s="812">
        <f>IF(Values_Entered,A305+1,"")</f>
        <v>282</v>
      </c>
      <c r="B306" s="879">
        <f t="shared" si="47"/>
        <v>53590</v>
      </c>
      <c r="C306" s="855">
        <f t="shared" si="53"/>
        <v>0</v>
      </c>
      <c r="D306" s="855">
        <f t="shared" si="54"/>
        <v>32413.313177607219</v>
      </c>
      <c r="E306" s="856">
        <f t="shared" si="48"/>
        <v>0</v>
      </c>
      <c r="F306" s="857">
        <f t="shared" si="49"/>
        <v>0</v>
      </c>
      <c r="G306" s="855">
        <f t="shared" si="51"/>
        <v>0</v>
      </c>
      <c r="H306" s="855">
        <f t="shared" si="52"/>
        <v>0</v>
      </c>
      <c r="I306" s="855">
        <f t="shared" si="50"/>
        <v>0</v>
      </c>
      <c r="J306" s="877"/>
      <c r="K306" s="843"/>
    </row>
    <row r="307" spans="1:11">
      <c r="A307" s="812">
        <f>IF(Values_Entered,A306+1,"")</f>
        <v>283</v>
      </c>
      <c r="B307" s="879">
        <f t="shared" si="47"/>
        <v>53620</v>
      </c>
      <c r="C307" s="855">
        <f t="shared" si="53"/>
        <v>0</v>
      </c>
      <c r="D307" s="855">
        <f t="shared" si="54"/>
        <v>32413.313177607219</v>
      </c>
      <c r="E307" s="856">
        <f t="shared" si="48"/>
        <v>0</v>
      </c>
      <c r="F307" s="857">
        <f t="shared" si="49"/>
        <v>0</v>
      </c>
      <c r="G307" s="855">
        <f t="shared" si="51"/>
        <v>0</v>
      </c>
      <c r="H307" s="855">
        <f t="shared" si="52"/>
        <v>0</v>
      </c>
      <c r="I307" s="855">
        <f t="shared" si="50"/>
        <v>0</v>
      </c>
      <c r="J307" s="877"/>
      <c r="K307" s="843"/>
    </row>
    <row r="308" spans="1:11">
      <c r="A308" s="812">
        <f>IF(Values_Entered,A307+1,"")</f>
        <v>284</v>
      </c>
      <c r="B308" s="879">
        <f t="shared" si="47"/>
        <v>53651</v>
      </c>
      <c r="C308" s="855">
        <f t="shared" si="53"/>
        <v>0</v>
      </c>
      <c r="D308" s="855">
        <f t="shared" si="54"/>
        <v>32413.313177607219</v>
      </c>
      <c r="E308" s="856">
        <f t="shared" si="48"/>
        <v>0</v>
      </c>
      <c r="F308" s="857">
        <f t="shared" si="49"/>
        <v>0</v>
      </c>
      <c r="G308" s="855">
        <f t="shared" si="51"/>
        <v>0</v>
      </c>
      <c r="H308" s="855">
        <f t="shared" si="52"/>
        <v>0</v>
      </c>
      <c r="I308" s="855">
        <f t="shared" si="50"/>
        <v>0</v>
      </c>
      <c r="J308" s="877"/>
      <c r="K308" s="843"/>
    </row>
    <row r="309" spans="1:11">
      <c r="A309" s="812">
        <f>IF(Values_Entered,A308+1,"")</f>
        <v>285</v>
      </c>
      <c r="B309" s="879">
        <f t="shared" si="47"/>
        <v>53681</v>
      </c>
      <c r="C309" s="855">
        <f t="shared" si="53"/>
        <v>0</v>
      </c>
      <c r="D309" s="855">
        <f t="shared" si="54"/>
        <v>32413.313177607219</v>
      </c>
      <c r="E309" s="856">
        <f t="shared" si="48"/>
        <v>0</v>
      </c>
      <c r="F309" s="857">
        <f t="shared" si="49"/>
        <v>0</v>
      </c>
      <c r="G309" s="855">
        <f t="shared" si="51"/>
        <v>0</v>
      </c>
      <c r="H309" s="855">
        <f t="shared" si="52"/>
        <v>0</v>
      </c>
      <c r="I309" s="855">
        <f t="shared" si="50"/>
        <v>0</v>
      </c>
      <c r="J309" s="877"/>
      <c r="K309" s="843"/>
    </row>
    <row r="310" spans="1:11">
      <c r="A310" s="812">
        <f>IF(Values_Entered,A309+1,"")</f>
        <v>286</v>
      </c>
      <c r="B310" s="879">
        <f t="shared" si="47"/>
        <v>53712</v>
      </c>
      <c r="C310" s="855">
        <f t="shared" si="53"/>
        <v>0</v>
      </c>
      <c r="D310" s="855">
        <f t="shared" si="54"/>
        <v>32413.313177607219</v>
      </c>
      <c r="E310" s="856">
        <f t="shared" si="48"/>
        <v>0</v>
      </c>
      <c r="F310" s="857">
        <f t="shared" si="49"/>
        <v>0</v>
      </c>
      <c r="G310" s="855">
        <f t="shared" si="51"/>
        <v>0</v>
      </c>
      <c r="H310" s="855">
        <f t="shared" si="52"/>
        <v>0</v>
      </c>
      <c r="I310" s="855">
        <f t="shared" si="50"/>
        <v>0</v>
      </c>
      <c r="J310" s="877"/>
      <c r="K310" s="843"/>
    </row>
    <row r="311" spans="1:11">
      <c r="A311" s="812">
        <f>IF(Values_Entered,A310+1,"")</f>
        <v>287</v>
      </c>
      <c r="B311" s="879">
        <f t="shared" si="47"/>
        <v>53743</v>
      </c>
      <c r="C311" s="855">
        <f t="shared" si="53"/>
        <v>0</v>
      </c>
      <c r="D311" s="855">
        <f t="shared" si="54"/>
        <v>32413.313177607219</v>
      </c>
      <c r="E311" s="856">
        <f t="shared" si="48"/>
        <v>0</v>
      </c>
      <c r="F311" s="857">
        <f t="shared" si="49"/>
        <v>0</v>
      </c>
      <c r="G311" s="855">
        <f t="shared" si="51"/>
        <v>0</v>
      </c>
      <c r="H311" s="855">
        <f t="shared" si="52"/>
        <v>0</v>
      </c>
      <c r="I311" s="855">
        <f t="shared" si="50"/>
        <v>0</v>
      </c>
      <c r="J311" s="877"/>
      <c r="K311" s="843"/>
    </row>
    <row r="312" spans="1:11">
      <c r="A312" s="812">
        <f>IF(Values_Entered,A311+1,"")</f>
        <v>288</v>
      </c>
      <c r="B312" s="879">
        <f t="shared" si="47"/>
        <v>53771</v>
      </c>
      <c r="C312" s="855">
        <f t="shared" si="53"/>
        <v>0</v>
      </c>
      <c r="D312" s="855">
        <f t="shared" si="54"/>
        <v>32413.313177607219</v>
      </c>
      <c r="E312" s="856">
        <f t="shared" si="48"/>
        <v>0</v>
      </c>
      <c r="F312" s="857">
        <f t="shared" si="49"/>
        <v>0</v>
      </c>
      <c r="G312" s="855">
        <f t="shared" si="51"/>
        <v>0</v>
      </c>
      <c r="H312" s="855">
        <f t="shared" si="52"/>
        <v>0</v>
      </c>
      <c r="I312" s="855">
        <f t="shared" si="50"/>
        <v>0</v>
      </c>
      <c r="J312" s="877"/>
      <c r="K312" s="843"/>
    </row>
    <row r="313" spans="1:11">
      <c r="A313" s="812">
        <f>IF(Values_Entered,A312+1,"")</f>
        <v>289</v>
      </c>
      <c r="B313" s="879">
        <f t="shared" si="47"/>
        <v>53802</v>
      </c>
      <c r="C313" s="855">
        <f t="shared" si="53"/>
        <v>0</v>
      </c>
      <c r="D313" s="855">
        <f t="shared" si="54"/>
        <v>32413.313177607219</v>
      </c>
      <c r="E313" s="856">
        <f t="shared" si="48"/>
        <v>0</v>
      </c>
      <c r="F313" s="857">
        <f t="shared" si="49"/>
        <v>0</v>
      </c>
      <c r="G313" s="855">
        <f t="shared" si="51"/>
        <v>0</v>
      </c>
      <c r="H313" s="855">
        <f t="shared" si="52"/>
        <v>0</v>
      </c>
      <c r="I313" s="855">
        <f t="shared" si="50"/>
        <v>0</v>
      </c>
      <c r="J313" s="877"/>
      <c r="K313" s="843"/>
    </row>
    <row r="314" spans="1:11">
      <c r="A314" s="812">
        <f>IF(Values_Entered,A313+1,"")</f>
        <v>290</v>
      </c>
      <c r="B314" s="879">
        <f t="shared" si="47"/>
        <v>53832</v>
      </c>
      <c r="C314" s="855">
        <f t="shared" si="53"/>
        <v>0</v>
      </c>
      <c r="D314" s="855">
        <f t="shared" si="54"/>
        <v>32413.313177607219</v>
      </c>
      <c r="E314" s="856">
        <f t="shared" si="48"/>
        <v>0</v>
      </c>
      <c r="F314" s="857">
        <f t="shared" si="49"/>
        <v>0</v>
      </c>
      <c r="G314" s="855">
        <f t="shared" si="51"/>
        <v>0</v>
      </c>
      <c r="H314" s="855">
        <f t="shared" si="52"/>
        <v>0</v>
      </c>
      <c r="I314" s="855">
        <f t="shared" si="50"/>
        <v>0</v>
      </c>
      <c r="J314" s="877"/>
      <c r="K314" s="843"/>
    </row>
    <row r="315" spans="1:11">
      <c r="A315" s="812">
        <f>IF(Values_Entered,A314+1,"")</f>
        <v>291</v>
      </c>
      <c r="B315" s="879">
        <f t="shared" si="47"/>
        <v>53863</v>
      </c>
      <c r="C315" s="855">
        <f t="shared" si="53"/>
        <v>0</v>
      </c>
      <c r="D315" s="855">
        <f t="shared" si="54"/>
        <v>32413.313177607219</v>
      </c>
      <c r="E315" s="856">
        <f t="shared" si="48"/>
        <v>0</v>
      </c>
      <c r="F315" s="857">
        <f t="shared" si="49"/>
        <v>0</v>
      </c>
      <c r="G315" s="855">
        <f t="shared" si="51"/>
        <v>0</v>
      </c>
      <c r="H315" s="855">
        <f t="shared" si="52"/>
        <v>0</v>
      </c>
      <c r="I315" s="855">
        <f t="shared" si="50"/>
        <v>0</v>
      </c>
      <c r="J315" s="877"/>
      <c r="K315" s="843"/>
    </row>
    <row r="316" spans="1:11">
      <c r="A316" s="812">
        <f>IF(Values_Entered,A315+1,"")</f>
        <v>292</v>
      </c>
      <c r="B316" s="879">
        <f t="shared" si="47"/>
        <v>53893</v>
      </c>
      <c r="C316" s="855">
        <f t="shared" si="53"/>
        <v>0</v>
      </c>
      <c r="D316" s="855">
        <f t="shared" si="54"/>
        <v>32413.313177607219</v>
      </c>
      <c r="E316" s="856">
        <f t="shared" si="48"/>
        <v>0</v>
      </c>
      <c r="F316" s="857">
        <f t="shared" si="49"/>
        <v>0</v>
      </c>
      <c r="G316" s="855">
        <f t="shared" si="51"/>
        <v>0</v>
      </c>
      <c r="H316" s="855">
        <f t="shared" si="52"/>
        <v>0</v>
      </c>
      <c r="I316" s="855">
        <f t="shared" si="50"/>
        <v>0</v>
      </c>
      <c r="J316" s="877"/>
      <c r="K316" s="843"/>
    </row>
    <row r="317" spans="1:11">
      <c r="A317" s="812">
        <f>IF(Values_Entered,A316+1,"")</f>
        <v>293</v>
      </c>
      <c r="B317" s="879">
        <f t="shared" si="47"/>
        <v>53924</v>
      </c>
      <c r="C317" s="855">
        <f t="shared" si="53"/>
        <v>0</v>
      </c>
      <c r="D317" s="855">
        <f t="shared" si="54"/>
        <v>32413.313177607219</v>
      </c>
      <c r="E317" s="856">
        <f t="shared" si="48"/>
        <v>0</v>
      </c>
      <c r="F317" s="857">
        <f t="shared" si="49"/>
        <v>0</v>
      </c>
      <c r="G317" s="855">
        <f t="shared" si="51"/>
        <v>0</v>
      </c>
      <c r="H317" s="855">
        <f t="shared" si="52"/>
        <v>0</v>
      </c>
      <c r="I317" s="855">
        <f t="shared" si="50"/>
        <v>0</v>
      </c>
      <c r="J317" s="877"/>
      <c r="K317" s="843"/>
    </row>
    <row r="318" spans="1:11">
      <c r="A318" s="812">
        <f>IF(Values_Entered,A317+1,"")</f>
        <v>294</v>
      </c>
      <c r="B318" s="879">
        <f t="shared" si="47"/>
        <v>53955</v>
      </c>
      <c r="C318" s="855">
        <f t="shared" si="53"/>
        <v>0</v>
      </c>
      <c r="D318" s="855">
        <f t="shared" si="54"/>
        <v>32413.313177607219</v>
      </c>
      <c r="E318" s="856">
        <f t="shared" si="48"/>
        <v>0</v>
      </c>
      <c r="F318" s="857">
        <f t="shared" si="49"/>
        <v>0</v>
      </c>
      <c r="G318" s="855">
        <f t="shared" si="51"/>
        <v>0</v>
      </c>
      <c r="H318" s="855">
        <f t="shared" si="52"/>
        <v>0</v>
      </c>
      <c r="I318" s="855">
        <f t="shared" si="50"/>
        <v>0</v>
      </c>
      <c r="J318" s="877"/>
      <c r="K318" s="843"/>
    </row>
    <row r="319" spans="1:11">
      <c r="A319" s="812">
        <f>IF(Values_Entered,A318+1,"")</f>
        <v>295</v>
      </c>
      <c r="B319" s="879">
        <f t="shared" si="47"/>
        <v>53985</v>
      </c>
      <c r="C319" s="855">
        <f t="shared" si="53"/>
        <v>0</v>
      </c>
      <c r="D319" s="855">
        <f t="shared" si="54"/>
        <v>32413.313177607219</v>
      </c>
      <c r="E319" s="856">
        <f t="shared" si="48"/>
        <v>0</v>
      </c>
      <c r="F319" s="857">
        <f t="shared" si="49"/>
        <v>0</v>
      </c>
      <c r="G319" s="855">
        <f t="shared" si="51"/>
        <v>0</v>
      </c>
      <c r="H319" s="855">
        <f t="shared" si="52"/>
        <v>0</v>
      </c>
      <c r="I319" s="855">
        <f t="shared" si="50"/>
        <v>0</v>
      </c>
      <c r="J319" s="877"/>
      <c r="K319" s="843"/>
    </row>
    <row r="320" spans="1:11">
      <c r="A320" s="812">
        <f>IF(Values_Entered,A319+1,"")</f>
        <v>296</v>
      </c>
      <c r="B320" s="879">
        <f t="shared" si="47"/>
        <v>54016</v>
      </c>
      <c r="C320" s="855">
        <f t="shared" si="53"/>
        <v>0</v>
      </c>
      <c r="D320" s="855">
        <f t="shared" si="54"/>
        <v>32413.313177607219</v>
      </c>
      <c r="E320" s="856">
        <f t="shared" si="48"/>
        <v>0</v>
      </c>
      <c r="F320" s="857">
        <f t="shared" si="49"/>
        <v>0</v>
      </c>
      <c r="G320" s="855">
        <f t="shared" si="51"/>
        <v>0</v>
      </c>
      <c r="H320" s="855">
        <f t="shared" si="52"/>
        <v>0</v>
      </c>
      <c r="I320" s="855">
        <f t="shared" si="50"/>
        <v>0</v>
      </c>
      <c r="J320" s="877"/>
      <c r="K320" s="843"/>
    </row>
    <row r="321" spans="1:11">
      <c r="A321" s="812">
        <f>IF(Values_Entered,A320+1,"")</f>
        <v>297</v>
      </c>
      <c r="B321" s="879">
        <f t="shared" si="47"/>
        <v>54046</v>
      </c>
      <c r="C321" s="855">
        <f t="shared" si="53"/>
        <v>0</v>
      </c>
      <c r="D321" s="855">
        <f t="shared" si="54"/>
        <v>32413.313177607219</v>
      </c>
      <c r="E321" s="856">
        <f t="shared" si="48"/>
        <v>0</v>
      </c>
      <c r="F321" s="857">
        <f t="shared" si="49"/>
        <v>0</v>
      </c>
      <c r="G321" s="855">
        <f t="shared" si="51"/>
        <v>0</v>
      </c>
      <c r="H321" s="855">
        <f t="shared" si="52"/>
        <v>0</v>
      </c>
      <c r="I321" s="855">
        <f t="shared" si="50"/>
        <v>0</v>
      </c>
      <c r="J321" s="877"/>
      <c r="K321" s="843"/>
    </row>
    <row r="322" spans="1:11">
      <c r="A322" s="812">
        <f>IF(Values_Entered,A321+1,"")</f>
        <v>298</v>
      </c>
      <c r="B322" s="879">
        <f t="shared" si="47"/>
        <v>54077</v>
      </c>
      <c r="C322" s="855">
        <f t="shared" si="53"/>
        <v>0</v>
      </c>
      <c r="D322" s="855">
        <f t="shared" si="54"/>
        <v>32413.313177607219</v>
      </c>
      <c r="E322" s="856">
        <f t="shared" si="48"/>
        <v>0</v>
      </c>
      <c r="F322" s="857">
        <f t="shared" si="49"/>
        <v>0</v>
      </c>
      <c r="G322" s="855">
        <f t="shared" si="51"/>
        <v>0</v>
      </c>
      <c r="H322" s="855">
        <f t="shared" si="52"/>
        <v>0</v>
      </c>
      <c r="I322" s="855">
        <f t="shared" si="50"/>
        <v>0</v>
      </c>
      <c r="J322" s="877"/>
      <c r="K322" s="843"/>
    </row>
    <row r="323" spans="1:11">
      <c r="A323" s="812">
        <f>IF(Values_Entered,A322+1,"")</f>
        <v>299</v>
      </c>
      <c r="B323" s="879">
        <f t="shared" si="47"/>
        <v>54108</v>
      </c>
      <c r="C323" s="855">
        <f t="shared" si="53"/>
        <v>0</v>
      </c>
      <c r="D323" s="855">
        <f t="shared" si="54"/>
        <v>32413.313177607219</v>
      </c>
      <c r="E323" s="856">
        <f t="shared" si="48"/>
        <v>0</v>
      </c>
      <c r="F323" s="857">
        <f t="shared" si="49"/>
        <v>0</v>
      </c>
      <c r="G323" s="855">
        <f t="shared" si="51"/>
        <v>0</v>
      </c>
      <c r="H323" s="855">
        <f t="shared" si="52"/>
        <v>0</v>
      </c>
      <c r="I323" s="855">
        <f t="shared" si="50"/>
        <v>0</v>
      </c>
      <c r="J323" s="877"/>
      <c r="K323" s="843"/>
    </row>
    <row r="324" spans="1:11">
      <c r="A324" s="812">
        <f>IF(Values_Entered,A323+1,"")</f>
        <v>300</v>
      </c>
      <c r="B324" s="879">
        <f t="shared" si="47"/>
        <v>54137</v>
      </c>
      <c r="C324" s="855">
        <f t="shared" si="53"/>
        <v>0</v>
      </c>
      <c r="D324" s="855">
        <f t="shared" si="54"/>
        <v>32413.313177607219</v>
      </c>
      <c r="E324" s="856">
        <f t="shared" si="48"/>
        <v>0</v>
      </c>
      <c r="F324" s="857">
        <f t="shared" si="49"/>
        <v>0</v>
      </c>
      <c r="G324" s="855">
        <f t="shared" si="51"/>
        <v>0</v>
      </c>
      <c r="H324" s="855">
        <f t="shared" si="52"/>
        <v>0</v>
      </c>
      <c r="I324" s="855">
        <f t="shared" si="50"/>
        <v>0</v>
      </c>
      <c r="J324" s="877"/>
      <c r="K324" s="843"/>
    </row>
    <row r="325" spans="1:11">
      <c r="A325" s="812">
        <f>IF(Values_Entered,A324+1,"")</f>
        <v>301</v>
      </c>
      <c r="B325" s="879">
        <f t="shared" si="47"/>
        <v>54168</v>
      </c>
      <c r="C325" s="855">
        <f t="shared" si="53"/>
        <v>0</v>
      </c>
      <c r="D325" s="855">
        <f t="shared" si="54"/>
        <v>32413.313177607219</v>
      </c>
      <c r="E325" s="856">
        <f t="shared" si="48"/>
        <v>0</v>
      </c>
      <c r="F325" s="857">
        <f t="shared" si="49"/>
        <v>0</v>
      </c>
      <c r="G325" s="855">
        <f t="shared" si="51"/>
        <v>0</v>
      </c>
      <c r="H325" s="855">
        <f t="shared" si="52"/>
        <v>0</v>
      </c>
      <c r="I325" s="855">
        <f t="shared" si="50"/>
        <v>0</v>
      </c>
      <c r="J325" s="877"/>
      <c r="K325" s="843"/>
    </row>
    <row r="326" spans="1:11">
      <c r="A326" s="812">
        <f>IF(Values_Entered,A325+1,"")</f>
        <v>302</v>
      </c>
      <c r="B326" s="879">
        <f t="shared" si="47"/>
        <v>54198</v>
      </c>
      <c r="C326" s="855">
        <f t="shared" si="53"/>
        <v>0</v>
      </c>
      <c r="D326" s="855">
        <f t="shared" si="54"/>
        <v>32413.313177607219</v>
      </c>
      <c r="E326" s="856">
        <f t="shared" si="48"/>
        <v>0</v>
      </c>
      <c r="F326" s="857">
        <f t="shared" si="49"/>
        <v>0</v>
      </c>
      <c r="G326" s="855">
        <f t="shared" si="51"/>
        <v>0</v>
      </c>
      <c r="H326" s="855">
        <f t="shared" si="52"/>
        <v>0</v>
      </c>
      <c r="I326" s="855">
        <f t="shared" si="50"/>
        <v>0</v>
      </c>
      <c r="J326" s="877"/>
      <c r="K326" s="843"/>
    </row>
    <row r="327" spans="1:11">
      <c r="A327" s="812">
        <f>IF(Values_Entered,A326+1,"")</f>
        <v>303</v>
      </c>
      <c r="B327" s="879">
        <f t="shared" si="47"/>
        <v>54229</v>
      </c>
      <c r="C327" s="855">
        <f t="shared" si="53"/>
        <v>0</v>
      </c>
      <c r="D327" s="855">
        <f t="shared" si="54"/>
        <v>32413.313177607219</v>
      </c>
      <c r="E327" s="856">
        <f t="shared" si="48"/>
        <v>0</v>
      </c>
      <c r="F327" s="857">
        <f t="shared" si="49"/>
        <v>0</v>
      </c>
      <c r="G327" s="855">
        <f t="shared" si="51"/>
        <v>0</v>
      </c>
      <c r="H327" s="855">
        <f t="shared" si="52"/>
        <v>0</v>
      </c>
      <c r="I327" s="855">
        <f t="shared" si="50"/>
        <v>0</v>
      </c>
      <c r="J327" s="877"/>
      <c r="K327" s="843"/>
    </row>
    <row r="328" spans="1:11">
      <c r="A328" s="812">
        <f>IF(Values_Entered,A327+1,"")</f>
        <v>304</v>
      </c>
      <c r="B328" s="879">
        <f t="shared" si="47"/>
        <v>54259</v>
      </c>
      <c r="C328" s="855">
        <f t="shared" si="53"/>
        <v>0</v>
      </c>
      <c r="D328" s="855">
        <f t="shared" si="54"/>
        <v>32413.313177607219</v>
      </c>
      <c r="E328" s="856">
        <f t="shared" si="48"/>
        <v>0</v>
      </c>
      <c r="F328" s="857">
        <f t="shared" si="49"/>
        <v>0</v>
      </c>
      <c r="G328" s="855">
        <f t="shared" si="51"/>
        <v>0</v>
      </c>
      <c r="H328" s="855">
        <f t="shared" si="52"/>
        <v>0</v>
      </c>
      <c r="I328" s="855">
        <f t="shared" si="50"/>
        <v>0</v>
      </c>
      <c r="J328" s="877"/>
      <c r="K328" s="843"/>
    </row>
    <row r="329" spans="1:11">
      <c r="A329" s="812">
        <f>IF(Values_Entered,A328+1,"")</f>
        <v>305</v>
      </c>
      <c r="B329" s="879">
        <f t="shared" si="47"/>
        <v>54290</v>
      </c>
      <c r="C329" s="855">
        <f t="shared" si="53"/>
        <v>0</v>
      </c>
      <c r="D329" s="855">
        <f t="shared" si="54"/>
        <v>32413.313177607219</v>
      </c>
      <c r="E329" s="856">
        <f t="shared" si="48"/>
        <v>0</v>
      </c>
      <c r="F329" s="857">
        <f t="shared" si="49"/>
        <v>0</v>
      </c>
      <c r="G329" s="855">
        <f t="shared" si="51"/>
        <v>0</v>
      </c>
      <c r="H329" s="855">
        <f t="shared" si="52"/>
        <v>0</v>
      </c>
      <c r="I329" s="855">
        <f t="shared" si="50"/>
        <v>0</v>
      </c>
      <c r="J329" s="877"/>
      <c r="K329" s="843"/>
    </row>
    <row r="330" spans="1:11">
      <c r="A330" s="812">
        <f>IF(Values_Entered,A329+1,"")</f>
        <v>306</v>
      </c>
      <c r="B330" s="879">
        <f t="shared" si="47"/>
        <v>54321</v>
      </c>
      <c r="C330" s="855">
        <f t="shared" si="53"/>
        <v>0</v>
      </c>
      <c r="D330" s="855">
        <f t="shared" si="54"/>
        <v>32413.313177607219</v>
      </c>
      <c r="E330" s="856">
        <f t="shared" si="48"/>
        <v>0</v>
      </c>
      <c r="F330" s="857">
        <f t="shared" si="49"/>
        <v>0</v>
      </c>
      <c r="G330" s="855">
        <f t="shared" si="51"/>
        <v>0</v>
      </c>
      <c r="H330" s="855">
        <f t="shared" si="52"/>
        <v>0</v>
      </c>
      <c r="I330" s="855">
        <f t="shared" si="50"/>
        <v>0</v>
      </c>
      <c r="J330" s="877"/>
      <c r="K330" s="843"/>
    </row>
    <row r="331" spans="1:11">
      <c r="A331" s="812">
        <f>IF(Values_Entered,A330+1,"")</f>
        <v>307</v>
      </c>
      <c r="B331" s="879">
        <f t="shared" si="47"/>
        <v>54351</v>
      </c>
      <c r="C331" s="855">
        <f t="shared" si="53"/>
        <v>0</v>
      </c>
      <c r="D331" s="855">
        <f t="shared" si="54"/>
        <v>32413.313177607219</v>
      </c>
      <c r="E331" s="856">
        <f t="shared" si="48"/>
        <v>0</v>
      </c>
      <c r="F331" s="857">
        <f t="shared" si="49"/>
        <v>0</v>
      </c>
      <c r="G331" s="855">
        <f t="shared" si="51"/>
        <v>0</v>
      </c>
      <c r="H331" s="855">
        <f t="shared" si="52"/>
        <v>0</v>
      </c>
      <c r="I331" s="855">
        <f t="shared" si="50"/>
        <v>0</v>
      </c>
      <c r="J331" s="877"/>
      <c r="K331" s="843"/>
    </row>
    <row r="332" spans="1:11">
      <c r="A332" s="812">
        <f>IF(Values_Entered,A331+1,"")</f>
        <v>308</v>
      </c>
      <c r="B332" s="879">
        <f t="shared" si="47"/>
        <v>54382</v>
      </c>
      <c r="C332" s="855">
        <f t="shared" si="53"/>
        <v>0</v>
      </c>
      <c r="D332" s="855">
        <f t="shared" si="54"/>
        <v>32413.313177607219</v>
      </c>
      <c r="E332" s="856">
        <f t="shared" si="48"/>
        <v>0</v>
      </c>
      <c r="F332" s="857">
        <f t="shared" si="49"/>
        <v>0</v>
      </c>
      <c r="G332" s="855">
        <f t="shared" si="51"/>
        <v>0</v>
      </c>
      <c r="H332" s="855">
        <f t="shared" si="52"/>
        <v>0</v>
      </c>
      <c r="I332" s="855">
        <f t="shared" si="50"/>
        <v>0</v>
      </c>
      <c r="J332" s="877"/>
      <c r="K332" s="843"/>
    </row>
    <row r="333" spans="1:11">
      <c r="A333" s="812">
        <f>IF(Values_Entered,A332+1,"")</f>
        <v>309</v>
      </c>
      <c r="B333" s="879">
        <f t="shared" si="47"/>
        <v>54412</v>
      </c>
      <c r="C333" s="855">
        <f t="shared" si="53"/>
        <v>0</v>
      </c>
      <c r="D333" s="855">
        <f t="shared" si="54"/>
        <v>32413.313177607219</v>
      </c>
      <c r="E333" s="856">
        <f t="shared" si="48"/>
        <v>0</v>
      </c>
      <c r="F333" s="857">
        <f t="shared" si="49"/>
        <v>0</v>
      </c>
      <c r="G333" s="855">
        <f t="shared" si="51"/>
        <v>0</v>
      </c>
      <c r="H333" s="855">
        <f t="shared" si="52"/>
        <v>0</v>
      </c>
      <c r="I333" s="855">
        <f t="shared" si="50"/>
        <v>0</v>
      </c>
      <c r="J333" s="877"/>
      <c r="K333" s="843"/>
    </row>
    <row r="334" spans="1:11">
      <c r="A334" s="812">
        <f>IF(Values_Entered,A333+1,"")</f>
        <v>310</v>
      </c>
      <c r="B334" s="879">
        <f t="shared" si="47"/>
        <v>54443</v>
      </c>
      <c r="C334" s="855">
        <f t="shared" si="53"/>
        <v>0</v>
      </c>
      <c r="D334" s="855">
        <f t="shared" si="54"/>
        <v>32413.313177607219</v>
      </c>
      <c r="E334" s="856">
        <f t="shared" si="48"/>
        <v>0</v>
      </c>
      <c r="F334" s="857">
        <f t="shared" si="49"/>
        <v>0</v>
      </c>
      <c r="G334" s="855">
        <f t="shared" si="51"/>
        <v>0</v>
      </c>
      <c r="H334" s="855">
        <f t="shared" si="52"/>
        <v>0</v>
      </c>
      <c r="I334" s="855">
        <f t="shared" si="50"/>
        <v>0</v>
      </c>
      <c r="J334" s="877"/>
      <c r="K334" s="843"/>
    </row>
    <row r="335" spans="1:11">
      <c r="A335" s="812">
        <f>IF(Values_Entered,A334+1,"")</f>
        <v>311</v>
      </c>
      <c r="B335" s="879">
        <f t="shared" si="47"/>
        <v>54474</v>
      </c>
      <c r="C335" s="855">
        <f t="shared" si="53"/>
        <v>0</v>
      </c>
      <c r="D335" s="855">
        <f t="shared" si="54"/>
        <v>32413.313177607219</v>
      </c>
      <c r="E335" s="856">
        <f t="shared" si="48"/>
        <v>0</v>
      </c>
      <c r="F335" s="857">
        <f t="shared" si="49"/>
        <v>0</v>
      </c>
      <c r="G335" s="855">
        <f t="shared" si="51"/>
        <v>0</v>
      </c>
      <c r="H335" s="855">
        <f t="shared" si="52"/>
        <v>0</v>
      </c>
      <c r="I335" s="855">
        <f t="shared" si="50"/>
        <v>0</v>
      </c>
      <c r="J335" s="877"/>
      <c r="K335" s="843"/>
    </row>
    <row r="336" spans="1:11">
      <c r="A336" s="812">
        <f>IF(Values_Entered,A335+1,"")</f>
        <v>312</v>
      </c>
      <c r="B336" s="879">
        <f t="shared" si="47"/>
        <v>54502</v>
      </c>
      <c r="C336" s="855">
        <f t="shared" si="53"/>
        <v>0</v>
      </c>
      <c r="D336" s="855">
        <f t="shared" si="54"/>
        <v>32413.313177607219</v>
      </c>
      <c r="E336" s="856">
        <f t="shared" si="48"/>
        <v>0</v>
      </c>
      <c r="F336" s="857">
        <f t="shared" si="49"/>
        <v>0</v>
      </c>
      <c r="G336" s="855">
        <f t="shared" si="51"/>
        <v>0</v>
      </c>
      <c r="H336" s="855">
        <f t="shared" si="52"/>
        <v>0</v>
      </c>
      <c r="I336" s="855">
        <f t="shared" si="50"/>
        <v>0</v>
      </c>
      <c r="J336" s="877"/>
      <c r="K336" s="843"/>
    </row>
    <row r="337" spans="1:11">
      <c r="A337" s="812">
        <f>IF(Values_Entered,A336+1,"")</f>
        <v>313</v>
      </c>
      <c r="B337" s="879">
        <f t="shared" si="47"/>
        <v>54533</v>
      </c>
      <c r="C337" s="855">
        <f t="shared" si="53"/>
        <v>0</v>
      </c>
      <c r="D337" s="855">
        <f t="shared" si="54"/>
        <v>32413.313177607219</v>
      </c>
      <c r="E337" s="856">
        <f t="shared" si="48"/>
        <v>0</v>
      </c>
      <c r="F337" s="857">
        <f t="shared" si="49"/>
        <v>0</v>
      </c>
      <c r="G337" s="855">
        <f t="shared" si="51"/>
        <v>0</v>
      </c>
      <c r="H337" s="855">
        <f t="shared" si="52"/>
        <v>0</v>
      </c>
      <c r="I337" s="855">
        <f t="shared" si="50"/>
        <v>0</v>
      </c>
      <c r="J337" s="877"/>
      <c r="K337" s="843"/>
    </row>
    <row r="338" spans="1:11">
      <c r="A338" s="812">
        <f>IF(Values_Entered,A337+1,"")</f>
        <v>314</v>
      </c>
      <c r="B338" s="879">
        <f t="shared" si="47"/>
        <v>54563</v>
      </c>
      <c r="C338" s="855">
        <f t="shared" si="53"/>
        <v>0</v>
      </c>
      <c r="D338" s="855">
        <f t="shared" si="54"/>
        <v>32413.313177607219</v>
      </c>
      <c r="E338" s="856">
        <f t="shared" si="48"/>
        <v>0</v>
      </c>
      <c r="F338" s="857">
        <f t="shared" si="49"/>
        <v>0</v>
      </c>
      <c r="G338" s="855">
        <f t="shared" si="51"/>
        <v>0</v>
      </c>
      <c r="H338" s="855">
        <f t="shared" si="52"/>
        <v>0</v>
      </c>
      <c r="I338" s="855">
        <f t="shared" si="50"/>
        <v>0</v>
      </c>
      <c r="J338" s="877"/>
      <c r="K338" s="843"/>
    </row>
    <row r="339" spans="1:11">
      <c r="A339" s="812">
        <f>IF(Values_Entered,A338+1,"")</f>
        <v>315</v>
      </c>
      <c r="B339" s="879">
        <f t="shared" si="47"/>
        <v>54594</v>
      </c>
      <c r="C339" s="855">
        <f t="shared" si="53"/>
        <v>0</v>
      </c>
      <c r="D339" s="855">
        <f t="shared" si="54"/>
        <v>32413.313177607219</v>
      </c>
      <c r="E339" s="856">
        <f t="shared" si="48"/>
        <v>0</v>
      </c>
      <c r="F339" s="857">
        <f t="shared" si="49"/>
        <v>0</v>
      </c>
      <c r="G339" s="855">
        <f t="shared" si="51"/>
        <v>0</v>
      </c>
      <c r="H339" s="855">
        <f t="shared" si="52"/>
        <v>0</v>
      </c>
      <c r="I339" s="855">
        <f t="shared" si="50"/>
        <v>0</v>
      </c>
      <c r="J339" s="877"/>
      <c r="K339" s="843"/>
    </row>
    <row r="340" spans="1:11">
      <c r="A340" s="812">
        <f>IF(Values_Entered,A339+1,"")</f>
        <v>316</v>
      </c>
      <c r="B340" s="879">
        <f t="shared" si="47"/>
        <v>54624</v>
      </c>
      <c r="C340" s="855">
        <f t="shared" si="53"/>
        <v>0</v>
      </c>
      <c r="D340" s="855">
        <f t="shared" si="54"/>
        <v>32413.313177607219</v>
      </c>
      <c r="E340" s="856">
        <f t="shared" si="48"/>
        <v>0</v>
      </c>
      <c r="F340" s="857">
        <f t="shared" si="49"/>
        <v>0</v>
      </c>
      <c r="G340" s="855">
        <f t="shared" si="51"/>
        <v>0</v>
      </c>
      <c r="H340" s="855">
        <f t="shared" si="52"/>
        <v>0</v>
      </c>
      <c r="I340" s="855">
        <f t="shared" si="50"/>
        <v>0</v>
      </c>
      <c r="J340" s="877"/>
      <c r="K340" s="843"/>
    </row>
    <row r="341" spans="1:11">
      <c r="A341" s="812">
        <f>IF(Values_Entered,A340+1,"")</f>
        <v>317</v>
      </c>
      <c r="B341" s="879">
        <f t="shared" si="47"/>
        <v>54655</v>
      </c>
      <c r="C341" s="855">
        <f t="shared" si="53"/>
        <v>0</v>
      </c>
      <c r="D341" s="855">
        <f t="shared" si="54"/>
        <v>32413.313177607219</v>
      </c>
      <c r="E341" s="856">
        <f t="shared" si="48"/>
        <v>0</v>
      </c>
      <c r="F341" s="857">
        <f t="shared" si="49"/>
        <v>0</v>
      </c>
      <c r="G341" s="855">
        <f t="shared" si="51"/>
        <v>0</v>
      </c>
      <c r="H341" s="855">
        <f t="shared" si="52"/>
        <v>0</v>
      </c>
      <c r="I341" s="855">
        <f t="shared" si="50"/>
        <v>0</v>
      </c>
      <c r="J341" s="877"/>
      <c r="K341" s="843"/>
    </row>
    <row r="342" spans="1:11">
      <c r="A342" s="812">
        <f>IF(Values_Entered,A341+1,"")</f>
        <v>318</v>
      </c>
      <c r="B342" s="879">
        <f t="shared" si="47"/>
        <v>54686</v>
      </c>
      <c r="C342" s="855">
        <f t="shared" si="53"/>
        <v>0</v>
      </c>
      <c r="D342" s="855">
        <f t="shared" si="54"/>
        <v>32413.313177607219</v>
      </c>
      <c r="E342" s="856">
        <f t="shared" si="48"/>
        <v>0</v>
      </c>
      <c r="F342" s="857">
        <f t="shared" si="49"/>
        <v>0</v>
      </c>
      <c r="G342" s="855">
        <f t="shared" si="51"/>
        <v>0</v>
      </c>
      <c r="H342" s="855">
        <f t="shared" si="52"/>
        <v>0</v>
      </c>
      <c r="I342" s="855">
        <f t="shared" si="50"/>
        <v>0</v>
      </c>
      <c r="J342" s="877"/>
      <c r="K342" s="843"/>
    </row>
    <row r="343" spans="1:11">
      <c r="A343" s="812">
        <f>IF(Values_Entered,A342+1,"")</f>
        <v>319</v>
      </c>
      <c r="B343" s="879">
        <f t="shared" si="47"/>
        <v>54716</v>
      </c>
      <c r="C343" s="855">
        <f t="shared" si="53"/>
        <v>0</v>
      </c>
      <c r="D343" s="855">
        <f t="shared" si="54"/>
        <v>32413.313177607219</v>
      </c>
      <c r="E343" s="856">
        <f t="shared" si="48"/>
        <v>0</v>
      </c>
      <c r="F343" s="857">
        <f t="shared" si="49"/>
        <v>0</v>
      </c>
      <c r="G343" s="855">
        <f t="shared" si="51"/>
        <v>0</v>
      </c>
      <c r="H343" s="855">
        <f t="shared" si="52"/>
        <v>0</v>
      </c>
      <c r="I343" s="855">
        <f t="shared" si="50"/>
        <v>0</v>
      </c>
      <c r="J343" s="877"/>
      <c r="K343" s="843"/>
    </row>
    <row r="344" spans="1:11">
      <c r="A344" s="812">
        <f>IF(Values_Entered,A343+1,"")</f>
        <v>320</v>
      </c>
      <c r="B344" s="879">
        <f t="shared" si="47"/>
        <v>54747</v>
      </c>
      <c r="C344" s="855">
        <f t="shared" si="53"/>
        <v>0</v>
      </c>
      <c r="D344" s="855">
        <f t="shared" si="54"/>
        <v>32413.313177607219</v>
      </c>
      <c r="E344" s="856">
        <f t="shared" si="48"/>
        <v>0</v>
      </c>
      <c r="F344" s="857">
        <f t="shared" si="49"/>
        <v>0</v>
      </c>
      <c r="G344" s="855">
        <f t="shared" si="51"/>
        <v>0</v>
      </c>
      <c r="H344" s="855">
        <f t="shared" si="52"/>
        <v>0</v>
      </c>
      <c r="I344" s="855">
        <f t="shared" si="50"/>
        <v>0</v>
      </c>
      <c r="J344" s="877"/>
      <c r="K344" s="843"/>
    </row>
    <row r="345" spans="1:11">
      <c r="A345" s="812">
        <f>IF(Values_Entered,A344+1,"")</f>
        <v>321</v>
      </c>
      <c r="B345" s="879">
        <f t="shared" ref="B345:B384" si="55">IF(Pay_Num&lt;&gt;"",DATE(YEAR(Loan_Start),MONTH(Loan_Start)+(Pay_Num)*12/Num_Pmt_Per_Year,DAY(Loan_Start)),"")</f>
        <v>54777</v>
      </c>
      <c r="C345" s="855">
        <f t="shared" si="53"/>
        <v>0</v>
      </c>
      <c r="D345" s="855">
        <f t="shared" si="54"/>
        <v>32413.313177607219</v>
      </c>
      <c r="E345" s="856">
        <f t="shared" ref="E345:E384" si="56">IF(AND(Pay_Num&lt;&gt;"",Sched_Pay+Scheduled_Extra_Payments&lt;Beg_Bal),Scheduled_Extra_Payments,IF(AND(Pay_Num&lt;&gt;"",Beg_Bal-Sched_Pay&gt;0),Beg_Bal-Sched_Pay,IF(Pay_Num&lt;&gt;"",0,"")))</f>
        <v>0</v>
      </c>
      <c r="F345" s="857">
        <f t="shared" ref="F345:F384" si="57">IF(AND(Pay_Num&lt;&gt;"",Sched_Pay+Extra_Pay&lt;Beg_Bal),Sched_Pay+Extra_Pay,IF(Pay_Num&lt;&gt;"",Beg_Bal,""))</f>
        <v>0</v>
      </c>
      <c r="G345" s="855">
        <f t="shared" si="51"/>
        <v>0</v>
      </c>
      <c r="H345" s="855">
        <f t="shared" si="52"/>
        <v>0</v>
      </c>
      <c r="I345" s="855">
        <f t="shared" ref="I345:I384" si="58">IF(AND(Pay_Num&lt;&gt;"",Sched_Pay+Extra_Pay&lt;Beg_Bal),Beg_Bal-Princ,IF(Pay_Num&lt;&gt;"",0,""))</f>
        <v>0</v>
      </c>
      <c r="J345" s="877"/>
      <c r="K345" s="843"/>
    </row>
    <row r="346" spans="1:11">
      <c r="A346" s="812">
        <f>IF(Values_Entered,A345+1,"")</f>
        <v>322</v>
      </c>
      <c r="B346" s="879">
        <f t="shared" si="55"/>
        <v>54808</v>
      </c>
      <c r="C346" s="855">
        <f t="shared" si="53"/>
        <v>0</v>
      </c>
      <c r="D346" s="855">
        <f t="shared" si="54"/>
        <v>32413.313177607219</v>
      </c>
      <c r="E346" s="856">
        <f t="shared" si="56"/>
        <v>0</v>
      </c>
      <c r="F346" s="857">
        <f t="shared" si="57"/>
        <v>0</v>
      </c>
      <c r="G346" s="855">
        <f t="shared" ref="G346:G384" si="59">IF(Pay_Num&lt;&gt;"",Total_Pay-Int,"")</f>
        <v>0</v>
      </c>
      <c r="H346" s="855">
        <f t="shared" ref="H346:H384" si="60">IF(Pay_Num&lt;&gt;"",Beg_Bal*Interest_Rate/Num_Pmt_Per_Year,"")</f>
        <v>0</v>
      </c>
      <c r="I346" s="855">
        <f t="shared" si="58"/>
        <v>0</v>
      </c>
      <c r="J346" s="877"/>
      <c r="K346" s="843"/>
    </row>
    <row r="347" spans="1:11">
      <c r="A347" s="812">
        <f>IF(Values_Entered,A346+1,"")</f>
        <v>323</v>
      </c>
      <c r="B347" s="879">
        <f t="shared" si="55"/>
        <v>54839</v>
      </c>
      <c r="C347" s="855">
        <f t="shared" ref="C347:C384" si="61">IF(Pay_Num&lt;&gt;"",I346,"")</f>
        <v>0</v>
      </c>
      <c r="D347" s="855">
        <f t="shared" ref="D347:D384" si="62">IF(Pay_Num&lt;&gt;"",Scheduled_Monthly_Payment,"")</f>
        <v>32413.313177607219</v>
      </c>
      <c r="E347" s="856">
        <f t="shared" si="56"/>
        <v>0</v>
      </c>
      <c r="F347" s="857">
        <f t="shared" si="57"/>
        <v>0</v>
      </c>
      <c r="G347" s="855">
        <f t="shared" si="59"/>
        <v>0</v>
      </c>
      <c r="H347" s="855">
        <f t="shared" si="60"/>
        <v>0</v>
      </c>
      <c r="I347" s="855">
        <f t="shared" si="58"/>
        <v>0</v>
      </c>
      <c r="J347" s="877"/>
      <c r="K347" s="843"/>
    </row>
    <row r="348" spans="1:11">
      <c r="A348" s="812">
        <f>IF(Values_Entered,A347+1,"")</f>
        <v>324</v>
      </c>
      <c r="B348" s="879">
        <f t="shared" si="55"/>
        <v>54867</v>
      </c>
      <c r="C348" s="855">
        <f t="shared" si="61"/>
        <v>0</v>
      </c>
      <c r="D348" s="855">
        <f t="shared" si="62"/>
        <v>32413.313177607219</v>
      </c>
      <c r="E348" s="856">
        <f t="shared" si="56"/>
        <v>0</v>
      </c>
      <c r="F348" s="857">
        <f t="shared" si="57"/>
        <v>0</v>
      </c>
      <c r="G348" s="855">
        <f t="shared" si="59"/>
        <v>0</v>
      </c>
      <c r="H348" s="855">
        <f t="shared" si="60"/>
        <v>0</v>
      </c>
      <c r="I348" s="855">
        <f t="shared" si="58"/>
        <v>0</v>
      </c>
      <c r="J348" s="877"/>
      <c r="K348" s="843"/>
    </row>
    <row r="349" spans="1:11">
      <c r="A349" s="812">
        <f>IF(Values_Entered,A348+1,"")</f>
        <v>325</v>
      </c>
      <c r="B349" s="879">
        <f t="shared" si="55"/>
        <v>54898</v>
      </c>
      <c r="C349" s="855">
        <f t="shared" si="61"/>
        <v>0</v>
      </c>
      <c r="D349" s="855">
        <f t="shared" si="62"/>
        <v>32413.313177607219</v>
      </c>
      <c r="E349" s="856">
        <f t="shared" si="56"/>
        <v>0</v>
      </c>
      <c r="F349" s="857">
        <f t="shared" si="57"/>
        <v>0</v>
      </c>
      <c r="G349" s="855">
        <f t="shared" si="59"/>
        <v>0</v>
      </c>
      <c r="H349" s="855">
        <f t="shared" si="60"/>
        <v>0</v>
      </c>
      <c r="I349" s="855">
        <f t="shared" si="58"/>
        <v>0</v>
      </c>
      <c r="J349" s="877"/>
      <c r="K349" s="843"/>
    </row>
    <row r="350" spans="1:11">
      <c r="A350" s="812">
        <f>IF(Values_Entered,A349+1,"")</f>
        <v>326</v>
      </c>
      <c r="B350" s="879">
        <f t="shared" si="55"/>
        <v>54928</v>
      </c>
      <c r="C350" s="855">
        <f t="shared" si="61"/>
        <v>0</v>
      </c>
      <c r="D350" s="855">
        <f t="shared" si="62"/>
        <v>32413.313177607219</v>
      </c>
      <c r="E350" s="856">
        <f t="shared" si="56"/>
        <v>0</v>
      </c>
      <c r="F350" s="857">
        <f t="shared" si="57"/>
        <v>0</v>
      </c>
      <c r="G350" s="855">
        <f t="shared" si="59"/>
        <v>0</v>
      </c>
      <c r="H350" s="855">
        <f t="shared" si="60"/>
        <v>0</v>
      </c>
      <c r="I350" s="855">
        <f t="shared" si="58"/>
        <v>0</v>
      </c>
      <c r="J350" s="877"/>
      <c r="K350" s="843"/>
    </row>
    <row r="351" spans="1:11">
      <c r="A351" s="812">
        <f>IF(Values_Entered,A350+1,"")</f>
        <v>327</v>
      </c>
      <c r="B351" s="879">
        <f t="shared" si="55"/>
        <v>54959</v>
      </c>
      <c r="C351" s="855">
        <f t="shared" si="61"/>
        <v>0</v>
      </c>
      <c r="D351" s="855">
        <f t="shared" si="62"/>
        <v>32413.313177607219</v>
      </c>
      <c r="E351" s="856">
        <f t="shared" si="56"/>
        <v>0</v>
      </c>
      <c r="F351" s="857">
        <f t="shared" si="57"/>
        <v>0</v>
      </c>
      <c r="G351" s="855">
        <f t="shared" si="59"/>
        <v>0</v>
      </c>
      <c r="H351" s="855">
        <f t="shared" si="60"/>
        <v>0</v>
      </c>
      <c r="I351" s="855">
        <f t="shared" si="58"/>
        <v>0</v>
      </c>
      <c r="J351" s="877"/>
      <c r="K351" s="843"/>
    </row>
    <row r="352" spans="1:11">
      <c r="A352" s="812">
        <f>IF(Values_Entered,A351+1,"")</f>
        <v>328</v>
      </c>
      <c r="B352" s="879">
        <f t="shared" si="55"/>
        <v>54989</v>
      </c>
      <c r="C352" s="855">
        <f t="shared" si="61"/>
        <v>0</v>
      </c>
      <c r="D352" s="855">
        <f t="shared" si="62"/>
        <v>32413.313177607219</v>
      </c>
      <c r="E352" s="856">
        <f t="shared" si="56"/>
        <v>0</v>
      </c>
      <c r="F352" s="857">
        <f t="shared" si="57"/>
        <v>0</v>
      </c>
      <c r="G352" s="855">
        <f t="shared" si="59"/>
        <v>0</v>
      </c>
      <c r="H352" s="855">
        <f t="shared" si="60"/>
        <v>0</v>
      </c>
      <c r="I352" s="855">
        <f t="shared" si="58"/>
        <v>0</v>
      </c>
      <c r="J352" s="877"/>
      <c r="K352" s="843"/>
    </row>
    <row r="353" spans="1:11">
      <c r="A353" s="812">
        <f>IF(Values_Entered,A352+1,"")</f>
        <v>329</v>
      </c>
      <c r="B353" s="879">
        <f t="shared" si="55"/>
        <v>55020</v>
      </c>
      <c r="C353" s="855">
        <f t="shared" si="61"/>
        <v>0</v>
      </c>
      <c r="D353" s="855">
        <f t="shared" si="62"/>
        <v>32413.313177607219</v>
      </c>
      <c r="E353" s="856">
        <f t="shared" si="56"/>
        <v>0</v>
      </c>
      <c r="F353" s="857">
        <f t="shared" si="57"/>
        <v>0</v>
      </c>
      <c r="G353" s="855">
        <f t="shared" si="59"/>
        <v>0</v>
      </c>
      <c r="H353" s="855">
        <f t="shared" si="60"/>
        <v>0</v>
      </c>
      <c r="I353" s="855">
        <f t="shared" si="58"/>
        <v>0</v>
      </c>
      <c r="J353" s="877"/>
      <c r="K353" s="843"/>
    </row>
    <row r="354" spans="1:11">
      <c r="A354" s="812">
        <f>IF(Values_Entered,A353+1,"")</f>
        <v>330</v>
      </c>
      <c r="B354" s="879">
        <f t="shared" si="55"/>
        <v>55051</v>
      </c>
      <c r="C354" s="855">
        <f t="shared" si="61"/>
        <v>0</v>
      </c>
      <c r="D354" s="855">
        <f t="shared" si="62"/>
        <v>32413.313177607219</v>
      </c>
      <c r="E354" s="856">
        <f t="shared" si="56"/>
        <v>0</v>
      </c>
      <c r="F354" s="857">
        <f t="shared" si="57"/>
        <v>0</v>
      </c>
      <c r="G354" s="855">
        <f t="shared" si="59"/>
        <v>0</v>
      </c>
      <c r="H354" s="855">
        <f t="shared" si="60"/>
        <v>0</v>
      </c>
      <c r="I354" s="855">
        <f t="shared" si="58"/>
        <v>0</v>
      </c>
      <c r="J354" s="877"/>
      <c r="K354" s="843"/>
    </row>
    <row r="355" spans="1:11">
      <c r="A355" s="812">
        <f>IF(Values_Entered,A354+1,"")</f>
        <v>331</v>
      </c>
      <c r="B355" s="879">
        <f t="shared" si="55"/>
        <v>55081</v>
      </c>
      <c r="C355" s="855">
        <f t="shared" si="61"/>
        <v>0</v>
      </c>
      <c r="D355" s="855">
        <f t="shared" si="62"/>
        <v>32413.313177607219</v>
      </c>
      <c r="E355" s="856">
        <f t="shared" si="56"/>
        <v>0</v>
      </c>
      <c r="F355" s="857">
        <f t="shared" si="57"/>
        <v>0</v>
      </c>
      <c r="G355" s="855">
        <f t="shared" si="59"/>
        <v>0</v>
      </c>
      <c r="H355" s="855">
        <f t="shared" si="60"/>
        <v>0</v>
      </c>
      <c r="I355" s="855">
        <f t="shared" si="58"/>
        <v>0</v>
      </c>
      <c r="J355" s="877"/>
      <c r="K355" s="843"/>
    </row>
    <row r="356" spans="1:11">
      <c r="A356" s="812">
        <f>IF(Values_Entered,A355+1,"")</f>
        <v>332</v>
      </c>
      <c r="B356" s="879">
        <f t="shared" si="55"/>
        <v>55112</v>
      </c>
      <c r="C356" s="855">
        <f t="shared" si="61"/>
        <v>0</v>
      </c>
      <c r="D356" s="855">
        <f t="shared" si="62"/>
        <v>32413.313177607219</v>
      </c>
      <c r="E356" s="856">
        <f t="shared" si="56"/>
        <v>0</v>
      </c>
      <c r="F356" s="857">
        <f t="shared" si="57"/>
        <v>0</v>
      </c>
      <c r="G356" s="855">
        <f t="shared" si="59"/>
        <v>0</v>
      </c>
      <c r="H356" s="855">
        <f t="shared" si="60"/>
        <v>0</v>
      </c>
      <c r="I356" s="855">
        <f t="shared" si="58"/>
        <v>0</v>
      </c>
      <c r="J356" s="877"/>
      <c r="K356" s="843"/>
    </row>
    <row r="357" spans="1:11">
      <c r="A357" s="812">
        <f>IF(Values_Entered,A356+1,"")</f>
        <v>333</v>
      </c>
      <c r="B357" s="879">
        <f t="shared" si="55"/>
        <v>55142</v>
      </c>
      <c r="C357" s="855">
        <f t="shared" si="61"/>
        <v>0</v>
      </c>
      <c r="D357" s="855">
        <f t="shared" si="62"/>
        <v>32413.313177607219</v>
      </c>
      <c r="E357" s="856">
        <f t="shared" si="56"/>
        <v>0</v>
      </c>
      <c r="F357" s="857">
        <f t="shared" si="57"/>
        <v>0</v>
      </c>
      <c r="G357" s="855">
        <f t="shared" si="59"/>
        <v>0</v>
      </c>
      <c r="H357" s="855">
        <f t="shared" si="60"/>
        <v>0</v>
      </c>
      <c r="I357" s="855">
        <f t="shared" si="58"/>
        <v>0</v>
      </c>
      <c r="J357" s="877"/>
      <c r="K357" s="843"/>
    </row>
    <row r="358" spans="1:11">
      <c r="A358" s="812">
        <f>IF(Values_Entered,A357+1,"")</f>
        <v>334</v>
      </c>
      <c r="B358" s="879">
        <f t="shared" si="55"/>
        <v>55173</v>
      </c>
      <c r="C358" s="855">
        <f t="shared" si="61"/>
        <v>0</v>
      </c>
      <c r="D358" s="855">
        <f t="shared" si="62"/>
        <v>32413.313177607219</v>
      </c>
      <c r="E358" s="856">
        <f t="shared" si="56"/>
        <v>0</v>
      </c>
      <c r="F358" s="857">
        <f t="shared" si="57"/>
        <v>0</v>
      </c>
      <c r="G358" s="855">
        <f t="shared" si="59"/>
        <v>0</v>
      </c>
      <c r="H358" s="855">
        <f t="shared" si="60"/>
        <v>0</v>
      </c>
      <c r="I358" s="855">
        <f t="shared" si="58"/>
        <v>0</v>
      </c>
      <c r="J358" s="877"/>
      <c r="K358" s="843"/>
    </row>
    <row r="359" spans="1:11">
      <c r="A359" s="812">
        <f>IF(Values_Entered,A358+1,"")</f>
        <v>335</v>
      </c>
      <c r="B359" s="879">
        <f t="shared" si="55"/>
        <v>55204</v>
      </c>
      <c r="C359" s="855">
        <f t="shared" si="61"/>
        <v>0</v>
      </c>
      <c r="D359" s="855">
        <f t="shared" si="62"/>
        <v>32413.313177607219</v>
      </c>
      <c r="E359" s="856">
        <f t="shared" si="56"/>
        <v>0</v>
      </c>
      <c r="F359" s="857">
        <f t="shared" si="57"/>
        <v>0</v>
      </c>
      <c r="G359" s="855">
        <f t="shared" si="59"/>
        <v>0</v>
      </c>
      <c r="H359" s="855">
        <f t="shared" si="60"/>
        <v>0</v>
      </c>
      <c r="I359" s="855">
        <f t="shared" si="58"/>
        <v>0</v>
      </c>
      <c r="J359" s="877"/>
      <c r="K359" s="843"/>
    </row>
    <row r="360" spans="1:11">
      <c r="A360" s="812">
        <f>IF(Values_Entered,A359+1,"")</f>
        <v>336</v>
      </c>
      <c r="B360" s="879">
        <f t="shared" si="55"/>
        <v>55232</v>
      </c>
      <c r="C360" s="855">
        <f t="shared" si="61"/>
        <v>0</v>
      </c>
      <c r="D360" s="855">
        <f t="shared" si="62"/>
        <v>32413.313177607219</v>
      </c>
      <c r="E360" s="856">
        <f t="shared" si="56"/>
        <v>0</v>
      </c>
      <c r="F360" s="857">
        <f t="shared" si="57"/>
        <v>0</v>
      </c>
      <c r="G360" s="855">
        <f t="shared" si="59"/>
        <v>0</v>
      </c>
      <c r="H360" s="855">
        <f t="shared" si="60"/>
        <v>0</v>
      </c>
      <c r="I360" s="855">
        <f t="shared" si="58"/>
        <v>0</v>
      </c>
      <c r="J360" s="877"/>
      <c r="K360" s="843"/>
    </row>
    <row r="361" spans="1:11">
      <c r="A361" s="812">
        <f>IF(Values_Entered,A360+1,"")</f>
        <v>337</v>
      </c>
      <c r="B361" s="879">
        <f t="shared" si="55"/>
        <v>55263</v>
      </c>
      <c r="C361" s="855">
        <f t="shared" si="61"/>
        <v>0</v>
      </c>
      <c r="D361" s="855">
        <f t="shared" si="62"/>
        <v>32413.313177607219</v>
      </c>
      <c r="E361" s="856">
        <f t="shared" si="56"/>
        <v>0</v>
      </c>
      <c r="F361" s="857">
        <f t="shared" si="57"/>
        <v>0</v>
      </c>
      <c r="G361" s="855">
        <f t="shared" si="59"/>
        <v>0</v>
      </c>
      <c r="H361" s="855">
        <f t="shared" si="60"/>
        <v>0</v>
      </c>
      <c r="I361" s="855">
        <f t="shared" si="58"/>
        <v>0</v>
      </c>
      <c r="J361" s="877"/>
      <c r="K361" s="843"/>
    </row>
    <row r="362" spans="1:11">
      <c r="A362" s="812">
        <f>IF(Values_Entered,A361+1,"")</f>
        <v>338</v>
      </c>
      <c r="B362" s="879">
        <f t="shared" si="55"/>
        <v>55293</v>
      </c>
      <c r="C362" s="855">
        <f t="shared" si="61"/>
        <v>0</v>
      </c>
      <c r="D362" s="855">
        <f t="shared" si="62"/>
        <v>32413.313177607219</v>
      </c>
      <c r="E362" s="856">
        <f t="shared" si="56"/>
        <v>0</v>
      </c>
      <c r="F362" s="857">
        <f t="shared" si="57"/>
        <v>0</v>
      </c>
      <c r="G362" s="855">
        <f t="shared" si="59"/>
        <v>0</v>
      </c>
      <c r="H362" s="855">
        <f t="shared" si="60"/>
        <v>0</v>
      </c>
      <c r="I362" s="855">
        <f t="shared" si="58"/>
        <v>0</v>
      </c>
      <c r="J362" s="877"/>
      <c r="K362" s="843"/>
    </row>
    <row r="363" spans="1:11">
      <c r="A363" s="812">
        <f>IF(Values_Entered,A362+1,"")</f>
        <v>339</v>
      </c>
      <c r="B363" s="879">
        <f t="shared" si="55"/>
        <v>55324</v>
      </c>
      <c r="C363" s="855">
        <f t="shared" si="61"/>
        <v>0</v>
      </c>
      <c r="D363" s="855">
        <f t="shared" si="62"/>
        <v>32413.313177607219</v>
      </c>
      <c r="E363" s="856">
        <f t="shared" si="56"/>
        <v>0</v>
      </c>
      <c r="F363" s="857">
        <f t="shared" si="57"/>
        <v>0</v>
      </c>
      <c r="G363" s="855">
        <f t="shared" si="59"/>
        <v>0</v>
      </c>
      <c r="H363" s="855">
        <f t="shared" si="60"/>
        <v>0</v>
      </c>
      <c r="I363" s="855">
        <f t="shared" si="58"/>
        <v>0</v>
      </c>
      <c r="J363" s="877"/>
      <c r="K363" s="843"/>
    </row>
    <row r="364" spans="1:11">
      <c r="A364" s="812">
        <f>IF(Values_Entered,A363+1,"")</f>
        <v>340</v>
      </c>
      <c r="B364" s="879">
        <f t="shared" si="55"/>
        <v>55354</v>
      </c>
      <c r="C364" s="855">
        <f t="shared" si="61"/>
        <v>0</v>
      </c>
      <c r="D364" s="855">
        <f t="shared" si="62"/>
        <v>32413.313177607219</v>
      </c>
      <c r="E364" s="856">
        <f t="shared" si="56"/>
        <v>0</v>
      </c>
      <c r="F364" s="857">
        <f t="shared" si="57"/>
        <v>0</v>
      </c>
      <c r="G364" s="855">
        <f t="shared" si="59"/>
        <v>0</v>
      </c>
      <c r="H364" s="855">
        <f t="shared" si="60"/>
        <v>0</v>
      </c>
      <c r="I364" s="855">
        <f t="shared" si="58"/>
        <v>0</v>
      </c>
      <c r="J364" s="877"/>
      <c r="K364" s="843"/>
    </row>
    <row r="365" spans="1:11">
      <c r="A365" s="812">
        <f>IF(Values_Entered,A364+1,"")</f>
        <v>341</v>
      </c>
      <c r="B365" s="879">
        <f t="shared" si="55"/>
        <v>55385</v>
      </c>
      <c r="C365" s="855">
        <f t="shared" si="61"/>
        <v>0</v>
      </c>
      <c r="D365" s="855">
        <f t="shared" si="62"/>
        <v>32413.313177607219</v>
      </c>
      <c r="E365" s="856">
        <f t="shared" si="56"/>
        <v>0</v>
      </c>
      <c r="F365" s="857">
        <f t="shared" si="57"/>
        <v>0</v>
      </c>
      <c r="G365" s="855">
        <f t="shared" si="59"/>
        <v>0</v>
      </c>
      <c r="H365" s="855">
        <f t="shared" si="60"/>
        <v>0</v>
      </c>
      <c r="I365" s="855">
        <f t="shared" si="58"/>
        <v>0</v>
      </c>
      <c r="J365" s="877"/>
      <c r="K365" s="843"/>
    </row>
    <row r="366" spans="1:11">
      <c r="A366" s="812">
        <f>IF(Values_Entered,A365+1,"")</f>
        <v>342</v>
      </c>
      <c r="B366" s="879">
        <f t="shared" si="55"/>
        <v>55416</v>
      </c>
      <c r="C366" s="855">
        <f t="shared" si="61"/>
        <v>0</v>
      </c>
      <c r="D366" s="855">
        <f t="shared" si="62"/>
        <v>32413.313177607219</v>
      </c>
      <c r="E366" s="856">
        <f t="shared" si="56"/>
        <v>0</v>
      </c>
      <c r="F366" s="857">
        <f t="shared" si="57"/>
        <v>0</v>
      </c>
      <c r="G366" s="855">
        <f t="shared" si="59"/>
        <v>0</v>
      </c>
      <c r="H366" s="855">
        <f t="shared" si="60"/>
        <v>0</v>
      </c>
      <c r="I366" s="855">
        <f t="shared" si="58"/>
        <v>0</v>
      </c>
      <c r="J366" s="877"/>
      <c r="K366" s="843"/>
    </row>
    <row r="367" spans="1:11">
      <c r="A367" s="812">
        <f>IF(Values_Entered,A366+1,"")</f>
        <v>343</v>
      </c>
      <c r="B367" s="879">
        <f t="shared" si="55"/>
        <v>55446</v>
      </c>
      <c r="C367" s="855">
        <f t="shared" si="61"/>
        <v>0</v>
      </c>
      <c r="D367" s="855">
        <f t="shared" si="62"/>
        <v>32413.313177607219</v>
      </c>
      <c r="E367" s="856">
        <f t="shared" si="56"/>
        <v>0</v>
      </c>
      <c r="F367" s="857">
        <f t="shared" si="57"/>
        <v>0</v>
      </c>
      <c r="G367" s="855">
        <f t="shared" si="59"/>
        <v>0</v>
      </c>
      <c r="H367" s="855">
        <f t="shared" si="60"/>
        <v>0</v>
      </c>
      <c r="I367" s="855">
        <f t="shared" si="58"/>
        <v>0</v>
      </c>
      <c r="J367" s="877"/>
      <c r="K367" s="843"/>
    </row>
    <row r="368" spans="1:11">
      <c r="A368" s="812">
        <f>IF(Values_Entered,A367+1,"")</f>
        <v>344</v>
      </c>
      <c r="B368" s="879">
        <f t="shared" si="55"/>
        <v>55477</v>
      </c>
      <c r="C368" s="855">
        <f t="shared" si="61"/>
        <v>0</v>
      </c>
      <c r="D368" s="855">
        <f t="shared" si="62"/>
        <v>32413.313177607219</v>
      </c>
      <c r="E368" s="856">
        <f t="shared" si="56"/>
        <v>0</v>
      </c>
      <c r="F368" s="857">
        <f t="shared" si="57"/>
        <v>0</v>
      </c>
      <c r="G368" s="855">
        <f t="shared" si="59"/>
        <v>0</v>
      </c>
      <c r="H368" s="855">
        <f t="shared" si="60"/>
        <v>0</v>
      </c>
      <c r="I368" s="855">
        <f t="shared" si="58"/>
        <v>0</v>
      </c>
      <c r="J368" s="877"/>
      <c r="K368" s="843"/>
    </row>
    <row r="369" spans="1:11">
      <c r="A369" s="812">
        <f>IF(Values_Entered,A368+1,"")</f>
        <v>345</v>
      </c>
      <c r="B369" s="879">
        <f t="shared" si="55"/>
        <v>55507</v>
      </c>
      <c r="C369" s="855">
        <f t="shared" si="61"/>
        <v>0</v>
      </c>
      <c r="D369" s="855">
        <f t="shared" si="62"/>
        <v>32413.313177607219</v>
      </c>
      <c r="E369" s="856">
        <f t="shared" si="56"/>
        <v>0</v>
      </c>
      <c r="F369" s="857">
        <f t="shared" si="57"/>
        <v>0</v>
      </c>
      <c r="G369" s="855">
        <f t="shared" si="59"/>
        <v>0</v>
      </c>
      <c r="H369" s="855">
        <f t="shared" si="60"/>
        <v>0</v>
      </c>
      <c r="I369" s="855">
        <f t="shared" si="58"/>
        <v>0</v>
      </c>
      <c r="J369" s="877"/>
      <c r="K369" s="843"/>
    </row>
    <row r="370" spans="1:11">
      <c r="A370" s="812">
        <f>IF(Values_Entered,A369+1,"")</f>
        <v>346</v>
      </c>
      <c r="B370" s="879">
        <f t="shared" si="55"/>
        <v>55538</v>
      </c>
      <c r="C370" s="855">
        <f t="shared" si="61"/>
        <v>0</v>
      </c>
      <c r="D370" s="855">
        <f t="shared" si="62"/>
        <v>32413.313177607219</v>
      </c>
      <c r="E370" s="856">
        <f t="shared" si="56"/>
        <v>0</v>
      </c>
      <c r="F370" s="857">
        <f t="shared" si="57"/>
        <v>0</v>
      </c>
      <c r="G370" s="855">
        <f t="shared" si="59"/>
        <v>0</v>
      </c>
      <c r="H370" s="855">
        <f t="shared" si="60"/>
        <v>0</v>
      </c>
      <c r="I370" s="855">
        <f t="shared" si="58"/>
        <v>0</v>
      </c>
      <c r="J370" s="877"/>
      <c r="K370" s="843"/>
    </row>
    <row r="371" spans="1:11">
      <c r="A371" s="812">
        <f>IF(Values_Entered,A370+1,"")</f>
        <v>347</v>
      </c>
      <c r="B371" s="879">
        <f t="shared" si="55"/>
        <v>55569</v>
      </c>
      <c r="C371" s="855">
        <f t="shared" si="61"/>
        <v>0</v>
      </c>
      <c r="D371" s="855">
        <f t="shared" si="62"/>
        <v>32413.313177607219</v>
      </c>
      <c r="E371" s="856">
        <f t="shared" si="56"/>
        <v>0</v>
      </c>
      <c r="F371" s="857">
        <f t="shared" si="57"/>
        <v>0</v>
      </c>
      <c r="G371" s="855">
        <f t="shared" si="59"/>
        <v>0</v>
      </c>
      <c r="H371" s="855">
        <f t="shared" si="60"/>
        <v>0</v>
      </c>
      <c r="I371" s="855">
        <f t="shared" si="58"/>
        <v>0</v>
      </c>
      <c r="J371" s="877"/>
      <c r="K371" s="843"/>
    </row>
    <row r="372" spans="1:11">
      <c r="A372" s="812">
        <f>IF(Values_Entered,A371+1,"")</f>
        <v>348</v>
      </c>
      <c r="B372" s="879">
        <f t="shared" si="55"/>
        <v>55598</v>
      </c>
      <c r="C372" s="855">
        <f t="shared" si="61"/>
        <v>0</v>
      </c>
      <c r="D372" s="855">
        <f t="shared" si="62"/>
        <v>32413.313177607219</v>
      </c>
      <c r="E372" s="856">
        <f t="shared" si="56"/>
        <v>0</v>
      </c>
      <c r="F372" s="857">
        <f t="shared" si="57"/>
        <v>0</v>
      </c>
      <c r="G372" s="855">
        <f t="shared" si="59"/>
        <v>0</v>
      </c>
      <c r="H372" s="855">
        <f t="shared" si="60"/>
        <v>0</v>
      </c>
      <c r="I372" s="855">
        <f t="shared" si="58"/>
        <v>0</v>
      </c>
      <c r="J372" s="877"/>
      <c r="K372" s="843"/>
    </row>
    <row r="373" spans="1:11">
      <c r="A373" s="812">
        <f>IF(Values_Entered,A372+1,"")</f>
        <v>349</v>
      </c>
      <c r="B373" s="879">
        <f t="shared" si="55"/>
        <v>55629</v>
      </c>
      <c r="C373" s="855">
        <f t="shared" si="61"/>
        <v>0</v>
      </c>
      <c r="D373" s="855">
        <f t="shared" si="62"/>
        <v>32413.313177607219</v>
      </c>
      <c r="E373" s="856">
        <f t="shared" si="56"/>
        <v>0</v>
      </c>
      <c r="F373" s="857">
        <f t="shared" si="57"/>
        <v>0</v>
      </c>
      <c r="G373" s="855">
        <f t="shared" si="59"/>
        <v>0</v>
      </c>
      <c r="H373" s="855">
        <f t="shared" si="60"/>
        <v>0</v>
      </c>
      <c r="I373" s="855">
        <f t="shared" si="58"/>
        <v>0</v>
      </c>
      <c r="J373" s="877"/>
      <c r="K373" s="843"/>
    </row>
    <row r="374" spans="1:11">
      <c r="A374" s="812">
        <f>IF(Values_Entered,A373+1,"")</f>
        <v>350</v>
      </c>
      <c r="B374" s="879">
        <f t="shared" si="55"/>
        <v>55659</v>
      </c>
      <c r="C374" s="855">
        <f t="shared" si="61"/>
        <v>0</v>
      </c>
      <c r="D374" s="855">
        <f t="shared" si="62"/>
        <v>32413.313177607219</v>
      </c>
      <c r="E374" s="856">
        <f t="shared" si="56"/>
        <v>0</v>
      </c>
      <c r="F374" s="857">
        <f t="shared" si="57"/>
        <v>0</v>
      </c>
      <c r="G374" s="855">
        <f t="shared" si="59"/>
        <v>0</v>
      </c>
      <c r="H374" s="855">
        <f t="shared" si="60"/>
        <v>0</v>
      </c>
      <c r="I374" s="855">
        <f t="shared" si="58"/>
        <v>0</v>
      </c>
      <c r="J374" s="877"/>
      <c r="K374" s="843"/>
    </row>
    <row r="375" spans="1:11">
      <c r="A375" s="812">
        <f>IF(Values_Entered,A374+1,"")</f>
        <v>351</v>
      </c>
      <c r="B375" s="879">
        <f t="shared" si="55"/>
        <v>55690</v>
      </c>
      <c r="C375" s="855">
        <f t="shared" si="61"/>
        <v>0</v>
      </c>
      <c r="D375" s="855">
        <f t="shared" si="62"/>
        <v>32413.313177607219</v>
      </c>
      <c r="E375" s="856">
        <f t="shared" si="56"/>
        <v>0</v>
      </c>
      <c r="F375" s="857">
        <f t="shared" si="57"/>
        <v>0</v>
      </c>
      <c r="G375" s="855">
        <f t="shared" si="59"/>
        <v>0</v>
      </c>
      <c r="H375" s="855">
        <f t="shared" si="60"/>
        <v>0</v>
      </c>
      <c r="I375" s="855">
        <f t="shared" si="58"/>
        <v>0</v>
      </c>
      <c r="J375" s="877"/>
      <c r="K375" s="843"/>
    </row>
    <row r="376" spans="1:11">
      <c r="A376" s="812">
        <f>IF(Values_Entered,A375+1,"")</f>
        <v>352</v>
      </c>
      <c r="B376" s="879">
        <f t="shared" si="55"/>
        <v>55720</v>
      </c>
      <c r="C376" s="855">
        <f t="shared" si="61"/>
        <v>0</v>
      </c>
      <c r="D376" s="855">
        <f t="shared" si="62"/>
        <v>32413.313177607219</v>
      </c>
      <c r="E376" s="856">
        <f t="shared" si="56"/>
        <v>0</v>
      </c>
      <c r="F376" s="857">
        <f t="shared" si="57"/>
        <v>0</v>
      </c>
      <c r="G376" s="855">
        <f t="shared" si="59"/>
        <v>0</v>
      </c>
      <c r="H376" s="855">
        <f t="shared" si="60"/>
        <v>0</v>
      </c>
      <c r="I376" s="855">
        <f t="shared" si="58"/>
        <v>0</v>
      </c>
      <c r="J376" s="877"/>
      <c r="K376" s="843"/>
    </row>
    <row r="377" spans="1:11">
      <c r="A377" s="812">
        <f>IF(Values_Entered,A376+1,"")</f>
        <v>353</v>
      </c>
      <c r="B377" s="879">
        <f t="shared" si="55"/>
        <v>55751</v>
      </c>
      <c r="C377" s="855">
        <f t="shared" si="61"/>
        <v>0</v>
      </c>
      <c r="D377" s="855">
        <f t="shared" si="62"/>
        <v>32413.313177607219</v>
      </c>
      <c r="E377" s="856">
        <f t="shared" si="56"/>
        <v>0</v>
      </c>
      <c r="F377" s="857">
        <f t="shared" si="57"/>
        <v>0</v>
      </c>
      <c r="G377" s="855">
        <f t="shared" si="59"/>
        <v>0</v>
      </c>
      <c r="H377" s="855">
        <f t="shared" si="60"/>
        <v>0</v>
      </c>
      <c r="I377" s="855">
        <f t="shared" si="58"/>
        <v>0</v>
      </c>
      <c r="J377" s="877"/>
      <c r="K377" s="843"/>
    </row>
    <row r="378" spans="1:11">
      <c r="A378" s="812">
        <f>IF(Values_Entered,A377+1,"")</f>
        <v>354</v>
      </c>
      <c r="B378" s="879">
        <f t="shared" si="55"/>
        <v>55782</v>
      </c>
      <c r="C378" s="855">
        <f t="shared" si="61"/>
        <v>0</v>
      </c>
      <c r="D378" s="855">
        <f t="shared" si="62"/>
        <v>32413.313177607219</v>
      </c>
      <c r="E378" s="856">
        <f t="shared" si="56"/>
        <v>0</v>
      </c>
      <c r="F378" s="857">
        <f t="shared" si="57"/>
        <v>0</v>
      </c>
      <c r="G378" s="855">
        <f t="shared" si="59"/>
        <v>0</v>
      </c>
      <c r="H378" s="855">
        <f t="shared" si="60"/>
        <v>0</v>
      </c>
      <c r="I378" s="855">
        <f t="shared" si="58"/>
        <v>0</v>
      </c>
      <c r="J378" s="877"/>
      <c r="K378" s="843"/>
    </row>
    <row r="379" spans="1:11">
      <c r="A379" s="812">
        <f>IF(Values_Entered,A378+1,"")</f>
        <v>355</v>
      </c>
      <c r="B379" s="879">
        <f t="shared" si="55"/>
        <v>55812</v>
      </c>
      <c r="C379" s="855">
        <f t="shared" si="61"/>
        <v>0</v>
      </c>
      <c r="D379" s="855">
        <f t="shared" si="62"/>
        <v>32413.313177607219</v>
      </c>
      <c r="E379" s="856">
        <f t="shared" si="56"/>
        <v>0</v>
      </c>
      <c r="F379" s="857">
        <f t="shared" si="57"/>
        <v>0</v>
      </c>
      <c r="G379" s="855">
        <f t="shared" si="59"/>
        <v>0</v>
      </c>
      <c r="H379" s="855">
        <f t="shared" si="60"/>
        <v>0</v>
      </c>
      <c r="I379" s="855">
        <f t="shared" si="58"/>
        <v>0</v>
      </c>
      <c r="J379" s="877"/>
      <c r="K379" s="843"/>
    </row>
    <row r="380" spans="1:11">
      <c r="A380" s="812">
        <f>IF(Values_Entered,A379+1,"")</f>
        <v>356</v>
      </c>
      <c r="B380" s="879">
        <f t="shared" si="55"/>
        <v>55843</v>
      </c>
      <c r="C380" s="855">
        <f t="shared" si="61"/>
        <v>0</v>
      </c>
      <c r="D380" s="855">
        <f t="shared" si="62"/>
        <v>32413.313177607219</v>
      </c>
      <c r="E380" s="856">
        <f t="shared" si="56"/>
        <v>0</v>
      </c>
      <c r="F380" s="857">
        <f t="shared" si="57"/>
        <v>0</v>
      </c>
      <c r="G380" s="855">
        <f t="shared" si="59"/>
        <v>0</v>
      </c>
      <c r="H380" s="855">
        <f t="shared" si="60"/>
        <v>0</v>
      </c>
      <c r="I380" s="855">
        <f t="shared" si="58"/>
        <v>0</v>
      </c>
      <c r="J380" s="877"/>
      <c r="K380" s="843"/>
    </row>
    <row r="381" spans="1:11">
      <c r="A381" s="812">
        <f>IF(Values_Entered,A380+1,"")</f>
        <v>357</v>
      </c>
      <c r="B381" s="879">
        <f t="shared" si="55"/>
        <v>55873</v>
      </c>
      <c r="C381" s="855">
        <f t="shared" si="61"/>
        <v>0</v>
      </c>
      <c r="D381" s="855">
        <f t="shared" si="62"/>
        <v>32413.313177607219</v>
      </c>
      <c r="E381" s="856">
        <f t="shared" si="56"/>
        <v>0</v>
      </c>
      <c r="F381" s="857">
        <f t="shared" si="57"/>
        <v>0</v>
      </c>
      <c r="G381" s="855">
        <f t="shared" si="59"/>
        <v>0</v>
      </c>
      <c r="H381" s="855">
        <f t="shared" si="60"/>
        <v>0</v>
      </c>
      <c r="I381" s="855">
        <f t="shared" si="58"/>
        <v>0</v>
      </c>
      <c r="J381" s="877"/>
      <c r="K381" s="843"/>
    </row>
    <row r="382" spans="1:11">
      <c r="A382" s="812">
        <f>IF(Values_Entered,A381+1,"")</f>
        <v>358</v>
      </c>
      <c r="B382" s="879">
        <f t="shared" si="55"/>
        <v>55904</v>
      </c>
      <c r="C382" s="855">
        <f t="shared" si="61"/>
        <v>0</v>
      </c>
      <c r="D382" s="855">
        <f t="shared" si="62"/>
        <v>32413.313177607219</v>
      </c>
      <c r="E382" s="856">
        <f t="shared" si="56"/>
        <v>0</v>
      </c>
      <c r="F382" s="857">
        <f t="shared" si="57"/>
        <v>0</v>
      </c>
      <c r="G382" s="855">
        <f t="shared" si="59"/>
        <v>0</v>
      </c>
      <c r="H382" s="855">
        <f t="shared" si="60"/>
        <v>0</v>
      </c>
      <c r="I382" s="855">
        <f t="shared" si="58"/>
        <v>0</v>
      </c>
      <c r="J382" s="877"/>
      <c r="K382" s="843"/>
    </row>
    <row r="383" spans="1:11">
      <c r="A383" s="812">
        <f>IF(Values_Entered,A382+1,"")</f>
        <v>359</v>
      </c>
      <c r="B383" s="879">
        <f t="shared" si="55"/>
        <v>55935</v>
      </c>
      <c r="C383" s="855">
        <f t="shared" si="61"/>
        <v>0</v>
      </c>
      <c r="D383" s="855">
        <f t="shared" si="62"/>
        <v>32413.313177607219</v>
      </c>
      <c r="E383" s="856">
        <f t="shared" si="56"/>
        <v>0</v>
      </c>
      <c r="F383" s="857">
        <f t="shared" si="57"/>
        <v>0</v>
      </c>
      <c r="G383" s="855">
        <f t="shared" si="59"/>
        <v>0</v>
      </c>
      <c r="H383" s="855">
        <f t="shared" si="60"/>
        <v>0</v>
      </c>
      <c r="I383" s="855">
        <f t="shared" si="58"/>
        <v>0</v>
      </c>
      <c r="J383" s="877"/>
      <c r="K383" s="843"/>
    </row>
    <row r="384" spans="1:11">
      <c r="A384" s="812">
        <f>IF(Values_Entered,A383+1,"")</f>
        <v>360</v>
      </c>
      <c r="B384" s="879">
        <f t="shared" si="55"/>
        <v>55963</v>
      </c>
      <c r="C384" s="855">
        <f t="shared" si="61"/>
        <v>0</v>
      </c>
      <c r="D384" s="855">
        <f t="shared" si="62"/>
        <v>32413.313177607219</v>
      </c>
      <c r="E384" s="856">
        <f t="shared" si="56"/>
        <v>0</v>
      </c>
      <c r="F384" s="857">
        <f t="shared" si="57"/>
        <v>0</v>
      </c>
      <c r="G384" s="855">
        <f t="shared" si="59"/>
        <v>0</v>
      </c>
      <c r="H384" s="855">
        <f t="shared" si="60"/>
        <v>0</v>
      </c>
      <c r="I384" s="855">
        <f t="shared" si="58"/>
        <v>0</v>
      </c>
      <c r="J384" s="877"/>
      <c r="K384" s="843"/>
    </row>
    <row r="385" spans="1:9">
      <c r="A385" s="787"/>
      <c r="B385" s="787"/>
      <c r="C385" s="787"/>
      <c r="D385" s="787"/>
      <c r="E385" s="787"/>
      <c r="G385" s="787"/>
      <c r="H385" s="787"/>
      <c r="I385" s="787"/>
    </row>
  </sheetData>
  <sheetProtection password="CC2E" sheet="1" selectLockedCells="1"/>
  <mergeCells count="4">
    <mergeCell ref="H2:J2"/>
    <mergeCell ref="G7:I8"/>
    <mergeCell ref="B13:D13"/>
    <mergeCell ref="F13:H13"/>
  </mergeCells>
  <conditionalFormatting sqref="A25:D384">
    <cfRule type="expression" dxfId="5" priority="2" stopIfTrue="1">
      <formula>IF(ROW(A25)=Last_Row,TRUE, FALSE)</formula>
    </cfRule>
    <cfRule type="expression" dxfId="4" priority="3" stopIfTrue="1">
      <formula>IF(ROW(A25)&lt;Last_Row,TRUE, FALSE)</formula>
    </cfRule>
  </conditionalFormatting>
  <conditionalFormatting sqref="A25:J384">
    <cfRule type="expression" dxfId="3" priority="1" stopIfTrue="1">
      <formula>IF(ROW(A25)&gt;Last_Row,TRUE, FALSE)</formula>
    </cfRule>
  </conditionalFormatting>
  <conditionalFormatting sqref="E25:E384">
    <cfRule type="expression" dxfId="2" priority="8" stopIfTrue="1">
      <formula>IF(ROW(E25)=Last_Row,TRUE, FALSE)</formula>
    </cfRule>
  </conditionalFormatting>
  <conditionalFormatting sqref="F25:J384">
    <cfRule type="expression" dxfId="1" priority="5" stopIfTrue="1">
      <formula>IF(ROW(F25)=Last_Row,TRUE, FALSE)</formula>
    </cfRule>
    <cfRule type="expression" dxfId="0" priority="6" stopIfTrue="1">
      <formula>IF(ROW(F25)&lt;=Last_Row,TRUE, FALSE)</formula>
    </cfRule>
  </conditionalFormatting>
  <dataValidations count="3">
    <dataValidation allowBlank="1" showInputMessage="1" showErrorMessage="1" promptTitle="Extra Payments" prompt="Enter an amount here if you want to make additional principal payments every pay period._x000a__x000a_For occasional extra payments, enter the extra principal amounts directly in the 'Extra Payment' column below." sqref="D19 IP19 SL19 ACH19 AMD19 AVZ19 BFV19 BPR19 BZN19 CJJ19 CTF19 DDB19 DMX19 DWT19 EGP19 EQL19 FAH19 FKD19 FTZ19 GDV19 GNR19 GXN19 HHJ19 HRF19 IBB19 IKX19 IUT19 JEP19 JOL19 JYH19 KID19 KRZ19 LBV19 LLR19 LVN19 MFJ19 MPF19 MZB19 NIX19 NST19 OCP19 OML19 OWH19 PGD19 PPZ19 PZV19 QJR19 QTN19 RDJ19 RNF19 RXB19 SGX19 SQT19 TAP19 TKL19 TUH19 UED19 UNZ19 UXV19 VHR19 VRN19 WBJ19 WLF19 WVB19 D65555 IP65555 SL65555 ACH65555 AMD65555 AVZ65555 BFV65555 BPR65555 BZN65555 CJJ65555 CTF65555 DDB65555 DMX65555 DWT65555 EGP65555 EQL65555 FAH65555 FKD65555 FTZ65555 GDV65555 GNR65555 GXN65555 HHJ65555 HRF65555 IBB65555 IKX65555 IUT65555 JEP65555 JOL65555 JYH65555 KID65555 KRZ65555 LBV65555 LLR65555 LVN65555 MFJ65555 MPF65555 MZB65555 NIX65555 NST65555 OCP65555 OML65555 OWH65555 PGD65555 PPZ65555 PZV65555 QJR65555 QTN65555 RDJ65555 RNF65555 RXB65555 SGX65555 SQT65555 TAP65555 TKL65555 TUH65555 UED65555 UNZ65555 UXV65555 VHR65555 VRN65555 WBJ65555 WLF65555 WVB65555 D131091 IP131091 SL131091 ACH131091 AMD131091 AVZ131091 BFV131091 BPR131091 BZN131091 CJJ131091 CTF131091 DDB131091 DMX131091 DWT131091 EGP131091 EQL131091 FAH131091 FKD131091 FTZ131091 GDV131091 GNR131091 GXN131091 HHJ131091 HRF131091 IBB131091 IKX131091 IUT131091 JEP131091 JOL131091 JYH131091 KID131091 KRZ131091 LBV131091 LLR131091 LVN131091 MFJ131091 MPF131091 MZB131091 NIX131091 NST131091 OCP131091 OML131091 OWH131091 PGD131091 PPZ131091 PZV131091 QJR131091 QTN131091 RDJ131091 RNF131091 RXB131091 SGX131091 SQT131091 TAP131091 TKL131091 TUH131091 UED131091 UNZ131091 UXV131091 VHR131091 VRN131091 WBJ131091 WLF131091 WVB131091 D196627 IP196627 SL196627 ACH196627 AMD196627 AVZ196627 BFV196627 BPR196627 BZN196627 CJJ196627 CTF196627 DDB196627 DMX196627 DWT196627 EGP196627 EQL196627 FAH196627 FKD196627 FTZ196627 GDV196627 GNR196627 GXN196627 HHJ196627 HRF196627 IBB196627 IKX196627 IUT196627 JEP196627 JOL196627 JYH196627 KID196627 KRZ196627 LBV196627 LLR196627 LVN196627 MFJ196627 MPF196627 MZB196627 NIX196627 NST196627 OCP196627 OML196627 OWH196627 PGD196627 PPZ196627 PZV196627 QJR196627 QTN196627 RDJ196627 RNF196627 RXB196627 SGX196627 SQT196627 TAP196627 TKL196627 TUH196627 UED196627 UNZ196627 UXV196627 VHR196627 VRN196627 WBJ196627 WLF196627 WVB196627 D262163 IP262163 SL262163 ACH262163 AMD262163 AVZ262163 BFV262163 BPR262163 BZN262163 CJJ262163 CTF262163 DDB262163 DMX262163 DWT262163 EGP262163 EQL262163 FAH262163 FKD262163 FTZ262163 GDV262163 GNR262163 GXN262163 HHJ262163 HRF262163 IBB262163 IKX262163 IUT262163 JEP262163 JOL262163 JYH262163 KID262163 KRZ262163 LBV262163 LLR262163 LVN262163 MFJ262163 MPF262163 MZB262163 NIX262163 NST262163 OCP262163 OML262163 OWH262163 PGD262163 PPZ262163 PZV262163 QJR262163 QTN262163 RDJ262163 RNF262163 RXB262163 SGX262163 SQT262163 TAP262163 TKL262163 TUH262163 UED262163 UNZ262163 UXV262163 VHR262163 VRN262163 WBJ262163 WLF262163 WVB262163 D327699 IP327699 SL327699 ACH327699 AMD327699 AVZ327699 BFV327699 BPR327699 BZN327699 CJJ327699 CTF327699 DDB327699 DMX327699 DWT327699 EGP327699 EQL327699 FAH327699 FKD327699 FTZ327699 GDV327699 GNR327699 GXN327699 HHJ327699 HRF327699 IBB327699 IKX327699 IUT327699 JEP327699 JOL327699 JYH327699 KID327699 KRZ327699 LBV327699 LLR327699 LVN327699 MFJ327699 MPF327699 MZB327699 NIX327699 NST327699 OCP327699 OML327699 OWH327699 PGD327699 PPZ327699 PZV327699 QJR327699 QTN327699 RDJ327699 RNF327699 RXB327699 SGX327699 SQT327699 TAP327699 TKL327699 TUH327699 UED327699 UNZ327699 UXV327699 VHR327699 VRN327699 WBJ327699 WLF327699 WVB327699 D393235 IP393235 SL393235 ACH393235 AMD393235 AVZ393235 BFV393235 BPR393235 BZN393235 CJJ393235 CTF393235 DDB393235 DMX393235 DWT393235 EGP393235 EQL393235 FAH393235 FKD393235 FTZ393235 GDV393235 GNR393235 GXN393235 HHJ393235 HRF393235 IBB393235 IKX393235 IUT393235 JEP393235 JOL393235 JYH393235 KID393235 KRZ393235 LBV393235 LLR393235 LVN393235 MFJ393235 MPF393235 MZB393235 NIX393235 NST393235 OCP393235 OML393235 OWH393235 PGD393235 PPZ393235 PZV393235 QJR393235 QTN393235 RDJ393235 RNF393235 RXB393235 SGX393235 SQT393235 TAP393235 TKL393235 TUH393235 UED393235 UNZ393235 UXV393235 VHR393235 VRN393235 WBJ393235 WLF393235 WVB393235 D458771 IP458771 SL458771 ACH458771 AMD458771 AVZ458771 BFV458771 BPR458771 BZN458771 CJJ458771 CTF458771 DDB458771 DMX458771 DWT458771 EGP458771 EQL458771 FAH458771 FKD458771 FTZ458771 GDV458771 GNR458771 GXN458771 HHJ458771 HRF458771 IBB458771 IKX458771 IUT458771 JEP458771 JOL458771 JYH458771 KID458771 KRZ458771 LBV458771 LLR458771 LVN458771 MFJ458771 MPF458771 MZB458771 NIX458771 NST458771 OCP458771 OML458771 OWH458771 PGD458771 PPZ458771 PZV458771 QJR458771 QTN458771 RDJ458771 RNF458771 RXB458771 SGX458771 SQT458771 TAP458771 TKL458771 TUH458771 UED458771 UNZ458771 UXV458771 VHR458771 VRN458771 WBJ458771 WLF458771 WVB458771 D524307 IP524307 SL524307 ACH524307 AMD524307 AVZ524307 BFV524307 BPR524307 BZN524307 CJJ524307 CTF524307 DDB524307 DMX524307 DWT524307 EGP524307 EQL524307 FAH524307 FKD524307 FTZ524307 GDV524307 GNR524307 GXN524307 HHJ524307 HRF524307 IBB524307 IKX524307 IUT524307 JEP524307 JOL524307 JYH524307 KID524307 KRZ524307 LBV524307 LLR524307 LVN524307 MFJ524307 MPF524307 MZB524307 NIX524307 NST524307 OCP524307 OML524307 OWH524307 PGD524307 PPZ524307 PZV524307 QJR524307 QTN524307 RDJ524307 RNF524307 RXB524307 SGX524307 SQT524307 TAP524307 TKL524307 TUH524307 UED524307 UNZ524307 UXV524307 VHR524307 VRN524307 WBJ524307 WLF524307 WVB524307 D589843 IP589843 SL589843 ACH589843 AMD589843 AVZ589843 BFV589843 BPR589843 BZN589843 CJJ589843 CTF589843 DDB589843 DMX589843 DWT589843 EGP589843 EQL589843 FAH589843 FKD589843 FTZ589843 GDV589843 GNR589843 GXN589843 HHJ589843 HRF589843 IBB589843 IKX589843 IUT589843 JEP589843 JOL589843 JYH589843 KID589843 KRZ589843 LBV589843 LLR589843 LVN589843 MFJ589843 MPF589843 MZB589843 NIX589843 NST589843 OCP589843 OML589843 OWH589843 PGD589843 PPZ589843 PZV589843 QJR589843 QTN589843 RDJ589843 RNF589843 RXB589843 SGX589843 SQT589843 TAP589843 TKL589843 TUH589843 UED589843 UNZ589843 UXV589843 VHR589843 VRN589843 WBJ589843 WLF589843 WVB589843 D655379 IP655379 SL655379 ACH655379 AMD655379 AVZ655379 BFV655379 BPR655379 BZN655379 CJJ655379 CTF655379 DDB655379 DMX655379 DWT655379 EGP655379 EQL655379 FAH655379 FKD655379 FTZ655379 GDV655379 GNR655379 GXN655379 HHJ655379 HRF655379 IBB655379 IKX655379 IUT655379 JEP655379 JOL655379 JYH655379 KID655379 KRZ655379 LBV655379 LLR655379 LVN655379 MFJ655379 MPF655379 MZB655379 NIX655379 NST655379 OCP655379 OML655379 OWH655379 PGD655379 PPZ655379 PZV655379 QJR655379 QTN655379 RDJ655379 RNF655379 RXB655379 SGX655379 SQT655379 TAP655379 TKL655379 TUH655379 UED655379 UNZ655379 UXV655379 VHR655379 VRN655379 WBJ655379 WLF655379 WVB655379 D720915 IP720915 SL720915 ACH720915 AMD720915 AVZ720915 BFV720915 BPR720915 BZN720915 CJJ720915 CTF720915 DDB720915 DMX720915 DWT720915 EGP720915 EQL720915 FAH720915 FKD720915 FTZ720915 GDV720915 GNR720915 GXN720915 HHJ720915 HRF720915 IBB720915 IKX720915 IUT720915 JEP720915 JOL720915 JYH720915 KID720915 KRZ720915 LBV720915 LLR720915 LVN720915 MFJ720915 MPF720915 MZB720915 NIX720915 NST720915 OCP720915 OML720915 OWH720915 PGD720915 PPZ720915 PZV720915 QJR720915 QTN720915 RDJ720915 RNF720915 RXB720915 SGX720915 SQT720915 TAP720915 TKL720915 TUH720915 UED720915 UNZ720915 UXV720915 VHR720915 VRN720915 WBJ720915 WLF720915 WVB720915 D786451 IP786451 SL786451 ACH786451 AMD786451 AVZ786451 BFV786451 BPR786451 BZN786451 CJJ786451 CTF786451 DDB786451 DMX786451 DWT786451 EGP786451 EQL786451 FAH786451 FKD786451 FTZ786451 GDV786451 GNR786451 GXN786451 HHJ786451 HRF786451 IBB786451 IKX786451 IUT786451 JEP786451 JOL786451 JYH786451 KID786451 KRZ786451 LBV786451 LLR786451 LVN786451 MFJ786451 MPF786451 MZB786451 NIX786451 NST786451 OCP786451 OML786451 OWH786451 PGD786451 PPZ786451 PZV786451 QJR786451 QTN786451 RDJ786451 RNF786451 RXB786451 SGX786451 SQT786451 TAP786451 TKL786451 TUH786451 UED786451 UNZ786451 UXV786451 VHR786451 VRN786451 WBJ786451 WLF786451 WVB786451 D851987 IP851987 SL851987 ACH851987 AMD851987 AVZ851987 BFV851987 BPR851987 BZN851987 CJJ851987 CTF851987 DDB851987 DMX851987 DWT851987 EGP851987 EQL851987 FAH851987 FKD851987 FTZ851987 GDV851987 GNR851987 GXN851987 HHJ851987 HRF851987 IBB851987 IKX851987 IUT851987 JEP851987 JOL851987 JYH851987 KID851987 KRZ851987 LBV851987 LLR851987 LVN851987 MFJ851987 MPF851987 MZB851987 NIX851987 NST851987 OCP851987 OML851987 OWH851987 PGD851987 PPZ851987 PZV851987 QJR851987 QTN851987 RDJ851987 RNF851987 RXB851987 SGX851987 SQT851987 TAP851987 TKL851987 TUH851987 UED851987 UNZ851987 UXV851987 VHR851987 VRN851987 WBJ851987 WLF851987 WVB851987 D917523 IP917523 SL917523 ACH917523 AMD917523 AVZ917523 BFV917523 BPR917523 BZN917523 CJJ917523 CTF917523 DDB917523 DMX917523 DWT917523 EGP917523 EQL917523 FAH917523 FKD917523 FTZ917523 GDV917523 GNR917523 GXN917523 HHJ917523 HRF917523 IBB917523 IKX917523 IUT917523 JEP917523 JOL917523 JYH917523 KID917523 KRZ917523 LBV917523 LLR917523 LVN917523 MFJ917523 MPF917523 MZB917523 NIX917523 NST917523 OCP917523 OML917523 OWH917523 PGD917523 PPZ917523 PZV917523 QJR917523 QTN917523 RDJ917523 RNF917523 RXB917523 SGX917523 SQT917523 TAP917523 TKL917523 TUH917523 UED917523 UNZ917523 UXV917523 VHR917523 VRN917523 WBJ917523 WLF917523 WVB917523 D983059 IP983059 SL983059 ACH983059 AMD983059 AVZ983059 BFV983059 BPR983059 BZN983059 CJJ983059 CTF983059 DDB983059 DMX983059 DWT983059 EGP983059 EQL983059 FAH983059 FKD983059 FTZ983059 GDV983059 GNR983059 GXN983059 HHJ983059 HRF983059 IBB983059 IKX983059 IUT983059 JEP983059 JOL983059 JYH983059 KID983059 KRZ983059 LBV983059 LLR983059 LVN983059 MFJ983059 MPF983059 MZB983059 NIX983059 NST983059 OCP983059 OML983059 OWH983059 PGD983059 PPZ983059 PZV983059 QJR983059 QTN983059 RDJ983059 RNF983059 RXB983059 SGX983059 SQT983059 TAP983059 TKL983059 TUH983059 UED983059 UNZ983059 UXV983059 VHR983059 VRN983059 WBJ983059 WLF983059 WVB983059" xr:uid="{00000000-0002-0000-0100-000000000000}"/>
    <dataValidation type="date" operator="greaterThanOrEqual" allowBlank="1" showInputMessage="1" showErrorMessage="1" errorTitle="Date" error="Please enter a valid date greater than or equal to January 1, 1900." sqref="D17:D18 IP17:IP18 SL17:SL18 ACH17:ACH18 AMD17:AMD18 AVZ17:AVZ18 BFV17:BFV18 BPR17:BPR18 BZN17:BZN18 CJJ17:CJJ18 CTF17:CTF18 DDB17:DDB18 DMX17:DMX18 DWT17:DWT18 EGP17:EGP18 EQL17:EQL18 FAH17:FAH18 FKD17:FKD18 FTZ17:FTZ18 GDV17:GDV18 GNR17:GNR18 GXN17:GXN18 HHJ17:HHJ18 HRF17:HRF18 IBB17:IBB18 IKX17:IKX18 IUT17:IUT18 JEP17:JEP18 JOL17:JOL18 JYH17:JYH18 KID17:KID18 KRZ17:KRZ18 LBV17:LBV18 LLR17:LLR18 LVN17:LVN18 MFJ17:MFJ18 MPF17:MPF18 MZB17:MZB18 NIX17:NIX18 NST17:NST18 OCP17:OCP18 OML17:OML18 OWH17:OWH18 PGD17:PGD18 PPZ17:PPZ18 PZV17:PZV18 QJR17:QJR18 QTN17:QTN18 RDJ17:RDJ18 RNF17:RNF18 RXB17:RXB18 SGX17:SGX18 SQT17:SQT18 TAP17:TAP18 TKL17:TKL18 TUH17:TUH18 UED17:UED18 UNZ17:UNZ18 UXV17:UXV18 VHR17:VHR18 VRN17:VRN18 WBJ17:WBJ18 WLF17:WLF18 WVB17:WVB18 D65553:D65554 IP65553:IP65554 SL65553:SL65554 ACH65553:ACH65554 AMD65553:AMD65554 AVZ65553:AVZ65554 BFV65553:BFV65554 BPR65553:BPR65554 BZN65553:BZN65554 CJJ65553:CJJ65554 CTF65553:CTF65554 DDB65553:DDB65554 DMX65553:DMX65554 DWT65553:DWT65554 EGP65553:EGP65554 EQL65553:EQL65554 FAH65553:FAH65554 FKD65553:FKD65554 FTZ65553:FTZ65554 GDV65553:GDV65554 GNR65553:GNR65554 GXN65553:GXN65554 HHJ65553:HHJ65554 HRF65553:HRF65554 IBB65553:IBB65554 IKX65553:IKX65554 IUT65553:IUT65554 JEP65553:JEP65554 JOL65553:JOL65554 JYH65553:JYH65554 KID65553:KID65554 KRZ65553:KRZ65554 LBV65553:LBV65554 LLR65553:LLR65554 LVN65553:LVN65554 MFJ65553:MFJ65554 MPF65553:MPF65554 MZB65553:MZB65554 NIX65553:NIX65554 NST65553:NST65554 OCP65553:OCP65554 OML65553:OML65554 OWH65553:OWH65554 PGD65553:PGD65554 PPZ65553:PPZ65554 PZV65553:PZV65554 QJR65553:QJR65554 QTN65553:QTN65554 RDJ65553:RDJ65554 RNF65553:RNF65554 RXB65553:RXB65554 SGX65553:SGX65554 SQT65553:SQT65554 TAP65553:TAP65554 TKL65553:TKL65554 TUH65553:TUH65554 UED65553:UED65554 UNZ65553:UNZ65554 UXV65553:UXV65554 VHR65553:VHR65554 VRN65553:VRN65554 WBJ65553:WBJ65554 WLF65553:WLF65554 WVB65553:WVB65554 D131089:D131090 IP131089:IP131090 SL131089:SL131090 ACH131089:ACH131090 AMD131089:AMD131090 AVZ131089:AVZ131090 BFV131089:BFV131090 BPR131089:BPR131090 BZN131089:BZN131090 CJJ131089:CJJ131090 CTF131089:CTF131090 DDB131089:DDB131090 DMX131089:DMX131090 DWT131089:DWT131090 EGP131089:EGP131090 EQL131089:EQL131090 FAH131089:FAH131090 FKD131089:FKD131090 FTZ131089:FTZ131090 GDV131089:GDV131090 GNR131089:GNR131090 GXN131089:GXN131090 HHJ131089:HHJ131090 HRF131089:HRF131090 IBB131089:IBB131090 IKX131089:IKX131090 IUT131089:IUT131090 JEP131089:JEP131090 JOL131089:JOL131090 JYH131089:JYH131090 KID131089:KID131090 KRZ131089:KRZ131090 LBV131089:LBV131090 LLR131089:LLR131090 LVN131089:LVN131090 MFJ131089:MFJ131090 MPF131089:MPF131090 MZB131089:MZB131090 NIX131089:NIX131090 NST131089:NST131090 OCP131089:OCP131090 OML131089:OML131090 OWH131089:OWH131090 PGD131089:PGD131090 PPZ131089:PPZ131090 PZV131089:PZV131090 QJR131089:QJR131090 QTN131089:QTN131090 RDJ131089:RDJ131090 RNF131089:RNF131090 RXB131089:RXB131090 SGX131089:SGX131090 SQT131089:SQT131090 TAP131089:TAP131090 TKL131089:TKL131090 TUH131089:TUH131090 UED131089:UED131090 UNZ131089:UNZ131090 UXV131089:UXV131090 VHR131089:VHR131090 VRN131089:VRN131090 WBJ131089:WBJ131090 WLF131089:WLF131090 WVB131089:WVB131090 D196625:D196626 IP196625:IP196626 SL196625:SL196626 ACH196625:ACH196626 AMD196625:AMD196626 AVZ196625:AVZ196626 BFV196625:BFV196626 BPR196625:BPR196626 BZN196625:BZN196626 CJJ196625:CJJ196626 CTF196625:CTF196626 DDB196625:DDB196626 DMX196625:DMX196626 DWT196625:DWT196626 EGP196625:EGP196626 EQL196625:EQL196626 FAH196625:FAH196626 FKD196625:FKD196626 FTZ196625:FTZ196626 GDV196625:GDV196626 GNR196625:GNR196626 GXN196625:GXN196626 HHJ196625:HHJ196626 HRF196625:HRF196626 IBB196625:IBB196626 IKX196625:IKX196626 IUT196625:IUT196626 JEP196625:JEP196626 JOL196625:JOL196626 JYH196625:JYH196626 KID196625:KID196626 KRZ196625:KRZ196626 LBV196625:LBV196626 LLR196625:LLR196626 LVN196625:LVN196626 MFJ196625:MFJ196626 MPF196625:MPF196626 MZB196625:MZB196626 NIX196625:NIX196626 NST196625:NST196626 OCP196625:OCP196626 OML196625:OML196626 OWH196625:OWH196626 PGD196625:PGD196626 PPZ196625:PPZ196626 PZV196625:PZV196626 QJR196625:QJR196626 QTN196625:QTN196626 RDJ196625:RDJ196626 RNF196625:RNF196626 RXB196625:RXB196626 SGX196625:SGX196626 SQT196625:SQT196626 TAP196625:TAP196626 TKL196625:TKL196626 TUH196625:TUH196626 UED196625:UED196626 UNZ196625:UNZ196626 UXV196625:UXV196626 VHR196625:VHR196626 VRN196625:VRN196626 WBJ196625:WBJ196626 WLF196625:WLF196626 WVB196625:WVB196626 D262161:D262162 IP262161:IP262162 SL262161:SL262162 ACH262161:ACH262162 AMD262161:AMD262162 AVZ262161:AVZ262162 BFV262161:BFV262162 BPR262161:BPR262162 BZN262161:BZN262162 CJJ262161:CJJ262162 CTF262161:CTF262162 DDB262161:DDB262162 DMX262161:DMX262162 DWT262161:DWT262162 EGP262161:EGP262162 EQL262161:EQL262162 FAH262161:FAH262162 FKD262161:FKD262162 FTZ262161:FTZ262162 GDV262161:GDV262162 GNR262161:GNR262162 GXN262161:GXN262162 HHJ262161:HHJ262162 HRF262161:HRF262162 IBB262161:IBB262162 IKX262161:IKX262162 IUT262161:IUT262162 JEP262161:JEP262162 JOL262161:JOL262162 JYH262161:JYH262162 KID262161:KID262162 KRZ262161:KRZ262162 LBV262161:LBV262162 LLR262161:LLR262162 LVN262161:LVN262162 MFJ262161:MFJ262162 MPF262161:MPF262162 MZB262161:MZB262162 NIX262161:NIX262162 NST262161:NST262162 OCP262161:OCP262162 OML262161:OML262162 OWH262161:OWH262162 PGD262161:PGD262162 PPZ262161:PPZ262162 PZV262161:PZV262162 QJR262161:QJR262162 QTN262161:QTN262162 RDJ262161:RDJ262162 RNF262161:RNF262162 RXB262161:RXB262162 SGX262161:SGX262162 SQT262161:SQT262162 TAP262161:TAP262162 TKL262161:TKL262162 TUH262161:TUH262162 UED262161:UED262162 UNZ262161:UNZ262162 UXV262161:UXV262162 VHR262161:VHR262162 VRN262161:VRN262162 WBJ262161:WBJ262162 WLF262161:WLF262162 WVB262161:WVB262162 D327697:D327698 IP327697:IP327698 SL327697:SL327698 ACH327697:ACH327698 AMD327697:AMD327698 AVZ327697:AVZ327698 BFV327697:BFV327698 BPR327697:BPR327698 BZN327697:BZN327698 CJJ327697:CJJ327698 CTF327697:CTF327698 DDB327697:DDB327698 DMX327697:DMX327698 DWT327697:DWT327698 EGP327697:EGP327698 EQL327697:EQL327698 FAH327697:FAH327698 FKD327697:FKD327698 FTZ327697:FTZ327698 GDV327697:GDV327698 GNR327697:GNR327698 GXN327697:GXN327698 HHJ327697:HHJ327698 HRF327697:HRF327698 IBB327697:IBB327698 IKX327697:IKX327698 IUT327697:IUT327698 JEP327697:JEP327698 JOL327697:JOL327698 JYH327697:JYH327698 KID327697:KID327698 KRZ327697:KRZ327698 LBV327697:LBV327698 LLR327697:LLR327698 LVN327697:LVN327698 MFJ327697:MFJ327698 MPF327697:MPF327698 MZB327697:MZB327698 NIX327697:NIX327698 NST327697:NST327698 OCP327697:OCP327698 OML327697:OML327698 OWH327697:OWH327698 PGD327697:PGD327698 PPZ327697:PPZ327698 PZV327697:PZV327698 QJR327697:QJR327698 QTN327697:QTN327698 RDJ327697:RDJ327698 RNF327697:RNF327698 RXB327697:RXB327698 SGX327697:SGX327698 SQT327697:SQT327698 TAP327697:TAP327698 TKL327697:TKL327698 TUH327697:TUH327698 UED327697:UED327698 UNZ327697:UNZ327698 UXV327697:UXV327698 VHR327697:VHR327698 VRN327697:VRN327698 WBJ327697:WBJ327698 WLF327697:WLF327698 WVB327697:WVB327698 D393233:D393234 IP393233:IP393234 SL393233:SL393234 ACH393233:ACH393234 AMD393233:AMD393234 AVZ393233:AVZ393234 BFV393233:BFV393234 BPR393233:BPR393234 BZN393233:BZN393234 CJJ393233:CJJ393234 CTF393233:CTF393234 DDB393233:DDB393234 DMX393233:DMX393234 DWT393233:DWT393234 EGP393233:EGP393234 EQL393233:EQL393234 FAH393233:FAH393234 FKD393233:FKD393234 FTZ393233:FTZ393234 GDV393233:GDV393234 GNR393233:GNR393234 GXN393233:GXN393234 HHJ393233:HHJ393234 HRF393233:HRF393234 IBB393233:IBB393234 IKX393233:IKX393234 IUT393233:IUT393234 JEP393233:JEP393234 JOL393233:JOL393234 JYH393233:JYH393234 KID393233:KID393234 KRZ393233:KRZ393234 LBV393233:LBV393234 LLR393233:LLR393234 LVN393233:LVN393234 MFJ393233:MFJ393234 MPF393233:MPF393234 MZB393233:MZB393234 NIX393233:NIX393234 NST393233:NST393234 OCP393233:OCP393234 OML393233:OML393234 OWH393233:OWH393234 PGD393233:PGD393234 PPZ393233:PPZ393234 PZV393233:PZV393234 QJR393233:QJR393234 QTN393233:QTN393234 RDJ393233:RDJ393234 RNF393233:RNF393234 RXB393233:RXB393234 SGX393233:SGX393234 SQT393233:SQT393234 TAP393233:TAP393234 TKL393233:TKL393234 TUH393233:TUH393234 UED393233:UED393234 UNZ393233:UNZ393234 UXV393233:UXV393234 VHR393233:VHR393234 VRN393233:VRN393234 WBJ393233:WBJ393234 WLF393233:WLF393234 WVB393233:WVB393234 D458769:D458770 IP458769:IP458770 SL458769:SL458770 ACH458769:ACH458770 AMD458769:AMD458770 AVZ458769:AVZ458770 BFV458769:BFV458770 BPR458769:BPR458770 BZN458769:BZN458770 CJJ458769:CJJ458770 CTF458769:CTF458770 DDB458769:DDB458770 DMX458769:DMX458770 DWT458769:DWT458770 EGP458769:EGP458770 EQL458769:EQL458770 FAH458769:FAH458770 FKD458769:FKD458770 FTZ458769:FTZ458770 GDV458769:GDV458770 GNR458769:GNR458770 GXN458769:GXN458770 HHJ458769:HHJ458770 HRF458769:HRF458770 IBB458769:IBB458770 IKX458769:IKX458770 IUT458769:IUT458770 JEP458769:JEP458770 JOL458769:JOL458770 JYH458769:JYH458770 KID458769:KID458770 KRZ458769:KRZ458770 LBV458769:LBV458770 LLR458769:LLR458770 LVN458769:LVN458770 MFJ458769:MFJ458770 MPF458769:MPF458770 MZB458769:MZB458770 NIX458769:NIX458770 NST458769:NST458770 OCP458769:OCP458770 OML458769:OML458770 OWH458769:OWH458770 PGD458769:PGD458770 PPZ458769:PPZ458770 PZV458769:PZV458770 QJR458769:QJR458770 QTN458769:QTN458770 RDJ458769:RDJ458770 RNF458769:RNF458770 RXB458769:RXB458770 SGX458769:SGX458770 SQT458769:SQT458770 TAP458769:TAP458770 TKL458769:TKL458770 TUH458769:TUH458770 UED458769:UED458770 UNZ458769:UNZ458770 UXV458769:UXV458770 VHR458769:VHR458770 VRN458769:VRN458770 WBJ458769:WBJ458770 WLF458769:WLF458770 WVB458769:WVB458770 D524305:D524306 IP524305:IP524306 SL524305:SL524306 ACH524305:ACH524306 AMD524305:AMD524306 AVZ524305:AVZ524306 BFV524305:BFV524306 BPR524305:BPR524306 BZN524305:BZN524306 CJJ524305:CJJ524306 CTF524305:CTF524306 DDB524305:DDB524306 DMX524305:DMX524306 DWT524305:DWT524306 EGP524305:EGP524306 EQL524305:EQL524306 FAH524305:FAH524306 FKD524305:FKD524306 FTZ524305:FTZ524306 GDV524305:GDV524306 GNR524305:GNR524306 GXN524305:GXN524306 HHJ524305:HHJ524306 HRF524305:HRF524306 IBB524305:IBB524306 IKX524305:IKX524306 IUT524305:IUT524306 JEP524305:JEP524306 JOL524305:JOL524306 JYH524305:JYH524306 KID524305:KID524306 KRZ524305:KRZ524306 LBV524305:LBV524306 LLR524305:LLR524306 LVN524305:LVN524306 MFJ524305:MFJ524306 MPF524305:MPF524306 MZB524305:MZB524306 NIX524305:NIX524306 NST524305:NST524306 OCP524305:OCP524306 OML524305:OML524306 OWH524305:OWH524306 PGD524305:PGD524306 PPZ524305:PPZ524306 PZV524305:PZV524306 QJR524305:QJR524306 QTN524305:QTN524306 RDJ524305:RDJ524306 RNF524305:RNF524306 RXB524305:RXB524306 SGX524305:SGX524306 SQT524305:SQT524306 TAP524305:TAP524306 TKL524305:TKL524306 TUH524305:TUH524306 UED524305:UED524306 UNZ524305:UNZ524306 UXV524305:UXV524306 VHR524305:VHR524306 VRN524305:VRN524306 WBJ524305:WBJ524306 WLF524305:WLF524306 WVB524305:WVB524306 D589841:D589842 IP589841:IP589842 SL589841:SL589842 ACH589841:ACH589842 AMD589841:AMD589842 AVZ589841:AVZ589842 BFV589841:BFV589842 BPR589841:BPR589842 BZN589841:BZN589842 CJJ589841:CJJ589842 CTF589841:CTF589842 DDB589841:DDB589842 DMX589841:DMX589842 DWT589841:DWT589842 EGP589841:EGP589842 EQL589841:EQL589842 FAH589841:FAH589842 FKD589841:FKD589842 FTZ589841:FTZ589842 GDV589841:GDV589842 GNR589841:GNR589842 GXN589841:GXN589842 HHJ589841:HHJ589842 HRF589841:HRF589842 IBB589841:IBB589842 IKX589841:IKX589842 IUT589841:IUT589842 JEP589841:JEP589842 JOL589841:JOL589842 JYH589841:JYH589842 KID589841:KID589842 KRZ589841:KRZ589842 LBV589841:LBV589842 LLR589841:LLR589842 LVN589841:LVN589842 MFJ589841:MFJ589842 MPF589841:MPF589842 MZB589841:MZB589842 NIX589841:NIX589842 NST589841:NST589842 OCP589841:OCP589842 OML589841:OML589842 OWH589841:OWH589842 PGD589841:PGD589842 PPZ589841:PPZ589842 PZV589841:PZV589842 QJR589841:QJR589842 QTN589841:QTN589842 RDJ589841:RDJ589842 RNF589841:RNF589842 RXB589841:RXB589842 SGX589841:SGX589842 SQT589841:SQT589842 TAP589841:TAP589842 TKL589841:TKL589842 TUH589841:TUH589842 UED589841:UED589842 UNZ589841:UNZ589842 UXV589841:UXV589842 VHR589841:VHR589842 VRN589841:VRN589842 WBJ589841:WBJ589842 WLF589841:WLF589842 WVB589841:WVB589842 D655377:D655378 IP655377:IP655378 SL655377:SL655378 ACH655377:ACH655378 AMD655377:AMD655378 AVZ655377:AVZ655378 BFV655377:BFV655378 BPR655377:BPR655378 BZN655377:BZN655378 CJJ655377:CJJ655378 CTF655377:CTF655378 DDB655377:DDB655378 DMX655377:DMX655378 DWT655377:DWT655378 EGP655377:EGP655378 EQL655377:EQL655378 FAH655377:FAH655378 FKD655377:FKD655378 FTZ655377:FTZ655378 GDV655377:GDV655378 GNR655377:GNR655378 GXN655377:GXN655378 HHJ655377:HHJ655378 HRF655377:HRF655378 IBB655377:IBB655378 IKX655377:IKX655378 IUT655377:IUT655378 JEP655377:JEP655378 JOL655377:JOL655378 JYH655377:JYH655378 KID655377:KID655378 KRZ655377:KRZ655378 LBV655377:LBV655378 LLR655377:LLR655378 LVN655377:LVN655378 MFJ655377:MFJ655378 MPF655377:MPF655378 MZB655377:MZB655378 NIX655377:NIX655378 NST655377:NST655378 OCP655377:OCP655378 OML655377:OML655378 OWH655377:OWH655378 PGD655377:PGD655378 PPZ655377:PPZ655378 PZV655377:PZV655378 QJR655377:QJR655378 QTN655377:QTN655378 RDJ655377:RDJ655378 RNF655377:RNF655378 RXB655377:RXB655378 SGX655377:SGX655378 SQT655377:SQT655378 TAP655377:TAP655378 TKL655377:TKL655378 TUH655377:TUH655378 UED655377:UED655378 UNZ655377:UNZ655378 UXV655377:UXV655378 VHR655377:VHR655378 VRN655377:VRN655378 WBJ655377:WBJ655378 WLF655377:WLF655378 WVB655377:WVB655378 D720913:D720914 IP720913:IP720914 SL720913:SL720914 ACH720913:ACH720914 AMD720913:AMD720914 AVZ720913:AVZ720914 BFV720913:BFV720914 BPR720913:BPR720914 BZN720913:BZN720914 CJJ720913:CJJ720914 CTF720913:CTF720914 DDB720913:DDB720914 DMX720913:DMX720914 DWT720913:DWT720914 EGP720913:EGP720914 EQL720913:EQL720914 FAH720913:FAH720914 FKD720913:FKD720914 FTZ720913:FTZ720914 GDV720913:GDV720914 GNR720913:GNR720914 GXN720913:GXN720914 HHJ720913:HHJ720914 HRF720913:HRF720914 IBB720913:IBB720914 IKX720913:IKX720914 IUT720913:IUT720914 JEP720913:JEP720914 JOL720913:JOL720914 JYH720913:JYH720914 KID720913:KID720914 KRZ720913:KRZ720914 LBV720913:LBV720914 LLR720913:LLR720914 LVN720913:LVN720914 MFJ720913:MFJ720914 MPF720913:MPF720914 MZB720913:MZB720914 NIX720913:NIX720914 NST720913:NST720914 OCP720913:OCP720914 OML720913:OML720914 OWH720913:OWH720914 PGD720913:PGD720914 PPZ720913:PPZ720914 PZV720913:PZV720914 QJR720913:QJR720914 QTN720913:QTN720914 RDJ720913:RDJ720914 RNF720913:RNF720914 RXB720913:RXB720914 SGX720913:SGX720914 SQT720913:SQT720914 TAP720913:TAP720914 TKL720913:TKL720914 TUH720913:TUH720914 UED720913:UED720914 UNZ720913:UNZ720914 UXV720913:UXV720914 VHR720913:VHR720914 VRN720913:VRN720914 WBJ720913:WBJ720914 WLF720913:WLF720914 WVB720913:WVB720914 D786449:D786450 IP786449:IP786450 SL786449:SL786450 ACH786449:ACH786450 AMD786449:AMD786450 AVZ786449:AVZ786450 BFV786449:BFV786450 BPR786449:BPR786450 BZN786449:BZN786450 CJJ786449:CJJ786450 CTF786449:CTF786450 DDB786449:DDB786450 DMX786449:DMX786450 DWT786449:DWT786450 EGP786449:EGP786450 EQL786449:EQL786450 FAH786449:FAH786450 FKD786449:FKD786450 FTZ786449:FTZ786450 GDV786449:GDV786450 GNR786449:GNR786450 GXN786449:GXN786450 HHJ786449:HHJ786450 HRF786449:HRF786450 IBB786449:IBB786450 IKX786449:IKX786450 IUT786449:IUT786450 JEP786449:JEP786450 JOL786449:JOL786450 JYH786449:JYH786450 KID786449:KID786450 KRZ786449:KRZ786450 LBV786449:LBV786450 LLR786449:LLR786450 LVN786449:LVN786450 MFJ786449:MFJ786450 MPF786449:MPF786450 MZB786449:MZB786450 NIX786449:NIX786450 NST786449:NST786450 OCP786449:OCP786450 OML786449:OML786450 OWH786449:OWH786450 PGD786449:PGD786450 PPZ786449:PPZ786450 PZV786449:PZV786450 QJR786449:QJR786450 QTN786449:QTN786450 RDJ786449:RDJ786450 RNF786449:RNF786450 RXB786449:RXB786450 SGX786449:SGX786450 SQT786449:SQT786450 TAP786449:TAP786450 TKL786449:TKL786450 TUH786449:TUH786450 UED786449:UED786450 UNZ786449:UNZ786450 UXV786449:UXV786450 VHR786449:VHR786450 VRN786449:VRN786450 WBJ786449:WBJ786450 WLF786449:WLF786450 WVB786449:WVB786450 D851985:D851986 IP851985:IP851986 SL851985:SL851986 ACH851985:ACH851986 AMD851985:AMD851986 AVZ851985:AVZ851986 BFV851985:BFV851986 BPR851985:BPR851986 BZN851985:BZN851986 CJJ851985:CJJ851986 CTF851985:CTF851986 DDB851985:DDB851986 DMX851985:DMX851986 DWT851985:DWT851986 EGP851985:EGP851986 EQL851985:EQL851986 FAH851985:FAH851986 FKD851985:FKD851986 FTZ851985:FTZ851986 GDV851985:GDV851986 GNR851985:GNR851986 GXN851985:GXN851986 HHJ851985:HHJ851986 HRF851985:HRF851986 IBB851985:IBB851986 IKX851985:IKX851986 IUT851985:IUT851986 JEP851985:JEP851986 JOL851985:JOL851986 JYH851985:JYH851986 KID851985:KID851986 KRZ851985:KRZ851986 LBV851985:LBV851986 LLR851985:LLR851986 LVN851985:LVN851986 MFJ851985:MFJ851986 MPF851985:MPF851986 MZB851985:MZB851986 NIX851985:NIX851986 NST851985:NST851986 OCP851985:OCP851986 OML851985:OML851986 OWH851985:OWH851986 PGD851985:PGD851986 PPZ851985:PPZ851986 PZV851985:PZV851986 QJR851985:QJR851986 QTN851985:QTN851986 RDJ851985:RDJ851986 RNF851985:RNF851986 RXB851985:RXB851986 SGX851985:SGX851986 SQT851985:SQT851986 TAP851985:TAP851986 TKL851985:TKL851986 TUH851985:TUH851986 UED851985:UED851986 UNZ851985:UNZ851986 UXV851985:UXV851986 VHR851985:VHR851986 VRN851985:VRN851986 WBJ851985:WBJ851986 WLF851985:WLF851986 WVB851985:WVB851986 D917521:D917522 IP917521:IP917522 SL917521:SL917522 ACH917521:ACH917522 AMD917521:AMD917522 AVZ917521:AVZ917522 BFV917521:BFV917522 BPR917521:BPR917522 BZN917521:BZN917522 CJJ917521:CJJ917522 CTF917521:CTF917522 DDB917521:DDB917522 DMX917521:DMX917522 DWT917521:DWT917522 EGP917521:EGP917522 EQL917521:EQL917522 FAH917521:FAH917522 FKD917521:FKD917522 FTZ917521:FTZ917522 GDV917521:GDV917522 GNR917521:GNR917522 GXN917521:GXN917522 HHJ917521:HHJ917522 HRF917521:HRF917522 IBB917521:IBB917522 IKX917521:IKX917522 IUT917521:IUT917522 JEP917521:JEP917522 JOL917521:JOL917522 JYH917521:JYH917522 KID917521:KID917522 KRZ917521:KRZ917522 LBV917521:LBV917522 LLR917521:LLR917522 LVN917521:LVN917522 MFJ917521:MFJ917522 MPF917521:MPF917522 MZB917521:MZB917522 NIX917521:NIX917522 NST917521:NST917522 OCP917521:OCP917522 OML917521:OML917522 OWH917521:OWH917522 PGD917521:PGD917522 PPZ917521:PPZ917522 PZV917521:PZV917522 QJR917521:QJR917522 QTN917521:QTN917522 RDJ917521:RDJ917522 RNF917521:RNF917522 RXB917521:RXB917522 SGX917521:SGX917522 SQT917521:SQT917522 TAP917521:TAP917522 TKL917521:TKL917522 TUH917521:TUH917522 UED917521:UED917522 UNZ917521:UNZ917522 UXV917521:UXV917522 VHR917521:VHR917522 VRN917521:VRN917522 WBJ917521:WBJ917522 WLF917521:WLF917522 WVB917521:WVB917522 D983057:D983058 IP983057:IP983058 SL983057:SL983058 ACH983057:ACH983058 AMD983057:AMD983058 AVZ983057:AVZ983058 BFV983057:BFV983058 BPR983057:BPR983058 BZN983057:BZN983058 CJJ983057:CJJ983058 CTF983057:CTF983058 DDB983057:DDB983058 DMX983057:DMX983058 DWT983057:DWT983058 EGP983057:EGP983058 EQL983057:EQL983058 FAH983057:FAH983058 FKD983057:FKD983058 FTZ983057:FTZ983058 GDV983057:GDV983058 GNR983057:GNR983058 GXN983057:GXN983058 HHJ983057:HHJ983058 HRF983057:HRF983058 IBB983057:IBB983058 IKX983057:IKX983058 IUT983057:IUT983058 JEP983057:JEP983058 JOL983057:JOL983058 JYH983057:JYH983058 KID983057:KID983058 KRZ983057:KRZ983058 LBV983057:LBV983058 LLR983057:LLR983058 LVN983057:LVN983058 MFJ983057:MFJ983058 MPF983057:MPF983058 MZB983057:MZB983058 NIX983057:NIX983058 NST983057:NST983058 OCP983057:OCP983058 OML983057:OML983058 OWH983057:OWH983058 PGD983057:PGD983058 PPZ983057:PPZ983058 PZV983057:PZV983058 QJR983057:QJR983058 QTN983057:QTN983058 RDJ983057:RDJ983058 RNF983057:RNF983058 RXB983057:RXB983058 SGX983057:SGX983058 SQT983057:SQT983058 TAP983057:TAP983058 TKL983057:TKL983058 TUH983057:TUH983058 UED983057:UED983058 UNZ983057:UNZ983058 UXV983057:UXV983058 VHR983057:VHR983058 VRN983057:VRN983058 WBJ983057:WBJ983058 WLF983057:WLF983058 WVB983057:WVB983058" xr:uid="{00000000-0002-0000-0100-000001000000}">
      <formula1>1</formula1>
    </dataValidation>
    <dataValidation type="whole" allowBlank="1" showInputMessage="1" showErrorMessage="1" errorTitle="Years" error="Please enter a whole number of years from 1 to 30." sqref="D16 IP16 SL16 ACH16 AMD16 AVZ16 BFV16 BPR16 BZN16 CJJ16 CTF16 DDB16 DMX16 DWT16 EGP16 EQL16 FAH16 FKD16 FTZ16 GDV16 GNR16 GXN16 HHJ16 HRF16 IBB16 IKX16 IUT16 JEP16 JOL16 JYH16 KID16 KRZ16 LBV16 LLR16 LVN16 MFJ16 MPF16 MZB16 NIX16 NST16 OCP16 OML16 OWH16 PGD16 PPZ16 PZV16 QJR16 QTN16 RDJ16 RNF16 RXB16 SGX16 SQT16 TAP16 TKL16 TUH16 UED16 UNZ16 UXV16 VHR16 VRN16 WBJ16 WLF16 WVB16 D65552 IP65552 SL65552 ACH65552 AMD65552 AVZ65552 BFV65552 BPR65552 BZN65552 CJJ65552 CTF65552 DDB65552 DMX65552 DWT65552 EGP65552 EQL65552 FAH65552 FKD65552 FTZ65552 GDV65552 GNR65552 GXN65552 HHJ65552 HRF65552 IBB65552 IKX65552 IUT65552 JEP65552 JOL65552 JYH65552 KID65552 KRZ65552 LBV65552 LLR65552 LVN65552 MFJ65552 MPF65552 MZB65552 NIX65552 NST65552 OCP65552 OML65552 OWH65552 PGD65552 PPZ65552 PZV65552 QJR65552 QTN65552 RDJ65552 RNF65552 RXB65552 SGX65552 SQT65552 TAP65552 TKL65552 TUH65552 UED65552 UNZ65552 UXV65552 VHR65552 VRN65552 WBJ65552 WLF65552 WVB65552 D131088 IP131088 SL131088 ACH131088 AMD131088 AVZ131088 BFV131088 BPR131088 BZN131088 CJJ131088 CTF131088 DDB131088 DMX131088 DWT131088 EGP131088 EQL131088 FAH131088 FKD131088 FTZ131088 GDV131088 GNR131088 GXN131088 HHJ131088 HRF131088 IBB131088 IKX131088 IUT131088 JEP131088 JOL131088 JYH131088 KID131088 KRZ131088 LBV131088 LLR131088 LVN131088 MFJ131088 MPF131088 MZB131088 NIX131088 NST131088 OCP131088 OML131088 OWH131088 PGD131088 PPZ131088 PZV131088 QJR131088 QTN131088 RDJ131088 RNF131088 RXB131088 SGX131088 SQT131088 TAP131088 TKL131088 TUH131088 UED131088 UNZ131088 UXV131088 VHR131088 VRN131088 WBJ131088 WLF131088 WVB131088 D196624 IP196624 SL196624 ACH196624 AMD196624 AVZ196624 BFV196624 BPR196624 BZN196624 CJJ196624 CTF196624 DDB196624 DMX196624 DWT196624 EGP196624 EQL196624 FAH196624 FKD196624 FTZ196624 GDV196624 GNR196624 GXN196624 HHJ196624 HRF196624 IBB196624 IKX196624 IUT196624 JEP196624 JOL196624 JYH196624 KID196624 KRZ196624 LBV196624 LLR196624 LVN196624 MFJ196624 MPF196624 MZB196624 NIX196624 NST196624 OCP196624 OML196624 OWH196624 PGD196624 PPZ196624 PZV196624 QJR196624 QTN196624 RDJ196624 RNF196624 RXB196624 SGX196624 SQT196624 TAP196624 TKL196624 TUH196624 UED196624 UNZ196624 UXV196624 VHR196624 VRN196624 WBJ196624 WLF196624 WVB196624 D262160 IP262160 SL262160 ACH262160 AMD262160 AVZ262160 BFV262160 BPR262160 BZN262160 CJJ262160 CTF262160 DDB262160 DMX262160 DWT262160 EGP262160 EQL262160 FAH262160 FKD262160 FTZ262160 GDV262160 GNR262160 GXN262160 HHJ262160 HRF262160 IBB262160 IKX262160 IUT262160 JEP262160 JOL262160 JYH262160 KID262160 KRZ262160 LBV262160 LLR262160 LVN262160 MFJ262160 MPF262160 MZB262160 NIX262160 NST262160 OCP262160 OML262160 OWH262160 PGD262160 PPZ262160 PZV262160 QJR262160 QTN262160 RDJ262160 RNF262160 RXB262160 SGX262160 SQT262160 TAP262160 TKL262160 TUH262160 UED262160 UNZ262160 UXV262160 VHR262160 VRN262160 WBJ262160 WLF262160 WVB262160 D327696 IP327696 SL327696 ACH327696 AMD327696 AVZ327696 BFV327696 BPR327696 BZN327696 CJJ327696 CTF327696 DDB327696 DMX327696 DWT327696 EGP327696 EQL327696 FAH327696 FKD327696 FTZ327696 GDV327696 GNR327696 GXN327696 HHJ327696 HRF327696 IBB327696 IKX327696 IUT327696 JEP327696 JOL327696 JYH327696 KID327696 KRZ327696 LBV327696 LLR327696 LVN327696 MFJ327696 MPF327696 MZB327696 NIX327696 NST327696 OCP327696 OML327696 OWH327696 PGD327696 PPZ327696 PZV327696 QJR327696 QTN327696 RDJ327696 RNF327696 RXB327696 SGX327696 SQT327696 TAP327696 TKL327696 TUH327696 UED327696 UNZ327696 UXV327696 VHR327696 VRN327696 WBJ327696 WLF327696 WVB327696 D393232 IP393232 SL393232 ACH393232 AMD393232 AVZ393232 BFV393232 BPR393232 BZN393232 CJJ393232 CTF393232 DDB393232 DMX393232 DWT393232 EGP393232 EQL393232 FAH393232 FKD393232 FTZ393232 GDV393232 GNR393232 GXN393232 HHJ393232 HRF393232 IBB393232 IKX393232 IUT393232 JEP393232 JOL393232 JYH393232 KID393232 KRZ393232 LBV393232 LLR393232 LVN393232 MFJ393232 MPF393232 MZB393232 NIX393232 NST393232 OCP393232 OML393232 OWH393232 PGD393232 PPZ393232 PZV393232 QJR393232 QTN393232 RDJ393232 RNF393232 RXB393232 SGX393232 SQT393232 TAP393232 TKL393232 TUH393232 UED393232 UNZ393232 UXV393232 VHR393232 VRN393232 WBJ393232 WLF393232 WVB393232 D458768 IP458768 SL458768 ACH458768 AMD458768 AVZ458768 BFV458768 BPR458768 BZN458768 CJJ458768 CTF458768 DDB458768 DMX458768 DWT458768 EGP458768 EQL458768 FAH458768 FKD458768 FTZ458768 GDV458768 GNR458768 GXN458768 HHJ458768 HRF458768 IBB458768 IKX458768 IUT458768 JEP458768 JOL458768 JYH458768 KID458768 KRZ458768 LBV458768 LLR458768 LVN458768 MFJ458768 MPF458768 MZB458768 NIX458768 NST458768 OCP458768 OML458768 OWH458768 PGD458768 PPZ458768 PZV458768 QJR458768 QTN458768 RDJ458768 RNF458768 RXB458768 SGX458768 SQT458768 TAP458768 TKL458768 TUH458768 UED458768 UNZ458768 UXV458768 VHR458768 VRN458768 WBJ458768 WLF458768 WVB458768 D524304 IP524304 SL524304 ACH524304 AMD524304 AVZ524304 BFV524304 BPR524304 BZN524304 CJJ524304 CTF524304 DDB524304 DMX524304 DWT524304 EGP524304 EQL524304 FAH524304 FKD524304 FTZ524304 GDV524304 GNR524304 GXN524304 HHJ524304 HRF524304 IBB524304 IKX524304 IUT524304 JEP524304 JOL524304 JYH524304 KID524304 KRZ524304 LBV524304 LLR524304 LVN524304 MFJ524304 MPF524304 MZB524304 NIX524304 NST524304 OCP524304 OML524304 OWH524304 PGD524304 PPZ524304 PZV524304 QJR524304 QTN524304 RDJ524304 RNF524304 RXB524304 SGX524304 SQT524304 TAP524304 TKL524304 TUH524304 UED524304 UNZ524304 UXV524304 VHR524304 VRN524304 WBJ524304 WLF524304 WVB524304 D589840 IP589840 SL589840 ACH589840 AMD589840 AVZ589840 BFV589840 BPR589840 BZN589840 CJJ589840 CTF589840 DDB589840 DMX589840 DWT589840 EGP589840 EQL589840 FAH589840 FKD589840 FTZ589840 GDV589840 GNR589840 GXN589840 HHJ589840 HRF589840 IBB589840 IKX589840 IUT589840 JEP589840 JOL589840 JYH589840 KID589840 KRZ589840 LBV589840 LLR589840 LVN589840 MFJ589840 MPF589840 MZB589840 NIX589840 NST589840 OCP589840 OML589840 OWH589840 PGD589840 PPZ589840 PZV589840 QJR589840 QTN589840 RDJ589840 RNF589840 RXB589840 SGX589840 SQT589840 TAP589840 TKL589840 TUH589840 UED589840 UNZ589840 UXV589840 VHR589840 VRN589840 WBJ589840 WLF589840 WVB589840 D655376 IP655376 SL655376 ACH655376 AMD655376 AVZ655376 BFV655376 BPR655376 BZN655376 CJJ655376 CTF655376 DDB655376 DMX655376 DWT655376 EGP655376 EQL655376 FAH655376 FKD655376 FTZ655376 GDV655376 GNR655376 GXN655376 HHJ655376 HRF655376 IBB655376 IKX655376 IUT655376 JEP655376 JOL655376 JYH655376 KID655376 KRZ655376 LBV655376 LLR655376 LVN655376 MFJ655376 MPF655376 MZB655376 NIX655376 NST655376 OCP655376 OML655376 OWH655376 PGD655376 PPZ655376 PZV655376 QJR655376 QTN655376 RDJ655376 RNF655376 RXB655376 SGX655376 SQT655376 TAP655376 TKL655376 TUH655376 UED655376 UNZ655376 UXV655376 VHR655376 VRN655376 WBJ655376 WLF655376 WVB655376 D720912 IP720912 SL720912 ACH720912 AMD720912 AVZ720912 BFV720912 BPR720912 BZN720912 CJJ720912 CTF720912 DDB720912 DMX720912 DWT720912 EGP720912 EQL720912 FAH720912 FKD720912 FTZ720912 GDV720912 GNR720912 GXN720912 HHJ720912 HRF720912 IBB720912 IKX720912 IUT720912 JEP720912 JOL720912 JYH720912 KID720912 KRZ720912 LBV720912 LLR720912 LVN720912 MFJ720912 MPF720912 MZB720912 NIX720912 NST720912 OCP720912 OML720912 OWH720912 PGD720912 PPZ720912 PZV720912 QJR720912 QTN720912 RDJ720912 RNF720912 RXB720912 SGX720912 SQT720912 TAP720912 TKL720912 TUH720912 UED720912 UNZ720912 UXV720912 VHR720912 VRN720912 WBJ720912 WLF720912 WVB720912 D786448 IP786448 SL786448 ACH786448 AMD786448 AVZ786448 BFV786448 BPR786448 BZN786448 CJJ786448 CTF786448 DDB786448 DMX786448 DWT786448 EGP786448 EQL786448 FAH786448 FKD786448 FTZ786448 GDV786448 GNR786448 GXN786448 HHJ786448 HRF786448 IBB786448 IKX786448 IUT786448 JEP786448 JOL786448 JYH786448 KID786448 KRZ786448 LBV786448 LLR786448 LVN786448 MFJ786448 MPF786448 MZB786448 NIX786448 NST786448 OCP786448 OML786448 OWH786448 PGD786448 PPZ786448 PZV786448 QJR786448 QTN786448 RDJ786448 RNF786448 RXB786448 SGX786448 SQT786448 TAP786448 TKL786448 TUH786448 UED786448 UNZ786448 UXV786448 VHR786448 VRN786448 WBJ786448 WLF786448 WVB786448 D851984 IP851984 SL851984 ACH851984 AMD851984 AVZ851984 BFV851984 BPR851984 BZN851984 CJJ851984 CTF851984 DDB851984 DMX851984 DWT851984 EGP851984 EQL851984 FAH851984 FKD851984 FTZ851984 GDV851984 GNR851984 GXN851984 HHJ851984 HRF851984 IBB851984 IKX851984 IUT851984 JEP851984 JOL851984 JYH851984 KID851984 KRZ851984 LBV851984 LLR851984 LVN851984 MFJ851984 MPF851984 MZB851984 NIX851984 NST851984 OCP851984 OML851984 OWH851984 PGD851984 PPZ851984 PZV851984 QJR851984 QTN851984 RDJ851984 RNF851984 RXB851984 SGX851984 SQT851984 TAP851984 TKL851984 TUH851984 UED851984 UNZ851984 UXV851984 VHR851984 VRN851984 WBJ851984 WLF851984 WVB851984 D917520 IP917520 SL917520 ACH917520 AMD917520 AVZ917520 BFV917520 BPR917520 BZN917520 CJJ917520 CTF917520 DDB917520 DMX917520 DWT917520 EGP917520 EQL917520 FAH917520 FKD917520 FTZ917520 GDV917520 GNR917520 GXN917520 HHJ917520 HRF917520 IBB917520 IKX917520 IUT917520 JEP917520 JOL917520 JYH917520 KID917520 KRZ917520 LBV917520 LLR917520 LVN917520 MFJ917520 MPF917520 MZB917520 NIX917520 NST917520 OCP917520 OML917520 OWH917520 PGD917520 PPZ917520 PZV917520 QJR917520 QTN917520 RDJ917520 RNF917520 RXB917520 SGX917520 SQT917520 TAP917520 TKL917520 TUH917520 UED917520 UNZ917520 UXV917520 VHR917520 VRN917520 WBJ917520 WLF917520 WVB917520 D983056 IP983056 SL983056 ACH983056 AMD983056 AVZ983056 BFV983056 BPR983056 BZN983056 CJJ983056 CTF983056 DDB983056 DMX983056 DWT983056 EGP983056 EQL983056 FAH983056 FKD983056 FTZ983056 GDV983056 GNR983056 GXN983056 HHJ983056 HRF983056 IBB983056 IKX983056 IUT983056 JEP983056 JOL983056 JYH983056 KID983056 KRZ983056 LBV983056 LLR983056 LVN983056 MFJ983056 MPF983056 MZB983056 NIX983056 NST983056 OCP983056 OML983056 OWH983056 PGD983056 PPZ983056 PZV983056 QJR983056 QTN983056 RDJ983056 RNF983056 RXB983056 SGX983056 SQT983056 TAP983056 TKL983056 TUH983056 UED983056 UNZ983056 UXV983056 VHR983056 VRN983056 WBJ983056 WLF983056 WVB983056" xr:uid="{00000000-0002-0000-0100-000002000000}">
      <formula1>1</formula1>
      <formula2>30</formula2>
    </dataValidation>
  </dataValidations>
  <printOptions horizontalCentered="1"/>
  <pageMargins left="0.25" right="0.25" top="0.75" bottom="0.75" header="0.3" footer="0.3"/>
  <pageSetup paperSize="5" scale="70"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5"/>
  <dimension ref="B5:C229"/>
  <sheetViews>
    <sheetView topLeftCell="A10" workbookViewId="0">
      <selection activeCell="C27" sqref="B27:C27"/>
    </sheetView>
  </sheetViews>
  <sheetFormatPr defaultRowHeight="14.45"/>
  <sheetData>
    <row r="5" spans="2:3">
      <c r="B5" t="s">
        <v>52</v>
      </c>
      <c r="C5" s="892">
        <v>45047</v>
      </c>
    </row>
    <row r="6" spans="2:3">
      <c r="B6">
        <v>1</v>
      </c>
      <c r="C6" s="892">
        <v>45078</v>
      </c>
    </row>
    <row r="7" spans="2:3">
      <c r="B7">
        <v>2</v>
      </c>
      <c r="C7" s="892">
        <v>45108</v>
      </c>
    </row>
    <row r="8" spans="2:3">
      <c r="B8">
        <v>3</v>
      </c>
      <c r="C8" s="892">
        <v>45139</v>
      </c>
    </row>
    <row r="9" spans="2:3">
      <c r="B9">
        <v>4</v>
      </c>
      <c r="C9" s="892">
        <v>45170</v>
      </c>
    </row>
    <row r="10" spans="2:3">
      <c r="B10">
        <v>5</v>
      </c>
      <c r="C10" s="892">
        <v>45200</v>
      </c>
    </row>
    <row r="11" spans="2:3">
      <c r="B11">
        <v>6</v>
      </c>
      <c r="C11" s="892">
        <v>45231</v>
      </c>
    </row>
    <row r="12" spans="2:3">
      <c r="B12">
        <v>7</v>
      </c>
      <c r="C12" s="892">
        <v>45261</v>
      </c>
    </row>
    <row r="13" spans="2:3">
      <c r="B13">
        <v>8</v>
      </c>
      <c r="C13" s="892">
        <v>45292</v>
      </c>
    </row>
    <row r="14" spans="2:3">
      <c r="B14">
        <v>9</v>
      </c>
      <c r="C14" s="892">
        <v>45323</v>
      </c>
    </row>
    <row r="15" spans="2:3">
      <c r="B15">
        <v>10</v>
      </c>
      <c r="C15" s="892">
        <v>45352</v>
      </c>
    </row>
    <row r="16" spans="2:3">
      <c r="B16">
        <v>11</v>
      </c>
      <c r="C16" s="892">
        <v>45383</v>
      </c>
    </row>
    <row r="17" spans="2:3">
      <c r="B17">
        <v>12</v>
      </c>
      <c r="C17" s="892">
        <v>45413</v>
      </c>
    </row>
    <row r="18" spans="2:3">
      <c r="B18">
        <v>13</v>
      </c>
      <c r="C18" s="892">
        <v>45444</v>
      </c>
    </row>
    <row r="19" spans="2:3">
      <c r="B19">
        <v>14</v>
      </c>
      <c r="C19" s="892">
        <v>45474</v>
      </c>
    </row>
    <row r="20" spans="2:3">
      <c r="B20">
        <v>15</v>
      </c>
      <c r="C20" s="892">
        <v>45505</v>
      </c>
    </row>
    <row r="21" spans="2:3">
      <c r="B21">
        <v>16</v>
      </c>
      <c r="C21" s="892">
        <v>45536</v>
      </c>
    </row>
    <row r="22" spans="2:3">
      <c r="B22">
        <v>17</v>
      </c>
      <c r="C22" s="892">
        <v>45566</v>
      </c>
    </row>
    <row r="23" spans="2:3">
      <c r="B23">
        <v>18</v>
      </c>
      <c r="C23" s="892">
        <v>45597</v>
      </c>
    </row>
    <row r="24" spans="2:3">
      <c r="B24">
        <v>19</v>
      </c>
      <c r="C24" s="892">
        <v>45627</v>
      </c>
    </row>
    <row r="25" spans="2:3">
      <c r="B25">
        <v>20</v>
      </c>
      <c r="C25" s="892">
        <v>45658</v>
      </c>
    </row>
    <row r="26" spans="2:3">
      <c r="B26">
        <v>21</v>
      </c>
      <c r="C26" s="892">
        <v>45689</v>
      </c>
    </row>
    <row r="27" spans="2:3">
      <c r="B27" s="893">
        <v>22</v>
      </c>
      <c r="C27" s="894">
        <v>45717</v>
      </c>
    </row>
    <row r="28" spans="2:3">
      <c r="B28">
        <v>23</v>
      </c>
      <c r="C28" s="895">
        <v>45748</v>
      </c>
    </row>
    <row r="29" spans="2:3">
      <c r="B29">
        <v>24</v>
      </c>
      <c r="C29" s="895">
        <v>45778</v>
      </c>
    </row>
    <row r="30" spans="2:3">
      <c r="B30">
        <v>25</v>
      </c>
      <c r="C30" s="895">
        <v>45809</v>
      </c>
    </row>
    <row r="31" spans="2:3">
      <c r="B31">
        <v>26</v>
      </c>
      <c r="C31" s="895">
        <v>45839</v>
      </c>
    </row>
    <row r="32" spans="2:3">
      <c r="B32">
        <v>27</v>
      </c>
      <c r="C32" s="895">
        <v>45870</v>
      </c>
    </row>
    <row r="33" spans="2:3">
      <c r="B33" s="893">
        <v>28</v>
      </c>
      <c r="C33" s="894">
        <v>45901</v>
      </c>
    </row>
    <row r="34" spans="2:3">
      <c r="B34">
        <v>29</v>
      </c>
      <c r="C34" s="892">
        <v>45931</v>
      </c>
    </row>
    <row r="35" spans="2:3">
      <c r="B35">
        <v>30</v>
      </c>
      <c r="C35" s="892">
        <v>45962</v>
      </c>
    </row>
    <row r="36" spans="2:3">
      <c r="B36">
        <v>31</v>
      </c>
      <c r="C36" s="892">
        <v>45992</v>
      </c>
    </row>
    <row r="37" spans="2:3">
      <c r="B37">
        <v>32</v>
      </c>
      <c r="C37" s="892">
        <v>46023</v>
      </c>
    </row>
    <row r="38" spans="2:3">
      <c r="B38">
        <v>33</v>
      </c>
      <c r="C38" s="892">
        <v>46054</v>
      </c>
    </row>
    <row r="39" spans="2:3">
      <c r="B39">
        <v>34</v>
      </c>
      <c r="C39" s="892">
        <v>46082</v>
      </c>
    </row>
    <row r="40" spans="2:3">
      <c r="B40">
        <v>35</v>
      </c>
      <c r="C40" s="892">
        <v>46113</v>
      </c>
    </row>
    <row r="41" spans="2:3">
      <c r="B41">
        <v>36</v>
      </c>
      <c r="C41" s="892">
        <v>46143</v>
      </c>
    </row>
    <row r="42" spans="2:3">
      <c r="B42">
        <v>37</v>
      </c>
      <c r="C42" s="892">
        <v>46174</v>
      </c>
    </row>
    <row r="43" spans="2:3">
      <c r="B43">
        <v>38</v>
      </c>
      <c r="C43" s="892">
        <v>46204</v>
      </c>
    </row>
    <row r="44" spans="2:3">
      <c r="B44">
        <v>39</v>
      </c>
      <c r="C44" s="892">
        <v>46235</v>
      </c>
    </row>
    <row r="45" spans="2:3">
      <c r="B45">
        <v>40</v>
      </c>
      <c r="C45" s="892">
        <v>46266</v>
      </c>
    </row>
    <row r="46" spans="2:3">
      <c r="B46">
        <v>41</v>
      </c>
      <c r="C46" s="892">
        <v>46296</v>
      </c>
    </row>
    <row r="47" spans="2:3">
      <c r="B47">
        <v>42</v>
      </c>
      <c r="C47" s="892">
        <v>46327</v>
      </c>
    </row>
    <row r="48" spans="2:3">
      <c r="B48">
        <v>43</v>
      </c>
      <c r="C48" s="892">
        <v>46357</v>
      </c>
    </row>
    <row r="49" spans="2:3">
      <c r="B49">
        <v>44</v>
      </c>
      <c r="C49" s="892">
        <v>46388</v>
      </c>
    </row>
    <row r="50" spans="2:3">
      <c r="B50">
        <v>45</v>
      </c>
      <c r="C50" s="892">
        <v>46419</v>
      </c>
    </row>
    <row r="51" spans="2:3">
      <c r="B51">
        <v>46</v>
      </c>
      <c r="C51" s="892">
        <v>46447</v>
      </c>
    </row>
    <row r="52" spans="2:3">
      <c r="B52">
        <v>47</v>
      </c>
      <c r="C52" s="892">
        <v>46478</v>
      </c>
    </row>
    <row r="53" spans="2:3">
      <c r="B53">
        <v>48</v>
      </c>
      <c r="C53" s="892">
        <v>46508</v>
      </c>
    </row>
    <row r="54" spans="2:3">
      <c r="B54">
        <v>49</v>
      </c>
      <c r="C54" s="892">
        <v>46539</v>
      </c>
    </row>
    <row r="55" spans="2:3">
      <c r="B55">
        <v>50</v>
      </c>
      <c r="C55" s="892">
        <v>46569</v>
      </c>
    </row>
    <row r="56" spans="2:3">
      <c r="B56">
        <v>51</v>
      </c>
      <c r="C56" s="892">
        <v>46600</v>
      </c>
    </row>
    <row r="57" spans="2:3">
      <c r="B57">
        <v>52</v>
      </c>
      <c r="C57" s="892">
        <v>46631</v>
      </c>
    </row>
    <row r="58" spans="2:3">
      <c r="B58">
        <v>53</v>
      </c>
      <c r="C58" s="892">
        <v>46661</v>
      </c>
    </row>
    <row r="59" spans="2:3">
      <c r="B59">
        <v>54</v>
      </c>
      <c r="C59" s="892">
        <v>46692</v>
      </c>
    </row>
    <row r="60" spans="2:3">
      <c r="B60">
        <v>55</v>
      </c>
      <c r="C60" s="892">
        <v>46722</v>
      </c>
    </row>
    <row r="61" spans="2:3">
      <c r="B61">
        <v>56</v>
      </c>
      <c r="C61" s="892">
        <v>46753</v>
      </c>
    </row>
    <row r="62" spans="2:3">
      <c r="B62">
        <v>57</v>
      </c>
      <c r="C62" s="892">
        <v>46784</v>
      </c>
    </row>
    <row r="63" spans="2:3">
      <c r="B63">
        <v>58</v>
      </c>
      <c r="C63" s="892">
        <v>46813</v>
      </c>
    </row>
    <row r="64" spans="2:3">
      <c r="B64">
        <v>59</v>
      </c>
      <c r="C64" s="892">
        <v>46844</v>
      </c>
    </row>
    <row r="65" spans="2:3">
      <c r="B65">
        <v>60</v>
      </c>
      <c r="C65" s="892">
        <v>46874</v>
      </c>
    </row>
    <row r="66" spans="2:3">
      <c r="B66">
        <v>61</v>
      </c>
      <c r="C66" s="892">
        <v>46905</v>
      </c>
    </row>
    <row r="67" spans="2:3">
      <c r="B67">
        <v>62</v>
      </c>
      <c r="C67" s="892">
        <v>46935</v>
      </c>
    </row>
    <row r="68" spans="2:3">
      <c r="B68">
        <v>63</v>
      </c>
      <c r="C68" s="892">
        <v>46966</v>
      </c>
    </row>
    <row r="69" spans="2:3">
      <c r="B69">
        <v>64</v>
      </c>
      <c r="C69" s="892">
        <v>46997</v>
      </c>
    </row>
    <row r="70" spans="2:3">
      <c r="B70">
        <v>65</v>
      </c>
      <c r="C70" s="892">
        <v>47027</v>
      </c>
    </row>
    <row r="71" spans="2:3">
      <c r="B71">
        <v>66</v>
      </c>
      <c r="C71" s="892">
        <v>47058</v>
      </c>
    </row>
    <row r="72" spans="2:3">
      <c r="B72">
        <v>67</v>
      </c>
      <c r="C72" s="892">
        <v>47088</v>
      </c>
    </row>
    <row r="73" spans="2:3">
      <c r="B73">
        <v>68</v>
      </c>
      <c r="C73" s="892">
        <v>47119</v>
      </c>
    </row>
    <row r="74" spans="2:3">
      <c r="B74">
        <v>69</v>
      </c>
      <c r="C74" s="892">
        <v>47150</v>
      </c>
    </row>
    <row r="75" spans="2:3">
      <c r="B75">
        <v>70</v>
      </c>
      <c r="C75" s="892">
        <v>47178</v>
      </c>
    </row>
    <row r="76" spans="2:3">
      <c r="B76">
        <v>71</v>
      </c>
      <c r="C76" s="892">
        <v>47209</v>
      </c>
    </row>
    <row r="77" spans="2:3">
      <c r="B77">
        <v>72</v>
      </c>
      <c r="C77" s="892">
        <v>47239</v>
      </c>
    </row>
    <row r="78" spans="2:3">
      <c r="B78">
        <v>73</v>
      </c>
      <c r="C78" s="892">
        <v>47270</v>
      </c>
    </row>
    <row r="79" spans="2:3">
      <c r="B79">
        <v>74</v>
      </c>
      <c r="C79" s="892">
        <v>47300</v>
      </c>
    </row>
    <row r="80" spans="2:3">
      <c r="B80">
        <v>75</v>
      </c>
      <c r="C80" s="892">
        <v>47331</v>
      </c>
    </row>
    <row r="81" spans="2:3">
      <c r="B81">
        <v>76</v>
      </c>
      <c r="C81" s="892">
        <v>47362</v>
      </c>
    </row>
    <row r="82" spans="2:3">
      <c r="B82">
        <v>77</v>
      </c>
      <c r="C82" s="892">
        <v>47392</v>
      </c>
    </row>
    <row r="83" spans="2:3">
      <c r="B83">
        <v>78</v>
      </c>
      <c r="C83" s="892">
        <v>47423</v>
      </c>
    </row>
    <row r="84" spans="2:3">
      <c r="B84">
        <v>79</v>
      </c>
      <c r="C84" s="892">
        <v>47453</v>
      </c>
    </row>
    <row r="85" spans="2:3">
      <c r="B85">
        <v>80</v>
      </c>
      <c r="C85" s="892">
        <v>47484</v>
      </c>
    </row>
    <row r="86" spans="2:3">
      <c r="B86">
        <v>81</v>
      </c>
      <c r="C86" s="892">
        <v>47515</v>
      </c>
    </row>
    <row r="87" spans="2:3">
      <c r="B87">
        <v>82</v>
      </c>
      <c r="C87" s="892">
        <v>47543</v>
      </c>
    </row>
    <row r="88" spans="2:3">
      <c r="B88">
        <v>83</v>
      </c>
      <c r="C88" s="892">
        <v>47574</v>
      </c>
    </row>
    <row r="89" spans="2:3">
      <c r="B89">
        <v>84</v>
      </c>
      <c r="C89" s="892">
        <v>47604</v>
      </c>
    </row>
    <row r="90" spans="2:3">
      <c r="B90">
        <v>85</v>
      </c>
      <c r="C90" s="892">
        <v>47635</v>
      </c>
    </row>
    <row r="91" spans="2:3">
      <c r="B91">
        <v>86</v>
      </c>
      <c r="C91" s="892">
        <v>47665</v>
      </c>
    </row>
    <row r="92" spans="2:3">
      <c r="B92">
        <v>87</v>
      </c>
      <c r="C92" s="892">
        <v>47696</v>
      </c>
    </row>
    <row r="93" spans="2:3">
      <c r="B93">
        <v>88</v>
      </c>
      <c r="C93" s="892">
        <v>47727</v>
      </c>
    </row>
    <row r="94" spans="2:3">
      <c r="B94">
        <v>89</v>
      </c>
      <c r="C94" s="892">
        <v>47757</v>
      </c>
    </row>
    <row r="95" spans="2:3">
      <c r="B95">
        <v>90</v>
      </c>
      <c r="C95" s="892">
        <v>47788</v>
      </c>
    </row>
    <row r="96" spans="2:3">
      <c r="B96">
        <v>91</v>
      </c>
      <c r="C96" s="892">
        <v>47818</v>
      </c>
    </row>
    <row r="97" spans="2:3">
      <c r="B97">
        <v>92</v>
      </c>
      <c r="C97" s="892">
        <v>47849</v>
      </c>
    </row>
    <row r="98" spans="2:3">
      <c r="B98">
        <v>93</v>
      </c>
      <c r="C98" s="892">
        <v>47880</v>
      </c>
    </row>
    <row r="99" spans="2:3">
      <c r="B99">
        <v>94</v>
      </c>
      <c r="C99" s="892">
        <v>47908</v>
      </c>
    </row>
    <row r="100" spans="2:3">
      <c r="B100">
        <v>95</v>
      </c>
      <c r="C100" s="892">
        <v>47939</v>
      </c>
    </row>
    <row r="101" spans="2:3">
      <c r="B101">
        <v>96</v>
      </c>
      <c r="C101" s="892">
        <v>47969</v>
      </c>
    </row>
    <row r="102" spans="2:3">
      <c r="B102">
        <v>97</v>
      </c>
      <c r="C102" s="892">
        <v>48000</v>
      </c>
    </row>
    <row r="103" spans="2:3">
      <c r="B103">
        <v>98</v>
      </c>
      <c r="C103" s="892">
        <v>48030</v>
      </c>
    </row>
    <row r="104" spans="2:3">
      <c r="B104">
        <v>99</v>
      </c>
      <c r="C104" s="892">
        <v>48061</v>
      </c>
    </row>
    <row r="105" spans="2:3">
      <c r="B105">
        <v>100</v>
      </c>
      <c r="C105" s="892">
        <v>48092</v>
      </c>
    </row>
    <row r="106" spans="2:3">
      <c r="B106">
        <v>101</v>
      </c>
      <c r="C106" s="892">
        <v>48122</v>
      </c>
    </row>
    <row r="107" spans="2:3">
      <c r="B107">
        <v>102</v>
      </c>
      <c r="C107" s="892">
        <v>48153</v>
      </c>
    </row>
    <row r="108" spans="2:3">
      <c r="B108">
        <v>103</v>
      </c>
      <c r="C108" s="892">
        <v>48183</v>
      </c>
    </row>
    <row r="109" spans="2:3">
      <c r="B109">
        <v>104</v>
      </c>
      <c r="C109" s="892">
        <v>48214</v>
      </c>
    </row>
    <row r="110" spans="2:3">
      <c r="B110">
        <v>105</v>
      </c>
      <c r="C110" s="892">
        <v>48245</v>
      </c>
    </row>
    <row r="111" spans="2:3">
      <c r="B111">
        <v>106</v>
      </c>
      <c r="C111" s="892">
        <v>48274</v>
      </c>
    </row>
    <row r="112" spans="2:3">
      <c r="B112">
        <v>107</v>
      </c>
      <c r="C112" s="892">
        <v>48305</v>
      </c>
    </row>
    <row r="113" spans="2:3">
      <c r="B113">
        <v>108</v>
      </c>
      <c r="C113" s="892">
        <v>48335</v>
      </c>
    </row>
    <row r="114" spans="2:3">
      <c r="B114">
        <v>109</v>
      </c>
      <c r="C114" s="892">
        <v>48366</v>
      </c>
    </row>
    <row r="115" spans="2:3">
      <c r="B115">
        <v>110</v>
      </c>
      <c r="C115" s="892">
        <v>48396</v>
      </c>
    </row>
    <row r="116" spans="2:3">
      <c r="B116">
        <v>111</v>
      </c>
      <c r="C116" s="892">
        <v>48427</v>
      </c>
    </row>
    <row r="117" spans="2:3">
      <c r="B117">
        <v>112</v>
      </c>
      <c r="C117" s="892">
        <v>48458</v>
      </c>
    </row>
    <row r="118" spans="2:3">
      <c r="B118">
        <v>113</v>
      </c>
      <c r="C118" s="892">
        <v>48488</v>
      </c>
    </row>
    <row r="119" spans="2:3">
      <c r="B119">
        <v>114</v>
      </c>
      <c r="C119" s="892">
        <v>48519</v>
      </c>
    </row>
    <row r="120" spans="2:3">
      <c r="B120">
        <v>115</v>
      </c>
      <c r="C120" s="892">
        <v>48549</v>
      </c>
    </row>
    <row r="121" spans="2:3">
      <c r="B121">
        <v>116</v>
      </c>
      <c r="C121" s="892">
        <v>48580</v>
      </c>
    </row>
    <row r="122" spans="2:3">
      <c r="B122">
        <v>117</v>
      </c>
      <c r="C122" s="892">
        <v>48611</v>
      </c>
    </row>
    <row r="123" spans="2:3">
      <c r="B123">
        <v>118</v>
      </c>
      <c r="C123" s="892">
        <v>48639</v>
      </c>
    </row>
    <row r="124" spans="2:3">
      <c r="B124">
        <v>119</v>
      </c>
      <c r="C124" s="892">
        <v>48670</v>
      </c>
    </row>
    <row r="125" spans="2:3">
      <c r="B125">
        <v>120</v>
      </c>
      <c r="C125" s="892">
        <v>48700</v>
      </c>
    </row>
    <row r="126" spans="2:3">
      <c r="B126">
        <v>121</v>
      </c>
      <c r="C126" s="892">
        <v>48731</v>
      </c>
    </row>
    <row r="127" spans="2:3">
      <c r="B127">
        <v>122</v>
      </c>
      <c r="C127" s="892">
        <v>48761</v>
      </c>
    </row>
    <row r="128" spans="2:3">
      <c r="B128">
        <v>123</v>
      </c>
      <c r="C128" s="892">
        <v>48792</v>
      </c>
    </row>
    <row r="129" spans="2:3">
      <c r="B129">
        <v>124</v>
      </c>
      <c r="C129" s="892">
        <v>48823</v>
      </c>
    </row>
    <row r="130" spans="2:3">
      <c r="B130">
        <v>125</v>
      </c>
      <c r="C130" s="892">
        <v>48853</v>
      </c>
    </row>
    <row r="131" spans="2:3">
      <c r="B131">
        <v>126</v>
      </c>
      <c r="C131" s="892">
        <v>48884</v>
      </c>
    </row>
    <row r="132" spans="2:3">
      <c r="B132">
        <v>127</v>
      </c>
      <c r="C132" s="892">
        <v>48914</v>
      </c>
    </row>
    <row r="133" spans="2:3">
      <c r="B133">
        <v>128</v>
      </c>
      <c r="C133" s="892">
        <v>48945</v>
      </c>
    </row>
    <row r="134" spans="2:3">
      <c r="B134">
        <v>129</v>
      </c>
      <c r="C134" s="892">
        <v>48976</v>
      </c>
    </row>
    <row r="135" spans="2:3">
      <c r="B135">
        <v>130</v>
      </c>
      <c r="C135" s="892">
        <v>49004</v>
      </c>
    </row>
    <row r="136" spans="2:3">
      <c r="B136">
        <v>131</v>
      </c>
      <c r="C136" s="892">
        <v>49035</v>
      </c>
    </row>
    <row r="137" spans="2:3">
      <c r="B137">
        <v>132</v>
      </c>
      <c r="C137" s="892">
        <v>49065</v>
      </c>
    </row>
    <row r="138" spans="2:3">
      <c r="B138">
        <v>133</v>
      </c>
      <c r="C138" s="892">
        <v>49096</v>
      </c>
    </row>
    <row r="139" spans="2:3">
      <c r="B139">
        <v>134</v>
      </c>
      <c r="C139" s="892">
        <v>49126</v>
      </c>
    </row>
    <row r="140" spans="2:3">
      <c r="B140">
        <v>135</v>
      </c>
      <c r="C140" s="892">
        <v>49157</v>
      </c>
    </row>
    <row r="141" spans="2:3">
      <c r="B141">
        <v>136</v>
      </c>
      <c r="C141" s="892">
        <v>49188</v>
      </c>
    </row>
    <row r="142" spans="2:3">
      <c r="B142">
        <v>137</v>
      </c>
      <c r="C142" s="892">
        <v>49218</v>
      </c>
    </row>
    <row r="143" spans="2:3">
      <c r="B143">
        <v>138</v>
      </c>
      <c r="C143" s="892">
        <v>49249</v>
      </c>
    </row>
    <row r="144" spans="2:3">
      <c r="B144">
        <v>139</v>
      </c>
      <c r="C144" s="892">
        <v>49279</v>
      </c>
    </row>
    <row r="145" spans="2:3">
      <c r="B145">
        <v>140</v>
      </c>
      <c r="C145" s="892">
        <v>49310</v>
      </c>
    </row>
    <row r="146" spans="2:3">
      <c r="B146">
        <v>141</v>
      </c>
      <c r="C146" s="892">
        <v>49341</v>
      </c>
    </row>
    <row r="147" spans="2:3">
      <c r="B147">
        <v>142</v>
      </c>
      <c r="C147" s="892">
        <v>49369</v>
      </c>
    </row>
    <row r="148" spans="2:3">
      <c r="B148">
        <v>143</v>
      </c>
      <c r="C148" s="892">
        <v>49400</v>
      </c>
    </row>
    <row r="149" spans="2:3">
      <c r="B149">
        <v>144</v>
      </c>
      <c r="C149" s="892">
        <v>49430</v>
      </c>
    </row>
    <row r="150" spans="2:3">
      <c r="B150">
        <v>145</v>
      </c>
      <c r="C150" s="892">
        <v>49461</v>
      </c>
    </row>
    <row r="151" spans="2:3">
      <c r="B151">
        <v>146</v>
      </c>
      <c r="C151" s="892">
        <v>49491</v>
      </c>
    </row>
    <row r="152" spans="2:3">
      <c r="B152">
        <v>147</v>
      </c>
      <c r="C152" s="892">
        <v>49522</v>
      </c>
    </row>
    <row r="153" spans="2:3">
      <c r="B153">
        <v>148</v>
      </c>
      <c r="C153" s="892">
        <v>49553</v>
      </c>
    </row>
    <row r="154" spans="2:3">
      <c r="B154">
        <v>149</v>
      </c>
      <c r="C154" s="892">
        <v>49583</v>
      </c>
    </row>
    <row r="155" spans="2:3">
      <c r="B155">
        <v>150</v>
      </c>
      <c r="C155" s="892">
        <v>49614</v>
      </c>
    </row>
    <row r="156" spans="2:3">
      <c r="B156">
        <v>151</v>
      </c>
      <c r="C156" s="892">
        <v>49644</v>
      </c>
    </row>
    <row r="157" spans="2:3">
      <c r="B157">
        <v>152</v>
      </c>
      <c r="C157" s="892">
        <v>49675</v>
      </c>
    </row>
    <row r="158" spans="2:3">
      <c r="B158">
        <v>153</v>
      </c>
      <c r="C158" s="892">
        <v>49706</v>
      </c>
    </row>
    <row r="159" spans="2:3">
      <c r="B159">
        <v>154</v>
      </c>
      <c r="C159" s="892">
        <v>49735</v>
      </c>
    </row>
    <row r="160" spans="2:3">
      <c r="B160">
        <v>155</v>
      </c>
      <c r="C160" s="892">
        <v>49766</v>
      </c>
    </row>
    <row r="161" spans="2:3">
      <c r="B161">
        <v>156</v>
      </c>
      <c r="C161" s="892">
        <v>49796</v>
      </c>
    </row>
    <row r="162" spans="2:3">
      <c r="B162">
        <v>157</v>
      </c>
      <c r="C162" s="892">
        <v>49827</v>
      </c>
    </row>
    <row r="163" spans="2:3">
      <c r="B163">
        <v>158</v>
      </c>
      <c r="C163" s="892">
        <v>49857</v>
      </c>
    </row>
    <row r="164" spans="2:3">
      <c r="B164">
        <v>159</v>
      </c>
      <c r="C164" s="892">
        <v>49888</v>
      </c>
    </row>
    <row r="165" spans="2:3">
      <c r="B165">
        <v>160</v>
      </c>
      <c r="C165" s="892">
        <v>49919</v>
      </c>
    </row>
    <row r="166" spans="2:3">
      <c r="B166">
        <v>161</v>
      </c>
      <c r="C166" s="892">
        <v>49949</v>
      </c>
    </row>
    <row r="167" spans="2:3">
      <c r="B167">
        <v>162</v>
      </c>
      <c r="C167" s="892">
        <v>49980</v>
      </c>
    </row>
    <row r="168" spans="2:3">
      <c r="B168">
        <v>163</v>
      </c>
      <c r="C168" s="892">
        <v>50010</v>
      </c>
    </row>
    <row r="169" spans="2:3">
      <c r="B169">
        <v>164</v>
      </c>
      <c r="C169" s="892">
        <v>50041</v>
      </c>
    </row>
    <row r="170" spans="2:3">
      <c r="B170">
        <v>165</v>
      </c>
      <c r="C170" s="892">
        <v>50072</v>
      </c>
    </row>
    <row r="171" spans="2:3">
      <c r="B171">
        <v>166</v>
      </c>
      <c r="C171" s="892">
        <v>50100</v>
      </c>
    </row>
    <row r="172" spans="2:3">
      <c r="B172">
        <v>167</v>
      </c>
      <c r="C172" s="892">
        <v>50131</v>
      </c>
    </row>
    <row r="173" spans="2:3">
      <c r="B173">
        <v>168</v>
      </c>
      <c r="C173" s="892">
        <v>50161</v>
      </c>
    </row>
    <row r="174" spans="2:3">
      <c r="B174">
        <v>169</v>
      </c>
      <c r="C174" s="892">
        <v>50192</v>
      </c>
    </row>
    <row r="175" spans="2:3">
      <c r="B175">
        <v>170</v>
      </c>
      <c r="C175" s="892">
        <v>50222</v>
      </c>
    </row>
    <row r="176" spans="2:3">
      <c r="B176">
        <v>171</v>
      </c>
      <c r="C176" s="892">
        <v>50253</v>
      </c>
    </row>
    <row r="177" spans="2:3">
      <c r="B177">
        <v>172</v>
      </c>
      <c r="C177" s="892">
        <v>50284</v>
      </c>
    </row>
    <row r="178" spans="2:3">
      <c r="B178">
        <v>173</v>
      </c>
      <c r="C178" s="892">
        <v>50314</v>
      </c>
    </row>
    <row r="179" spans="2:3">
      <c r="B179">
        <v>174</v>
      </c>
      <c r="C179" s="892">
        <v>50345</v>
      </c>
    </row>
    <row r="180" spans="2:3">
      <c r="B180">
        <v>175</v>
      </c>
      <c r="C180" s="892">
        <v>50375</v>
      </c>
    </row>
    <row r="181" spans="2:3">
      <c r="B181">
        <v>176</v>
      </c>
      <c r="C181" s="892">
        <v>50406</v>
      </c>
    </row>
    <row r="182" spans="2:3">
      <c r="B182">
        <v>177</v>
      </c>
      <c r="C182" s="892">
        <v>50437</v>
      </c>
    </row>
    <row r="183" spans="2:3">
      <c r="B183">
        <v>178</v>
      </c>
      <c r="C183" s="892">
        <v>50465</v>
      </c>
    </row>
    <row r="184" spans="2:3">
      <c r="B184">
        <v>179</v>
      </c>
      <c r="C184" s="892">
        <v>50496</v>
      </c>
    </row>
    <row r="185" spans="2:3">
      <c r="B185">
        <v>180</v>
      </c>
      <c r="C185" s="892">
        <v>50526</v>
      </c>
    </row>
    <row r="186" spans="2:3">
      <c r="B186">
        <v>181</v>
      </c>
      <c r="C186" s="892">
        <v>50557</v>
      </c>
    </row>
    <row r="187" spans="2:3">
      <c r="B187">
        <v>182</v>
      </c>
      <c r="C187" s="892">
        <v>50587</v>
      </c>
    </row>
    <row r="188" spans="2:3">
      <c r="B188">
        <v>183</v>
      </c>
      <c r="C188" s="892">
        <v>50618</v>
      </c>
    </row>
    <row r="189" spans="2:3">
      <c r="B189">
        <v>184</v>
      </c>
      <c r="C189" s="892">
        <v>50649</v>
      </c>
    </row>
    <row r="190" spans="2:3">
      <c r="B190">
        <v>185</v>
      </c>
      <c r="C190" s="892">
        <v>50679</v>
      </c>
    </row>
    <row r="191" spans="2:3">
      <c r="B191">
        <v>186</v>
      </c>
      <c r="C191" s="892">
        <v>50710</v>
      </c>
    </row>
    <row r="192" spans="2:3">
      <c r="B192">
        <v>187</v>
      </c>
      <c r="C192" s="892">
        <v>50740</v>
      </c>
    </row>
    <row r="193" spans="2:3">
      <c r="B193">
        <v>188</v>
      </c>
      <c r="C193" s="892">
        <v>50771</v>
      </c>
    </row>
    <row r="194" spans="2:3">
      <c r="B194">
        <v>189</v>
      </c>
      <c r="C194" s="892">
        <v>50802</v>
      </c>
    </row>
    <row r="195" spans="2:3">
      <c r="B195">
        <v>190</v>
      </c>
      <c r="C195" s="892">
        <v>50830</v>
      </c>
    </row>
    <row r="196" spans="2:3">
      <c r="B196">
        <v>191</v>
      </c>
      <c r="C196" s="892">
        <v>50861</v>
      </c>
    </row>
    <row r="197" spans="2:3">
      <c r="B197">
        <v>192</v>
      </c>
      <c r="C197" s="892">
        <v>50891</v>
      </c>
    </row>
    <row r="198" spans="2:3">
      <c r="B198">
        <v>193</v>
      </c>
      <c r="C198" s="892">
        <v>50922</v>
      </c>
    </row>
    <row r="199" spans="2:3">
      <c r="B199">
        <v>194</v>
      </c>
      <c r="C199" s="892">
        <v>50952</v>
      </c>
    </row>
    <row r="200" spans="2:3">
      <c r="B200">
        <v>195</v>
      </c>
      <c r="C200" s="892">
        <v>50983</v>
      </c>
    </row>
    <row r="201" spans="2:3">
      <c r="B201">
        <v>196</v>
      </c>
      <c r="C201" s="892">
        <v>51014</v>
      </c>
    </row>
    <row r="202" spans="2:3">
      <c r="B202">
        <v>197</v>
      </c>
      <c r="C202" s="892">
        <v>51044</v>
      </c>
    </row>
    <row r="203" spans="2:3">
      <c r="B203">
        <v>198</v>
      </c>
      <c r="C203" s="892">
        <v>51075</v>
      </c>
    </row>
    <row r="204" spans="2:3">
      <c r="B204">
        <v>199</v>
      </c>
      <c r="C204" s="892">
        <v>51105</v>
      </c>
    </row>
    <row r="205" spans="2:3">
      <c r="B205">
        <v>200</v>
      </c>
      <c r="C205" s="892">
        <v>51136</v>
      </c>
    </row>
    <row r="206" spans="2:3">
      <c r="B206">
        <v>201</v>
      </c>
      <c r="C206" s="892">
        <v>51167</v>
      </c>
    </row>
    <row r="207" spans="2:3">
      <c r="B207">
        <v>202</v>
      </c>
      <c r="C207" s="892">
        <v>51196</v>
      </c>
    </row>
    <row r="208" spans="2:3">
      <c r="B208">
        <v>203</v>
      </c>
      <c r="C208" s="892">
        <v>51227</v>
      </c>
    </row>
    <row r="209" spans="2:3">
      <c r="B209">
        <v>204</v>
      </c>
      <c r="C209" s="892">
        <v>51257</v>
      </c>
    </row>
    <row r="210" spans="2:3">
      <c r="B210">
        <v>205</v>
      </c>
      <c r="C210" s="892">
        <v>51288</v>
      </c>
    </row>
    <row r="211" spans="2:3">
      <c r="B211">
        <v>206</v>
      </c>
      <c r="C211" s="892">
        <v>51318</v>
      </c>
    </row>
    <row r="212" spans="2:3">
      <c r="B212">
        <v>207</v>
      </c>
      <c r="C212" s="892">
        <v>51349</v>
      </c>
    </row>
    <row r="213" spans="2:3">
      <c r="B213">
        <v>208</v>
      </c>
      <c r="C213" s="892">
        <v>51380</v>
      </c>
    </row>
    <row r="214" spans="2:3">
      <c r="B214">
        <v>209</v>
      </c>
      <c r="C214" s="892">
        <v>51410</v>
      </c>
    </row>
    <row r="215" spans="2:3">
      <c r="B215">
        <v>210</v>
      </c>
      <c r="C215" s="892">
        <v>51441</v>
      </c>
    </row>
    <row r="216" spans="2:3">
      <c r="B216">
        <v>211</v>
      </c>
      <c r="C216" s="892">
        <v>51471</v>
      </c>
    </row>
    <row r="217" spans="2:3">
      <c r="B217">
        <v>212</v>
      </c>
      <c r="C217" s="892">
        <v>51502</v>
      </c>
    </row>
    <row r="218" spans="2:3">
      <c r="B218">
        <v>213</v>
      </c>
      <c r="C218" s="892">
        <v>51533</v>
      </c>
    </row>
    <row r="219" spans="2:3">
      <c r="B219">
        <v>214</v>
      </c>
      <c r="C219" s="892">
        <v>51561</v>
      </c>
    </row>
    <row r="220" spans="2:3">
      <c r="B220">
        <v>215</v>
      </c>
      <c r="C220" s="892">
        <v>51592</v>
      </c>
    </row>
    <row r="221" spans="2:3">
      <c r="B221">
        <v>216</v>
      </c>
      <c r="C221" s="892">
        <v>51622</v>
      </c>
    </row>
    <row r="222" spans="2:3">
      <c r="B222">
        <v>217</v>
      </c>
      <c r="C222" s="892">
        <v>51653</v>
      </c>
    </row>
    <row r="223" spans="2:3">
      <c r="B223">
        <v>218</v>
      </c>
      <c r="C223" s="892">
        <v>51683</v>
      </c>
    </row>
    <row r="224" spans="2:3">
      <c r="B224">
        <v>219</v>
      </c>
      <c r="C224" s="892">
        <v>51714</v>
      </c>
    </row>
    <row r="225" spans="2:3">
      <c r="B225">
        <v>220</v>
      </c>
      <c r="C225" s="892">
        <v>51745</v>
      </c>
    </row>
    <row r="226" spans="2:3">
      <c r="B226">
        <v>221</v>
      </c>
      <c r="C226" s="892">
        <v>51775</v>
      </c>
    </row>
    <row r="227" spans="2:3">
      <c r="B227">
        <v>222</v>
      </c>
      <c r="C227" s="892">
        <v>51806</v>
      </c>
    </row>
    <row r="228" spans="2:3">
      <c r="B228">
        <v>223</v>
      </c>
      <c r="C228" s="892">
        <v>51836</v>
      </c>
    </row>
    <row r="229" spans="2:3">
      <c r="B229">
        <v>224</v>
      </c>
      <c r="C229" s="892">
        <v>51867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6" filterMode="1">
    <tabColor theme="1" tint="0.34998626667073579"/>
  </sheetPr>
  <dimension ref="A1:IE1049"/>
  <sheetViews>
    <sheetView zoomScale="70" zoomScaleNormal="70" workbookViewId="0">
      <pane xSplit="7" ySplit="6" topLeftCell="CJ131" activePane="bottomRight" state="frozen"/>
      <selection pane="bottomRight" activeCell="CS2" sqref="CS2"/>
      <selection pane="bottomLeft" activeCell="A7" sqref="A7"/>
      <selection pane="topRight" activeCell="H1" sqref="H1"/>
    </sheetView>
  </sheetViews>
  <sheetFormatPr defaultColWidth="14.42578125" defaultRowHeight="12.95"/>
  <cols>
    <col min="1" max="1" width="9.5703125" style="940" customWidth="1"/>
    <col min="2" max="2" width="16" style="931" hidden="1" customWidth="1"/>
    <col min="3" max="3" width="10.5703125" style="931" customWidth="1"/>
    <col min="4" max="4" width="16" style="931" customWidth="1"/>
    <col min="5" max="5" width="14.5703125" style="930" customWidth="1"/>
    <col min="6" max="6" width="14.5703125" style="503" hidden="1" customWidth="1"/>
    <col min="7" max="7" width="17.140625" style="503" customWidth="1"/>
    <col min="8" max="8" width="9" style="503" customWidth="1"/>
    <col min="9" max="9" width="14.140625" style="503" customWidth="1"/>
    <col min="10" max="10" width="10.85546875" style="930" customWidth="1"/>
    <col min="11" max="11" width="10.85546875" style="931" customWidth="1"/>
    <col min="12" max="12" width="10.85546875" style="932" customWidth="1"/>
    <col min="13" max="13" width="11.85546875" style="503" customWidth="1"/>
    <col min="14" max="14" width="13.85546875" style="933" customWidth="1"/>
    <col min="15" max="15" width="14.85546875" style="933" customWidth="1"/>
    <col min="16" max="24" width="13.140625" style="933" customWidth="1"/>
    <col min="25" max="25" width="18.140625" style="933" customWidth="1"/>
    <col min="26" max="26" width="17.85546875" style="933" customWidth="1"/>
    <col min="27" max="27" width="18.140625" style="933" customWidth="1"/>
    <col min="28" max="30" width="17.85546875" style="933" customWidth="1"/>
    <col min="31" max="31" width="13.140625" style="933" customWidth="1"/>
    <col min="32" max="38" width="14.85546875" style="930" customWidth="1"/>
    <col min="39" max="41" width="14.85546875" style="933" customWidth="1"/>
    <col min="42" max="42" width="17.140625" style="933" customWidth="1"/>
    <col min="43" max="44" width="14.85546875" style="930" customWidth="1"/>
    <col min="45" max="45" width="14.85546875" style="1139" customWidth="1"/>
    <col min="46" max="46" width="14.85546875" style="1140" customWidth="1"/>
    <col min="47" max="47" width="13.140625" style="1140" customWidth="1"/>
    <col min="48" max="48" width="14.5703125" style="1140" customWidth="1"/>
    <col min="49" max="49" width="13.140625" style="1140" customWidth="1"/>
    <col min="50" max="50" width="14.85546875" style="1140" customWidth="1"/>
    <col min="51" max="51" width="14.85546875" style="1139" customWidth="1"/>
    <col min="52" max="79" width="14.85546875" style="933" customWidth="1"/>
    <col min="80" max="80" width="14.85546875" style="1131" customWidth="1"/>
    <col min="81" max="81" width="14.85546875" style="1159" customWidth="1"/>
    <col min="82" max="82" width="13.140625" style="1159" customWidth="1"/>
    <col min="83" max="83" width="14.5703125" style="1159" customWidth="1"/>
    <col min="84" max="84" width="13.140625" style="1159" customWidth="1"/>
    <col min="85" max="85" width="14.85546875" style="1159" customWidth="1"/>
    <col min="86" max="86" width="14.85546875" style="1155" customWidth="1"/>
    <col min="87" max="87" width="22.42578125" style="503" customWidth="1"/>
    <col min="88" max="88" width="13.85546875" style="503" customWidth="1"/>
    <col min="89" max="89" width="17.140625" style="503" customWidth="1"/>
    <col min="90" max="90" width="13.5703125" style="503" customWidth="1"/>
    <col min="91" max="91" width="18.140625" style="932" customWidth="1"/>
    <col min="92" max="92" width="10.5703125" style="937" customWidth="1"/>
    <col min="93" max="95" width="14.5703125" style="503" customWidth="1"/>
    <col min="96" max="96" width="11" style="503" customWidth="1"/>
    <col min="97" max="97" width="13.140625" style="503" customWidth="1"/>
    <col min="98" max="98" width="11.140625" style="937" customWidth="1"/>
    <col min="99" max="99" width="14.85546875" style="503" customWidth="1"/>
    <col min="100" max="100" width="13.42578125" style="503" customWidth="1"/>
    <col min="101" max="107" width="13.5703125" style="503" customWidth="1"/>
    <col min="108" max="109" width="12.85546875" style="503" customWidth="1"/>
    <col min="110" max="110" width="30.85546875" style="503" hidden="1" customWidth="1"/>
    <col min="111" max="111" width="30.85546875" style="503" customWidth="1"/>
    <col min="112" max="112" width="17.42578125" style="938" hidden="1" customWidth="1"/>
    <col min="113" max="113" width="17.42578125" style="939" hidden="1" customWidth="1"/>
    <col min="114" max="114" width="7.5703125" style="939" hidden="1" customWidth="1"/>
    <col min="115" max="115" width="21.5703125" style="938" hidden="1" customWidth="1"/>
    <col min="116" max="116" width="17.42578125" style="939" hidden="1" customWidth="1"/>
    <col min="117" max="117" width="17.42578125" style="503" hidden="1" customWidth="1"/>
    <col min="118" max="118" width="17.42578125" style="932" hidden="1" customWidth="1"/>
    <col min="119" max="122" width="17.42578125" style="503" hidden="1" customWidth="1"/>
    <col min="123" max="123" width="19.42578125" style="503" hidden="1" customWidth="1"/>
    <col min="124" max="124" width="17.42578125" style="503" hidden="1" customWidth="1"/>
    <col min="125" max="125" width="17.42578125" style="930" hidden="1" customWidth="1"/>
    <col min="126" max="128" width="17.42578125" style="503" hidden="1" customWidth="1"/>
    <col min="129" max="131" width="14.42578125" style="503" hidden="1" customWidth="1"/>
    <col min="132" max="132" width="24.140625" style="503" hidden="1" customWidth="1"/>
    <col min="133" max="133" width="20.5703125" style="503" hidden="1" customWidth="1"/>
    <col min="134" max="134" width="14.42578125" style="503" hidden="1" customWidth="1"/>
    <col min="135" max="135" width="16.85546875" style="503" hidden="1" customWidth="1"/>
    <col min="136" max="137" width="14.42578125" style="503" hidden="1" customWidth="1"/>
    <col min="138" max="139" width="14.42578125" style="930" customWidth="1"/>
    <col min="140" max="140" width="14.42578125" style="503" customWidth="1"/>
    <col min="141" max="141" width="17.5703125" style="503" customWidth="1"/>
    <col min="142" max="147" width="14.42578125" style="503" customWidth="1"/>
    <col min="148" max="148" width="14.42578125" style="932" customWidth="1"/>
    <col min="149" max="149" width="11.85546875" style="940" customWidth="1"/>
    <col min="150" max="151" width="9.85546875" style="940" customWidth="1"/>
    <col min="152" max="152" width="5" style="941" customWidth="1"/>
    <col min="153" max="153" width="4.5703125" style="940" hidden="1" customWidth="1"/>
    <col min="154" max="154" width="15.85546875" style="940" hidden="1" customWidth="1"/>
    <col min="155" max="155" width="17.5703125" style="940" hidden="1" customWidth="1"/>
    <col min="156" max="158" width="15.85546875" style="940" hidden="1" customWidth="1"/>
    <col min="159" max="159" width="18.85546875" style="940" hidden="1" customWidth="1"/>
    <col min="160" max="160" width="2.85546875" style="941" hidden="1" customWidth="1"/>
    <col min="161" max="161" width="9.42578125" style="940" hidden="1" customWidth="1"/>
    <col min="162" max="162" width="14.140625" style="943" hidden="1" customWidth="1"/>
    <col min="163" max="164" width="15.85546875" style="943" hidden="1" customWidth="1"/>
    <col min="165" max="167" width="15.85546875" style="944" hidden="1" customWidth="1"/>
    <col min="168" max="168" width="15.85546875" style="940" hidden="1" customWidth="1"/>
    <col min="169" max="169" width="19.42578125" style="940" hidden="1" customWidth="1"/>
    <col min="170" max="170" width="3.85546875" style="940" hidden="1" customWidth="1"/>
    <col min="171" max="171" width="13.42578125" style="940" hidden="1" customWidth="1"/>
    <col min="172" max="174" width="14" style="940" hidden="1" customWidth="1"/>
    <col min="175" max="175" width="5.42578125" style="941" customWidth="1"/>
    <col min="176" max="176" width="14.42578125" style="932" hidden="1" customWidth="1"/>
    <col min="177" max="177" width="13.5703125" style="932" hidden="1" customWidth="1"/>
    <col min="178" max="178" width="14.42578125" style="932" hidden="1" customWidth="1"/>
    <col min="179" max="179" width="18.140625" style="503" hidden="1" customWidth="1"/>
    <col min="180" max="180" width="18.5703125" style="503" hidden="1" customWidth="1"/>
    <col min="181" max="185" width="14.42578125" style="503" customWidth="1"/>
    <col min="186" max="186" width="14.42578125" style="503"/>
    <col min="187" max="187" width="8.5703125" style="503" customWidth="1"/>
    <col min="188" max="189" width="14.42578125" style="503"/>
    <col min="190" max="190" width="5.42578125" style="945" customWidth="1"/>
    <col min="191" max="191" width="0" style="503" hidden="1" customWidth="1"/>
    <col min="192" max="192" width="0" style="952" hidden="1" customWidth="1"/>
    <col min="193" max="195" width="0" style="503" hidden="1" customWidth="1"/>
    <col min="196" max="196" width="9.42578125" style="503" hidden="1" customWidth="1"/>
    <col min="197" max="197" width="0" style="503" hidden="1" customWidth="1"/>
    <col min="198" max="198" width="0" style="932" hidden="1" customWidth="1"/>
    <col min="199" max="203" width="0" style="503" hidden="1" customWidth="1"/>
    <col min="204" max="204" width="5.85546875" style="945" hidden="1" customWidth="1"/>
    <col min="205" max="205" width="0" style="503" hidden="1" customWidth="1"/>
    <col min="206" max="206" width="0" style="952" hidden="1" customWidth="1"/>
    <col min="207" max="209" width="0" style="503" hidden="1" customWidth="1"/>
    <col min="210" max="210" width="16.42578125" style="932" hidden="1" customWidth="1"/>
    <col min="211" max="217" width="16.42578125" style="503" hidden="1" customWidth="1"/>
    <col min="218" max="218" width="4.85546875" style="945" hidden="1" customWidth="1"/>
    <col min="219" max="219" width="12.5703125" style="503" hidden="1" customWidth="1"/>
    <col min="220" max="220" width="3.85546875" style="503" customWidth="1"/>
    <col min="221" max="237" width="14.42578125" style="503"/>
    <col min="238" max="238" width="14.42578125" style="1393"/>
    <col min="239" max="16384" width="14.42578125" style="503"/>
  </cols>
  <sheetData>
    <row r="1" spans="1:239" ht="14.25" customHeight="1">
      <c r="A1" s="926" t="s">
        <v>53</v>
      </c>
      <c r="B1" s="927"/>
      <c r="C1" s="928"/>
      <c r="D1" s="927"/>
      <c r="E1" s="503"/>
      <c r="F1" s="736"/>
      <c r="G1" s="929"/>
      <c r="H1" s="929"/>
      <c r="I1" s="929"/>
      <c r="M1" s="754"/>
      <c r="N1" s="927">
        <f>O1/J13</f>
        <v>95909.090909090912</v>
      </c>
      <c r="O1" s="933">
        <f>O2+O3</f>
        <v>2110000</v>
      </c>
      <c r="AA1" s="933">
        <f>SUM(J7:J12)</f>
        <v>178.22000000000003</v>
      </c>
      <c r="AP1" s="933">
        <f>AP2-FK222</f>
        <v>0</v>
      </c>
      <c r="AS1" s="1423" t="s">
        <v>0</v>
      </c>
      <c r="AT1" s="1424"/>
      <c r="AU1" s="1424"/>
      <c r="AV1" s="1424"/>
      <c r="AW1" s="1424"/>
      <c r="AX1" s="1424"/>
      <c r="AY1" s="1425"/>
      <c r="CB1" s="1426" t="s">
        <v>54</v>
      </c>
      <c r="CC1" s="1427"/>
      <c r="CD1" s="1427"/>
      <c r="CE1" s="1427"/>
      <c r="CF1" s="1427"/>
      <c r="CG1" s="1427"/>
      <c r="CH1" s="1428"/>
      <c r="CI1" s="935">
        <f>CH1</f>
        <v>0</v>
      </c>
      <c r="CN1" s="936"/>
      <c r="CR1" s="929"/>
      <c r="EX1" s="942" t="s">
        <v>55</v>
      </c>
      <c r="FT1" s="208" t="s">
        <v>56</v>
      </c>
      <c r="FU1" s="208" t="s">
        <v>57</v>
      </c>
      <c r="FV1" s="208" t="s">
        <v>58</v>
      </c>
      <c r="FW1" s="208" t="s">
        <v>59</v>
      </c>
      <c r="FX1" s="208" t="s">
        <v>60</v>
      </c>
      <c r="GI1" s="1419" t="s">
        <v>61</v>
      </c>
      <c r="GJ1" s="1419"/>
      <c r="GK1" s="1419"/>
      <c r="GL1" s="1419"/>
      <c r="GM1" s="1419"/>
      <c r="GN1" s="1419"/>
      <c r="GO1" s="1419"/>
      <c r="GP1" s="946"/>
      <c r="GQ1" s="946"/>
      <c r="GR1" s="946"/>
      <c r="GS1" s="946"/>
      <c r="GT1" s="946"/>
      <c r="GU1" s="946"/>
      <c r="GW1" s="1413" t="s">
        <v>62</v>
      </c>
      <c r="GX1" s="1413"/>
      <c r="GY1" s="1413"/>
      <c r="GZ1" s="1413"/>
      <c r="HA1" s="1413"/>
      <c r="HB1" s="1413"/>
      <c r="HC1" s="1413"/>
      <c r="HD1" s="947"/>
      <c r="HE1" s="947"/>
      <c r="HF1" s="947"/>
      <c r="HG1" s="947"/>
      <c r="HH1" s="947"/>
      <c r="HI1" s="947"/>
    </row>
    <row r="2" spans="1:239" ht="14.25" customHeight="1">
      <c r="A2" s="926" t="s">
        <v>63</v>
      </c>
      <c r="B2" s="927"/>
      <c r="C2" s="928"/>
      <c r="D2" s="927"/>
      <c r="E2" s="930" t="s">
        <v>64</v>
      </c>
      <c r="F2" s="736"/>
      <c r="G2" s="929"/>
      <c r="H2" s="929"/>
      <c r="I2" s="948"/>
      <c r="M2" s="754" t="s">
        <v>65</v>
      </c>
      <c r="N2" s="927"/>
      <c r="O2" s="933">
        <v>110000</v>
      </c>
      <c r="AA2" s="933">
        <f>SUM(AA4,AA3)</f>
        <v>3600000</v>
      </c>
      <c r="AM2" s="949">
        <f>SUBTOTAL(9,AM7:AM216)</f>
        <v>958510.40294126235</v>
      </c>
      <c r="AN2" s="949">
        <f>SUBTOTAL(9,AN7:AN216)</f>
        <v>715972.6589615749</v>
      </c>
      <c r="AO2" s="949">
        <f>SUBTOTAL(9,AO7:AO216)</f>
        <v>0</v>
      </c>
      <c r="AP2" s="949">
        <f>SUBTOTAL(9,AP7:AP216)</f>
        <v>2336094.986792292</v>
      </c>
      <c r="AT2" s="1140" t="s">
        <v>66</v>
      </c>
      <c r="BW2" s="933" t="s">
        <v>67</v>
      </c>
      <c r="BX2" s="933">
        <v>50000</v>
      </c>
      <c r="CC2" s="1159" t="s">
        <v>66</v>
      </c>
      <c r="CI2" s="503" t="s">
        <v>68</v>
      </c>
      <c r="CN2" s="950"/>
      <c r="CR2" s="1396">
        <f>DATE(2025,8,1)</f>
        <v>45870</v>
      </c>
      <c r="CS2" s="503" t="s">
        <v>69</v>
      </c>
      <c r="EX2" s="940" t="s">
        <v>70</v>
      </c>
      <c r="EY2" s="940">
        <v>65</v>
      </c>
      <c r="FT2" s="246">
        <v>10</v>
      </c>
      <c r="FU2" s="247">
        <v>8.5000000000000006E-2</v>
      </c>
      <c r="FV2" s="248">
        <f>PMT(FU2/12,FT2*12,-1)</f>
        <v>1.2398568887451111E-2</v>
      </c>
      <c r="FW2" s="951">
        <f>FT223</f>
        <v>503520.2674941633</v>
      </c>
      <c r="FX2" s="951">
        <f>'Amort Computation'!CJ32</f>
        <v>109616.42442831637</v>
      </c>
    </row>
    <row r="3" spans="1:239" ht="14.25" customHeight="1" thickBot="1">
      <c r="A3" s="926" t="s">
        <v>71</v>
      </c>
      <c r="B3" s="927"/>
      <c r="C3" s="928"/>
      <c r="D3" s="927"/>
      <c r="E3" s="930" t="s">
        <v>72</v>
      </c>
      <c r="F3" s="736"/>
      <c r="G3" s="929"/>
      <c r="H3" s="929"/>
      <c r="I3" s="948"/>
      <c r="K3" s="940" t="s">
        <v>73</v>
      </c>
      <c r="M3" s="754" t="s">
        <v>74</v>
      </c>
      <c r="N3" s="927"/>
      <c r="O3" s="933">
        <v>2000000</v>
      </c>
      <c r="AA3" s="933">
        <f>AA4*12.5%</f>
        <v>400000</v>
      </c>
      <c r="AQ3" s="953" t="s">
        <v>66</v>
      </c>
      <c r="AT3" s="1140">
        <v>3199200</v>
      </c>
      <c r="BW3" s="933" t="s">
        <v>75</v>
      </c>
      <c r="BX3" s="933">
        <v>15000</v>
      </c>
      <c r="CC3" s="1159">
        <v>3600000</v>
      </c>
      <c r="CI3" s="954" t="s">
        <v>76</v>
      </c>
      <c r="CJ3" s="954"/>
      <c r="CK3" s="954"/>
      <c r="CL3" s="930">
        <v>3199200</v>
      </c>
      <c r="CN3" s="950"/>
      <c r="CR3" s="1396">
        <f>DATE(2028,5,1)</f>
        <v>46874</v>
      </c>
      <c r="CS3" s="503" t="s">
        <v>77</v>
      </c>
      <c r="FW3" s="955">
        <v>0.12</v>
      </c>
      <c r="FX3" s="956">
        <f>FX2*FW3</f>
        <v>13153.970931397964</v>
      </c>
    </row>
    <row r="4" spans="1:239" ht="14.25" customHeight="1">
      <c r="A4" s="957"/>
      <c r="B4" s="958"/>
      <c r="C4" s="959"/>
      <c r="D4" s="958"/>
      <c r="E4" s="503"/>
      <c r="F4" s="736"/>
      <c r="G4" s="929"/>
      <c r="H4" s="929"/>
      <c r="I4" s="960"/>
      <c r="K4" s="940" t="s">
        <v>78</v>
      </c>
      <c r="M4" s="754" t="s">
        <v>79</v>
      </c>
      <c r="N4" s="927"/>
      <c r="O4" s="961" t="s">
        <v>80</v>
      </c>
      <c r="P4" s="961">
        <f>P5*12%</f>
        <v>2400</v>
      </c>
      <c r="Q4" s="961"/>
      <c r="R4" s="961" t="s">
        <v>81</v>
      </c>
      <c r="S4" s="961"/>
      <c r="T4" s="961"/>
      <c r="U4" s="961"/>
      <c r="V4" s="961"/>
      <c r="W4" s="961"/>
      <c r="X4" s="961"/>
      <c r="Y4" s="961"/>
      <c r="Z4" s="961"/>
      <c r="AA4" s="961">
        <v>3200000</v>
      </c>
      <c r="AB4" s="961"/>
      <c r="AC4" s="961"/>
      <c r="AD4" s="961"/>
      <c r="AE4" s="961"/>
      <c r="AF4" s="962"/>
      <c r="AG4" s="962"/>
      <c r="AH4" s="962"/>
      <c r="AI4" s="962"/>
      <c r="AJ4" s="962"/>
      <c r="AK4" s="962"/>
      <c r="AL4" s="962"/>
      <c r="AM4" s="961"/>
      <c r="AN4" s="961"/>
      <c r="AO4" s="961"/>
      <c r="AP4" s="961" t="s">
        <v>82</v>
      </c>
      <c r="AQ4" s="953">
        <v>3199200</v>
      </c>
      <c r="AT4" s="1141" t="s">
        <v>83</v>
      </c>
      <c r="AU4" s="1141"/>
      <c r="AV4" s="1141"/>
      <c r="AW4" s="1141"/>
      <c r="AX4" s="1141"/>
      <c r="AY4" s="1151"/>
      <c r="BW4" s="933" t="s">
        <v>84</v>
      </c>
      <c r="BX4" s="1392">
        <f>-30000*1.12</f>
        <v>-33600</v>
      </c>
      <c r="CB4" s="1132"/>
      <c r="CC4" s="1160" t="s">
        <v>83</v>
      </c>
      <c r="CD4" s="1160"/>
      <c r="CF4" s="1160"/>
      <c r="CG4" s="1160"/>
      <c r="CH4" s="1156"/>
      <c r="CI4" s="963"/>
      <c r="CJ4" s="963"/>
      <c r="CK4" s="963"/>
      <c r="CL4" s="964"/>
      <c r="CN4" s="950"/>
      <c r="CR4" s="1397">
        <v>32</v>
      </c>
      <c r="CS4" s="503" t="s">
        <v>85</v>
      </c>
      <c r="CV4" s="965" t="s">
        <v>57</v>
      </c>
      <c r="CW4" s="929"/>
      <c r="CX4" s="929"/>
      <c r="CY4" s="929"/>
      <c r="CZ4" s="1420" t="s">
        <v>86</v>
      </c>
      <c r="DA4" s="1421"/>
      <c r="DB4" s="1421"/>
      <c r="DC4" s="1422"/>
      <c r="DD4" s="929"/>
      <c r="DE4" s="929"/>
      <c r="DH4" s="966">
        <v>45658</v>
      </c>
      <c r="DI4" s="967" t="s">
        <v>87</v>
      </c>
      <c r="FC4" s="940" t="s">
        <v>88</v>
      </c>
      <c r="FF4" s="1414" t="s">
        <v>89</v>
      </c>
      <c r="FG4" s="1414"/>
      <c r="FH4" s="1414"/>
      <c r="FI4" s="1415" t="s">
        <v>90</v>
      </c>
      <c r="FJ4" s="1415"/>
      <c r="FK4" s="1415"/>
      <c r="FW4" s="955">
        <v>0.08</v>
      </c>
      <c r="FX4" s="956">
        <f>FX2*FW4</f>
        <v>8769.3139542653098</v>
      </c>
      <c r="HB4" s="968" t="s">
        <v>91</v>
      </c>
    </row>
    <row r="5" spans="1:239" ht="26.45" thickBot="1">
      <c r="E5" s="948"/>
      <c r="F5" s="929"/>
      <c r="G5" s="929"/>
      <c r="H5" s="929"/>
      <c r="I5" s="929"/>
      <c r="J5" s="948"/>
      <c r="K5" s="969" t="s">
        <v>92</v>
      </c>
      <c r="L5" s="929"/>
      <c r="M5" s="929"/>
      <c r="N5" s="715"/>
      <c r="O5" s="715" t="s">
        <v>93</v>
      </c>
      <c r="P5" s="716">
        <v>20000</v>
      </c>
      <c r="Q5" s="717">
        <v>50000</v>
      </c>
      <c r="R5" s="718">
        <v>0</v>
      </c>
      <c r="S5" s="718"/>
      <c r="T5" s="718">
        <v>3000</v>
      </c>
      <c r="U5" s="718">
        <v>1000</v>
      </c>
      <c r="V5" s="718">
        <v>2500</v>
      </c>
      <c r="W5" s="718">
        <v>1000</v>
      </c>
      <c r="X5" s="718">
        <v>200</v>
      </c>
      <c r="Y5" s="719">
        <v>20000</v>
      </c>
      <c r="Z5" s="719">
        <v>75000</v>
      </c>
      <c r="AA5" s="719">
        <f>AA2/AA1</f>
        <v>20199.753114128602</v>
      </c>
      <c r="AB5" s="719"/>
      <c r="AC5" s="719"/>
      <c r="AD5" s="719"/>
      <c r="AE5" s="1416" t="s">
        <v>94</v>
      </c>
      <c r="AF5" s="720">
        <v>44848</v>
      </c>
      <c r="AG5" s="721">
        <v>2.5000000000000001E-2</v>
      </c>
      <c r="AH5" s="722">
        <v>44849</v>
      </c>
      <c r="AI5" s="721">
        <v>2.5000000000000001E-2</v>
      </c>
      <c r="AJ5" s="722" t="s">
        <v>95</v>
      </c>
      <c r="AK5" s="721">
        <v>0.05</v>
      </c>
      <c r="AL5" s="722"/>
      <c r="AM5" s="887">
        <v>0.01</v>
      </c>
      <c r="AN5" s="888">
        <v>27537.409960060559</v>
      </c>
      <c r="AO5" s="888"/>
      <c r="AP5" s="888">
        <f>FK224</f>
        <v>0</v>
      </c>
      <c r="AQ5" s="722"/>
      <c r="AR5" s="919">
        <v>4.4999999999999998E-2</v>
      </c>
      <c r="AS5" s="1142"/>
      <c r="AT5" s="1143">
        <v>2000000</v>
      </c>
      <c r="AU5" s="1143"/>
      <c r="AV5" s="1143"/>
      <c r="AW5" s="1144">
        <v>0.12</v>
      </c>
      <c r="AX5" s="1143"/>
      <c r="AY5" s="1152" t="s">
        <v>0</v>
      </c>
      <c r="AZ5" s="1137">
        <v>1.2500000000000001E-2</v>
      </c>
      <c r="BA5" s="1178">
        <f>RECOVERIES!H14</f>
        <v>165298.77280000001</v>
      </c>
      <c r="BB5" s="1178"/>
      <c r="BC5" s="1178">
        <v>40656.000000000007</v>
      </c>
      <c r="BD5" s="1137">
        <v>3.7499999999999999E-2</v>
      </c>
      <c r="BE5" s="1178">
        <v>30000</v>
      </c>
      <c r="BF5" s="1178"/>
      <c r="BG5" s="1178">
        <f>RECOVERIES!H37</f>
        <v>73483.200000000012</v>
      </c>
      <c r="BH5" s="1178"/>
      <c r="BI5" s="1178">
        <v>13104.000000000002</v>
      </c>
      <c r="BJ5" s="1178"/>
      <c r="BK5" s="1178">
        <f>RECOVERIES!H54</f>
        <v>101855.84640000001</v>
      </c>
      <c r="BL5" s="1178"/>
      <c r="BM5" s="1178"/>
      <c r="BN5" s="1178"/>
      <c r="BO5" s="1178"/>
      <c r="BP5" s="1178"/>
      <c r="BQ5" s="1178"/>
      <c r="BR5" s="1178"/>
      <c r="BS5" s="1178"/>
      <c r="BT5" s="1178"/>
      <c r="BU5" s="1178">
        <v>13104.000000000002</v>
      </c>
      <c r="BV5" s="1178"/>
      <c r="BW5" s="1178"/>
      <c r="BX5" s="1178"/>
      <c r="BY5" s="1178"/>
      <c r="BZ5" s="1178">
        <f>RECOVERIES!H93+RECOVERIES!N93</f>
        <v>673086.74079615076</v>
      </c>
      <c r="CA5" s="1178"/>
      <c r="CB5" s="1133"/>
      <c r="CC5" s="1161">
        <v>2000000</v>
      </c>
      <c r="CD5" s="1161"/>
      <c r="CE5" s="1161"/>
      <c r="CF5" s="1162">
        <v>0.12</v>
      </c>
      <c r="CG5" s="1161"/>
      <c r="CH5" s="1157" t="s">
        <v>96</v>
      </c>
      <c r="CI5" s="970"/>
      <c r="CJ5" s="971"/>
      <c r="CK5" s="972">
        <f>7.5%+2.75%</f>
        <v>0.10249999999999999</v>
      </c>
      <c r="CL5" s="972">
        <v>3.5000000000000003E-2</v>
      </c>
      <c r="CM5" s="929"/>
      <c r="CN5" s="973">
        <v>0.125</v>
      </c>
      <c r="CO5" s="929"/>
      <c r="CP5" s="974">
        <v>30000</v>
      </c>
      <c r="CQ5" s="929"/>
      <c r="CR5" s="975"/>
      <c r="CS5" s="929" t="s">
        <v>97</v>
      </c>
      <c r="CT5" s="936"/>
      <c r="CU5" s="929"/>
      <c r="CV5" s="976">
        <v>7.0000000000000007E-2</v>
      </c>
      <c r="CW5" s="977"/>
      <c r="CX5" s="978"/>
      <c r="CY5" s="978"/>
      <c r="CZ5" s="1118">
        <v>8.8848788999999997E-2</v>
      </c>
      <c r="DA5" s="1118">
        <v>3.5157032999999997E-2</v>
      </c>
      <c r="DB5" s="1118">
        <v>2.5393427E-2</v>
      </c>
      <c r="DC5" s="1118">
        <v>1.9325566999999998E-2</v>
      </c>
      <c r="DD5" s="929"/>
      <c r="DE5" s="929"/>
      <c r="DF5" s="929"/>
      <c r="DG5" s="929"/>
      <c r="DH5" s="907" t="s">
        <v>98</v>
      </c>
      <c r="DI5" s="908">
        <v>45231</v>
      </c>
      <c r="DJ5" s="979"/>
      <c r="DK5" s="980" t="s">
        <v>99</v>
      </c>
      <c r="DL5" s="908">
        <f>DI5</f>
        <v>45231</v>
      </c>
      <c r="DM5" s="929"/>
      <c r="DN5" s="929"/>
      <c r="DO5" s="929"/>
      <c r="DP5" s="929"/>
      <c r="DQ5" s="929"/>
      <c r="DR5" s="929"/>
      <c r="DS5" s="981" t="s">
        <v>100</v>
      </c>
      <c r="DT5" s="982" t="s">
        <v>101</v>
      </c>
      <c r="DU5" s="948"/>
      <c r="DV5" s="929"/>
      <c r="DW5" s="929"/>
      <c r="DX5" s="929"/>
      <c r="EY5" s="983">
        <v>0.15</v>
      </c>
      <c r="EZ5" s="983">
        <v>0.85</v>
      </c>
      <c r="FA5" s="983">
        <v>0.1</v>
      </c>
      <c r="FB5" s="983">
        <v>0.9</v>
      </c>
      <c r="FC5" s="984" t="s">
        <v>102</v>
      </c>
      <c r="FF5" s="985">
        <v>0.85</v>
      </c>
      <c r="FG5" s="986">
        <v>8.5000000000000006E-2</v>
      </c>
      <c r="FI5" s="987">
        <v>0.9</v>
      </c>
      <c r="FJ5" s="988">
        <v>8.5000000000000006E-2</v>
      </c>
      <c r="FL5" s="984" t="s">
        <v>102</v>
      </c>
      <c r="FM5" s="984"/>
      <c r="FN5" s="984"/>
      <c r="FO5" s="989">
        <v>27537.409960060559</v>
      </c>
      <c r="FP5" s="984"/>
      <c r="FQ5" s="984"/>
      <c r="FR5" s="984"/>
      <c r="FT5" s="990">
        <v>0.9</v>
      </c>
      <c r="FV5" s="503"/>
      <c r="FW5" s="991" t="s">
        <v>103</v>
      </c>
      <c r="FX5" s="992">
        <f>SUM(FX2:FX4)</f>
        <v>131539.70931397966</v>
      </c>
      <c r="GH5" s="993"/>
      <c r="HB5" s="947">
        <v>25</v>
      </c>
      <c r="IE5" s="1395">
        <v>45870</v>
      </c>
    </row>
    <row r="6" spans="1:239" s="954" customFormat="1" ht="61.5" customHeight="1" thickBot="1">
      <c r="A6" s="723" t="s">
        <v>104</v>
      </c>
      <c r="B6" s="724" t="s">
        <v>105</v>
      </c>
      <c r="C6" s="723" t="s">
        <v>106</v>
      </c>
      <c r="D6" s="724" t="s">
        <v>107</v>
      </c>
      <c r="E6" s="725" t="s">
        <v>108</v>
      </c>
      <c r="F6" s="726" t="s">
        <v>109</v>
      </c>
      <c r="G6" s="727" t="s">
        <v>110</v>
      </c>
      <c r="H6" s="728" t="s">
        <v>111</v>
      </c>
      <c r="I6" s="727" t="s">
        <v>112</v>
      </c>
      <c r="J6" s="729" t="s">
        <v>113</v>
      </c>
      <c r="K6" s="730" t="s">
        <v>114</v>
      </c>
      <c r="L6" s="727" t="s">
        <v>115</v>
      </c>
      <c r="M6" s="727" t="s">
        <v>116</v>
      </c>
      <c r="N6" s="724" t="s">
        <v>117</v>
      </c>
      <c r="O6" s="724" t="s">
        <v>118</v>
      </c>
      <c r="P6" s="724" t="s">
        <v>119</v>
      </c>
      <c r="Q6" s="724" t="s">
        <v>120</v>
      </c>
      <c r="R6" s="731" t="s">
        <v>121</v>
      </c>
      <c r="S6" s="731" t="s">
        <v>122</v>
      </c>
      <c r="T6" s="731" t="s">
        <v>123</v>
      </c>
      <c r="U6" s="732" t="s">
        <v>124</v>
      </c>
      <c r="V6" s="732" t="s">
        <v>125</v>
      </c>
      <c r="W6" s="732" t="s">
        <v>126</v>
      </c>
      <c r="X6" s="732" t="s">
        <v>127</v>
      </c>
      <c r="Y6" s="731" t="s">
        <v>128</v>
      </c>
      <c r="Z6" s="731" t="s">
        <v>129</v>
      </c>
      <c r="AA6" s="731" t="s">
        <v>130</v>
      </c>
      <c r="AB6" s="731" t="s">
        <v>131</v>
      </c>
      <c r="AC6" s="731" t="s">
        <v>132</v>
      </c>
      <c r="AD6" s="731" t="s">
        <v>133</v>
      </c>
      <c r="AE6" s="1416"/>
      <c r="AF6" s="733" t="s">
        <v>134</v>
      </c>
      <c r="AG6" s="734" t="s">
        <v>135</v>
      </c>
      <c r="AH6" s="734" t="str">
        <f>AF6</f>
        <v>NEW SELLING PRICEL</v>
      </c>
      <c r="AI6" s="734" t="s">
        <v>136</v>
      </c>
      <c r="AJ6" s="734" t="str">
        <f>AH6</f>
        <v>NEW SELLING PRICEL</v>
      </c>
      <c r="AK6" s="734" t="s">
        <v>137</v>
      </c>
      <c r="AL6" s="734" t="s">
        <v>138</v>
      </c>
      <c r="AM6" s="731" t="s">
        <v>139</v>
      </c>
      <c r="AN6" s="731" t="s">
        <v>140</v>
      </c>
      <c r="AO6" s="731"/>
      <c r="AP6" s="731" t="s">
        <v>141</v>
      </c>
      <c r="AQ6" s="734" t="s">
        <v>138</v>
      </c>
      <c r="AR6" s="920" t="s">
        <v>142</v>
      </c>
      <c r="AS6" s="1145" t="s">
        <v>138</v>
      </c>
      <c r="AT6" s="1146" t="s">
        <v>143</v>
      </c>
      <c r="AU6" s="1146" t="s">
        <v>144</v>
      </c>
      <c r="AV6" s="1146" t="s">
        <v>145</v>
      </c>
      <c r="AW6" s="1146" t="s">
        <v>146</v>
      </c>
      <c r="AX6" s="1146" t="s">
        <v>147</v>
      </c>
      <c r="AY6" s="1153" t="s">
        <v>96</v>
      </c>
      <c r="AZ6" s="1138" t="s">
        <v>148</v>
      </c>
      <c r="BA6" s="1138" t="s">
        <v>149</v>
      </c>
      <c r="BB6" s="740" t="s">
        <v>150</v>
      </c>
      <c r="BC6" s="1138" t="s">
        <v>151</v>
      </c>
      <c r="BD6" s="1138" t="s">
        <v>152</v>
      </c>
      <c r="BE6" s="1138" t="s">
        <v>153</v>
      </c>
      <c r="BF6" s="1138" t="s">
        <v>96</v>
      </c>
      <c r="BG6" s="1138" t="s">
        <v>154</v>
      </c>
      <c r="BH6" s="1138" t="s">
        <v>155</v>
      </c>
      <c r="BI6" s="1138" t="s">
        <v>156</v>
      </c>
      <c r="BJ6" s="1138" t="s">
        <v>157</v>
      </c>
      <c r="BK6" s="1138" t="s">
        <v>158</v>
      </c>
      <c r="BL6" s="1138" t="s">
        <v>159</v>
      </c>
      <c r="BM6" s="1138" t="s">
        <v>160</v>
      </c>
      <c r="BN6" s="1138" t="s">
        <v>161</v>
      </c>
      <c r="BO6" s="1138" t="s">
        <v>162</v>
      </c>
      <c r="BP6" s="1138" t="s">
        <v>163</v>
      </c>
      <c r="BQ6" s="1138" t="s">
        <v>164</v>
      </c>
      <c r="BR6" s="1138" t="s">
        <v>165</v>
      </c>
      <c r="BS6" s="1138" t="s">
        <v>166</v>
      </c>
      <c r="BT6" s="1138" t="s">
        <v>167</v>
      </c>
      <c r="BU6" s="1138" t="s">
        <v>168</v>
      </c>
      <c r="BV6" s="1138" t="s">
        <v>169</v>
      </c>
      <c r="BW6" s="1138" t="s">
        <v>170</v>
      </c>
      <c r="BX6" s="1138" t="s">
        <v>171</v>
      </c>
      <c r="BY6" s="1138" t="s">
        <v>172</v>
      </c>
      <c r="BZ6" s="1138" t="s">
        <v>173</v>
      </c>
      <c r="CA6" s="1138" t="s">
        <v>174</v>
      </c>
      <c r="CB6" s="1134" t="s">
        <v>96</v>
      </c>
      <c r="CC6" s="1163" t="s">
        <v>143</v>
      </c>
      <c r="CD6" s="1163" t="s">
        <v>144</v>
      </c>
      <c r="CE6" s="1163" t="s">
        <v>145</v>
      </c>
      <c r="CF6" s="1163" t="s">
        <v>146</v>
      </c>
      <c r="CG6" s="1163" t="s">
        <v>147</v>
      </c>
      <c r="CH6" s="1158" t="s">
        <v>96</v>
      </c>
      <c r="CI6" s="728" t="s">
        <v>96</v>
      </c>
      <c r="CJ6" s="728" t="s">
        <v>175</v>
      </c>
      <c r="CK6" s="728" t="s">
        <v>176</v>
      </c>
      <c r="CL6" s="727" t="s">
        <v>177</v>
      </c>
      <c r="CM6" s="727" t="s">
        <v>178</v>
      </c>
      <c r="CN6" s="735" t="s">
        <v>179</v>
      </c>
      <c r="CO6" s="727" t="s">
        <v>180</v>
      </c>
      <c r="CP6" s="727" t="s">
        <v>181</v>
      </c>
      <c r="CQ6" s="727" t="s">
        <v>182</v>
      </c>
      <c r="CR6" s="728" t="s">
        <v>183</v>
      </c>
      <c r="CS6" s="727" t="s">
        <v>184</v>
      </c>
      <c r="CT6" s="735" t="s">
        <v>185</v>
      </c>
      <c r="CU6" s="727" t="s">
        <v>186</v>
      </c>
      <c r="CV6" s="728" t="s">
        <v>187</v>
      </c>
      <c r="CW6" s="728" t="s">
        <v>188</v>
      </c>
      <c r="CX6" s="728" t="s">
        <v>189</v>
      </c>
      <c r="CY6" s="1116" t="s">
        <v>190</v>
      </c>
      <c r="CZ6" s="925" t="s">
        <v>191</v>
      </c>
      <c r="DA6" s="925" t="s">
        <v>192</v>
      </c>
      <c r="DB6" s="925" t="s">
        <v>193</v>
      </c>
      <c r="DC6" s="925" t="s">
        <v>194</v>
      </c>
      <c r="DD6" s="1117" t="s">
        <v>195</v>
      </c>
      <c r="DE6" s="922" t="s">
        <v>196</v>
      </c>
      <c r="DF6" s="921" t="s">
        <v>197</v>
      </c>
      <c r="DG6" s="923" t="s">
        <v>198</v>
      </c>
      <c r="DH6" s="909" t="s">
        <v>199</v>
      </c>
      <c r="DI6" s="909" t="s">
        <v>200</v>
      </c>
      <c r="DJ6" s="910"/>
      <c r="DK6" s="909" t="s">
        <v>201</v>
      </c>
      <c r="DL6" s="911" t="s">
        <v>202</v>
      </c>
      <c r="DM6" s="734" t="s">
        <v>203</v>
      </c>
      <c r="DN6" s="734" t="s">
        <v>204</v>
      </c>
      <c r="DO6" s="734" t="s">
        <v>205</v>
      </c>
      <c r="DP6" s="734" t="s">
        <v>206</v>
      </c>
      <c r="DQ6" s="734" t="s">
        <v>207</v>
      </c>
      <c r="DR6" s="737"/>
      <c r="DS6" s="738" t="s">
        <v>208</v>
      </c>
      <c r="DT6" s="738" t="s">
        <v>209</v>
      </c>
      <c r="DU6" s="739" t="s">
        <v>210</v>
      </c>
      <c r="DV6" s="736"/>
      <c r="DW6" s="740" t="s">
        <v>211</v>
      </c>
      <c r="DX6" s="736"/>
      <c r="DZ6" s="726" t="s">
        <v>212</v>
      </c>
      <c r="EA6" s="726" t="s">
        <v>210</v>
      </c>
      <c r="EB6" s="726" t="s">
        <v>213</v>
      </c>
      <c r="EC6" s="726" t="s">
        <v>214</v>
      </c>
      <c r="EH6" s="1090"/>
      <c r="EI6" s="1090"/>
      <c r="EJ6" s="1375" t="s">
        <v>215</v>
      </c>
      <c r="EK6" s="1376"/>
      <c r="EL6" s="1373"/>
      <c r="EM6" s="1373"/>
      <c r="EN6" s="1373"/>
      <c r="EO6" s="1374"/>
      <c r="ER6" s="994" t="s">
        <v>216</v>
      </c>
      <c r="ES6" s="995" t="s">
        <v>217</v>
      </c>
      <c r="ET6" s="995" t="s">
        <v>218</v>
      </c>
      <c r="EU6" s="996"/>
      <c r="EV6" s="997"/>
      <c r="EW6" s="996"/>
      <c r="EX6" s="995" t="s">
        <v>219</v>
      </c>
      <c r="EY6" s="995" t="s">
        <v>220</v>
      </c>
      <c r="EZ6" s="995" t="s">
        <v>221</v>
      </c>
      <c r="FA6" s="995" t="s">
        <v>220</v>
      </c>
      <c r="FB6" s="995" t="s">
        <v>221</v>
      </c>
      <c r="FC6" s="995" t="s">
        <v>222</v>
      </c>
      <c r="FD6" s="997"/>
      <c r="FE6" s="996"/>
      <c r="FF6" s="998" t="s">
        <v>221</v>
      </c>
      <c r="FG6" s="998" t="s">
        <v>223</v>
      </c>
      <c r="FH6" s="998" t="s">
        <v>224</v>
      </c>
      <c r="FI6" s="999" t="s">
        <v>221</v>
      </c>
      <c r="FJ6" s="999" t="s">
        <v>223</v>
      </c>
      <c r="FK6" s="999" t="s">
        <v>224</v>
      </c>
      <c r="FL6" s="914" t="s">
        <v>225</v>
      </c>
      <c r="FM6" s="1000" t="s">
        <v>226</v>
      </c>
      <c r="FN6" s="1000" t="s">
        <v>227</v>
      </c>
      <c r="FO6" s="1001" t="s">
        <v>228</v>
      </c>
      <c r="FP6" s="914" t="s">
        <v>229</v>
      </c>
      <c r="FQ6" s="984"/>
      <c r="FR6" s="1002"/>
      <c r="FS6" s="997"/>
      <c r="FT6" s="968" t="s">
        <v>230</v>
      </c>
      <c r="FU6" s="1003"/>
      <c r="FV6" s="1003"/>
      <c r="FX6" s="992"/>
      <c r="FY6" s="1377" t="s">
        <v>231</v>
      </c>
      <c r="FZ6" s="1379"/>
      <c r="GA6" s="1377" t="s">
        <v>232</v>
      </c>
      <c r="GB6" s="1378"/>
      <c r="GH6" s="1004"/>
      <c r="GI6" s="914" t="str">
        <f t="shared" ref="GI6:GL7" si="0">CM6</f>
        <v>Total Contract Price</v>
      </c>
      <c r="GJ6" s="917" t="str">
        <f t="shared" si="0"/>
        <v>Equity Rate</v>
      </c>
      <c r="GK6" s="905" t="str">
        <f t="shared" si="0"/>
        <v>Equity</v>
      </c>
      <c r="GL6" s="905" t="str">
        <f t="shared" si="0"/>
        <v>Reservation Fee</v>
      </c>
      <c r="GM6" s="905" t="str">
        <f t="shared" ref="GM6:GM7" si="1">CQ6</f>
        <v>Net Equity</v>
      </c>
      <c r="GN6" s="914" t="str">
        <f t="shared" ref="GN6:GN7" si="2">CR6</f>
        <v>Equity Term (Months)</v>
      </c>
      <c r="GO6" s="905" t="str">
        <f t="shared" ref="GO6:GO7" si="3">CS6</f>
        <v>Monthly Equity</v>
      </c>
      <c r="GP6" s="905" t="str">
        <f t="shared" ref="GP6:GP7" si="4">CT6</f>
        <v>Balance %</v>
      </c>
      <c r="GQ6" s="916" t="str">
        <f t="shared" ref="GQ6:GQ7" si="5">CU6</f>
        <v>Loanable Amount</v>
      </c>
      <c r="GR6" s="914" t="str">
        <f t="shared" ref="GR6:GR7" si="6">CV6</f>
        <v>Monthly Amort.           20 years @ 7%</v>
      </c>
      <c r="GS6" s="918" t="str">
        <f t="shared" ref="GS6:GS7" si="7">CW6</f>
        <v>Monthly Amort.           15 years @ 7%</v>
      </c>
      <c r="GT6" s="918" t="str">
        <f t="shared" ref="GT6:GT7" si="8">CX6</f>
        <v>Monthly Amort.           10 years @ 7%</v>
      </c>
      <c r="GU6" s="918" t="str">
        <f t="shared" ref="GU6:GU7" si="9">CY6</f>
        <v>Monthly Amort.           5 years @ 7%</v>
      </c>
      <c r="GV6" s="915"/>
      <c r="GW6" s="914" t="str">
        <f t="shared" ref="GW6:HC6" si="10">GI6</f>
        <v>Total Contract Price</v>
      </c>
      <c r="GX6" s="917" t="str">
        <f t="shared" si="10"/>
        <v>Equity Rate</v>
      </c>
      <c r="GY6" s="905" t="str">
        <f t="shared" si="10"/>
        <v>Equity</v>
      </c>
      <c r="GZ6" s="905" t="str">
        <f t="shared" si="10"/>
        <v>Reservation Fee</v>
      </c>
      <c r="HA6" s="905" t="str">
        <f t="shared" si="10"/>
        <v>Net Equity</v>
      </c>
      <c r="HB6" s="914" t="str">
        <f t="shared" si="10"/>
        <v>Equity Term (Months)</v>
      </c>
      <c r="HC6" s="905" t="str">
        <f t="shared" si="10"/>
        <v>Monthly Equity</v>
      </c>
      <c r="HD6" s="905" t="str">
        <f t="shared" ref="HD6:HI6" si="11">GP6</f>
        <v>Balance %</v>
      </c>
      <c r="HE6" s="905" t="str">
        <f t="shared" si="11"/>
        <v>Loanable Amount</v>
      </c>
      <c r="HF6" s="914" t="str">
        <f t="shared" si="11"/>
        <v>Monthly Amort.           20 years @ 7%</v>
      </c>
      <c r="HG6" s="914" t="str">
        <f t="shared" si="11"/>
        <v>Monthly Amort.           15 years @ 7%</v>
      </c>
      <c r="HH6" s="914" t="str">
        <f t="shared" si="11"/>
        <v>Monthly Amort.           10 years @ 7%</v>
      </c>
      <c r="HI6" s="914" t="str">
        <f t="shared" si="11"/>
        <v>Monthly Amort.           5 years @ 7%</v>
      </c>
      <c r="HJ6" s="915"/>
      <c r="HK6" s="914" t="s">
        <v>233</v>
      </c>
      <c r="HR6" s="954" t="s">
        <v>210</v>
      </c>
      <c r="IC6" s="1398" t="s">
        <v>234</v>
      </c>
      <c r="ID6" s="1399" t="s">
        <v>235</v>
      </c>
      <c r="IE6" s="1398" t="s">
        <v>236</v>
      </c>
    </row>
    <row r="7" spans="1:239" ht="23.45" customHeight="1">
      <c r="A7" s="741">
        <v>1</v>
      </c>
      <c r="B7" s="742"/>
      <c r="C7" s="741">
        <v>1</v>
      </c>
      <c r="D7" s="742" t="s">
        <v>237</v>
      </c>
      <c r="E7" s="743" t="str">
        <f>D7</f>
        <v>2nd Floor</v>
      </c>
      <c r="F7" s="744"/>
      <c r="G7" s="745" t="s">
        <v>238</v>
      </c>
      <c r="H7" s="745">
        <v>1</v>
      </c>
      <c r="I7" s="745" t="s">
        <v>239</v>
      </c>
      <c r="J7" s="746">
        <v>35.4</v>
      </c>
      <c r="K7" s="747"/>
      <c r="L7" s="745"/>
      <c r="M7" s="745" t="s">
        <v>240</v>
      </c>
      <c r="N7" s="742">
        <v>200000</v>
      </c>
      <c r="O7" s="934">
        <f t="shared" ref="O7:O12" si="12">J7*N7</f>
        <v>7080000</v>
      </c>
      <c r="P7" s="934"/>
      <c r="Q7" s="934"/>
      <c r="R7" s="748"/>
      <c r="S7" s="748"/>
      <c r="T7" s="748"/>
      <c r="U7" s="749"/>
      <c r="V7" s="749"/>
      <c r="W7" s="749"/>
      <c r="X7" s="749"/>
      <c r="Y7" s="748"/>
      <c r="Z7" s="934"/>
      <c r="AA7" s="742">
        <f t="shared" ref="AA7:AA12" si="13">$AA$5*J7</f>
        <v>715071.26024015248</v>
      </c>
      <c r="AB7" s="934"/>
      <c r="AC7" s="934"/>
      <c r="AD7" s="934"/>
      <c r="AE7" s="934">
        <f t="shared" ref="AE7:AE70" si="14">SUM(P7:AD7)</f>
        <v>715071.26024015248</v>
      </c>
      <c r="AF7" s="1005">
        <f t="shared" ref="AF7:AF70" si="15">O7+AE7</f>
        <v>7795071.2602401525</v>
      </c>
      <c r="AG7" s="1005">
        <f>AF7*$AG$5</f>
        <v>194876.78150600381</v>
      </c>
      <c r="AH7" s="1005">
        <f>AF7+AG7</f>
        <v>7989948.0417461563</v>
      </c>
      <c r="AI7" s="1005">
        <f>AH7*$AI$5</f>
        <v>199748.70104365391</v>
      </c>
      <c r="AJ7" s="1005">
        <f>AH7+AI7</f>
        <v>8189696.7427898105</v>
      </c>
      <c r="AK7" s="1005">
        <f>AJ7*$AK$5</f>
        <v>409484.83713949053</v>
      </c>
      <c r="AL7" s="1005">
        <f>AJ7+AK7</f>
        <v>8599181.5799293015</v>
      </c>
      <c r="AM7" s="934">
        <f>AL7*$AM$5</f>
        <v>85991.815799293021</v>
      </c>
      <c r="AN7" s="934">
        <f>$AN$5</f>
        <v>27537.409960060559</v>
      </c>
      <c r="AO7" s="934"/>
      <c r="AP7" s="934"/>
      <c r="AQ7" s="1005">
        <f>AL7+AM7+AP7+AN7+AO7</f>
        <v>8712710.805688655</v>
      </c>
      <c r="AR7" s="1005">
        <f>AQ7*$AR$5</f>
        <v>392071.98625598947</v>
      </c>
      <c r="AS7" s="1147">
        <f>AQ7+AR7</f>
        <v>9104782.7919446453</v>
      </c>
      <c r="AT7" s="1148"/>
      <c r="AU7" s="1148">
        <f t="shared" ref="AU7:AU38" si="16">AV7/J7</f>
        <v>0</v>
      </c>
      <c r="AV7" s="1148"/>
      <c r="AW7" s="1148">
        <f t="shared" ref="AW7:AW70" si="17">AV7*$AW$5</f>
        <v>0</v>
      </c>
      <c r="AX7" s="1148">
        <f t="shared" ref="AX7:AX70" si="18">AV7+AW7</f>
        <v>0</v>
      </c>
      <c r="AY7" s="1147">
        <f>AS7+AW7</f>
        <v>9104782.7919446453</v>
      </c>
      <c r="AZ7" s="934">
        <f>AY7*$AZ$5</f>
        <v>113809.78489930807</v>
      </c>
      <c r="BA7" s="716">
        <v>13774.897733333333</v>
      </c>
      <c r="BB7" s="716">
        <f t="shared" ref="BB7:BB38" si="19">SUM(AY7:BA7)</f>
        <v>9232367.4745772853</v>
      </c>
      <c r="BC7" s="716">
        <v>2710.4000000000005</v>
      </c>
      <c r="BD7" s="716">
        <f>BB7*$BD$5</f>
        <v>346213.78029664821</v>
      </c>
      <c r="BE7" s="716">
        <f>$BE$5*1.12</f>
        <v>33600</v>
      </c>
      <c r="BF7" s="716">
        <f>BB7+BC7+BD7+BE7</f>
        <v>9614891.6548739336</v>
      </c>
      <c r="BG7" s="716">
        <v>5248.8000000000011</v>
      </c>
      <c r="BH7" s="716">
        <f>BF7+BG7</f>
        <v>9620140.4548739344</v>
      </c>
      <c r="BI7" s="716"/>
      <c r="BJ7" s="716">
        <f>BH7+BI7</f>
        <v>9620140.4548739344</v>
      </c>
      <c r="BK7" s="716">
        <v>5092.7923200000005</v>
      </c>
      <c r="BL7" s="716">
        <f>BJ7+BK7</f>
        <v>9625233.2471939344</v>
      </c>
      <c r="BM7" s="716"/>
      <c r="BN7" s="716">
        <f t="shared" ref="BN7:BN70" si="20">BL7+BM7</f>
        <v>9625233.2471939344</v>
      </c>
      <c r="BO7" s="716"/>
      <c r="BP7" s="716">
        <f>BN7+BO7</f>
        <v>9625233.2471939344</v>
      </c>
      <c r="BQ7" s="716"/>
      <c r="BR7" s="716">
        <f>BP7+BQ7</f>
        <v>9625233.2471939344</v>
      </c>
      <c r="BS7" s="716"/>
      <c r="BT7" s="716">
        <f>BR7+BS7</f>
        <v>9625233.2471939344</v>
      </c>
      <c r="BU7" s="716">
        <f>$BU$5/24</f>
        <v>546.00000000000011</v>
      </c>
      <c r="BV7" s="716">
        <f t="shared" ref="BV7:BV70" si="21">BT7+BU7</f>
        <v>9625779.2471939344</v>
      </c>
      <c r="BW7" s="716">
        <v>0</v>
      </c>
      <c r="BX7" s="716"/>
      <c r="BY7" s="716">
        <f>SUM(BV7:BX7)</f>
        <v>9625779.2471939344</v>
      </c>
      <c r="BZ7" s="716"/>
      <c r="CA7" s="716">
        <f>BY7+BZ7</f>
        <v>9625779.2471939344</v>
      </c>
      <c r="CB7" s="1135">
        <f>CA7</f>
        <v>9625779.2471939344</v>
      </c>
      <c r="CC7" s="1164">
        <f>CB7</f>
        <v>9625779.2471939344</v>
      </c>
      <c r="CD7" s="1164"/>
      <c r="CE7" s="1164"/>
      <c r="CF7" s="1164">
        <f t="shared" ref="CF7:CF10" si="22">CE7*$AW$5</f>
        <v>0</v>
      </c>
      <c r="CG7" s="1164">
        <f t="shared" ref="CG7:CG10" si="23">CE7+CF7</f>
        <v>0</v>
      </c>
      <c r="CH7" s="1154">
        <f>CC7+CE7+CF7</f>
        <v>9625779.2471939344</v>
      </c>
      <c r="CI7" s="935">
        <f>CH7</f>
        <v>9625779.2471939344</v>
      </c>
      <c r="CJ7" s="935">
        <f>IF(CC7&lt;=$CC$3,0,12%*CC7)</f>
        <v>1155093.5096632722</v>
      </c>
      <c r="CK7" s="935">
        <f>CI7*CK$5</f>
        <v>986642.37283737818</v>
      </c>
      <c r="CL7" s="935">
        <f>CI7*CL$5</f>
        <v>336902.27365178772</v>
      </c>
      <c r="CM7" s="1006">
        <f>SUM(CI7:CL7)</f>
        <v>12104417.403346373</v>
      </c>
      <c r="CN7" s="1007">
        <v>0.2</v>
      </c>
      <c r="CO7" s="935">
        <f t="shared" ref="CO7:CO70" si="24">CM7*CN7</f>
        <v>2420883.4806692745</v>
      </c>
      <c r="CP7" s="935">
        <v>200000</v>
      </c>
      <c r="CQ7" s="935">
        <f t="shared" ref="CQ7:CQ70" si="25">CO7-CP7</f>
        <v>2220883.4806692745</v>
      </c>
      <c r="CR7" s="745">
        <v>32</v>
      </c>
      <c r="CS7" s="935">
        <f t="shared" ref="CS7:CS70" si="26">CQ7/CR7</f>
        <v>69402.608770914827</v>
      </c>
      <c r="CT7" s="1007">
        <f>100%-CN7</f>
        <v>0.8</v>
      </c>
      <c r="CU7" s="935">
        <f>CM7*CT7</f>
        <v>9683533.9226770978</v>
      </c>
      <c r="CV7" s="1008">
        <f>-PMT($CV$5/12,240,CU7,0)</f>
        <v>75076.335432808191</v>
      </c>
      <c r="CW7" s="1008">
        <f>-PMT($CV$5/12,180,CU7,0)</f>
        <v>87038.340514606753</v>
      </c>
      <c r="CX7" s="1008">
        <f>-PMT($CV$5/12,120,CU7,0)</f>
        <v>112434.03972239948</v>
      </c>
      <c r="CY7" s="1008">
        <f>-PMT($CV$5/12,60,CU7,0)</f>
        <v>191745.57777513895</v>
      </c>
      <c r="CZ7" s="1119">
        <f t="shared" ref="CZ7:CZ12" si="27">(CM7*CT7)*$CZ$5</f>
        <v>860370.26227027981</v>
      </c>
      <c r="DA7" s="1119">
        <f t="shared" ref="DA7:DA12" si="28">(CM7*CT7)*$DA$5</f>
        <v>340444.32167617814</v>
      </c>
      <c r="DB7" s="1119">
        <f t="shared" ref="DB7:DB12" si="29">(CM7*CT7)*$DB$5</f>
        <v>245898.11176752453</v>
      </c>
      <c r="DC7" s="1119">
        <f t="shared" ref="DC7:DC12" si="30">(CM7*CT7)*$DC$5</f>
        <v>187139.78361946906</v>
      </c>
      <c r="DD7" s="951"/>
      <c r="DE7" s="951"/>
      <c r="DF7" s="1009"/>
      <c r="DG7" s="1009"/>
      <c r="DH7" s="966">
        <f>DH4</f>
        <v>45658</v>
      </c>
      <c r="DI7" s="912">
        <f>(YEAR(DH7)-YEAR($DI$5))*12+MONTH(DH7)-MONTH($DI$5)</f>
        <v>14</v>
      </c>
      <c r="DK7" s="913">
        <f>DH7+65</f>
        <v>45723</v>
      </c>
      <c r="DL7" s="912">
        <f>(YEAR(DK7)-YEAR($DL$5))*12+MONTH(DK7)-MONTH($DL$5)</f>
        <v>16</v>
      </c>
      <c r="DM7" s="750" t="s">
        <v>241</v>
      </c>
      <c r="DN7" s="750" t="s">
        <v>242</v>
      </c>
      <c r="DO7" s="751">
        <f t="shared" ref="DO7:DO70" si="31">DP7/J7</f>
        <v>0</v>
      </c>
      <c r="DP7" s="751">
        <f t="shared" ref="DP7:DP70" si="32">AX7</f>
        <v>0</v>
      </c>
      <c r="DQ7" s="752"/>
      <c r="DR7" s="753"/>
      <c r="DS7" s="751"/>
      <c r="DT7" s="751"/>
      <c r="DU7" s="751">
        <f t="shared" ref="DU7:DU70" si="33">DS7-DT7</f>
        <v>0</v>
      </c>
      <c r="DV7" s="754"/>
      <c r="DW7" s="951">
        <f t="shared" ref="DW7:DW12" si="34">CI7/J7</f>
        <v>271914.66799982864</v>
      </c>
      <c r="DX7" s="754"/>
      <c r="DZ7" s="1010" t="s">
        <v>238</v>
      </c>
      <c r="EA7" s="1011" t="b">
        <f t="shared" ref="EA7:EA70" si="35">G7=DZ7</f>
        <v>1</v>
      </c>
      <c r="EB7" s="1011"/>
      <c r="EC7" s="1011"/>
      <c r="EJ7" s="1012" t="s">
        <v>182</v>
      </c>
      <c r="EK7" s="1013"/>
      <c r="EL7" s="1014">
        <f>CQ13</f>
        <v>411606.33087805851</v>
      </c>
      <c r="EM7" s="1015"/>
      <c r="EN7" s="1015"/>
      <c r="EO7" s="1016"/>
      <c r="ER7" s="1017" t="s">
        <v>243</v>
      </c>
      <c r="ES7" s="1390" t="s">
        <v>243</v>
      </c>
      <c r="ET7" s="1018" t="b">
        <f>ER7=ES7</f>
        <v>1</v>
      </c>
      <c r="EX7" s="1019"/>
      <c r="EY7" s="1019"/>
      <c r="EZ7" s="1019"/>
      <c r="FA7" s="1019"/>
      <c r="FB7" s="1019"/>
      <c r="FC7" s="1019"/>
      <c r="FD7" s="1020"/>
      <c r="FE7" s="1021"/>
      <c r="FF7" s="1022"/>
      <c r="FG7" s="1022"/>
      <c r="FH7" s="1022"/>
      <c r="FI7" s="1023"/>
      <c r="FJ7" s="1023"/>
      <c r="FK7" s="1023"/>
      <c r="FL7" s="1019"/>
      <c r="FM7" s="1019"/>
      <c r="FN7" s="1019"/>
      <c r="FO7" s="1019"/>
      <c r="FP7" s="1019"/>
      <c r="FQ7" s="1021"/>
      <c r="FR7" s="1021"/>
      <c r="FS7" s="1020"/>
      <c r="FT7" s="503"/>
      <c r="FU7" s="956"/>
      <c r="FV7" s="503"/>
      <c r="FY7" s="889" t="s">
        <v>244</v>
      </c>
      <c r="FZ7" s="890" t="s">
        <v>245</v>
      </c>
      <c r="GA7" s="891" t="s">
        <v>246</v>
      </c>
      <c r="GB7" s="890" t="s">
        <v>245</v>
      </c>
      <c r="GC7" s="905" t="s">
        <v>247</v>
      </c>
      <c r="GG7" s="956"/>
      <c r="GI7" s="1024">
        <f t="shared" si="0"/>
        <v>12104417.403346373</v>
      </c>
      <c r="GJ7" s="1025">
        <f t="shared" si="0"/>
        <v>0.2</v>
      </c>
      <c r="GK7" s="1024">
        <f t="shared" si="0"/>
        <v>2420883.4806692745</v>
      </c>
      <c r="GL7" s="1024">
        <f t="shared" si="0"/>
        <v>200000</v>
      </c>
      <c r="GM7" s="1024">
        <f t="shared" si="1"/>
        <v>2220883.4806692745</v>
      </c>
      <c r="GN7" s="1024">
        <f t="shared" si="2"/>
        <v>32</v>
      </c>
      <c r="GO7" s="1024">
        <f t="shared" si="3"/>
        <v>69402.608770914827</v>
      </c>
      <c r="GP7" s="1025">
        <f t="shared" si="4"/>
        <v>0.8</v>
      </c>
      <c r="GQ7" s="1024">
        <f t="shared" si="5"/>
        <v>9683533.9226770978</v>
      </c>
      <c r="GR7" s="1024">
        <f t="shared" si="6"/>
        <v>75076.335432808191</v>
      </c>
      <c r="GS7" s="1024">
        <f t="shared" si="7"/>
        <v>87038.340514606753</v>
      </c>
      <c r="GT7" s="1024">
        <f t="shared" si="8"/>
        <v>112434.03972239948</v>
      </c>
      <c r="GU7" s="1024">
        <f t="shared" si="9"/>
        <v>191745.57777513895</v>
      </c>
      <c r="GW7" s="1024">
        <f>GI7</f>
        <v>12104417.403346373</v>
      </c>
      <c r="GX7" s="1025">
        <f>GJ7</f>
        <v>0.2</v>
      </c>
      <c r="GY7" s="1024">
        <f>GK7</f>
        <v>2420883.4806692745</v>
      </c>
      <c r="GZ7" s="1024">
        <f>GL7</f>
        <v>200000</v>
      </c>
      <c r="HA7" s="1024">
        <f>GM7</f>
        <v>2220883.4806692745</v>
      </c>
      <c r="HB7" s="1026">
        <f>$HB$5</f>
        <v>25</v>
      </c>
      <c r="HC7" s="1009">
        <f>HA7/HB7</f>
        <v>88835.339226770971</v>
      </c>
      <c r="HD7" s="1027">
        <f>100%-GX7</f>
        <v>0.8</v>
      </c>
      <c r="HE7" s="1009">
        <f>GW7*HD7</f>
        <v>9683533.9226770978</v>
      </c>
      <c r="HF7" s="1008">
        <f>-PMT(7%/12,240,HE7,0)</f>
        <v>75076.335432808191</v>
      </c>
      <c r="HG7" s="1008">
        <f>-PMT(7%/12,180,HE7,0)</f>
        <v>87038.340514606753</v>
      </c>
      <c r="HH7" s="1008">
        <f>-PMT(7%/12,120,HE7,0)</f>
        <v>112434.03972239948</v>
      </c>
      <c r="HI7" s="1008">
        <f>-PMT(7%/12,60,HE7,0)</f>
        <v>191745.57777513895</v>
      </c>
      <c r="HK7" s="1009">
        <f>HC7-GO7</f>
        <v>19432.730455856145</v>
      </c>
      <c r="HR7" s="956">
        <f>CB7-CH7</f>
        <v>0</v>
      </c>
      <c r="HU7" s="956"/>
      <c r="HW7" s="956"/>
      <c r="HX7" s="956"/>
      <c r="IC7" s="1400"/>
      <c r="ID7" s="1401"/>
      <c r="IE7" s="1400"/>
    </row>
    <row r="8" spans="1:239" ht="14.45">
      <c r="A8" s="741">
        <f>A7+1</f>
        <v>2</v>
      </c>
      <c r="B8" s="742"/>
      <c r="C8" s="741">
        <f>C7+1</f>
        <v>2</v>
      </c>
      <c r="D8" s="742" t="s">
        <v>237</v>
      </c>
      <c r="E8" s="743" t="str">
        <f t="shared" ref="E8:E71" si="36">D8</f>
        <v>2nd Floor</v>
      </c>
      <c r="F8" s="744"/>
      <c r="G8" s="745" t="s">
        <v>248</v>
      </c>
      <c r="H8" s="745">
        <f>H7+1</f>
        <v>2</v>
      </c>
      <c r="I8" s="745" t="s">
        <v>239</v>
      </c>
      <c r="J8" s="746">
        <v>20.72</v>
      </c>
      <c r="K8" s="747"/>
      <c r="L8" s="745"/>
      <c r="M8" s="745" t="s">
        <v>240</v>
      </c>
      <c r="N8" s="742">
        <v>200000</v>
      </c>
      <c r="O8" s="934">
        <f t="shared" si="12"/>
        <v>4144000</v>
      </c>
      <c r="P8" s="934"/>
      <c r="Q8" s="934"/>
      <c r="R8" s="748"/>
      <c r="S8" s="748"/>
      <c r="T8" s="748"/>
      <c r="U8" s="749"/>
      <c r="V8" s="749"/>
      <c r="W8" s="749"/>
      <c r="X8" s="749"/>
      <c r="Y8" s="748"/>
      <c r="Z8" s="934"/>
      <c r="AA8" s="742">
        <f t="shared" si="13"/>
        <v>418538.88452474459</v>
      </c>
      <c r="AB8" s="934"/>
      <c r="AC8" s="934"/>
      <c r="AD8" s="934"/>
      <c r="AE8" s="934">
        <f t="shared" si="14"/>
        <v>418538.88452474459</v>
      </c>
      <c r="AF8" s="1005">
        <f t="shared" si="15"/>
        <v>4562538.8845247449</v>
      </c>
      <c r="AG8" s="1005">
        <f t="shared" ref="AG8:AG71" si="37">AF8*$AG$5</f>
        <v>114063.47211311862</v>
      </c>
      <c r="AH8" s="1005">
        <f t="shared" ref="AH8:AH71" si="38">AF8+AG8</f>
        <v>4676602.3566378634</v>
      </c>
      <c r="AI8" s="1005">
        <f t="shared" ref="AI8:AI71" si="39">AH8*$AI$5</f>
        <v>116915.05891594659</v>
      </c>
      <c r="AJ8" s="1005">
        <f t="shared" ref="AJ8:AJ71" si="40">AH8+AI8</f>
        <v>4793517.4155538101</v>
      </c>
      <c r="AK8" s="1005">
        <f t="shared" ref="AK8:AK71" si="41">AJ8*$AK$5</f>
        <v>239675.87077769052</v>
      </c>
      <c r="AL8" s="1005">
        <f t="shared" ref="AL8:AL12" si="42">AJ8+AK8</f>
        <v>5033193.2863315009</v>
      </c>
      <c r="AM8" s="934">
        <f t="shared" ref="AM8:AM71" si="43">AL8*$AM$5</f>
        <v>50331.932863315007</v>
      </c>
      <c r="AN8" s="934">
        <f t="shared" ref="AN8:AN71" si="44">$AN$5</f>
        <v>27537.409960060559</v>
      </c>
      <c r="AO8" s="934"/>
      <c r="AP8" s="934"/>
      <c r="AQ8" s="1005">
        <f t="shared" ref="AQ8:AQ70" si="45">AL8+AM8+AP8+AN8+AO8</f>
        <v>5111062.6291548759</v>
      </c>
      <c r="AR8" s="1005">
        <f t="shared" ref="AR8:AR71" si="46">AQ8*$AR$5</f>
        <v>229997.8183119694</v>
      </c>
      <c r="AS8" s="1147">
        <f t="shared" ref="AS8:AS71" si="47">AQ8+AR8</f>
        <v>5341060.4474668456</v>
      </c>
      <c r="AT8" s="1148"/>
      <c r="AU8" s="1148">
        <f t="shared" si="16"/>
        <v>0</v>
      </c>
      <c r="AV8" s="1148"/>
      <c r="AW8" s="1148">
        <f t="shared" si="17"/>
        <v>0</v>
      </c>
      <c r="AX8" s="1148">
        <f t="shared" si="18"/>
        <v>0</v>
      </c>
      <c r="AY8" s="1147">
        <f t="shared" ref="AY8:AY71" si="48">AS8+AW8</f>
        <v>5341060.4474668456</v>
      </c>
      <c r="AZ8" s="934">
        <f t="shared" ref="AZ8:AZ71" si="49">AY8*$AZ$5</f>
        <v>66763.255593335576</v>
      </c>
      <c r="BA8" s="716">
        <v>13774.897733333333</v>
      </c>
      <c r="BB8" s="716">
        <f t="shared" si="19"/>
        <v>5421598.6007935144</v>
      </c>
      <c r="BC8" s="716">
        <v>2710.4000000000005</v>
      </c>
      <c r="BD8" s="716">
        <f t="shared" ref="BD8:BD71" si="50">BB8*$BD$5</f>
        <v>203309.94752975678</v>
      </c>
      <c r="BE8" s="716">
        <f t="shared" ref="BE8:BE71" si="51">$BE$5*1.12</f>
        <v>33600</v>
      </c>
      <c r="BF8" s="716">
        <f t="shared" ref="BF8:BF71" si="52">BB8+BC8+BD8+BE8</f>
        <v>5661218.9483232712</v>
      </c>
      <c r="BG8" s="716">
        <v>5248.8000000000011</v>
      </c>
      <c r="BH8" s="716">
        <f t="shared" ref="BH8:BH71" si="53">BF8+BG8</f>
        <v>5666467.7483232711</v>
      </c>
      <c r="BI8" s="716"/>
      <c r="BJ8" s="716">
        <f t="shared" ref="BJ8:BJ71" si="54">BH8+BI8</f>
        <v>5666467.7483232711</v>
      </c>
      <c r="BK8" s="716">
        <v>5092.7923200000005</v>
      </c>
      <c r="BL8" s="716">
        <f t="shared" ref="BL8:BL71" si="55">BJ8+BK8</f>
        <v>5671560.5406432711</v>
      </c>
      <c r="BM8" s="716"/>
      <c r="BN8" s="716">
        <f t="shared" si="20"/>
        <v>5671560.5406432711</v>
      </c>
      <c r="BO8" s="716"/>
      <c r="BP8" s="716">
        <f t="shared" ref="BP8:BP71" si="56">BN8+BO8</f>
        <v>5671560.5406432711</v>
      </c>
      <c r="BQ8" s="716"/>
      <c r="BR8" s="716">
        <f t="shared" ref="BR8:BR71" si="57">BP8+BQ8</f>
        <v>5671560.5406432711</v>
      </c>
      <c r="BS8" s="716"/>
      <c r="BT8" s="716">
        <f t="shared" ref="BT8:BT71" si="58">BR8+BS8</f>
        <v>5671560.5406432711</v>
      </c>
      <c r="BU8" s="716">
        <f t="shared" ref="BU8:BU12" si="59">$BU$5/24</f>
        <v>546.00000000000011</v>
      </c>
      <c r="BV8" s="716">
        <f t="shared" si="21"/>
        <v>5672106.5406432711</v>
      </c>
      <c r="BW8" s="716"/>
      <c r="BX8" s="716"/>
      <c r="BY8" s="716">
        <f t="shared" ref="BY8:BY71" si="60">SUM(BV8:BX8)</f>
        <v>5672106.5406432711</v>
      </c>
      <c r="BZ8" s="716"/>
      <c r="CA8" s="716">
        <f t="shared" ref="CA8:CA71" si="61">BY8+BZ8</f>
        <v>5672106.5406432711</v>
      </c>
      <c r="CB8" s="1135">
        <f t="shared" ref="CB8:CB12" si="62">CA8</f>
        <v>5672106.5406432711</v>
      </c>
      <c r="CC8" s="1164">
        <f>CB8-CE8-CF8</f>
        <v>5672106.5406432711</v>
      </c>
      <c r="CD8" s="1164"/>
      <c r="CE8" s="1164">
        <f t="shared" ref="CE8:CE71" si="63">CD8*J8</f>
        <v>0</v>
      </c>
      <c r="CF8" s="1164">
        <f t="shared" si="22"/>
        <v>0</v>
      </c>
      <c r="CG8" s="1164">
        <f t="shared" si="23"/>
        <v>0</v>
      </c>
      <c r="CH8" s="1154">
        <f>CC8+CE8+CF8</f>
        <v>5672106.5406432711</v>
      </c>
      <c r="CI8" s="935">
        <f>CH8</f>
        <v>5672106.5406432711</v>
      </c>
      <c r="CJ8" s="935">
        <f t="shared" ref="CJ8:CJ71" si="64">IF(CC8&lt;=$CC$3,0,12%*CC8)</f>
        <v>680652.78487719246</v>
      </c>
      <c r="CK8" s="935">
        <f t="shared" ref="CK8:CK70" si="65">CI8*CK$5</f>
        <v>581390.92041593522</v>
      </c>
      <c r="CL8" s="935">
        <f t="shared" ref="CL8:CL70" si="66">CI8*CL$5</f>
        <v>198523.72892251451</v>
      </c>
      <c r="CM8" s="1006">
        <f t="shared" ref="CM8:CM12" si="67">SUM(CI8:CL8)</f>
        <v>7132673.9748589126</v>
      </c>
      <c r="CN8" s="1007">
        <v>0.2</v>
      </c>
      <c r="CO8" s="935">
        <f t="shared" si="24"/>
        <v>1426534.7949717827</v>
      </c>
      <c r="CP8" s="935">
        <v>200000</v>
      </c>
      <c r="CQ8" s="935">
        <f t="shared" si="25"/>
        <v>1226534.7949717827</v>
      </c>
      <c r="CR8" s="745">
        <v>32</v>
      </c>
      <c r="CS8" s="935">
        <f t="shared" si="26"/>
        <v>38329.21234286821</v>
      </c>
      <c r="CT8" s="1007">
        <f t="shared" ref="CT8:CT71" si="68">100%-CN8</f>
        <v>0.8</v>
      </c>
      <c r="CU8" s="935">
        <f t="shared" ref="CU8:CU71" si="69">CM8*CT8</f>
        <v>5706139.1798871309</v>
      </c>
      <c r="CV8" s="1008">
        <f>-PMT($CV$5/12,240,CU8,0)</f>
        <v>44239.636326596505</v>
      </c>
      <c r="CW8" s="1008">
        <f t="shared" ref="CW8:CW71" si="70">-PMT($CV$5/12,180,CU8,0)</f>
        <v>51288.392123012367</v>
      </c>
      <c r="CX8" s="1008">
        <f t="shared" ref="CX8:CX71" si="71">-PMT($CV$5/12,120,CU8,0)</f>
        <v>66253.114238650145</v>
      </c>
      <c r="CY8" s="1008">
        <f t="shared" ref="CY8:CY71" si="72">-PMT($CV$5/12,60,CU8,0)</f>
        <v>112988.39479981236</v>
      </c>
      <c r="CZ8" s="1119">
        <f t="shared" si="27"/>
        <v>506983.55599842471</v>
      </c>
      <c r="DA8" s="1119">
        <f t="shared" si="28"/>
        <v>200610.92344988478</v>
      </c>
      <c r="DB8" s="1119">
        <f t="shared" si="29"/>
        <v>144898.42871630372</v>
      </c>
      <c r="DC8" s="1119">
        <f t="shared" si="30"/>
        <v>110274.37503223379</v>
      </c>
      <c r="DD8" s="951"/>
      <c r="DE8" s="1028">
        <f>CE8/CC8</f>
        <v>0</v>
      </c>
      <c r="DF8" s="1009"/>
      <c r="DG8" s="1009"/>
      <c r="DH8" s="966">
        <f>$DH$7</f>
        <v>45658</v>
      </c>
      <c r="DI8" s="912">
        <f t="shared" ref="DI8:DI71" si="73">(YEAR(DH8)-YEAR($DI$5))*12+MONTH(DH8)-MONTH($DI$5)</f>
        <v>14</v>
      </c>
      <c r="DK8" s="913">
        <f t="shared" ref="DK8:DK70" si="74">DH8+65</f>
        <v>45723</v>
      </c>
      <c r="DL8" s="912">
        <f t="shared" ref="DL8:DL71" si="75">(YEAR(DK8)-YEAR($DL$5))*12+MONTH(DK8)-MONTH($DL$5)+$DL$4+$DL$3</f>
        <v>16</v>
      </c>
      <c r="DM8" s="750" t="s">
        <v>241</v>
      </c>
      <c r="DN8" s="750" t="s">
        <v>242</v>
      </c>
      <c r="DO8" s="751">
        <f t="shared" si="31"/>
        <v>0</v>
      </c>
      <c r="DP8" s="751">
        <f t="shared" si="32"/>
        <v>0</v>
      </c>
      <c r="DQ8" s="752"/>
      <c r="DR8" s="753"/>
      <c r="DS8" s="751"/>
      <c r="DT8" s="751"/>
      <c r="DU8" s="751">
        <f t="shared" si="33"/>
        <v>0</v>
      </c>
      <c r="DV8" s="754"/>
      <c r="DW8" s="951">
        <f t="shared" si="34"/>
        <v>273750.31566811155</v>
      </c>
      <c r="DX8" s="754"/>
      <c r="DZ8" s="1010" t="s">
        <v>248</v>
      </c>
      <c r="EA8" s="1011" t="b">
        <f t="shared" si="35"/>
        <v>1</v>
      </c>
      <c r="EB8" s="1011"/>
      <c r="EC8" s="1011"/>
      <c r="EE8" s="1029"/>
      <c r="EJ8" s="1030"/>
      <c r="EK8" s="1385" t="s">
        <v>249</v>
      </c>
      <c r="EL8" s="1031" t="s">
        <v>250</v>
      </c>
      <c r="EM8" s="1031" t="s">
        <v>251</v>
      </c>
      <c r="EN8" s="1031" t="s">
        <v>103</v>
      </c>
      <c r="EO8" s="1032" t="s">
        <v>252</v>
      </c>
      <c r="ER8" s="1017" t="s">
        <v>243</v>
      </c>
      <c r="ES8" s="1390" t="s">
        <v>243</v>
      </c>
      <c r="ET8" s="1018" t="b">
        <f t="shared" ref="ET8:ET71" si="76">ER8=ES8</f>
        <v>1</v>
      </c>
      <c r="EX8" s="1019"/>
      <c r="EY8" s="1019"/>
      <c r="EZ8" s="1019"/>
      <c r="FA8" s="1019"/>
      <c r="FB8" s="1019"/>
      <c r="FC8" s="1019"/>
      <c r="FD8" s="1020"/>
      <c r="FE8" s="1021"/>
      <c r="FF8" s="1022"/>
      <c r="FG8" s="1022"/>
      <c r="FH8" s="1022"/>
      <c r="FI8" s="1023"/>
      <c r="FJ8" s="1023"/>
      <c r="FK8" s="1023"/>
      <c r="FL8" s="1019"/>
      <c r="FM8" s="1019"/>
      <c r="FN8" s="1019"/>
      <c r="FO8" s="1019"/>
      <c r="FP8" s="1019"/>
      <c r="FQ8" s="1021"/>
      <c r="FR8" s="1021"/>
      <c r="FS8" s="1020"/>
      <c r="FT8" s="503"/>
      <c r="FU8" s="956"/>
      <c r="FV8" s="503"/>
      <c r="FY8" s="1033">
        <v>28</v>
      </c>
      <c r="FZ8" s="1034">
        <f>EDATE($DL$5,FY8)</f>
        <v>46082</v>
      </c>
      <c r="GA8" s="1035">
        <v>30</v>
      </c>
      <c r="GB8" s="1036">
        <f t="shared" ref="GB8:GB12" si="77">EDATE(GC8,GA8)</f>
        <v>45962</v>
      </c>
      <c r="GC8" s="1037">
        <v>45047</v>
      </c>
      <c r="GG8" s="956"/>
      <c r="GI8" s="1024">
        <f t="shared" ref="GI8:GI71" si="78">CM8</f>
        <v>7132673.9748589126</v>
      </c>
      <c r="GJ8" s="1025">
        <f t="shared" ref="GJ8:GJ71" si="79">CN8</f>
        <v>0.2</v>
      </c>
      <c r="GK8" s="1024">
        <f t="shared" ref="GK8:GK71" si="80">CO8</f>
        <v>1426534.7949717827</v>
      </c>
      <c r="GL8" s="1024">
        <f t="shared" ref="GL8:GL71" si="81">CP8</f>
        <v>200000</v>
      </c>
      <c r="GM8" s="1024">
        <f t="shared" ref="GM8:GM71" si="82">CQ8</f>
        <v>1226534.7949717827</v>
      </c>
      <c r="GN8" s="1024">
        <f t="shared" ref="GN8:GN71" si="83">CR8</f>
        <v>32</v>
      </c>
      <c r="GO8" s="1024">
        <f t="shared" ref="GO8:GO71" si="84">CS8</f>
        <v>38329.21234286821</v>
      </c>
      <c r="GP8" s="1025">
        <f t="shared" ref="GP8:GP71" si="85">CT8</f>
        <v>0.8</v>
      </c>
      <c r="GQ8" s="1024">
        <f t="shared" ref="GQ8:GQ71" si="86">CU8</f>
        <v>5706139.1798871309</v>
      </c>
      <c r="GR8" s="1024">
        <f t="shared" ref="GR8:GR71" si="87">CV8</f>
        <v>44239.636326596505</v>
      </c>
      <c r="GS8" s="1024">
        <f t="shared" ref="GS8:GS71" si="88">CW8</f>
        <v>51288.392123012367</v>
      </c>
      <c r="GT8" s="1024">
        <f t="shared" ref="GT8:GT71" si="89">CX8</f>
        <v>66253.114238650145</v>
      </c>
      <c r="GU8" s="1024">
        <f t="shared" ref="GU8:GU71" si="90">CY8</f>
        <v>112988.39479981236</v>
      </c>
      <c r="GW8" s="1024">
        <f t="shared" ref="GW8:GW71" si="91">GI8</f>
        <v>7132673.9748589126</v>
      </c>
      <c r="GX8" s="1025">
        <f t="shared" ref="GX8:GX71" si="92">GJ8</f>
        <v>0.2</v>
      </c>
      <c r="GY8" s="1024">
        <f t="shared" ref="GY8:GY71" si="93">GK8</f>
        <v>1426534.7949717827</v>
      </c>
      <c r="GZ8" s="1024">
        <f t="shared" ref="GZ8:GZ71" si="94">GL8</f>
        <v>200000</v>
      </c>
      <c r="HA8" s="1024">
        <f t="shared" ref="HA8:HA71" si="95">GM8</f>
        <v>1226534.7949717827</v>
      </c>
      <c r="HB8" s="1026">
        <f t="shared" ref="HB8:HB71" si="96">$HB$5</f>
        <v>25</v>
      </c>
      <c r="HC8" s="1009">
        <f t="shared" ref="HC8:HC71" si="97">HA8/HB8</f>
        <v>49061.391798871307</v>
      </c>
      <c r="HD8" s="1027">
        <f t="shared" ref="HD8:HD71" si="98">100%-GX8</f>
        <v>0.8</v>
      </c>
      <c r="HE8" s="1009">
        <f t="shared" ref="HE8:HE71" si="99">GW8*HD8</f>
        <v>5706139.1798871309</v>
      </c>
      <c r="HF8" s="1008">
        <f t="shared" ref="HF8:HF71" si="100">-PMT(7%/12,240,HE8,0)</f>
        <v>44239.636326596505</v>
      </c>
      <c r="HG8" s="1008">
        <f t="shared" ref="HG8:HG71" si="101">-PMT(7%/12,180,HE8,0)</f>
        <v>51288.392123012367</v>
      </c>
      <c r="HH8" s="1008">
        <f t="shared" ref="HH8:HH71" si="102">-PMT(7%/12,120,HE8,0)</f>
        <v>66253.114238650145</v>
      </c>
      <c r="HI8" s="1008">
        <f t="shared" ref="HI8:HI71" si="103">-PMT(7%/12,60,HE8,0)</f>
        <v>112988.39479981236</v>
      </c>
      <c r="HK8" s="1009">
        <f t="shared" ref="HK8:HK71" si="104">HC8-GO8</f>
        <v>10732.179456003098</v>
      </c>
      <c r="HM8" s="954" t="s">
        <v>253</v>
      </c>
      <c r="HR8" s="956">
        <f t="shared" ref="HR8:HR71" si="105">CB8-CH8</f>
        <v>0</v>
      </c>
      <c r="HU8" s="956"/>
      <c r="HW8" s="956"/>
      <c r="HX8" s="956"/>
      <c r="IC8" s="1400" t="s">
        <v>237</v>
      </c>
      <c r="ID8" s="1401">
        <f>DATE(2025,10,1)</f>
        <v>45931</v>
      </c>
      <c r="IE8" s="1402">
        <f>DATEDIF($IE$5,ID8,"m")</f>
        <v>2</v>
      </c>
    </row>
    <row r="9" spans="1:239" ht="14.45">
      <c r="A9" s="741">
        <f t="shared" ref="A9:A12" si="106">A8+1</f>
        <v>3</v>
      </c>
      <c r="B9" s="742"/>
      <c r="C9" s="741">
        <f t="shared" ref="C9:C18" si="107">C8+1</f>
        <v>3</v>
      </c>
      <c r="D9" s="742" t="s">
        <v>237</v>
      </c>
      <c r="E9" s="743" t="str">
        <f t="shared" si="36"/>
        <v>2nd Floor</v>
      </c>
      <c r="F9" s="744"/>
      <c r="G9" s="745" t="s">
        <v>254</v>
      </c>
      <c r="H9" s="745">
        <f t="shared" ref="H9:H12" si="108">H8+1</f>
        <v>3</v>
      </c>
      <c r="I9" s="745" t="s">
        <v>239</v>
      </c>
      <c r="J9" s="746">
        <v>20.72</v>
      </c>
      <c r="K9" s="747"/>
      <c r="L9" s="745"/>
      <c r="M9" s="745" t="s">
        <v>240</v>
      </c>
      <c r="N9" s="742">
        <v>200000</v>
      </c>
      <c r="O9" s="934">
        <f t="shared" si="12"/>
        <v>4144000</v>
      </c>
      <c r="P9" s="934"/>
      <c r="Q9" s="934"/>
      <c r="R9" s="748"/>
      <c r="S9" s="748"/>
      <c r="T9" s="748"/>
      <c r="U9" s="749"/>
      <c r="V9" s="749"/>
      <c r="W9" s="749"/>
      <c r="X9" s="749"/>
      <c r="Y9" s="748"/>
      <c r="Z9" s="934"/>
      <c r="AA9" s="742">
        <f t="shared" si="13"/>
        <v>418538.88452474459</v>
      </c>
      <c r="AB9" s="934"/>
      <c r="AC9" s="934"/>
      <c r="AD9" s="934"/>
      <c r="AE9" s="934">
        <f t="shared" si="14"/>
        <v>418538.88452474459</v>
      </c>
      <c r="AF9" s="1005">
        <f t="shared" si="15"/>
        <v>4562538.8845247449</v>
      </c>
      <c r="AG9" s="1005">
        <f t="shared" si="37"/>
        <v>114063.47211311862</v>
      </c>
      <c r="AH9" s="1005">
        <f t="shared" si="38"/>
        <v>4676602.3566378634</v>
      </c>
      <c r="AI9" s="1005">
        <f t="shared" si="39"/>
        <v>116915.05891594659</v>
      </c>
      <c r="AJ9" s="1005">
        <f t="shared" si="40"/>
        <v>4793517.4155538101</v>
      </c>
      <c r="AK9" s="1005">
        <f t="shared" si="41"/>
        <v>239675.87077769052</v>
      </c>
      <c r="AL9" s="1005">
        <f t="shared" si="42"/>
        <v>5033193.2863315009</v>
      </c>
      <c r="AM9" s="934">
        <f t="shared" si="43"/>
        <v>50331.932863315007</v>
      </c>
      <c r="AN9" s="934">
        <f t="shared" si="44"/>
        <v>27537.409960060559</v>
      </c>
      <c r="AO9" s="934"/>
      <c r="AP9" s="934"/>
      <c r="AQ9" s="1005">
        <f t="shared" si="45"/>
        <v>5111062.6291548759</v>
      </c>
      <c r="AR9" s="1005">
        <f t="shared" si="46"/>
        <v>229997.8183119694</v>
      </c>
      <c r="AS9" s="1147">
        <f t="shared" si="47"/>
        <v>5341060.4474668456</v>
      </c>
      <c r="AT9" s="1148"/>
      <c r="AU9" s="1148">
        <f t="shared" si="16"/>
        <v>0</v>
      </c>
      <c r="AV9" s="1148"/>
      <c r="AW9" s="1148">
        <f t="shared" si="17"/>
        <v>0</v>
      </c>
      <c r="AX9" s="1148">
        <f t="shared" si="18"/>
        <v>0</v>
      </c>
      <c r="AY9" s="1147">
        <f t="shared" si="48"/>
        <v>5341060.4474668456</v>
      </c>
      <c r="AZ9" s="934">
        <f t="shared" si="49"/>
        <v>66763.255593335576</v>
      </c>
      <c r="BA9" s="716">
        <v>13774.897733333333</v>
      </c>
      <c r="BB9" s="716">
        <f t="shared" si="19"/>
        <v>5421598.6007935144</v>
      </c>
      <c r="BC9" s="716">
        <v>2710.4000000000005</v>
      </c>
      <c r="BD9" s="716">
        <f t="shared" si="50"/>
        <v>203309.94752975678</v>
      </c>
      <c r="BE9" s="716">
        <f t="shared" si="51"/>
        <v>33600</v>
      </c>
      <c r="BF9" s="716">
        <f t="shared" si="52"/>
        <v>5661218.9483232712</v>
      </c>
      <c r="BG9" s="716">
        <v>5248.8000000000011</v>
      </c>
      <c r="BH9" s="716">
        <f t="shared" si="53"/>
        <v>5666467.7483232711</v>
      </c>
      <c r="BI9" s="716"/>
      <c r="BJ9" s="716">
        <f t="shared" si="54"/>
        <v>5666467.7483232711</v>
      </c>
      <c r="BK9" s="716">
        <v>5092.7923200000005</v>
      </c>
      <c r="BL9" s="716">
        <f t="shared" si="55"/>
        <v>5671560.5406432711</v>
      </c>
      <c r="BM9" s="716"/>
      <c r="BN9" s="716">
        <f t="shared" si="20"/>
        <v>5671560.5406432711</v>
      </c>
      <c r="BO9" s="716"/>
      <c r="BP9" s="716">
        <f t="shared" si="56"/>
        <v>5671560.5406432711</v>
      </c>
      <c r="BQ9" s="716"/>
      <c r="BR9" s="716">
        <f t="shared" si="57"/>
        <v>5671560.5406432711</v>
      </c>
      <c r="BS9" s="716"/>
      <c r="BT9" s="716">
        <f t="shared" si="58"/>
        <v>5671560.5406432711</v>
      </c>
      <c r="BU9" s="716">
        <f t="shared" si="59"/>
        <v>546.00000000000011</v>
      </c>
      <c r="BV9" s="716">
        <f t="shared" si="21"/>
        <v>5672106.5406432711</v>
      </c>
      <c r="BW9" s="716"/>
      <c r="BX9" s="716"/>
      <c r="BY9" s="716">
        <f t="shared" si="60"/>
        <v>5672106.5406432711</v>
      </c>
      <c r="BZ9" s="716"/>
      <c r="CA9" s="716">
        <f t="shared" si="61"/>
        <v>5672106.5406432711</v>
      </c>
      <c r="CB9" s="1135">
        <f t="shared" si="62"/>
        <v>5672106.5406432711</v>
      </c>
      <c r="CC9" s="1164">
        <f t="shared" ref="CC9:CC72" si="109">CB9-CE9-CF9</f>
        <v>5672106.5406432711</v>
      </c>
      <c r="CD9" s="1164"/>
      <c r="CE9" s="1164">
        <f t="shared" si="63"/>
        <v>0</v>
      </c>
      <c r="CF9" s="1164">
        <f t="shared" si="22"/>
        <v>0</v>
      </c>
      <c r="CG9" s="1164">
        <f t="shared" si="23"/>
        <v>0</v>
      </c>
      <c r="CH9" s="1154">
        <f>CC9+CE9+CF9</f>
        <v>5672106.5406432711</v>
      </c>
      <c r="CI9" s="935">
        <f>CH9</f>
        <v>5672106.5406432711</v>
      </c>
      <c r="CJ9" s="935">
        <f t="shared" si="64"/>
        <v>680652.78487719246</v>
      </c>
      <c r="CK9" s="935">
        <f t="shared" si="65"/>
        <v>581390.92041593522</v>
      </c>
      <c r="CL9" s="935">
        <f t="shared" si="66"/>
        <v>198523.72892251451</v>
      </c>
      <c r="CM9" s="1006">
        <f t="shared" si="67"/>
        <v>7132673.9748589126</v>
      </c>
      <c r="CN9" s="1007">
        <v>0.2</v>
      </c>
      <c r="CO9" s="935">
        <f t="shared" si="24"/>
        <v>1426534.7949717827</v>
      </c>
      <c r="CP9" s="935">
        <v>200000</v>
      </c>
      <c r="CQ9" s="935">
        <f t="shared" si="25"/>
        <v>1226534.7949717827</v>
      </c>
      <c r="CR9" s="745">
        <v>32</v>
      </c>
      <c r="CS9" s="935">
        <f t="shared" si="26"/>
        <v>38329.21234286821</v>
      </c>
      <c r="CT9" s="1007">
        <f t="shared" si="68"/>
        <v>0.8</v>
      </c>
      <c r="CU9" s="935">
        <f t="shared" si="69"/>
        <v>5706139.1798871309</v>
      </c>
      <c r="CV9" s="1008">
        <f t="shared" ref="CV9:CV71" si="110">-PMT($CV$5/12,240,CU9,0)</f>
        <v>44239.636326596505</v>
      </c>
      <c r="CW9" s="1008">
        <f t="shared" si="70"/>
        <v>51288.392123012367</v>
      </c>
      <c r="CX9" s="1008">
        <f t="shared" si="71"/>
        <v>66253.114238650145</v>
      </c>
      <c r="CY9" s="1008">
        <f t="shared" si="72"/>
        <v>112988.39479981236</v>
      </c>
      <c r="CZ9" s="1119">
        <f t="shared" si="27"/>
        <v>506983.55599842471</v>
      </c>
      <c r="DA9" s="1119">
        <f t="shared" si="28"/>
        <v>200610.92344988478</v>
      </c>
      <c r="DB9" s="1119">
        <f t="shared" si="29"/>
        <v>144898.42871630372</v>
      </c>
      <c r="DC9" s="1119">
        <f t="shared" si="30"/>
        <v>110274.37503223379</v>
      </c>
      <c r="DD9" s="951"/>
      <c r="DE9" s="1028">
        <f>CE9/CC9</f>
        <v>0</v>
      </c>
      <c r="DF9" s="1009"/>
      <c r="DG9" s="1009"/>
      <c r="DH9" s="966">
        <f t="shared" ref="DH9:DH72" si="111">$DH$7</f>
        <v>45658</v>
      </c>
      <c r="DI9" s="912">
        <f t="shared" si="73"/>
        <v>14</v>
      </c>
      <c r="DK9" s="913">
        <f t="shared" si="74"/>
        <v>45723</v>
      </c>
      <c r="DL9" s="912">
        <f t="shared" si="75"/>
        <v>16</v>
      </c>
      <c r="DM9" s="750" t="s">
        <v>241</v>
      </c>
      <c r="DN9" s="750" t="s">
        <v>242</v>
      </c>
      <c r="DO9" s="751">
        <f t="shared" si="31"/>
        <v>0</v>
      </c>
      <c r="DP9" s="751">
        <f t="shared" si="32"/>
        <v>0</v>
      </c>
      <c r="DQ9" s="752"/>
      <c r="DR9" s="753"/>
      <c r="DS9" s="751"/>
      <c r="DT9" s="751"/>
      <c r="DU9" s="751">
        <f t="shared" si="33"/>
        <v>0</v>
      </c>
      <c r="DV9" s="754"/>
      <c r="DW9" s="951">
        <f t="shared" si="34"/>
        <v>273750.31566811155</v>
      </c>
      <c r="DX9" s="754"/>
      <c r="DZ9" s="1010" t="s">
        <v>254</v>
      </c>
      <c r="EA9" s="1011" t="b">
        <f t="shared" si="35"/>
        <v>1</v>
      </c>
      <c r="EB9" s="1011"/>
      <c r="EC9" s="1011"/>
      <c r="EE9" s="1029"/>
      <c r="EJ9" s="1030" t="s">
        <v>255</v>
      </c>
      <c r="EK9" s="1382"/>
      <c r="EL9" s="1383"/>
      <c r="EM9" s="1384"/>
      <c r="EN9" s="1038">
        <f>EL7*EM9</f>
        <v>0</v>
      </c>
      <c r="EO9" s="1039" t="e">
        <f t="shared" ref="EO9:EO10" si="112">EN9/EL9</f>
        <v>#DIV/0!</v>
      </c>
      <c r="ER9" s="1017" t="s">
        <v>243</v>
      </c>
      <c r="ES9" s="1390" t="s">
        <v>243</v>
      </c>
      <c r="ET9" s="1018" t="b">
        <f t="shared" si="76"/>
        <v>1</v>
      </c>
      <c r="EX9" s="1019"/>
      <c r="EY9" s="1019"/>
      <c r="EZ9" s="1019"/>
      <c r="FA9" s="1019"/>
      <c r="FB9" s="1019"/>
      <c r="FC9" s="1019"/>
      <c r="FD9" s="1020"/>
      <c r="FE9" s="1021"/>
      <c r="FF9" s="1022"/>
      <c r="FG9" s="1022"/>
      <c r="FH9" s="1022"/>
      <c r="FI9" s="1023"/>
      <c r="FJ9" s="1023"/>
      <c r="FK9" s="1023"/>
      <c r="FL9" s="1019"/>
      <c r="FM9" s="1019"/>
      <c r="FN9" s="1019"/>
      <c r="FO9" s="1019"/>
      <c r="FP9" s="1019"/>
      <c r="FQ9" s="1021"/>
      <c r="FR9" s="1021"/>
      <c r="FS9" s="1020"/>
      <c r="FT9" s="503"/>
      <c r="FU9" s="956"/>
      <c r="FV9" s="503"/>
      <c r="FX9" s="1040"/>
      <c r="GA9" s="1035">
        <v>29</v>
      </c>
      <c r="GB9" s="1036">
        <f t="shared" si="77"/>
        <v>45962</v>
      </c>
      <c r="GC9" s="1037">
        <v>45078</v>
      </c>
      <c r="GG9" s="956"/>
      <c r="GI9" s="1024">
        <f t="shared" si="78"/>
        <v>7132673.9748589126</v>
      </c>
      <c r="GJ9" s="1025">
        <f t="shared" si="79"/>
        <v>0.2</v>
      </c>
      <c r="GK9" s="1024">
        <f t="shared" si="80"/>
        <v>1426534.7949717827</v>
      </c>
      <c r="GL9" s="1024">
        <f t="shared" si="81"/>
        <v>200000</v>
      </c>
      <c r="GM9" s="1024">
        <f t="shared" si="82"/>
        <v>1226534.7949717827</v>
      </c>
      <c r="GN9" s="1024">
        <f t="shared" si="83"/>
        <v>32</v>
      </c>
      <c r="GO9" s="1024">
        <f t="shared" si="84"/>
        <v>38329.21234286821</v>
      </c>
      <c r="GP9" s="1025">
        <f t="shared" si="85"/>
        <v>0.8</v>
      </c>
      <c r="GQ9" s="1024">
        <f t="shared" si="86"/>
        <v>5706139.1798871309</v>
      </c>
      <c r="GR9" s="1024">
        <f t="shared" si="87"/>
        <v>44239.636326596505</v>
      </c>
      <c r="GS9" s="1024">
        <f t="shared" si="88"/>
        <v>51288.392123012367</v>
      </c>
      <c r="GT9" s="1024">
        <f t="shared" si="89"/>
        <v>66253.114238650145</v>
      </c>
      <c r="GU9" s="1024">
        <f t="shared" si="90"/>
        <v>112988.39479981236</v>
      </c>
      <c r="GW9" s="1024">
        <f t="shared" si="91"/>
        <v>7132673.9748589126</v>
      </c>
      <c r="GX9" s="1025">
        <f t="shared" si="92"/>
        <v>0.2</v>
      </c>
      <c r="GY9" s="1024">
        <f t="shared" si="93"/>
        <v>1426534.7949717827</v>
      </c>
      <c r="GZ9" s="1024">
        <f t="shared" si="94"/>
        <v>200000</v>
      </c>
      <c r="HA9" s="1024">
        <f t="shared" si="95"/>
        <v>1226534.7949717827</v>
      </c>
      <c r="HB9" s="1026">
        <f t="shared" si="96"/>
        <v>25</v>
      </c>
      <c r="HC9" s="1009">
        <f t="shared" si="97"/>
        <v>49061.391798871307</v>
      </c>
      <c r="HD9" s="1027">
        <f t="shared" si="98"/>
        <v>0.8</v>
      </c>
      <c r="HE9" s="1009">
        <f t="shared" si="99"/>
        <v>5706139.1798871309</v>
      </c>
      <c r="HF9" s="1008">
        <f t="shared" si="100"/>
        <v>44239.636326596505</v>
      </c>
      <c r="HG9" s="1008">
        <f t="shared" si="101"/>
        <v>51288.392123012367</v>
      </c>
      <c r="HH9" s="1008">
        <f t="shared" si="102"/>
        <v>66253.114238650145</v>
      </c>
      <c r="HI9" s="1008">
        <f t="shared" si="103"/>
        <v>112988.39479981236</v>
      </c>
      <c r="HK9" s="1009">
        <f t="shared" si="104"/>
        <v>10732.179456003098</v>
      </c>
      <c r="HR9" s="956">
        <f t="shared" si="105"/>
        <v>0</v>
      </c>
      <c r="HU9" s="956"/>
      <c r="HW9" s="956"/>
      <c r="HX9" s="956"/>
      <c r="IC9" s="1400" t="s">
        <v>256</v>
      </c>
      <c r="ID9" s="1401">
        <f>DATE(2025,9,1)</f>
        <v>45901</v>
      </c>
      <c r="IE9" s="1402">
        <f t="shared" ref="IE9:IE19" si="113">DATEDIF($IE$5,ID9,"m")</f>
        <v>1</v>
      </c>
    </row>
    <row r="10" spans="1:239" ht="14.45">
      <c r="A10" s="741">
        <f t="shared" si="106"/>
        <v>4</v>
      </c>
      <c r="B10" s="742"/>
      <c r="C10" s="741">
        <f t="shared" si="107"/>
        <v>4</v>
      </c>
      <c r="D10" s="742" t="s">
        <v>237</v>
      </c>
      <c r="E10" s="743" t="str">
        <f t="shared" si="36"/>
        <v>2nd Floor</v>
      </c>
      <c r="F10" s="744"/>
      <c r="G10" s="745" t="s">
        <v>257</v>
      </c>
      <c r="H10" s="745">
        <f t="shared" si="108"/>
        <v>4</v>
      </c>
      <c r="I10" s="745" t="s">
        <v>239</v>
      </c>
      <c r="J10" s="746">
        <v>22.18</v>
      </c>
      <c r="K10" s="747"/>
      <c r="L10" s="745"/>
      <c r="M10" s="745" t="s">
        <v>79</v>
      </c>
      <c r="N10" s="742">
        <v>200000</v>
      </c>
      <c r="O10" s="934">
        <f t="shared" si="12"/>
        <v>4436000</v>
      </c>
      <c r="P10" s="934"/>
      <c r="Q10" s="934"/>
      <c r="R10" s="748"/>
      <c r="S10" s="748"/>
      <c r="T10" s="748"/>
      <c r="U10" s="749"/>
      <c r="V10" s="749"/>
      <c r="W10" s="749"/>
      <c r="X10" s="749"/>
      <c r="Y10" s="748"/>
      <c r="Z10" s="934"/>
      <c r="AA10" s="742">
        <f t="shared" si="13"/>
        <v>448030.52407137241</v>
      </c>
      <c r="AB10" s="934"/>
      <c r="AC10" s="934"/>
      <c r="AD10" s="934"/>
      <c r="AE10" s="934">
        <f t="shared" si="14"/>
        <v>448030.52407137241</v>
      </c>
      <c r="AF10" s="1005">
        <f t="shared" si="15"/>
        <v>4884030.5240713721</v>
      </c>
      <c r="AG10" s="1005">
        <f t="shared" si="37"/>
        <v>122100.76310178431</v>
      </c>
      <c r="AH10" s="1005">
        <f t="shared" si="38"/>
        <v>5006131.2871731566</v>
      </c>
      <c r="AI10" s="1005">
        <f t="shared" si="39"/>
        <v>125153.28217932892</v>
      </c>
      <c r="AJ10" s="1005">
        <f t="shared" si="40"/>
        <v>5131284.5693524852</v>
      </c>
      <c r="AK10" s="1005">
        <f t="shared" si="41"/>
        <v>256564.22846762429</v>
      </c>
      <c r="AL10" s="1005">
        <f t="shared" si="42"/>
        <v>5387848.7978201099</v>
      </c>
      <c r="AM10" s="934">
        <f t="shared" si="43"/>
        <v>53878.487978201098</v>
      </c>
      <c r="AN10" s="934">
        <f t="shared" si="44"/>
        <v>27537.409960060559</v>
      </c>
      <c r="AO10" s="934"/>
      <c r="AP10" s="934"/>
      <c r="AQ10" s="1005">
        <f t="shared" si="45"/>
        <v>5469264.6957583716</v>
      </c>
      <c r="AR10" s="1005">
        <f t="shared" si="46"/>
        <v>246116.91130912671</v>
      </c>
      <c r="AS10" s="1147">
        <f t="shared" si="47"/>
        <v>5715381.6070674984</v>
      </c>
      <c r="AT10" s="1148"/>
      <c r="AU10" s="1148">
        <f t="shared" si="16"/>
        <v>0</v>
      </c>
      <c r="AV10" s="1148"/>
      <c r="AW10" s="1148">
        <f t="shared" si="17"/>
        <v>0</v>
      </c>
      <c r="AX10" s="1148">
        <f t="shared" si="18"/>
        <v>0</v>
      </c>
      <c r="AY10" s="1147">
        <f t="shared" si="48"/>
        <v>5715381.6070674984</v>
      </c>
      <c r="AZ10" s="934">
        <f t="shared" si="49"/>
        <v>71442.270088343736</v>
      </c>
      <c r="BA10" s="716">
        <v>13774.897733333333</v>
      </c>
      <c r="BB10" s="716">
        <f t="shared" si="19"/>
        <v>5800598.7748891758</v>
      </c>
      <c r="BC10" s="716">
        <v>2710.4000000000005</v>
      </c>
      <c r="BD10" s="716">
        <f t="shared" si="50"/>
        <v>217522.4540583441</v>
      </c>
      <c r="BE10" s="716">
        <f t="shared" si="51"/>
        <v>33600</v>
      </c>
      <c r="BF10" s="716">
        <f t="shared" si="52"/>
        <v>6054431.6289475206</v>
      </c>
      <c r="BG10" s="716">
        <v>5248.8000000000011</v>
      </c>
      <c r="BH10" s="716">
        <f t="shared" si="53"/>
        <v>6059680.4289475204</v>
      </c>
      <c r="BI10" s="716"/>
      <c r="BJ10" s="716">
        <f t="shared" si="54"/>
        <v>6059680.4289475204</v>
      </c>
      <c r="BK10" s="716">
        <v>5092.7923200000005</v>
      </c>
      <c r="BL10" s="716">
        <f t="shared" si="55"/>
        <v>6064773.2212675205</v>
      </c>
      <c r="BM10" s="716"/>
      <c r="BN10" s="716">
        <f t="shared" si="20"/>
        <v>6064773.2212675205</v>
      </c>
      <c r="BO10" s="716"/>
      <c r="BP10" s="716">
        <f t="shared" si="56"/>
        <v>6064773.2212675205</v>
      </c>
      <c r="BQ10" s="716"/>
      <c r="BR10" s="716">
        <f t="shared" si="57"/>
        <v>6064773.2212675205</v>
      </c>
      <c r="BS10" s="716"/>
      <c r="BT10" s="716">
        <f t="shared" si="58"/>
        <v>6064773.2212675205</v>
      </c>
      <c r="BU10" s="716">
        <f t="shared" si="59"/>
        <v>546.00000000000011</v>
      </c>
      <c r="BV10" s="716">
        <f t="shared" si="21"/>
        <v>6065319.2212675205</v>
      </c>
      <c r="BW10" s="716"/>
      <c r="BX10" s="716"/>
      <c r="BY10" s="716">
        <f t="shared" si="60"/>
        <v>6065319.2212675205</v>
      </c>
      <c r="BZ10" s="716"/>
      <c r="CA10" s="716">
        <f t="shared" si="61"/>
        <v>6065319.2212675205</v>
      </c>
      <c r="CB10" s="1135">
        <f t="shared" si="62"/>
        <v>6065319.2212675205</v>
      </c>
      <c r="CC10" s="1164">
        <f t="shared" si="109"/>
        <v>6065319.2212675205</v>
      </c>
      <c r="CD10" s="1164"/>
      <c r="CE10" s="1164">
        <f t="shared" si="63"/>
        <v>0</v>
      </c>
      <c r="CF10" s="1164">
        <f t="shared" si="22"/>
        <v>0</v>
      </c>
      <c r="CG10" s="1164">
        <f t="shared" si="23"/>
        <v>0</v>
      </c>
      <c r="CH10" s="1154">
        <f>CC10+CE10+CF10</f>
        <v>6065319.2212675205</v>
      </c>
      <c r="CI10" s="935">
        <f>CH10</f>
        <v>6065319.2212675205</v>
      </c>
      <c r="CJ10" s="935">
        <f t="shared" si="64"/>
        <v>727838.30655210244</v>
      </c>
      <c r="CK10" s="935">
        <f t="shared" si="65"/>
        <v>621695.22017992078</v>
      </c>
      <c r="CL10" s="935">
        <f t="shared" si="66"/>
        <v>212286.17274436323</v>
      </c>
      <c r="CM10" s="1006">
        <f t="shared" si="67"/>
        <v>7627138.9207439078</v>
      </c>
      <c r="CN10" s="1007">
        <v>0.2</v>
      </c>
      <c r="CO10" s="935">
        <f t="shared" si="24"/>
        <v>1525427.7841487816</v>
      </c>
      <c r="CP10" s="935">
        <v>200000</v>
      </c>
      <c r="CQ10" s="935">
        <f t="shared" si="25"/>
        <v>1325427.7841487816</v>
      </c>
      <c r="CR10" s="745">
        <v>32</v>
      </c>
      <c r="CS10" s="935">
        <f t="shared" si="26"/>
        <v>41419.618254649424</v>
      </c>
      <c r="CT10" s="1007">
        <f t="shared" si="68"/>
        <v>0.8</v>
      </c>
      <c r="CU10" s="935">
        <f t="shared" si="69"/>
        <v>6101711.1365951262</v>
      </c>
      <c r="CV10" s="1008">
        <f t="shared" si="110"/>
        <v>47306.501496560348</v>
      </c>
      <c r="CW10" s="1008">
        <f t="shared" si="70"/>
        <v>54843.904701467945</v>
      </c>
      <c r="CX10" s="1008">
        <f t="shared" si="71"/>
        <v>70846.040070140225</v>
      </c>
      <c r="CY10" s="1008">
        <f t="shared" si="72"/>
        <v>120821.19365158191</v>
      </c>
      <c r="CZ10" s="1119">
        <f t="shared" si="27"/>
        <v>542129.64531429054</v>
      </c>
      <c r="DA10" s="1119">
        <f t="shared" si="28"/>
        <v>214518.05978574234</v>
      </c>
      <c r="DB10" s="1119">
        <f t="shared" si="29"/>
        <v>154943.35632221538</v>
      </c>
      <c r="DC10" s="1119">
        <f t="shared" si="30"/>
        <v>117919.02738491526</v>
      </c>
      <c r="DD10" s="951"/>
      <c r="DE10" s="1028">
        <f>CE10/CC10</f>
        <v>0</v>
      </c>
      <c r="DF10" s="1009"/>
      <c r="DG10" s="1009"/>
      <c r="DH10" s="966">
        <f t="shared" si="111"/>
        <v>45658</v>
      </c>
      <c r="DI10" s="912">
        <f t="shared" si="73"/>
        <v>14</v>
      </c>
      <c r="DK10" s="913">
        <f t="shared" si="74"/>
        <v>45723</v>
      </c>
      <c r="DL10" s="912">
        <f>(YEAR(DK10)-YEAR($DL$5))*12+MONTH(DK10)-MONTH($DL$5)+$DL$4</f>
        <v>16</v>
      </c>
      <c r="DM10" s="750" t="s">
        <v>241</v>
      </c>
      <c r="DN10" s="750" t="s">
        <v>242</v>
      </c>
      <c r="DO10" s="751">
        <f t="shared" si="31"/>
        <v>0</v>
      </c>
      <c r="DP10" s="751">
        <f t="shared" si="32"/>
        <v>0</v>
      </c>
      <c r="DQ10" s="752"/>
      <c r="DR10" s="753"/>
      <c r="DS10" s="751"/>
      <c r="DT10" s="751"/>
      <c r="DU10" s="751">
        <f t="shared" si="33"/>
        <v>0</v>
      </c>
      <c r="DV10" s="754"/>
      <c r="DW10" s="951">
        <f t="shared" si="34"/>
        <v>273458.93693721911</v>
      </c>
      <c r="DX10" s="754"/>
      <c r="DZ10" s="1010" t="s">
        <v>257</v>
      </c>
      <c r="EA10" s="1011" t="b">
        <f t="shared" si="35"/>
        <v>1</v>
      </c>
      <c r="EB10" s="1011"/>
      <c r="EC10" s="1011"/>
      <c r="EE10" s="1029"/>
      <c r="EJ10" s="1030" t="s">
        <v>258</v>
      </c>
      <c r="EK10" s="1382"/>
      <c r="EL10" s="1383"/>
      <c r="EM10" s="1384"/>
      <c r="EN10" s="1041">
        <f>EL7*EM10</f>
        <v>0</v>
      </c>
      <c r="EO10" s="1039" t="e">
        <f t="shared" si="112"/>
        <v>#DIV/0!</v>
      </c>
      <c r="ER10" s="1017" t="s">
        <v>243</v>
      </c>
      <c r="ES10" s="1390" t="s">
        <v>243</v>
      </c>
      <c r="ET10" s="1018" t="b">
        <f t="shared" si="76"/>
        <v>1</v>
      </c>
      <c r="EX10" s="1019"/>
      <c r="EY10" s="1019"/>
      <c r="EZ10" s="1019"/>
      <c r="FA10" s="1019"/>
      <c r="FB10" s="1019"/>
      <c r="FC10" s="1019"/>
      <c r="FD10" s="1020"/>
      <c r="FE10" s="1021"/>
      <c r="FF10" s="1022"/>
      <c r="FG10" s="1022"/>
      <c r="FH10" s="1022"/>
      <c r="FI10" s="1023"/>
      <c r="FJ10" s="1023"/>
      <c r="FK10" s="1023"/>
      <c r="FL10" s="1019"/>
      <c r="FM10" s="1019"/>
      <c r="FN10" s="1019"/>
      <c r="FO10" s="1019"/>
      <c r="FP10" s="1019"/>
      <c r="FQ10" s="1021"/>
      <c r="FR10" s="1021"/>
      <c r="FS10" s="1020"/>
      <c r="FT10" s="503"/>
      <c r="FU10" s="956"/>
      <c r="FV10" s="503"/>
      <c r="FX10" s="1040"/>
      <c r="GA10" s="1035">
        <v>28</v>
      </c>
      <c r="GB10" s="1036">
        <f t="shared" si="77"/>
        <v>45962</v>
      </c>
      <c r="GC10" s="1037">
        <v>45108</v>
      </c>
      <c r="GG10" s="956"/>
      <c r="GI10" s="1024">
        <f t="shared" si="78"/>
        <v>7627138.9207439078</v>
      </c>
      <c r="GJ10" s="1025">
        <f t="shared" si="79"/>
        <v>0.2</v>
      </c>
      <c r="GK10" s="1024">
        <f t="shared" si="80"/>
        <v>1525427.7841487816</v>
      </c>
      <c r="GL10" s="1024">
        <f t="shared" si="81"/>
        <v>200000</v>
      </c>
      <c r="GM10" s="1024">
        <f t="shared" si="82"/>
        <v>1325427.7841487816</v>
      </c>
      <c r="GN10" s="1024">
        <f t="shared" si="83"/>
        <v>32</v>
      </c>
      <c r="GO10" s="1024">
        <f t="shared" si="84"/>
        <v>41419.618254649424</v>
      </c>
      <c r="GP10" s="1025">
        <f t="shared" si="85"/>
        <v>0.8</v>
      </c>
      <c r="GQ10" s="1024">
        <f t="shared" si="86"/>
        <v>6101711.1365951262</v>
      </c>
      <c r="GR10" s="1024">
        <f t="shared" si="87"/>
        <v>47306.501496560348</v>
      </c>
      <c r="GS10" s="1024">
        <f t="shared" si="88"/>
        <v>54843.904701467945</v>
      </c>
      <c r="GT10" s="1024">
        <f t="shared" si="89"/>
        <v>70846.040070140225</v>
      </c>
      <c r="GU10" s="1024">
        <f t="shared" si="90"/>
        <v>120821.19365158191</v>
      </c>
      <c r="GW10" s="1024">
        <f t="shared" si="91"/>
        <v>7627138.9207439078</v>
      </c>
      <c r="GX10" s="1025">
        <f t="shared" si="92"/>
        <v>0.2</v>
      </c>
      <c r="GY10" s="1024">
        <f t="shared" si="93"/>
        <v>1525427.7841487816</v>
      </c>
      <c r="GZ10" s="1024">
        <f t="shared" si="94"/>
        <v>200000</v>
      </c>
      <c r="HA10" s="1024">
        <f t="shared" si="95"/>
        <v>1325427.7841487816</v>
      </c>
      <c r="HB10" s="1026">
        <f t="shared" si="96"/>
        <v>25</v>
      </c>
      <c r="HC10" s="1009">
        <f t="shared" si="97"/>
        <v>53017.111365951263</v>
      </c>
      <c r="HD10" s="1027">
        <f t="shared" si="98"/>
        <v>0.8</v>
      </c>
      <c r="HE10" s="1009">
        <f t="shared" si="99"/>
        <v>6101711.1365951262</v>
      </c>
      <c r="HF10" s="1008">
        <f t="shared" si="100"/>
        <v>47306.501496560348</v>
      </c>
      <c r="HG10" s="1008">
        <f t="shared" si="101"/>
        <v>54843.904701467945</v>
      </c>
      <c r="HH10" s="1008">
        <f t="shared" si="102"/>
        <v>70846.040070140225</v>
      </c>
      <c r="HI10" s="1008">
        <f t="shared" si="103"/>
        <v>120821.19365158191</v>
      </c>
      <c r="HK10" s="1009">
        <f t="shared" si="104"/>
        <v>11597.493111301839</v>
      </c>
      <c r="HR10" s="956">
        <f t="shared" si="105"/>
        <v>0</v>
      </c>
      <c r="HU10" s="956"/>
      <c r="HW10" s="956"/>
      <c r="HX10" s="956"/>
      <c r="IC10" s="1400" t="s">
        <v>259</v>
      </c>
      <c r="ID10" s="1401">
        <f t="shared" ref="ID10:ID13" si="114">DATE(2025,9,1)</f>
        <v>45901</v>
      </c>
      <c r="IE10" s="1402">
        <f t="shared" si="113"/>
        <v>1</v>
      </c>
    </row>
    <row r="11" spans="1:239" ht="14.45">
      <c r="A11" s="741">
        <f t="shared" si="106"/>
        <v>5</v>
      </c>
      <c r="B11" s="742"/>
      <c r="C11" s="741">
        <f t="shared" si="107"/>
        <v>5</v>
      </c>
      <c r="D11" s="742" t="s">
        <v>237</v>
      </c>
      <c r="E11" s="743" t="str">
        <f t="shared" si="36"/>
        <v>2nd Floor</v>
      </c>
      <c r="F11" s="744"/>
      <c r="G11" s="745" t="s">
        <v>260</v>
      </c>
      <c r="H11" s="745">
        <f t="shared" si="108"/>
        <v>5</v>
      </c>
      <c r="I11" s="745" t="s">
        <v>239</v>
      </c>
      <c r="J11" s="746">
        <v>40</v>
      </c>
      <c r="K11" s="747"/>
      <c r="L11" s="745"/>
      <c r="M11" s="745" t="s">
        <v>79</v>
      </c>
      <c r="N11" s="742">
        <v>200000</v>
      </c>
      <c r="O11" s="934">
        <f t="shared" si="12"/>
        <v>8000000</v>
      </c>
      <c r="P11" s="934"/>
      <c r="Q11" s="934"/>
      <c r="R11" s="748"/>
      <c r="S11" s="748"/>
      <c r="T11" s="748"/>
      <c r="U11" s="749"/>
      <c r="V11" s="749"/>
      <c r="W11" s="749"/>
      <c r="X11" s="749"/>
      <c r="Y11" s="748"/>
      <c r="Z11" s="934"/>
      <c r="AA11" s="742">
        <f t="shared" si="13"/>
        <v>807990.12456514407</v>
      </c>
      <c r="AB11" s="934"/>
      <c r="AC11" s="934"/>
      <c r="AD11" s="934"/>
      <c r="AE11" s="934">
        <f t="shared" si="14"/>
        <v>807990.12456514407</v>
      </c>
      <c r="AF11" s="1005">
        <f t="shared" si="15"/>
        <v>8807990.1245651431</v>
      </c>
      <c r="AG11" s="1005">
        <f t="shared" si="37"/>
        <v>220199.7531141286</v>
      </c>
      <c r="AH11" s="1005">
        <f t="shared" si="38"/>
        <v>9028189.8776792716</v>
      </c>
      <c r="AI11" s="1005">
        <f t="shared" si="39"/>
        <v>225704.74694198181</v>
      </c>
      <c r="AJ11" s="1005">
        <f t="shared" si="40"/>
        <v>9253894.6246212535</v>
      </c>
      <c r="AK11" s="1005">
        <f t="shared" si="41"/>
        <v>462694.73123106267</v>
      </c>
      <c r="AL11" s="1005">
        <f t="shared" si="42"/>
        <v>9716589.3558523171</v>
      </c>
      <c r="AM11" s="934">
        <f t="shared" si="43"/>
        <v>97165.893558523167</v>
      </c>
      <c r="AN11" s="934">
        <f t="shared" si="44"/>
        <v>27537.409960060559</v>
      </c>
      <c r="AO11" s="934"/>
      <c r="AP11" s="934"/>
      <c r="AQ11" s="1005">
        <f>AL11+AM11+AP11+AN11+AO11</f>
        <v>9841292.6593709011</v>
      </c>
      <c r="AR11" s="1005">
        <f t="shared" si="46"/>
        <v>442858.16967169056</v>
      </c>
      <c r="AS11" s="1147">
        <f t="shared" si="47"/>
        <v>10284150.829042591</v>
      </c>
      <c r="AT11" s="1148"/>
      <c r="AU11" s="1148">
        <f t="shared" si="16"/>
        <v>0</v>
      </c>
      <c r="AV11" s="1148"/>
      <c r="AW11" s="1148">
        <f t="shared" si="17"/>
        <v>0</v>
      </c>
      <c r="AX11" s="1148">
        <f t="shared" si="18"/>
        <v>0</v>
      </c>
      <c r="AY11" s="1147">
        <f t="shared" si="48"/>
        <v>10284150.829042591</v>
      </c>
      <c r="AZ11" s="934">
        <f t="shared" si="49"/>
        <v>128551.8853630324</v>
      </c>
      <c r="BA11" s="716">
        <v>13774.897733333333</v>
      </c>
      <c r="BB11" s="716">
        <f t="shared" si="19"/>
        <v>10426477.612138957</v>
      </c>
      <c r="BC11" s="716">
        <v>2710.4000000000005</v>
      </c>
      <c r="BD11" s="716">
        <f t="shared" si="50"/>
        <v>390992.91045521089</v>
      </c>
      <c r="BE11" s="716">
        <f t="shared" si="51"/>
        <v>33600</v>
      </c>
      <c r="BF11" s="716">
        <f t="shared" si="52"/>
        <v>10853780.922594167</v>
      </c>
      <c r="BG11" s="716">
        <v>5248.8000000000011</v>
      </c>
      <c r="BH11" s="716">
        <f t="shared" si="53"/>
        <v>10859029.722594168</v>
      </c>
      <c r="BI11" s="716"/>
      <c r="BJ11" s="716">
        <f t="shared" si="54"/>
        <v>10859029.722594168</v>
      </c>
      <c r="BK11" s="716">
        <v>5092.7923200000005</v>
      </c>
      <c r="BL11" s="716">
        <f t="shared" si="55"/>
        <v>10864122.514914168</v>
      </c>
      <c r="BM11" s="716"/>
      <c r="BN11" s="716">
        <f t="shared" si="20"/>
        <v>10864122.514914168</v>
      </c>
      <c r="BO11" s="716"/>
      <c r="BP11" s="716">
        <f t="shared" si="56"/>
        <v>10864122.514914168</v>
      </c>
      <c r="BQ11" s="716"/>
      <c r="BR11" s="716">
        <f t="shared" si="57"/>
        <v>10864122.514914168</v>
      </c>
      <c r="BS11" s="716"/>
      <c r="BT11" s="716">
        <f t="shared" si="58"/>
        <v>10864122.514914168</v>
      </c>
      <c r="BU11" s="716">
        <f t="shared" si="59"/>
        <v>546.00000000000011</v>
      </c>
      <c r="BV11" s="716">
        <f t="shared" si="21"/>
        <v>10864668.514914168</v>
      </c>
      <c r="BW11" s="716"/>
      <c r="BX11" s="716"/>
      <c r="BY11" s="716">
        <f t="shared" si="60"/>
        <v>10864668.514914168</v>
      </c>
      <c r="BZ11" s="716"/>
      <c r="CA11" s="716">
        <f t="shared" si="61"/>
        <v>10864668.514914168</v>
      </c>
      <c r="CB11" s="1135">
        <f t="shared" si="62"/>
        <v>10864668.514914168</v>
      </c>
      <c r="CC11" s="1164">
        <f t="shared" si="109"/>
        <v>10864668.514914168</v>
      </c>
      <c r="CD11" s="1164"/>
      <c r="CE11" s="1164">
        <f t="shared" si="63"/>
        <v>0</v>
      </c>
      <c r="CF11" s="1164">
        <f t="shared" ref="CF11:CF74" si="115">CE11*$AW$5</f>
        <v>0</v>
      </c>
      <c r="CG11" s="1164">
        <f t="shared" ref="CG11:CG74" si="116">CE11+CF11</f>
        <v>0</v>
      </c>
      <c r="CH11" s="1154">
        <f>CB11</f>
        <v>10864668.514914168</v>
      </c>
      <c r="CI11" s="935">
        <f t="shared" ref="CI7:CI12" si="117">CH11</f>
        <v>10864668.514914168</v>
      </c>
      <c r="CJ11" s="935">
        <f t="shared" si="64"/>
        <v>1303760.2217897002</v>
      </c>
      <c r="CK11" s="935">
        <f t="shared" si="65"/>
        <v>1113628.5227787022</v>
      </c>
      <c r="CL11" s="935">
        <f t="shared" si="66"/>
        <v>380263.3980219959</v>
      </c>
      <c r="CM11" s="1006">
        <f t="shared" si="67"/>
        <v>13662320.657504568</v>
      </c>
      <c r="CN11" s="1007">
        <v>0.2</v>
      </c>
      <c r="CO11" s="935">
        <f t="shared" si="24"/>
        <v>2732464.1315009138</v>
      </c>
      <c r="CP11" s="935">
        <v>200000</v>
      </c>
      <c r="CQ11" s="935">
        <f t="shared" si="25"/>
        <v>2532464.1315009138</v>
      </c>
      <c r="CR11" s="745">
        <v>32</v>
      </c>
      <c r="CS11" s="935">
        <f t="shared" si="26"/>
        <v>79139.504109403555</v>
      </c>
      <c r="CT11" s="1007">
        <f t="shared" si="68"/>
        <v>0.8</v>
      </c>
      <c r="CU11" s="935">
        <f t="shared" si="69"/>
        <v>10929856.526003655</v>
      </c>
      <c r="CV11" s="1008">
        <f t="shared" si="110"/>
        <v>84739.061310776437</v>
      </c>
      <c r="CW11" s="1008">
        <f t="shared" si="70"/>
        <v>98240.640419329808</v>
      </c>
      <c r="CX11" s="1008">
        <f t="shared" si="71"/>
        <v>126904.9019312038</v>
      </c>
      <c r="CY11" s="1008">
        <f t="shared" si="72"/>
        <v>216424.25908893341</v>
      </c>
      <c r="CZ11" s="1119">
        <f t="shared" si="27"/>
        <v>971104.51627917169</v>
      </c>
      <c r="DA11" s="1119">
        <f t="shared" si="28"/>
        <v>384261.32656997582</v>
      </c>
      <c r="DB11" s="1119">
        <f t="shared" si="29"/>
        <v>277546.51381354744</v>
      </c>
      <c r="DC11" s="1119">
        <f t="shared" si="30"/>
        <v>211225.67459367085</v>
      </c>
      <c r="DD11" s="951"/>
      <c r="DE11" s="951"/>
      <c r="DF11" s="1009"/>
      <c r="DG11" s="1009"/>
      <c r="DH11" s="966">
        <f t="shared" si="111"/>
        <v>45658</v>
      </c>
      <c r="DI11" s="912">
        <f t="shared" si="73"/>
        <v>14</v>
      </c>
      <c r="DK11" s="913">
        <f t="shared" si="74"/>
        <v>45723</v>
      </c>
      <c r="DL11" s="912">
        <f t="shared" si="75"/>
        <v>16</v>
      </c>
      <c r="DM11" s="750" t="s">
        <v>241</v>
      </c>
      <c r="DN11" s="750" t="s">
        <v>242</v>
      </c>
      <c r="DO11" s="751">
        <f t="shared" si="31"/>
        <v>0</v>
      </c>
      <c r="DP11" s="751">
        <f t="shared" si="32"/>
        <v>0</v>
      </c>
      <c r="DQ11" s="752"/>
      <c r="DR11" s="753"/>
      <c r="DS11" s="751"/>
      <c r="DT11" s="751"/>
      <c r="DU11" s="751">
        <f t="shared" si="33"/>
        <v>0</v>
      </c>
      <c r="DV11" s="754"/>
      <c r="DW11" s="951">
        <f t="shared" si="34"/>
        <v>271616.7128728542</v>
      </c>
      <c r="DX11" s="754"/>
      <c r="DZ11" s="1010" t="s">
        <v>260</v>
      </c>
      <c r="EA11" s="1011" t="b">
        <f t="shared" si="35"/>
        <v>1</v>
      </c>
      <c r="EB11" s="1011"/>
      <c r="EC11" s="1011"/>
      <c r="EE11" s="1029"/>
      <c r="EJ11" s="1030"/>
      <c r="EK11" s="1382"/>
      <c r="EL11" s="1383"/>
      <c r="EM11" s="1384"/>
      <c r="EN11" s="1041">
        <f>EL7*EM11</f>
        <v>0</v>
      </c>
      <c r="EO11" s="1039"/>
      <c r="ER11" s="1017" t="s">
        <v>243</v>
      </c>
      <c r="ES11" s="1390" t="s">
        <v>243</v>
      </c>
      <c r="ET11" s="1018" t="b">
        <f t="shared" si="76"/>
        <v>1</v>
      </c>
      <c r="EX11" s="1019"/>
      <c r="EY11" s="1019"/>
      <c r="EZ11" s="1019"/>
      <c r="FA11" s="1019"/>
      <c r="FB11" s="1019"/>
      <c r="FC11" s="1019"/>
      <c r="FD11" s="1020"/>
      <c r="FE11" s="1021"/>
      <c r="FF11" s="1022"/>
      <c r="FG11" s="1022"/>
      <c r="FH11" s="1022"/>
      <c r="FI11" s="1023"/>
      <c r="FJ11" s="1023"/>
      <c r="FK11" s="1023"/>
      <c r="FL11" s="1019"/>
      <c r="FM11" s="1019"/>
      <c r="FN11" s="1019"/>
      <c r="FO11" s="1019"/>
      <c r="FP11" s="1019"/>
      <c r="FQ11" s="1021"/>
      <c r="FR11" s="1021"/>
      <c r="FS11" s="1020"/>
      <c r="FT11" s="503"/>
      <c r="FU11" s="956"/>
      <c r="FV11" s="503"/>
      <c r="FX11" s="1040"/>
      <c r="GA11" s="1011">
        <f>27+3</f>
        <v>30</v>
      </c>
      <c r="GB11" s="1036">
        <f t="shared" si="77"/>
        <v>46054</v>
      </c>
      <c r="GC11" s="1037">
        <v>45139</v>
      </c>
      <c r="GG11" s="956"/>
      <c r="GI11" s="1024">
        <f t="shared" si="78"/>
        <v>13662320.657504568</v>
      </c>
      <c r="GJ11" s="1025">
        <f t="shared" si="79"/>
        <v>0.2</v>
      </c>
      <c r="GK11" s="1024">
        <f t="shared" si="80"/>
        <v>2732464.1315009138</v>
      </c>
      <c r="GL11" s="1024">
        <f t="shared" si="81"/>
        <v>200000</v>
      </c>
      <c r="GM11" s="1024">
        <f t="shared" si="82"/>
        <v>2532464.1315009138</v>
      </c>
      <c r="GN11" s="1024">
        <f t="shared" si="83"/>
        <v>32</v>
      </c>
      <c r="GO11" s="1024">
        <f t="shared" si="84"/>
        <v>79139.504109403555</v>
      </c>
      <c r="GP11" s="1025">
        <f t="shared" si="85"/>
        <v>0.8</v>
      </c>
      <c r="GQ11" s="1024">
        <f t="shared" si="86"/>
        <v>10929856.526003655</v>
      </c>
      <c r="GR11" s="1024">
        <f t="shared" si="87"/>
        <v>84739.061310776437</v>
      </c>
      <c r="GS11" s="1024">
        <f t="shared" si="88"/>
        <v>98240.640419329808</v>
      </c>
      <c r="GT11" s="1024">
        <f t="shared" si="89"/>
        <v>126904.9019312038</v>
      </c>
      <c r="GU11" s="1024">
        <f t="shared" si="90"/>
        <v>216424.25908893341</v>
      </c>
      <c r="GW11" s="1024">
        <f t="shared" si="91"/>
        <v>13662320.657504568</v>
      </c>
      <c r="GX11" s="1025">
        <f t="shared" si="92"/>
        <v>0.2</v>
      </c>
      <c r="GY11" s="1024">
        <f t="shared" si="93"/>
        <v>2732464.1315009138</v>
      </c>
      <c r="GZ11" s="1024">
        <f t="shared" si="94"/>
        <v>200000</v>
      </c>
      <c r="HA11" s="1024">
        <f t="shared" si="95"/>
        <v>2532464.1315009138</v>
      </c>
      <c r="HB11" s="1026">
        <f t="shared" si="96"/>
        <v>25</v>
      </c>
      <c r="HC11" s="1009">
        <f t="shared" si="97"/>
        <v>101298.56526003656</v>
      </c>
      <c r="HD11" s="1027">
        <f t="shared" si="98"/>
        <v>0.8</v>
      </c>
      <c r="HE11" s="1009">
        <f t="shared" si="99"/>
        <v>10929856.526003655</v>
      </c>
      <c r="HF11" s="1008">
        <f t="shared" si="100"/>
        <v>84739.061310776437</v>
      </c>
      <c r="HG11" s="1008">
        <f t="shared" si="101"/>
        <v>98240.640419329808</v>
      </c>
      <c r="HH11" s="1008">
        <f t="shared" si="102"/>
        <v>126904.9019312038</v>
      </c>
      <c r="HI11" s="1008">
        <f t="shared" si="103"/>
        <v>216424.25908893341</v>
      </c>
      <c r="HK11" s="1009">
        <f t="shared" si="104"/>
        <v>22159.061150633002</v>
      </c>
      <c r="HR11" s="956">
        <f t="shared" si="105"/>
        <v>0</v>
      </c>
      <c r="HU11" s="956"/>
      <c r="HW11" s="956"/>
      <c r="HX11" s="956"/>
      <c r="IC11" s="1400" t="s">
        <v>261</v>
      </c>
      <c r="ID11" s="1401">
        <f t="shared" si="114"/>
        <v>45901</v>
      </c>
      <c r="IE11" s="1402">
        <f t="shared" si="113"/>
        <v>1</v>
      </c>
    </row>
    <row r="12" spans="1:239" ht="15" thickBot="1">
      <c r="A12" s="741">
        <f t="shared" si="106"/>
        <v>6</v>
      </c>
      <c r="B12" s="742"/>
      <c r="C12" s="741">
        <f t="shared" si="107"/>
        <v>6</v>
      </c>
      <c r="D12" s="742" t="s">
        <v>237</v>
      </c>
      <c r="E12" s="743" t="str">
        <f t="shared" si="36"/>
        <v>2nd Floor</v>
      </c>
      <c r="F12" s="744"/>
      <c r="G12" s="745" t="s">
        <v>262</v>
      </c>
      <c r="H12" s="745">
        <f t="shared" si="108"/>
        <v>6</v>
      </c>
      <c r="I12" s="745" t="s">
        <v>239</v>
      </c>
      <c r="J12" s="746">
        <v>39.200000000000003</v>
      </c>
      <c r="K12" s="747"/>
      <c r="L12" s="745"/>
      <c r="M12" s="745" t="s">
        <v>65</v>
      </c>
      <c r="N12" s="742">
        <v>200000</v>
      </c>
      <c r="O12" s="934">
        <f t="shared" si="12"/>
        <v>7840000.0000000009</v>
      </c>
      <c r="P12" s="934"/>
      <c r="Q12" s="934"/>
      <c r="R12" s="748"/>
      <c r="S12" s="748"/>
      <c r="T12" s="748"/>
      <c r="U12" s="749"/>
      <c r="V12" s="749"/>
      <c r="W12" s="749"/>
      <c r="X12" s="749"/>
      <c r="Y12" s="748"/>
      <c r="Z12" s="934"/>
      <c r="AA12" s="742">
        <f t="shared" si="13"/>
        <v>791830.32207384123</v>
      </c>
      <c r="AB12" s="934"/>
      <c r="AC12" s="934"/>
      <c r="AD12" s="934"/>
      <c r="AE12" s="934">
        <f t="shared" si="14"/>
        <v>791830.32207384123</v>
      </c>
      <c r="AF12" s="1005">
        <f t="shared" si="15"/>
        <v>8631830.3220738415</v>
      </c>
      <c r="AG12" s="1005">
        <f t="shared" si="37"/>
        <v>215795.75805184606</v>
      </c>
      <c r="AH12" s="1005">
        <f t="shared" si="38"/>
        <v>8847626.0801256876</v>
      </c>
      <c r="AI12" s="1005">
        <f t="shared" si="39"/>
        <v>221190.6520031422</v>
      </c>
      <c r="AJ12" s="1005">
        <f t="shared" si="40"/>
        <v>9068816.7321288306</v>
      </c>
      <c r="AK12" s="1005">
        <f t="shared" si="41"/>
        <v>453440.83660644153</v>
      </c>
      <c r="AL12" s="1005">
        <f t="shared" si="42"/>
        <v>9522257.5687352717</v>
      </c>
      <c r="AM12" s="934">
        <f t="shared" si="43"/>
        <v>95222.575687352713</v>
      </c>
      <c r="AN12" s="934">
        <f t="shared" si="44"/>
        <v>27537.409960060559</v>
      </c>
      <c r="AO12" s="934"/>
      <c r="AP12" s="934"/>
      <c r="AQ12" s="1005">
        <f t="shared" si="45"/>
        <v>9645017.5543826856</v>
      </c>
      <c r="AR12" s="1005">
        <f t="shared" si="46"/>
        <v>434025.78994722082</v>
      </c>
      <c r="AS12" s="1147">
        <f t="shared" si="47"/>
        <v>10079043.344329907</v>
      </c>
      <c r="AT12" s="1148"/>
      <c r="AU12" s="1148">
        <f t="shared" si="16"/>
        <v>0</v>
      </c>
      <c r="AV12" s="1148"/>
      <c r="AW12" s="1148">
        <f t="shared" si="17"/>
        <v>0</v>
      </c>
      <c r="AX12" s="1148">
        <f t="shared" si="18"/>
        <v>0</v>
      </c>
      <c r="AY12" s="1147">
        <f t="shared" si="48"/>
        <v>10079043.344329907</v>
      </c>
      <c r="AZ12" s="934">
        <f t="shared" si="49"/>
        <v>125988.04180412384</v>
      </c>
      <c r="BA12" s="716">
        <v>13774.897733333333</v>
      </c>
      <c r="BB12" s="716">
        <f t="shared" si="19"/>
        <v>10218806.283867363</v>
      </c>
      <c r="BC12" s="716">
        <v>2710.4000000000005</v>
      </c>
      <c r="BD12" s="716">
        <f t="shared" si="50"/>
        <v>383205.23564502608</v>
      </c>
      <c r="BE12" s="716">
        <f t="shared" si="51"/>
        <v>33600</v>
      </c>
      <c r="BF12" s="716">
        <f t="shared" si="52"/>
        <v>10638321.919512389</v>
      </c>
      <c r="BG12" s="716">
        <v>5248.8000000000011</v>
      </c>
      <c r="BH12" s="716">
        <f t="shared" si="53"/>
        <v>10643570.71951239</v>
      </c>
      <c r="BI12" s="716"/>
      <c r="BJ12" s="716">
        <f t="shared" si="54"/>
        <v>10643570.71951239</v>
      </c>
      <c r="BK12" s="716">
        <v>5092.7923200000005</v>
      </c>
      <c r="BL12" s="716">
        <f t="shared" si="55"/>
        <v>10648663.51183239</v>
      </c>
      <c r="BM12" s="716"/>
      <c r="BN12" s="716">
        <f t="shared" si="20"/>
        <v>10648663.51183239</v>
      </c>
      <c r="BO12" s="716"/>
      <c r="BP12" s="716">
        <f t="shared" si="56"/>
        <v>10648663.51183239</v>
      </c>
      <c r="BQ12" s="716"/>
      <c r="BR12" s="716">
        <f t="shared" si="57"/>
        <v>10648663.51183239</v>
      </c>
      <c r="BS12" s="716"/>
      <c r="BT12" s="716">
        <f t="shared" si="58"/>
        <v>10648663.51183239</v>
      </c>
      <c r="BU12" s="716">
        <f t="shared" si="59"/>
        <v>546.00000000000011</v>
      </c>
      <c r="BV12" s="716">
        <f t="shared" si="21"/>
        <v>10649209.51183239</v>
      </c>
      <c r="BW12" s="716"/>
      <c r="BX12" s="716"/>
      <c r="BY12" s="716">
        <f t="shared" si="60"/>
        <v>10649209.51183239</v>
      </c>
      <c r="BZ12" s="716"/>
      <c r="CA12" s="716">
        <f t="shared" si="61"/>
        <v>10649209.51183239</v>
      </c>
      <c r="CB12" s="1135">
        <f t="shared" si="62"/>
        <v>10649209.51183239</v>
      </c>
      <c r="CC12" s="1164">
        <f t="shared" si="109"/>
        <v>10649209.51183239</v>
      </c>
      <c r="CD12" s="1164"/>
      <c r="CE12" s="1164">
        <f t="shared" si="63"/>
        <v>0</v>
      </c>
      <c r="CF12" s="1164">
        <f t="shared" si="115"/>
        <v>0</v>
      </c>
      <c r="CG12" s="1164">
        <f t="shared" si="116"/>
        <v>0</v>
      </c>
      <c r="CH12" s="1154">
        <f>CB12</f>
        <v>10649209.51183239</v>
      </c>
      <c r="CI12" s="935">
        <f t="shared" si="117"/>
        <v>10649209.51183239</v>
      </c>
      <c r="CJ12" s="935">
        <f t="shared" si="64"/>
        <v>1277905.1414198868</v>
      </c>
      <c r="CK12" s="935">
        <f t="shared" si="65"/>
        <v>1091543.9749628198</v>
      </c>
      <c r="CL12" s="935">
        <f t="shared" si="66"/>
        <v>372722.33291413367</v>
      </c>
      <c r="CM12" s="1006">
        <f t="shared" si="67"/>
        <v>13391380.961129231</v>
      </c>
      <c r="CN12" s="1007">
        <v>0.2</v>
      </c>
      <c r="CO12" s="935">
        <f t="shared" si="24"/>
        <v>2678276.1922258465</v>
      </c>
      <c r="CP12" s="935">
        <v>200000</v>
      </c>
      <c r="CQ12" s="935">
        <f t="shared" si="25"/>
        <v>2478276.1922258465</v>
      </c>
      <c r="CR12" s="745">
        <v>32</v>
      </c>
      <c r="CS12" s="935">
        <f t="shared" si="26"/>
        <v>77446.131007057702</v>
      </c>
      <c r="CT12" s="1007">
        <f t="shared" si="68"/>
        <v>0.8</v>
      </c>
      <c r="CU12" s="935">
        <f t="shared" si="69"/>
        <v>10713104.768903386</v>
      </c>
      <c r="CV12" s="1008">
        <f t="shared" si="110"/>
        <v>83058.587245042858</v>
      </c>
      <c r="CW12" s="1008">
        <f t="shared" si="70"/>
        <v>96292.414348943203</v>
      </c>
      <c r="CX12" s="1008">
        <f t="shared" si="71"/>
        <v>124388.2302427161</v>
      </c>
      <c r="CY12" s="1008">
        <f t="shared" si="72"/>
        <v>212132.31451262138</v>
      </c>
      <c r="CZ12" s="1119">
        <f t="shared" si="27"/>
        <v>951846.38514719065</v>
      </c>
      <c r="DA12" s="1119">
        <f t="shared" si="28"/>
        <v>376640.97789279366</v>
      </c>
      <c r="DB12" s="1119">
        <f t="shared" si="29"/>
        <v>272042.44389250001</v>
      </c>
      <c r="DC12" s="1119">
        <f t="shared" si="30"/>
        <v>207036.82398946187</v>
      </c>
      <c r="DD12" s="951"/>
      <c r="DE12" s="951"/>
      <c r="DF12" s="1009"/>
      <c r="DG12" s="1009"/>
      <c r="DH12" s="966">
        <f t="shared" si="111"/>
        <v>45658</v>
      </c>
      <c r="DI12" s="912">
        <f t="shared" si="73"/>
        <v>14</v>
      </c>
      <c r="DK12" s="913">
        <f t="shared" si="74"/>
        <v>45723</v>
      </c>
      <c r="DL12" s="912">
        <f t="shared" si="75"/>
        <v>16</v>
      </c>
      <c r="DM12" s="750" t="s">
        <v>241</v>
      </c>
      <c r="DN12" s="750" t="s">
        <v>242</v>
      </c>
      <c r="DO12" s="751">
        <f t="shared" si="31"/>
        <v>0</v>
      </c>
      <c r="DP12" s="751">
        <f t="shared" si="32"/>
        <v>0</v>
      </c>
      <c r="DQ12" s="752"/>
      <c r="DR12" s="753"/>
      <c r="DS12" s="751"/>
      <c r="DT12" s="751"/>
      <c r="DU12" s="751">
        <f t="shared" si="33"/>
        <v>0</v>
      </c>
      <c r="DV12" s="754"/>
      <c r="DW12" s="951">
        <f t="shared" si="34"/>
        <v>271663.50795490789</v>
      </c>
      <c r="DX12" s="754"/>
      <c r="DZ12" s="1010" t="s">
        <v>262</v>
      </c>
      <c r="EA12" s="1011" t="b">
        <f t="shared" si="35"/>
        <v>1</v>
      </c>
      <c r="EB12" s="1011"/>
      <c r="EC12" s="1011"/>
      <c r="EE12" s="1029"/>
      <c r="EJ12" s="1042" t="s">
        <v>103</v>
      </c>
      <c r="EK12" s="1043"/>
      <c r="EL12" s="1044">
        <f t="shared" ref="EL12:EN12" si="118">SUM(EL9:EL11)</f>
        <v>0</v>
      </c>
      <c r="EM12" s="1045">
        <f t="shared" si="118"/>
        <v>0</v>
      </c>
      <c r="EN12" s="1046">
        <f t="shared" si="118"/>
        <v>0</v>
      </c>
      <c r="EO12" s="1047"/>
      <c r="ER12" s="1017" t="s">
        <v>243</v>
      </c>
      <c r="ES12" s="1390" t="s">
        <v>243</v>
      </c>
      <c r="ET12" s="1018" t="b">
        <f t="shared" si="76"/>
        <v>1</v>
      </c>
      <c r="EX12" s="1019"/>
      <c r="EY12" s="1019"/>
      <c r="EZ12" s="1019"/>
      <c r="FA12" s="1019"/>
      <c r="FB12" s="1019"/>
      <c r="FC12" s="1019"/>
      <c r="FD12" s="1020"/>
      <c r="FE12" s="1021"/>
      <c r="FF12" s="1022"/>
      <c r="FG12" s="1022"/>
      <c r="FH12" s="1022"/>
      <c r="FI12" s="1023"/>
      <c r="FJ12" s="1023"/>
      <c r="FK12" s="1023"/>
      <c r="FL12" s="1019"/>
      <c r="FM12" s="1019"/>
      <c r="FN12" s="1019"/>
      <c r="FO12" s="1019"/>
      <c r="FP12" s="1019"/>
      <c r="FQ12" s="1021"/>
      <c r="FR12" s="1021"/>
      <c r="FS12" s="1020"/>
      <c r="FT12" s="503"/>
      <c r="FU12" s="956"/>
      <c r="FV12" s="503"/>
      <c r="FX12" s="1040"/>
      <c r="GA12" s="1011">
        <v>29</v>
      </c>
      <c r="GB12" s="1036">
        <f t="shared" si="77"/>
        <v>46054</v>
      </c>
      <c r="GC12" s="1037">
        <v>45170</v>
      </c>
      <c r="GG12" s="956"/>
      <c r="GI12" s="1024">
        <f t="shared" si="78"/>
        <v>13391380.961129231</v>
      </c>
      <c r="GJ12" s="1025">
        <f t="shared" si="79"/>
        <v>0.2</v>
      </c>
      <c r="GK12" s="1024">
        <f t="shared" si="80"/>
        <v>2678276.1922258465</v>
      </c>
      <c r="GL12" s="1024">
        <f t="shared" si="81"/>
        <v>200000</v>
      </c>
      <c r="GM12" s="1024">
        <f t="shared" si="82"/>
        <v>2478276.1922258465</v>
      </c>
      <c r="GN12" s="1024">
        <f t="shared" si="83"/>
        <v>32</v>
      </c>
      <c r="GO12" s="1024">
        <f t="shared" si="84"/>
        <v>77446.131007057702</v>
      </c>
      <c r="GP12" s="1025">
        <f t="shared" si="85"/>
        <v>0.8</v>
      </c>
      <c r="GQ12" s="1024">
        <f t="shared" si="86"/>
        <v>10713104.768903386</v>
      </c>
      <c r="GR12" s="1024">
        <f t="shared" si="87"/>
        <v>83058.587245042858</v>
      </c>
      <c r="GS12" s="1024">
        <f t="shared" si="88"/>
        <v>96292.414348943203</v>
      </c>
      <c r="GT12" s="1024">
        <f t="shared" si="89"/>
        <v>124388.2302427161</v>
      </c>
      <c r="GU12" s="1024">
        <f t="shared" si="90"/>
        <v>212132.31451262138</v>
      </c>
      <c r="GW12" s="1024">
        <f t="shared" si="91"/>
        <v>13391380.961129231</v>
      </c>
      <c r="GX12" s="1025">
        <f t="shared" si="92"/>
        <v>0.2</v>
      </c>
      <c r="GY12" s="1024">
        <f t="shared" si="93"/>
        <v>2678276.1922258465</v>
      </c>
      <c r="GZ12" s="1024">
        <f t="shared" si="94"/>
        <v>200000</v>
      </c>
      <c r="HA12" s="1024">
        <f t="shared" si="95"/>
        <v>2478276.1922258465</v>
      </c>
      <c r="HB12" s="1026">
        <f t="shared" si="96"/>
        <v>25</v>
      </c>
      <c r="HC12" s="1009">
        <f t="shared" si="97"/>
        <v>99131.047689033861</v>
      </c>
      <c r="HD12" s="1027">
        <f t="shared" si="98"/>
        <v>0.8</v>
      </c>
      <c r="HE12" s="1009">
        <f t="shared" si="99"/>
        <v>10713104.768903386</v>
      </c>
      <c r="HF12" s="1008">
        <f t="shared" si="100"/>
        <v>83058.587245042858</v>
      </c>
      <c r="HG12" s="1008">
        <f t="shared" si="101"/>
        <v>96292.414348943203</v>
      </c>
      <c r="HH12" s="1008">
        <f t="shared" si="102"/>
        <v>124388.2302427161</v>
      </c>
      <c r="HI12" s="1008">
        <f t="shared" si="103"/>
        <v>212132.31451262138</v>
      </c>
      <c r="HK12" s="1009">
        <f t="shared" si="104"/>
        <v>21684.916681976159</v>
      </c>
      <c r="HR12" s="956">
        <f t="shared" si="105"/>
        <v>0</v>
      </c>
      <c r="HU12" s="956"/>
      <c r="HW12" s="956"/>
      <c r="HX12" s="956"/>
      <c r="IC12" s="1400" t="s">
        <v>263</v>
      </c>
      <c r="ID12" s="1401">
        <f t="shared" si="114"/>
        <v>45901</v>
      </c>
      <c r="IE12" s="1402">
        <f t="shared" si="113"/>
        <v>1</v>
      </c>
    </row>
    <row r="13" spans="1:239" s="1051" customFormat="1" ht="14.25" hidden="1" customHeight="1">
      <c r="A13" s="780">
        <f>A12+1</f>
        <v>7</v>
      </c>
      <c r="B13" s="716" t="s">
        <v>264</v>
      </c>
      <c r="C13" s="741">
        <f t="shared" si="107"/>
        <v>7</v>
      </c>
      <c r="D13" s="716" t="s">
        <v>237</v>
      </c>
      <c r="E13" s="743" t="str">
        <f t="shared" si="36"/>
        <v>2nd Floor</v>
      </c>
      <c r="F13" s="1048"/>
      <c r="G13" s="745" t="s">
        <v>265</v>
      </c>
      <c r="H13" s="745" t="s">
        <v>266</v>
      </c>
      <c r="I13" s="745" t="s">
        <v>267</v>
      </c>
      <c r="J13" s="1005">
        <v>22</v>
      </c>
      <c r="K13" s="1049"/>
      <c r="L13" s="1006" t="s">
        <v>268</v>
      </c>
      <c r="M13" s="745" t="s">
        <v>240</v>
      </c>
      <c r="N13" s="1050">
        <v>95909.091</v>
      </c>
      <c r="O13" s="934">
        <f>J13*N13</f>
        <v>2110000.0019999999</v>
      </c>
      <c r="P13" s="934">
        <f>(P4+P5)</f>
        <v>22400</v>
      </c>
      <c r="Q13" s="934">
        <f t="shared" ref="Q13:Q76" si="119">$Q$5</f>
        <v>50000</v>
      </c>
      <c r="R13" s="934"/>
      <c r="S13" s="934"/>
      <c r="T13" s="934"/>
      <c r="U13" s="934"/>
      <c r="V13" s="749"/>
      <c r="W13" s="749">
        <f>J13*$W$5</f>
        <v>22000</v>
      </c>
      <c r="X13" s="934"/>
      <c r="Y13" s="934"/>
      <c r="Z13" s="934">
        <f>$Z$5</f>
        <v>75000</v>
      </c>
      <c r="AA13" s="934"/>
      <c r="AB13" s="934"/>
      <c r="AC13" s="934"/>
      <c r="AD13" s="934"/>
      <c r="AE13" s="934">
        <f t="shared" si="14"/>
        <v>169400</v>
      </c>
      <c r="AF13" s="1005">
        <f t="shared" si="15"/>
        <v>2279400.0019999999</v>
      </c>
      <c r="AG13" s="1005">
        <f>AF13*$AG$5</f>
        <v>56985.000050000002</v>
      </c>
      <c r="AH13" s="1005">
        <f>AF13+AG13</f>
        <v>2336385.0020499998</v>
      </c>
      <c r="AI13" s="1005">
        <f>AH13*$AI$5</f>
        <v>58409.625051249997</v>
      </c>
      <c r="AJ13" s="1005">
        <f>AH13+AI13</f>
        <v>2394794.62710125</v>
      </c>
      <c r="AK13" s="1005">
        <f t="shared" si="41"/>
        <v>119739.73135506251</v>
      </c>
      <c r="AL13" s="1005">
        <f>AJ13+AK13</f>
        <v>2514534.3584563127</v>
      </c>
      <c r="AM13" s="934">
        <f t="shared" si="43"/>
        <v>25145.343584563128</v>
      </c>
      <c r="AN13" s="934">
        <f t="shared" si="44"/>
        <v>27537.409960060559</v>
      </c>
      <c r="AO13" s="934"/>
      <c r="AP13" s="934">
        <f>FK13</f>
        <v>111106.84003559267</v>
      </c>
      <c r="AQ13" s="1005">
        <f>AL13+AM13+AP13+AN13+AO13</f>
        <v>2678323.9520365288</v>
      </c>
      <c r="AR13" s="1005">
        <f t="shared" si="46"/>
        <v>120524.5778416438</v>
      </c>
      <c r="AS13" s="1147">
        <f>AQ13+AR13</f>
        <v>2798848.5298781726</v>
      </c>
      <c r="AT13" s="1148">
        <f>$AT$5</f>
        <v>2000000</v>
      </c>
      <c r="AU13" s="1148">
        <f t="shared" si="16"/>
        <v>36311.296812644207</v>
      </c>
      <c r="AV13" s="1148">
        <f>AS13-AT13</f>
        <v>798848.52987817256</v>
      </c>
      <c r="AW13" s="1148">
        <f>AV13*$AW$5</f>
        <v>95861.823585380698</v>
      </c>
      <c r="AX13" s="1148">
        <f>AV13+AW13</f>
        <v>894710.35346355324</v>
      </c>
      <c r="AY13" s="1147">
        <f t="shared" si="48"/>
        <v>2894710.3534635534</v>
      </c>
      <c r="AZ13" s="934">
        <f t="shared" si="49"/>
        <v>36183.879418294418</v>
      </c>
      <c r="BA13" s="716" t="s">
        <v>269</v>
      </c>
      <c r="BB13" s="716">
        <f t="shared" si="19"/>
        <v>2930894.2328818478</v>
      </c>
      <c r="BC13" s="716" t="s">
        <v>269</v>
      </c>
      <c r="BD13" s="716">
        <f t="shared" si="50"/>
        <v>109908.53373306929</v>
      </c>
      <c r="BE13" s="716">
        <f t="shared" si="51"/>
        <v>33600</v>
      </c>
      <c r="BF13" s="716">
        <f t="shared" si="52"/>
        <v>3074402.7666149172</v>
      </c>
      <c r="BG13" s="716"/>
      <c r="BH13" s="716">
        <f t="shared" si="53"/>
        <v>3074402.7666149172</v>
      </c>
      <c r="BI13" s="716"/>
      <c r="BJ13" s="716">
        <f t="shared" si="54"/>
        <v>3074402.7666149172</v>
      </c>
      <c r="BK13" s="716"/>
      <c r="BL13" s="716">
        <f t="shared" si="55"/>
        <v>3074402.7666149172</v>
      </c>
      <c r="BM13" s="716"/>
      <c r="BN13" s="716">
        <f t="shared" si="20"/>
        <v>3074402.7666149172</v>
      </c>
      <c r="BO13" s="716"/>
      <c r="BP13" s="716">
        <f t="shared" si="56"/>
        <v>3074402.7666149172</v>
      </c>
      <c r="BQ13" s="716"/>
      <c r="BR13" s="716">
        <f t="shared" si="57"/>
        <v>3074402.7666149172</v>
      </c>
      <c r="BS13" s="716"/>
      <c r="BT13" s="716">
        <f t="shared" si="58"/>
        <v>3074402.7666149172</v>
      </c>
      <c r="BU13" s="716"/>
      <c r="BV13" s="716">
        <f t="shared" si="21"/>
        <v>3074402.7666149172</v>
      </c>
      <c r="BW13" s="716"/>
      <c r="BX13" s="716">
        <f t="shared" ref="BX13:BX76" si="120">$BX$2+$BX$3-BE13</f>
        <v>31400</v>
      </c>
      <c r="BY13" s="716">
        <f t="shared" si="60"/>
        <v>3105802.7666149172</v>
      </c>
      <c r="BZ13" s="716"/>
      <c r="CA13" s="716">
        <f t="shared" si="61"/>
        <v>3105802.7666149172</v>
      </c>
      <c r="CB13" s="1135">
        <f t="shared" ref="CB13:CB71" si="121">BY13</f>
        <v>3105802.7666149172</v>
      </c>
      <c r="CC13" s="1164">
        <f>CB13-CE13-CF13</f>
        <v>3105802.7666149172</v>
      </c>
      <c r="CD13" s="1164"/>
      <c r="CE13" s="1164">
        <f t="shared" si="63"/>
        <v>0</v>
      </c>
      <c r="CF13" s="1164">
        <f t="shared" si="115"/>
        <v>0</v>
      </c>
      <c r="CG13" s="1164">
        <f t="shared" si="116"/>
        <v>0</v>
      </c>
      <c r="CH13" s="1154">
        <f>CC13+CE13+CF13</f>
        <v>3105802.7666149172</v>
      </c>
      <c r="CI13" s="935">
        <f>CH13</f>
        <v>3105802.7666149172</v>
      </c>
      <c r="CJ13" s="935">
        <f t="shared" si="64"/>
        <v>0</v>
      </c>
      <c r="CK13" s="935">
        <f>CI13*CK$5</f>
        <v>318344.78357802902</v>
      </c>
      <c r="CL13" s="935">
        <f>CI13*CL$5</f>
        <v>108703.09683152211</v>
      </c>
      <c r="CM13" s="1006">
        <f>SUM(CI13:CL13)</f>
        <v>3532850.6470244681</v>
      </c>
      <c r="CN13" s="1007">
        <f>$CN$5</f>
        <v>0.125</v>
      </c>
      <c r="CO13" s="935">
        <f t="shared" si="24"/>
        <v>441606.33087805851</v>
      </c>
      <c r="CP13" s="935">
        <f>$CP$5</f>
        <v>30000</v>
      </c>
      <c r="CQ13" s="935">
        <f t="shared" si="25"/>
        <v>411606.33087805851</v>
      </c>
      <c r="CR13" s="745">
        <f>VLOOKUP(E13,$IC$6:$IE$19,3,FALSE)</f>
        <v>2</v>
      </c>
      <c r="CS13" s="935">
        <f t="shared" si="26"/>
        <v>205803.16543902925</v>
      </c>
      <c r="CT13" s="1007">
        <f t="shared" si="68"/>
        <v>0.875</v>
      </c>
      <c r="CU13" s="935">
        <f t="shared" si="69"/>
        <v>3091244.3161464096</v>
      </c>
      <c r="CV13" s="1008">
        <f t="shared" si="110"/>
        <v>23966.384280462073</v>
      </c>
      <c r="CW13" s="1008">
        <f t="shared" si="70"/>
        <v>27784.977834642708</v>
      </c>
      <c r="CX13" s="1008">
        <f t="shared" si="71"/>
        <v>35891.967644097516</v>
      </c>
      <c r="CY13" s="1008">
        <f t="shared" si="72"/>
        <v>61210.342440742083</v>
      </c>
      <c r="CZ13" s="1119">
        <f t="shared" ref="CZ13:CZ71" si="122">(CM13*80%)*$CZ$5</f>
        <v>251111.60136479235</v>
      </c>
      <c r="DA13" s="1119">
        <f t="shared" ref="DA13:DA71" si="123">(CM13*80%)*$DA$5</f>
        <v>99363.63742520845</v>
      </c>
      <c r="DB13" s="1119">
        <f t="shared" ref="DB13:DB71" si="124">(CM13*80%)*$DB$5</f>
        <v>71768.948005694881</v>
      </c>
      <c r="DC13" s="1119">
        <f t="shared" ref="DC13:DC71" si="125">(CM13*80%)*$DC$5</f>
        <v>54619.473504051763</v>
      </c>
      <c r="DD13" s="1028">
        <f t="shared" ref="DD13:DD76" si="126">AV13/AT13</f>
        <v>0.39942426493908628</v>
      </c>
      <c r="DE13" s="1028">
        <f>CE13/CC13</f>
        <v>0</v>
      </c>
      <c r="DF13" s="1009" t="s">
        <v>270</v>
      </c>
      <c r="DG13" s="1009" t="s">
        <v>271</v>
      </c>
      <c r="DH13" s="966">
        <f t="shared" si="111"/>
        <v>45658</v>
      </c>
      <c r="DI13" s="912">
        <f>(YEAR(DH13)-YEAR($DI$5))*12+MONTH(DH13)-MONTH($DI$5)</f>
        <v>14</v>
      </c>
      <c r="DJ13" s="939"/>
      <c r="DK13" s="913">
        <f t="shared" si="74"/>
        <v>45723</v>
      </c>
      <c r="DL13" s="912">
        <f t="shared" si="75"/>
        <v>16</v>
      </c>
      <c r="DM13" s="750" t="s">
        <v>272</v>
      </c>
      <c r="DN13" s="750" t="s">
        <v>273</v>
      </c>
      <c r="DO13" s="751">
        <f t="shared" si="31"/>
        <v>40668.652430161514</v>
      </c>
      <c r="DP13" s="751">
        <f t="shared" si="32"/>
        <v>894710.35346355324</v>
      </c>
      <c r="DQ13" s="752">
        <f t="shared" ref="DQ13:DQ76" si="127">AX13/AT13</f>
        <v>0.4473551767317766</v>
      </c>
      <c r="DR13" s="753"/>
      <c r="DS13" s="751">
        <f t="shared" ref="DS13:DS76" si="128">CI13</f>
        <v>3105802.7666149172</v>
      </c>
      <c r="DT13" s="751">
        <f>'[4]INTERNAL PRICELIST'!N7</f>
        <v>2061900</v>
      </c>
      <c r="DU13" s="751">
        <f t="shared" si="33"/>
        <v>1043902.7666149172</v>
      </c>
      <c r="DV13" s="503"/>
      <c r="DW13" s="951">
        <f t="shared" ref="DW13:DW76" si="129">DS13/J13</f>
        <v>141172.85302795077</v>
      </c>
      <c r="DX13" s="503"/>
      <c r="DZ13" s="1010" t="s">
        <v>265</v>
      </c>
      <c r="EA13" s="1052" t="b">
        <f t="shared" si="35"/>
        <v>1</v>
      </c>
      <c r="EB13" s="1053" t="s">
        <v>274</v>
      </c>
      <c r="EC13" s="1053" t="s">
        <v>275</v>
      </c>
      <c r="ED13" s="503"/>
      <c r="EE13" s="1029"/>
      <c r="EF13" s="503"/>
      <c r="EG13" s="503"/>
      <c r="EH13" s="930"/>
      <c r="EI13" s="930"/>
      <c r="EJ13" s="503"/>
      <c r="EK13" s="1054"/>
      <c r="EL13" s="1054"/>
      <c r="EM13" s="1054"/>
      <c r="EN13" s="1054"/>
      <c r="EO13" s="503"/>
      <c r="EP13" s="503"/>
      <c r="EQ13" s="503"/>
      <c r="ER13" s="1017" t="s">
        <v>264</v>
      </c>
      <c r="ES13" s="1391" t="s">
        <v>264</v>
      </c>
      <c r="ET13" s="1018" t="b">
        <f t="shared" si="76"/>
        <v>1</v>
      </c>
      <c r="EU13" s="940"/>
      <c r="EV13" s="941"/>
      <c r="EW13" s="940"/>
      <c r="EX13" s="1019">
        <v>2904753.9878586316</v>
      </c>
      <c r="EY13" s="1019">
        <f>EX13*$EY$5</f>
        <v>435713.09817879472</v>
      </c>
      <c r="EZ13" s="1019">
        <f>EX13*$EZ$5</f>
        <v>2469040.889679837</v>
      </c>
      <c r="FA13" s="1019">
        <f>EX13*$FA$5</f>
        <v>290475.39878586319</v>
      </c>
      <c r="FB13" s="1019">
        <f>EX13*$FB$5</f>
        <v>2614278.5890727686</v>
      </c>
      <c r="FC13" s="1019">
        <f>FB13-EZ13</f>
        <v>145237.69939293154</v>
      </c>
      <c r="FD13" s="1020"/>
      <c r="FE13" s="1021"/>
      <c r="FF13" s="1022">
        <f>EZ13</f>
        <v>2469040.889679837</v>
      </c>
      <c r="FG13" s="1022">
        <f>FF13*$FG$5</f>
        <v>209868.47562278615</v>
      </c>
      <c r="FH13" s="1022">
        <f>FG13*(6/12)</f>
        <v>104934.23781139308</v>
      </c>
      <c r="FI13" s="1023">
        <f>FB13</f>
        <v>2614278.5890727686</v>
      </c>
      <c r="FJ13" s="1023">
        <f>FI13*$FJ$5</f>
        <v>222213.68007118534</v>
      </c>
      <c r="FK13" s="1023">
        <f>FJ13*(6/12)</f>
        <v>111106.84003559267</v>
      </c>
      <c r="FL13" s="1019">
        <f t="shared" ref="FL13:FM15" si="130">FJ13-FG13</f>
        <v>12345.204448399192</v>
      </c>
      <c r="FM13" s="1019">
        <f t="shared" si="130"/>
        <v>6172.6022241995961</v>
      </c>
      <c r="FN13" s="1019" t="str">
        <f>$FN$6</f>
        <v>VS</v>
      </c>
      <c r="FO13" s="1019">
        <f>$FO$5</f>
        <v>27537.409960060559</v>
      </c>
      <c r="FP13" s="1019">
        <f>FM13-FO13</f>
        <v>-21364.807735860963</v>
      </c>
      <c r="FQ13" s="1021"/>
      <c r="FR13" s="1021"/>
      <c r="FS13" s="1020"/>
      <c r="FT13" s="503"/>
      <c r="FU13" s="956"/>
      <c r="FV13" s="503"/>
      <c r="FW13" s="503"/>
      <c r="FX13" s="1040"/>
      <c r="FY13" s="503"/>
      <c r="FZ13" s="503"/>
      <c r="GA13" s="1011">
        <v>28</v>
      </c>
      <c r="GB13" s="1036">
        <f t="shared" ref="GB13:GB18" si="131">EDATE(GC13,GA13)</f>
        <v>46054</v>
      </c>
      <c r="GC13" s="1037">
        <v>45200</v>
      </c>
      <c r="GD13" s="503"/>
      <c r="GE13" s="503"/>
      <c r="GF13" s="503"/>
      <c r="GG13" s="956"/>
      <c r="GH13" s="945"/>
      <c r="GI13" s="1024">
        <f t="shared" si="78"/>
        <v>3532850.6470244681</v>
      </c>
      <c r="GJ13" s="1025">
        <f t="shared" si="79"/>
        <v>0.125</v>
      </c>
      <c r="GK13" s="1024">
        <f t="shared" si="80"/>
        <v>441606.33087805851</v>
      </c>
      <c r="GL13" s="1024">
        <f t="shared" si="81"/>
        <v>30000</v>
      </c>
      <c r="GM13" s="1024">
        <f t="shared" si="82"/>
        <v>411606.33087805851</v>
      </c>
      <c r="GN13" s="1024">
        <f t="shared" si="83"/>
        <v>2</v>
      </c>
      <c r="GO13" s="1024">
        <f t="shared" si="84"/>
        <v>205803.16543902925</v>
      </c>
      <c r="GP13" s="1025">
        <f t="shared" si="85"/>
        <v>0.875</v>
      </c>
      <c r="GQ13" s="1024">
        <f t="shared" si="86"/>
        <v>3091244.3161464096</v>
      </c>
      <c r="GR13" s="1024">
        <f t="shared" si="87"/>
        <v>23966.384280462073</v>
      </c>
      <c r="GS13" s="1024">
        <f t="shared" si="88"/>
        <v>27784.977834642708</v>
      </c>
      <c r="GT13" s="1024">
        <f t="shared" si="89"/>
        <v>35891.967644097516</v>
      </c>
      <c r="GU13" s="1024">
        <f t="shared" si="90"/>
        <v>61210.342440742083</v>
      </c>
      <c r="GV13" s="945"/>
      <c r="GW13" s="1024">
        <f t="shared" si="91"/>
        <v>3532850.6470244681</v>
      </c>
      <c r="GX13" s="1025">
        <f t="shared" si="92"/>
        <v>0.125</v>
      </c>
      <c r="GY13" s="1024">
        <f t="shared" si="93"/>
        <v>441606.33087805851</v>
      </c>
      <c r="GZ13" s="1024">
        <f t="shared" si="94"/>
        <v>30000</v>
      </c>
      <c r="HA13" s="1024">
        <f t="shared" si="95"/>
        <v>411606.33087805851</v>
      </c>
      <c r="HB13" s="1026">
        <f t="shared" si="96"/>
        <v>25</v>
      </c>
      <c r="HC13" s="1009">
        <f t="shared" si="97"/>
        <v>16464.253235122342</v>
      </c>
      <c r="HD13" s="1027">
        <f t="shared" si="98"/>
        <v>0.875</v>
      </c>
      <c r="HE13" s="1009">
        <f t="shared" si="99"/>
        <v>3091244.3161464096</v>
      </c>
      <c r="HF13" s="1008">
        <f t="shared" si="100"/>
        <v>23966.384280462073</v>
      </c>
      <c r="HG13" s="1008">
        <f t="shared" si="101"/>
        <v>27784.977834642708</v>
      </c>
      <c r="HH13" s="1008">
        <f t="shared" si="102"/>
        <v>35891.967644097516</v>
      </c>
      <c r="HI13" s="1008">
        <f t="shared" si="103"/>
        <v>61210.342440742083</v>
      </c>
      <c r="HJ13" s="945"/>
      <c r="HK13" s="1009">
        <f t="shared" si="104"/>
        <v>-189338.91220390692</v>
      </c>
      <c r="HL13" s="503"/>
      <c r="HM13" s="503"/>
      <c r="HN13" s="503"/>
      <c r="HO13" s="503"/>
      <c r="HP13" s="503"/>
      <c r="HQ13" s="503"/>
      <c r="HR13" s="956">
        <f t="shared" si="105"/>
        <v>0</v>
      </c>
      <c r="HS13" s="503"/>
      <c r="HT13" s="503"/>
      <c r="HU13" s="956"/>
      <c r="HV13" s="503"/>
      <c r="HW13" s="956"/>
      <c r="HX13" s="956"/>
      <c r="HY13" s="503"/>
      <c r="HZ13" s="503"/>
      <c r="IA13" s="503"/>
      <c r="IC13" s="1400" t="s">
        <v>276</v>
      </c>
      <c r="ID13" s="1401">
        <f t="shared" si="114"/>
        <v>45901</v>
      </c>
      <c r="IE13" s="1402">
        <f t="shared" si="113"/>
        <v>1</v>
      </c>
    </row>
    <row r="14" spans="1:239" s="1051" customFormat="1" ht="14.25" hidden="1" customHeight="1">
      <c r="A14" s="1018">
        <f>A13+1</f>
        <v>8</v>
      </c>
      <c r="B14" s="716" t="s">
        <v>264</v>
      </c>
      <c r="C14" s="741">
        <f t="shared" si="107"/>
        <v>8</v>
      </c>
      <c r="D14" s="716" t="s">
        <v>237</v>
      </c>
      <c r="E14" s="743" t="str">
        <f t="shared" si="36"/>
        <v>2nd Floor</v>
      </c>
      <c r="F14" s="1048"/>
      <c r="G14" s="745" t="s">
        <v>277</v>
      </c>
      <c r="H14" s="745" t="s">
        <v>278</v>
      </c>
      <c r="I14" s="745" t="s">
        <v>267</v>
      </c>
      <c r="J14" s="1005">
        <v>22</v>
      </c>
      <c r="K14" s="1049"/>
      <c r="L14" s="1006" t="s">
        <v>268</v>
      </c>
      <c r="M14" s="745" t="s">
        <v>79</v>
      </c>
      <c r="N14" s="1050">
        <v>95909.091</v>
      </c>
      <c r="O14" s="934">
        <f t="shared" ref="O14:O77" si="132">J14*N14</f>
        <v>2110000.0019999999</v>
      </c>
      <c r="P14" s="934">
        <f>$P$13</f>
        <v>22400</v>
      </c>
      <c r="Q14" s="934">
        <f t="shared" si="119"/>
        <v>50000</v>
      </c>
      <c r="R14" s="934"/>
      <c r="S14" s="934"/>
      <c r="T14" s="934"/>
      <c r="U14" s="934"/>
      <c r="V14" s="934"/>
      <c r="W14" s="749"/>
      <c r="X14" s="934"/>
      <c r="Y14" s="934"/>
      <c r="Z14" s="934">
        <f t="shared" ref="Z14:Z77" si="133">$Z$5</f>
        <v>75000</v>
      </c>
      <c r="AA14" s="934"/>
      <c r="AB14" s="934"/>
      <c r="AC14" s="934"/>
      <c r="AD14" s="934"/>
      <c r="AE14" s="934">
        <f t="shared" si="14"/>
        <v>147400</v>
      </c>
      <c r="AF14" s="1005">
        <f t="shared" si="15"/>
        <v>2257400.0019999999</v>
      </c>
      <c r="AG14" s="1005">
        <f t="shared" si="37"/>
        <v>56435.000050000002</v>
      </c>
      <c r="AH14" s="1005">
        <f t="shared" si="38"/>
        <v>2313835.0020499998</v>
      </c>
      <c r="AI14" s="1005">
        <f t="shared" si="39"/>
        <v>57845.875051249997</v>
      </c>
      <c r="AJ14" s="1005">
        <f t="shared" si="40"/>
        <v>2371680.87710125</v>
      </c>
      <c r="AK14" s="1005">
        <f>AJ14*$AK$5</f>
        <v>118584.04385506251</v>
      </c>
      <c r="AL14" s="1005">
        <f>AJ14+AK14</f>
        <v>2490264.9209563127</v>
      </c>
      <c r="AM14" s="934">
        <f t="shared" si="43"/>
        <v>24902.649209563126</v>
      </c>
      <c r="AN14" s="934">
        <f t="shared" si="44"/>
        <v>27537.409960060559</v>
      </c>
      <c r="AO14" s="934"/>
      <c r="AP14" s="934">
        <f t="shared" ref="AP14:AP77" si="134">FK14</f>
        <v>109934.5752385239</v>
      </c>
      <c r="AQ14" s="1005">
        <f t="shared" si="45"/>
        <v>2652639.5553644602</v>
      </c>
      <c r="AR14" s="1005">
        <f t="shared" si="46"/>
        <v>119368.7799914007</v>
      </c>
      <c r="AS14" s="1147">
        <f t="shared" si="47"/>
        <v>2772008.3353558611</v>
      </c>
      <c r="AT14" s="1148">
        <f t="shared" ref="AT14:AT77" si="135">$AT$5</f>
        <v>2000000</v>
      </c>
      <c r="AU14" s="1148">
        <f t="shared" si="16"/>
        <v>35091.287970720958</v>
      </c>
      <c r="AV14" s="1148">
        <f t="shared" ref="AV14:AV77" si="136">AS14-AT14</f>
        <v>772008.33535586111</v>
      </c>
      <c r="AW14" s="1148">
        <f t="shared" si="17"/>
        <v>92641.000242703332</v>
      </c>
      <c r="AX14" s="1148">
        <f t="shared" si="18"/>
        <v>864649.33559856447</v>
      </c>
      <c r="AY14" s="1147">
        <f t="shared" si="48"/>
        <v>2864649.3355985642</v>
      </c>
      <c r="AZ14" s="934">
        <f t="shared" si="49"/>
        <v>35808.116694982054</v>
      </c>
      <c r="BA14" s="716" t="s">
        <v>269</v>
      </c>
      <c r="BB14" s="716">
        <f t="shared" si="19"/>
        <v>2900457.4522935464</v>
      </c>
      <c r="BC14" s="716" t="s">
        <v>269</v>
      </c>
      <c r="BD14" s="716">
        <f t="shared" si="50"/>
        <v>108767.15446100799</v>
      </c>
      <c r="BE14" s="716">
        <f t="shared" si="51"/>
        <v>33600</v>
      </c>
      <c r="BF14" s="716">
        <f t="shared" si="52"/>
        <v>3042824.6067545544</v>
      </c>
      <c r="BG14" s="716"/>
      <c r="BH14" s="716">
        <f t="shared" si="53"/>
        <v>3042824.6067545544</v>
      </c>
      <c r="BI14" s="716"/>
      <c r="BJ14" s="716">
        <f t="shared" si="54"/>
        <v>3042824.6067545544</v>
      </c>
      <c r="BK14" s="716"/>
      <c r="BL14" s="716">
        <f t="shared" si="55"/>
        <v>3042824.6067545544</v>
      </c>
      <c r="BM14" s="716"/>
      <c r="BN14" s="716">
        <f t="shared" si="20"/>
        <v>3042824.6067545544</v>
      </c>
      <c r="BO14" s="716"/>
      <c r="BP14" s="716">
        <f t="shared" si="56"/>
        <v>3042824.6067545544</v>
      </c>
      <c r="BQ14" s="716"/>
      <c r="BR14" s="716">
        <f t="shared" si="57"/>
        <v>3042824.6067545544</v>
      </c>
      <c r="BS14" s="716"/>
      <c r="BT14" s="716">
        <f t="shared" si="58"/>
        <v>3042824.6067545544</v>
      </c>
      <c r="BU14" s="716"/>
      <c r="BV14" s="716">
        <f t="shared" si="21"/>
        <v>3042824.6067545544</v>
      </c>
      <c r="BW14" s="716"/>
      <c r="BX14" s="716">
        <f t="shared" si="120"/>
        <v>31400</v>
      </c>
      <c r="BY14" s="716">
        <f t="shared" si="60"/>
        <v>3074224.6067545544</v>
      </c>
      <c r="BZ14" s="716"/>
      <c r="CA14" s="716">
        <f t="shared" si="61"/>
        <v>3074224.6067545544</v>
      </c>
      <c r="CB14" s="1135">
        <f t="shared" si="121"/>
        <v>3074224.6067545544</v>
      </c>
      <c r="CC14" s="1164">
        <f t="shared" si="109"/>
        <v>3074224.6067545544</v>
      </c>
      <c r="CD14" s="1164"/>
      <c r="CE14" s="1164">
        <f t="shared" si="63"/>
        <v>0</v>
      </c>
      <c r="CF14" s="1164">
        <f t="shared" si="115"/>
        <v>0</v>
      </c>
      <c r="CG14" s="1164">
        <f t="shared" si="116"/>
        <v>0</v>
      </c>
      <c r="CH14" s="1154">
        <f>CC14+CE14+CF14</f>
        <v>3074224.6067545544</v>
      </c>
      <c r="CI14" s="935">
        <f t="shared" ref="CI14:CI77" si="137">CH14</f>
        <v>3074224.6067545544</v>
      </c>
      <c r="CJ14" s="935">
        <f t="shared" si="64"/>
        <v>0</v>
      </c>
      <c r="CK14" s="935">
        <f t="shared" si="65"/>
        <v>315108.0221923418</v>
      </c>
      <c r="CL14" s="935">
        <f t="shared" si="66"/>
        <v>107597.86123640942</v>
      </c>
      <c r="CM14" s="1006">
        <f t="shared" ref="CM14:CM77" si="138">SUM(CI14:CL14)</f>
        <v>3496930.4901833055</v>
      </c>
      <c r="CN14" s="1007">
        <f t="shared" ref="CN14:CN77" si="139">$CN$5</f>
        <v>0.125</v>
      </c>
      <c r="CO14" s="935">
        <f t="shared" si="24"/>
        <v>437116.31127291318</v>
      </c>
      <c r="CP14" s="935">
        <f t="shared" ref="CP14:CP18" si="140">$CP$5</f>
        <v>30000</v>
      </c>
      <c r="CQ14" s="935">
        <f t="shared" si="25"/>
        <v>407116.31127291318</v>
      </c>
      <c r="CR14" s="745">
        <f t="shared" ref="CR14:CR77" si="141">VLOOKUP(E14,$IC$6:$IE$19,3,FALSE)</f>
        <v>2</v>
      </c>
      <c r="CS14" s="935">
        <f t="shared" si="26"/>
        <v>203558.15563645659</v>
      </c>
      <c r="CT14" s="1007">
        <f t="shared" si="68"/>
        <v>0.875</v>
      </c>
      <c r="CU14" s="935">
        <f t="shared" si="69"/>
        <v>3059814.1789103923</v>
      </c>
      <c r="CV14" s="1008">
        <f t="shared" si="110"/>
        <v>23722.706761007681</v>
      </c>
      <c r="CW14" s="1008">
        <f t="shared" si="70"/>
        <v>27502.474875597669</v>
      </c>
      <c r="CX14" s="1008">
        <f t="shared" si="71"/>
        <v>35527.03710048685</v>
      </c>
      <c r="CY14" s="1008">
        <f t="shared" si="72"/>
        <v>60587.988053181267</v>
      </c>
      <c r="CZ14" s="1119">
        <f t="shared" si="122"/>
        <v>248558.43141597047</v>
      </c>
      <c r="DA14" s="1119">
        <f t="shared" si="123"/>
        <v>98353.36051366452</v>
      </c>
      <c r="DB14" s="1119">
        <f t="shared" si="124"/>
        <v>71039.239301235197</v>
      </c>
      <c r="DC14" s="1119">
        <f t="shared" si="125"/>
        <v>54064.131585904252</v>
      </c>
      <c r="DD14" s="1028">
        <f t="shared" si="126"/>
        <v>0.38600416767793055</v>
      </c>
      <c r="DE14" s="1028">
        <f t="shared" ref="DE14:DE77" si="142">CE14/CC14</f>
        <v>0</v>
      </c>
      <c r="DF14" s="1009" t="s">
        <v>270</v>
      </c>
      <c r="DG14" s="1009" t="s">
        <v>271</v>
      </c>
      <c r="DH14" s="966">
        <f t="shared" si="111"/>
        <v>45658</v>
      </c>
      <c r="DI14" s="912">
        <f t="shared" si="73"/>
        <v>14</v>
      </c>
      <c r="DJ14" s="939"/>
      <c r="DK14" s="913">
        <f t="shared" si="74"/>
        <v>45723</v>
      </c>
      <c r="DL14" s="912">
        <f t="shared" si="75"/>
        <v>16</v>
      </c>
      <c r="DM14" s="750" t="s">
        <v>272</v>
      </c>
      <c r="DN14" s="750" t="s">
        <v>273</v>
      </c>
      <c r="DO14" s="751">
        <f t="shared" si="31"/>
        <v>39302.242527207476</v>
      </c>
      <c r="DP14" s="751">
        <f t="shared" si="32"/>
        <v>864649.33559856447</v>
      </c>
      <c r="DQ14" s="752">
        <f t="shared" si="127"/>
        <v>0.43232466779928225</v>
      </c>
      <c r="DR14" s="503"/>
      <c r="DS14" s="751">
        <f t="shared" si="128"/>
        <v>3074224.6067545544</v>
      </c>
      <c r="DT14" s="751">
        <f>'[4]INTERNAL PRICELIST'!N8</f>
        <v>2061900</v>
      </c>
      <c r="DU14" s="751">
        <f t="shared" si="33"/>
        <v>1012324.6067545544</v>
      </c>
      <c r="DV14" s="503"/>
      <c r="DW14" s="951">
        <f t="shared" si="129"/>
        <v>139737.48212520703</v>
      </c>
      <c r="DX14" s="503"/>
      <c r="DZ14" s="1010" t="s">
        <v>277</v>
      </c>
      <c r="EA14" s="1052" t="b">
        <f t="shared" si="35"/>
        <v>1</v>
      </c>
      <c r="EB14" s="1053" t="s">
        <v>279</v>
      </c>
      <c r="EC14" s="1053" t="s">
        <v>275</v>
      </c>
      <c r="ED14" s="503"/>
      <c r="EE14" s="1029"/>
      <c r="EF14" s="503"/>
      <c r="EG14" s="503"/>
      <c r="EH14" s="930"/>
      <c r="EI14" s="930"/>
      <c r="EJ14" s="503"/>
      <c r="EK14" s="503"/>
      <c r="EL14" s="503"/>
      <c r="EM14" s="503"/>
      <c r="EN14" s="503"/>
      <c r="EO14" s="503"/>
      <c r="EP14" s="503"/>
      <c r="EQ14" s="503"/>
      <c r="ER14" s="1017" t="s">
        <v>264</v>
      </c>
      <c r="ES14" s="1391" t="s">
        <v>264</v>
      </c>
      <c r="ET14" s="1018" t="b">
        <f t="shared" si="76"/>
        <v>1</v>
      </c>
      <c r="EU14" s="940"/>
      <c r="EV14" s="941"/>
      <c r="EW14" s="940"/>
      <c r="EX14" s="1019">
        <v>2874106.5421836311</v>
      </c>
      <c r="EY14" s="1019">
        <f t="shared" ref="EY14:EY77" si="143">EX14*$EY$5</f>
        <v>431115.98132754466</v>
      </c>
      <c r="EZ14" s="1019">
        <f t="shared" ref="EZ14:EZ77" si="144">EX14*$EZ$5</f>
        <v>2442990.5608560862</v>
      </c>
      <c r="FA14" s="1019">
        <f t="shared" ref="FA14:FA77" si="145">EX14*$FA$5</f>
        <v>287410.65421836311</v>
      </c>
      <c r="FB14" s="1019">
        <f t="shared" ref="FB14:FB77" si="146">EX14*$FB$5</f>
        <v>2586695.887965268</v>
      </c>
      <c r="FC14" s="1019">
        <f t="shared" ref="FC14:FC77" si="147">FB14-EZ14</f>
        <v>143705.32710918179</v>
      </c>
      <c r="FD14" s="1020"/>
      <c r="FE14" s="1021"/>
      <c r="FF14" s="1022">
        <f t="shared" ref="FF14:FF77" si="148">EZ14</f>
        <v>2442990.5608560862</v>
      </c>
      <c r="FG14" s="1022">
        <f t="shared" ref="FG14:FG77" si="149">FF14*$FG$5</f>
        <v>207654.19767276733</v>
      </c>
      <c r="FH14" s="1022">
        <f>FG14*(6/12)</f>
        <v>103827.09883638367</v>
      </c>
      <c r="FI14" s="1023">
        <f t="shared" ref="FI14:FI77" si="150">FB14</f>
        <v>2586695.887965268</v>
      </c>
      <c r="FJ14" s="1023">
        <f t="shared" ref="FJ14:FJ77" si="151">FI14*$FJ$5</f>
        <v>219869.15047704781</v>
      </c>
      <c r="FK14" s="1023">
        <f t="shared" ref="FK14:FK77" si="152">FJ14*(6/12)</f>
        <v>109934.5752385239</v>
      </c>
      <c r="FL14" s="1019">
        <f t="shared" si="130"/>
        <v>12214.952804280474</v>
      </c>
      <c r="FM14" s="1019">
        <f t="shared" si="130"/>
        <v>6107.476402140237</v>
      </c>
      <c r="FN14" s="1019" t="str">
        <f t="shared" ref="FN14:FN77" si="153">$FN$6</f>
        <v>VS</v>
      </c>
      <c r="FO14" s="1019">
        <f>$FO$5</f>
        <v>27537.409960060559</v>
      </c>
      <c r="FP14" s="1019">
        <f>FM14-FO14</f>
        <v>-21429.933557920322</v>
      </c>
      <c r="FQ14" s="1021"/>
      <c r="FR14" s="1021"/>
      <c r="FS14" s="1020"/>
      <c r="FT14" s="1055">
        <f>FB14</f>
        <v>2586695.887965268</v>
      </c>
      <c r="FU14" s="1055"/>
      <c r="FV14" s="1056"/>
      <c r="FW14" s="503"/>
      <c r="FX14" s="1040"/>
      <c r="FY14" s="503"/>
      <c r="FZ14" s="503"/>
      <c r="GA14" s="1011">
        <f>GA13-1</f>
        <v>27</v>
      </c>
      <c r="GB14" s="1036">
        <f t="shared" si="131"/>
        <v>46054</v>
      </c>
      <c r="GC14" s="1037">
        <v>45231</v>
      </c>
      <c r="GD14" s="503" t="s">
        <v>280</v>
      </c>
      <c r="GE14" s="503"/>
      <c r="GF14" s="503"/>
      <c r="GG14" s="956"/>
      <c r="GH14" s="945"/>
      <c r="GI14" s="1024">
        <f t="shared" si="78"/>
        <v>3496930.4901833055</v>
      </c>
      <c r="GJ14" s="1025">
        <f t="shared" si="79"/>
        <v>0.125</v>
      </c>
      <c r="GK14" s="1024">
        <f t="shared" si="80"/>
        <v>437116.31127291318</v>
      </c>
      <c r="GL14" s="1024">
        <f t="shared" si="81"/>
        <v>30000</v>
      </c>
      <c r="GM14" s="1024">
        <f t="shared" si="82"/>
        <v>407116.31127291318</v>
      </c>
      <c r="GN14" s="1024">
        <f t="shared" si="83"/>
        <v>2</v>
      </c>
      <c r="GO14" s="1024">
        <f t="shared" si="84"/>
        <v>203558.15563645659</v>
      </c>
      <c r="GP14" s="1025">
        <f t="shared" si="85"/>
        <v>0.875</v>
      </c>
      <c r="GQ14" s="1024">
        <f t="shared" si="86"/>
        <v>3059814.1789103923</v>
      </c>
      <c r="GR14" s="1024">
        <f t="shared" si="87"/>
        <v>23722.706761007681</v>
      </c>
      <c r="GS14" s="1024">
        <f t="shared" si="88"/>
        <v>27502.474875597669</v>
      </c>
      <c r="GT14" s="1024">
        <f t="shared" si="89"/>
        <v>35527.03710048685</v>
      </c>
      <c r="GU14" s="1024">
        <f t="shared" si="90"/>
        <v>60587.988053181267</v>
      </c>
      <c r="GV14" s="945"/>
      <c r="GW14" s="1024">
        <f t="shared" si="91"/>
        <v>3496930.4901833055</v>
      </c>
      <c r="GX14" s="1025">
        <f t="shared" si="92"/>
        <v>0.125</v>
      </c>
      <c r="GY14" s="1024">
        <f t="shared" si="93"/>
        <v>437116.31127291318</v>
      </c>
      <c r="GZ14" s="1024">
        <f t="shared" si="94"/>
        <v>30000</v>
      </c>
      <c r="HA14" s="1024">
        <f t="shared" si="95"/>
        <v>407116.31127291318</v>
      </c>
      <c r="HB14" s="1026">
        <f t="shared" si="96"/>
        <v>25</v>
      </c>
      <c r="HC14" s="1009">
        <f t="shared" si="97"/>
        <v>16284.652450916527</v>
      </c>
      <c r="HD14" s="1027">
        <f t="shared" si="98"/>
        <v>0.875</v>
      </c>
      <c r="HE14" s="1009">
        <f t="shared" si="99"/>
        <v>3059814.1789103923</v>
      </c>
      <c r="HF14" s="1008">
        <f t="shared" si="100"/>
        <v>23722.706761007681</v>
      </c>
      <c r="HG14" s="1008">
        <f t="shared" si="101"/>
        <v>27502.474875597669</v>
      </c>
      <c r="HH14" s="1008">
        <f t="shared" si="102"/>
        <v>35527.03710048685</v>
      </c>
      <c r="HI14" s="1008">
        <f t="shared" si="103"/>
        <v>60587.988053181267</v>
      </c>
      <c r="HJ14" s="945"/>
      <c r="HK14" s="1009">
        <f t="shared" si="104"/>
        <v>-187273.50318554006</v>
      </c>
      <c r="HL14" s="503"/>
      <c r="HM14" s="503"/>
      <c r="HN14" s="503"/>
      <c r="HO14" s="503"/>
      <c r="HP14" s="503"/>
      <c r="HQ14" s="503"/>
      <c r="HR14" s="956">
        <f t="shared" si="105"/>
        <v>0</v>
      </c>
      <c r="HS14" s="503"/>
      <c r="HT14" s="503"/>
      <c r="HU14" s="956"/>
      <c r="HV14" s="503"/>
      <c r="HW14" s="956"/>
      <c r="HX14" s="956"/>
      <c r="HY14" s="503"/>
      <c r="HZ14" s="503"/>
      <c r="IA14" s="503"/>
      <c r="IC14" s="1400" t="s">
        <v>281</v>
      </c>
      <c r="ID14" s="1401">
        <f t="shared" ref="ID14:ID19" si="154">DATE(2025,10,1)</f>
        <v>45931</v>
      </c>
      <c r="IE14" s="1402">
        <f t="shared" si="113"/>
        <v>2</v>
      </c>
    </row>
    <row r="15" spans="1:239" s="1051" customFormat="1" ht="14.25" hidden="1" customHeight="1">
      <c r="A15" s="1018">
        <f t="shared" ref="A15:A78" si="155">A14+1</f>
        <v>9</v>
      </c>
      <c r="B15" s="716" t="s">
        <v>264</v>
      </c>
      <c r="C15" s="741">
        <f t="shared" si="107"/>
        <v>9</v>
      </c>
      <c r="D15" s="716" t="s">
        <v>237</v>
      </c>
      <c r="E15" s="743" t="str">
        <f t="shared" si="36"/>
        <v>2nd Floor</v>
      </c>
      <c r="F15" s="1048"/>
      <c r="G15" s="745" t="s">
        <v>282</v>
      </c>
      <c r="H15" s="745" t="s">
        <v>283</v>
      </c>
      <c r="I15" s="745" t="s">
        <v>267</v>
      </c>
      <c r="J15" s="1005">
        <v>22</v>
      </c>
      <c r="K15" s="1049"/>
      <c r="L15" s="1006" t="s">
        <v>268</v>
      </c>
      <c r="M15" s="745" t="s">
        <v>79</v>
      </c>
      <c r="N15" s="1050">
        <v>95909.091</v>
      </c>
      <c r="O15" s="934">
        <f t="shared" si="132"/>
        <v>2110000.0019999999</v>
      </c>
      <c r="P15" s="934">
        <f t="shared" ref="P15:P78" si="156">$P$13</f>
        <v>22400</v>
      </c>
      <c r="Q15" s="934">
        <f t="shared" si="119"/>
        <v>50000</v>
      </c>
      <c r="R15" s="934"/>
      <c r="S15" s="934"/>
      <c r="T15" s="934"/>
      <c r="U15" s="934"/>
      <c r="V15" s="934"/>
      <c r="W15" s="749"/>
      <c r="X15" s="934"/>
      <c r="Y15" s="934"/>
      <c r="Z15" s="934">
        <f t="shared" si="133"/>
        <v>75000</v>
      </c>
      <c r="AA15" s="934"/>
      <c r="AB15" s="934"/>
      <c r="AC15" s="934"/>
      <c r="AD15" s="934"/>
      <c r="AE15" s="934">
        <f t="shared" si="14"/>
        <v>147400</v>
      </c>
      <c r="AF15" s="1005">
        <f t="shared" si="15"/>
        <v>2257400.0019999999</v>
      </c>
      <c r="AG15" s="1005">
        <f t="shared" si="37"/>
        <v>56435.000050000002</v>
      </c>
      <c r="AH15" s="1005">
        <f t="shared" si="38"/>
        <v>2313835.0020499998</v>
      </c>
      <c r="AI15" s="1005">
        <f t="shared" si="39"/>
        <v>57845.875051249997</v>
      </c>
      <c r="AJ15" s="1005">
        <f t="shared" si="40"/>
        <v>2371680.87710125</v>
      </c>
      <c r="AK15" s="1005">
        <f t="shared" si="41"/>
        <v>118584.04385506251</v>
      </c>
      <c r="AL15" s="1005">
        <f t="shared" ref="AL15:AL77" si="157">AJ15+AK15</f>
        <v>2490264.9209563127</v>
      </c>
      <c r="AM15" s="934">
        <f>AL15*$AM$5</f>
        <v>24902.649209563126</v>
      </c>
      <c r="AN15" s="934">
        <f t="shared" si="44"/>
        <v>27537.409960060559</v>
      </c>
      <c r="AO15" s="934"/>
      <c r="AP15" s="934">
        <f t="shared" si="134"/>
        <v>109934.5752385239</v>
      </c>
      <c r="AQ15" s="1005">
        <f>AL15+AM15+AP15+AN15+AO15</f>
        <v>2652639.5553644602</v>
      </c>
      <c r="AR15" s="1005">
        <f t="shared" si="46"/>
        <v>119368.7799914007</v>
      </c>
      <c r="AS15" s="1147">
        <f t="shared" si="47"/>
        <v>2772008.3353558611</v>
      </c>
      <c r="AT15" s="1148">
        <f t="shared" si="135"/>
        <v>2000000</v>
      </c>
      <c r="AU15" s="1148">
        <f t="shared" si="16"/>
        <v>35091.287970720958</v>
      </c>
      <c r="AV15" s="1148">
        <f t="shared" si="136"/>
        <v>772008.33535586111</v>
      </c>
      <c r="AW15" s="1148">
        <f t="shared" si="17"/>
        <v>92641.000242703332</v>
      </c>
      <c r="AX15" s="1148">
        <f t="shared" si="18"/>
        <v>864649.33559856447</v>
      </c>
      <c r="AY15" s="1147">
        <f t="shared" si="48"/>
        <v>2864649.3355985642</v>
      </c>
      <c r="AZ15" s="934">
        <f t="shared" si="49"/>
        <v>35808.116694982054</v>
      </c>
      <c r="BA15" s="716" t="s">
        <v>269</v>
      </c>
      <c r="BB15" s="716">
        <f t="shared" si="19"/>
        <v>2900457.4522935464</v>
      </c>
      <c r="BC15" s="716" t="s">
        <v>269</v>
      </c>
      <c r="BD15" s="716">
        <f t="shared" si="50"/>
        <v>108767.15446100799</v>
      </c>
      <c r="BE15" s="716">
        <f t="shared" si="51"/>
        <v>33600</v>
      </c>
      <c r="BF15" s="716">
        <f t="shared" si="52"/>
        <v>3042824.6067545544</v>
      </c>
      <c r="BG15" s="716"/>
      <c r="BH15" s="716">
        <f t="shared" si="53"/>
        <v>3042824.6067545544</v>
      </c>
      <c r="BI15" s="716"/>
      <c r="BJ15" s="716">
        <f t="shared" si="54"/>
        <v>3042824.6067545544</v>
      </c>
      <c r="BK15" s="716"/>
      <c r="BL15" s="716">
        <f t="shared" si="55"/>
        <v>3042824.6067545544</v>
      </c>
      <c r="BM15" s="716"/>
      <c r="BN15" s="716">
        <f t="shared" si="20"/>
        <v>3042824.6067545544</v>
      </c>
      <c r="BO15" s="716"/>
      <c r="BP15" s="716">
        <f t="shared" si="56"/>
        <v>3042824.6067545544</v>
      </c>
      <c r="BQ15" s="716"/>
      <c r="BR15" s="716">
        <f t="shared" si="57"/>
        <v>3042824.6067545544</v>
      </c>
      <c r="BS15" s="716"/>
      <c r="BT15" s="716">
        <f t="shared" si="58"/>
        <v>3042824.6067545544</v>
      </c>
      <c r="BU15" s="716"/>
      <c r="BV15" s="716">
        <f t="shared" si="21"/>
        <v>3042824.6067545544</v>
      </c>
      <c r="BW15" s="716"/>
      <c r="BX15" s="716">
        <f t="shared" si="120"/>
        <v>31400</v>
      </c>
      <c r="BY15" s="716">
        <f t="shared" si="60"/>
        <v>3074224.6067545544</v>
      </c>
      <c r="BZ15" s="716"/>
      <c r="CA15" s="716">
        <f t="shared" si="61"/>
        <v>3074224.6067545544</v>
      </c>
      <c r="CB15" s="1135">
        <f t="shared" si="121"/>
        <v>3074224.6067545544</v>
      </c>
      <c r="CC15" s="1164">
        <f t="shared" si="109"/>
        <v>3074224.6067545544</v>
      </c>
      <c r="CD15" s="1164"/>
      <c r="CE15" s="1164">
        <f t="shared" si="63"/>
        <v>0</v>
      </c>
      <c r="CF15" s="1164">
        <f t="shared" si="115"/>
        <v>0</v>
      </c>
      <c r="CG15" s="1164">
        <f t="shared" si="116"/>
        <v>0</v>
      </c>
      <c r="CH15" s="1154">
        <f t="shared" ref="CH15:CH77" si="158">CC15+CE15+CF15</f>
        <v>3074224.6067545544</v>
      </c>
      <c r="CI15" s="935">
        <f t="shared" si="137"/>
        <v>3074224.6067545544</v>
      </c>
      <c r="CJ15" s="935">
        <f t="shared" si="64"/>
        <v>0</v>
      </c>
      <c r="CK15" s="935">
        <f t="shared" si="65"/>
        <v>315108.0221923418</v>
      </c>
      <c r="CL15" s="935">
        <f t="shared" si="66"/>
        <v>107597.86123640942</v>
      </c>
      <c r="CM15" s="1006">
        <f t="shared" si="138"/>
        <v>3496930.4901833055</v>
      </c>
      <c r="CN15" s="1007">
        <f t="shared" si="139"/>
        <v>0.125</v>
      </c>
      <c r="CO15" s="935">
        <f t="shared" si="24"/>
        <v>437116.31127291318</v>
      </c>
      <c r="CP15" s="935">
        <f t="shared" si="140"/>
        <v>30000</v>
      </c>
      <c r="CQ15" s="935">
        <f t="shared" si="25"/>
        <v>407116.31127291318</v>
      </c>
      <c r="CR15" s="745">
        <f t="shared" si="141"/>
        <v>2</v>
      </c>
      <c r="CS15" s="935">
        <f t="shared" si="26"/>
        <v>203558.15563645659</v>
      </c>
      <c r="CT15" s="1007">
        <f t="shared" si="68"/>
        <v>0.875</v>
      </c>
      <c r="CU15" s="935">
        <f t="shared" si="69"/>
        <v>3059814.1789103923</v>
      </c>
      <c r="CV15" s="1008">
        <f t="shared" si="110"/>
        <v>23722.706761007681</v>
      </c>
      <c r="CW15" s="1008">
        <f t="shared" si="70"/>
        <v>27502.474875597669</v>
      </c>
      <c r="CX15" s="1008">
        <f t="shared" si="71"/>
        <v>35527.03710048685</v>
      </c>
      <c r="CY15" s="1008">
        <f t="shared" si="72"/>
        <v>60587.988053181267</v>
      </c>
      <c r="CZ15" s="1119">
        <f t="shared" si="122"/>
        <v>248558.43141597047</v>
      </c>
      <c r="DA15" s="1119">
        <f t="shared" si="123"/>
        <v>98353.36051366452</v>
      </c>
      <c r="DB15" s="1119">
        <f t="shared" si="124"/>
        <v>71039.239301235197</v>
      </c>
      <c r="DC15" s="1119">
        <f t="shared" si="125"/>
        <v>54064.131585904252</v>
      </c>
      <c r="DD15" s="1028">
        <f t="shared" si="126"/>
        <v>0.38600416767793055</v>
      </c>
      <c r="DE15" s="1028">
        <f t="shared" si="142"/>
        <v>0</v>
      </c>
      <c r="DF15" s="1009" t="s">
        <v>270</v>
      </c>
      <c r="DG15" s="1009" t="s">
        <v>271</v>
      </c>
      <c r="DH15" s="966">
        <f t="shared" si="111"/>
        <v>45658</v>
      </c>
      <c r="DI15" s="912">
        <f>(YEAR(DH15)-YEAR($DI$5))*12+MONTH(DH15)-MONTH($DI$5)</f>
        <v>14</v>
      </c>
      <c r="DJ15" s="939"/>
      <c r="DK15" s="913">
        <f>DH15+65</f>
        <v>45723</v>
      </c>
      <c r="DL15" s="912">
        <f t="shared" si="75"/>
        <v>16</v>
      </c>
      <c r="DM15" s="750" t="s">
        <v>272</v>
      </c>
      <c r="DN15" s="750" t="s">
        <v>273</v>
      </c>
      <c r="DO15" s="751">
        <f t="shared" si="31"/>
        <v>39302.242527207476</v>
      </c>
      <c r="DP15" s="751">
        <f t="shared" si="32"/>
        <v>864649.33559856447</v>
      </c>
      <c r="DQ15" s="752">
        <f t="shared" si="127"/>
        <v>0.43232466779928225</v>
      </c>
      <c r="DR15" s="503"/>
      <c r="DS15" s="751">
        <f t="shared" si="128"/>
        <v>3074224.6067545544</v>
      </c>
      <c r="DT15" s="751">
        <f>'[4]INTERNAL PRICELIST'!N9</f>
        <v>2061900</v>
      </c>
      <c r="DU15" s="751">
        <f t="shared" si="33"/>
        <v>1012324.6067545544</v>
      </c>
      <c r="DV15" s="503"/>
      <c r="DW15" s="951">
        <f t="shared" si="129"/>
        <v>139737.48212520703</v>
      </c>
      <c r="DX15" s="503"/>
      <c r="DZ15" s="1010" t="s">
        <v>282</v>
      </c>
      <c r="EA15" s="1052" t="b">
        <f t="shared" si="35"/>
        <v>1</v>
      </c>
      <c r="EB15" s="1053" t="s">
        <v>284</v>
      </c>
      <c r="EC15" s="1053" t="s">
        <v>275</v>
      </c>
      <c r="ED15" s="503"/>
      <c r="EE15" s="1029"/>
      <c r="EF15" s="503"/>
      <c r="EG15" s="503"/>
      <c r="EH15" s="930"/>
      <c r="EI15" s="930"/>
      <c r="EJ15" s="503"/>
      <c r="EK15" s="503"/>
      <c r="EL15" s="503"/>
      <c r="EM15" s="503"/>
      <c r="EN15" s="503"/>
      <c r="EO15" s="503"/>
      <c r="EP15" s="503"/>
      <c r="EQ15" s="503"/>
      <c r="ER15" s="1017" t="s">
        <v>264</v>
      </c>
      <c r="ES15" s="1391" t="s">
        <v>264</v>
      </c>
      <c r="ET15" s="1018" t="b">
        <f t="shared" si="76"/>
        <v>1</v>
      </c>
      <c r="EU15" s="940"/>
      <c r="EV15" s="941"/>
      <c r="EW15" s="940"/>
      <c r="EX15" s="1019">
        <v>2874106.5421836311</v>
      </c>
      <c r="EY15" s="1019">
        <f t="shared" si="143"/>
        <v>431115.98132754466</v>
      </c>
      <c r="EZ15" s="1019">
        <f t="shared" si="144"/>
        <v>2442990.5608560862</v>
      </c>
      <c r="FA15" s="1019">
        <f t="shared" si="145"/>
        <v>287410.65421836311</v>
      </c>
      <c r="FB15" s="1019">
        <f t="shared" si="146"/>
        <v>2586695.887965268</v>
      </c>
      <c r="FC15" s="1019">
        <f>FB15-EZ15</f>
        <v>143705.32710918179</v>
      </c>
      <c r="FD15" s="1020"/>
      <c r="FE15" s="1021"/>
      <c r="FF15" s="1022">
        <f>EZ15</f>
        <v>2442990.5608560862</v>
      </c>
      <c r="FG15" s="1022">
        <f>FF15*$FG$5</f>
        <v>207654.19767276733</v>
      </c>
      <c r="FH15" s="1022">
        <f>FG15*(6/12)</f>
        <v>103827.09883638367</v>
      </c>
      <c r="FI15" s="1023">
        <f t="shared" si="150"/>
        <v>2586695.887965268</v>
      </c>
      <c r="FJ15" s="1023">
        <f>FI15*$FJ$5</f>
        <v>219869.15047704781</v>
      </c>
      <c r="FK15" s="1023">
        <f>FJ15*(6/12)</f>
        <v>109934.5752385239</v>
      </c>
      <c r="FL15" s="1019">
        <f t="shared" si="130"/>
        <v>12214.952804280474</v>
      </c>
      <c r="FM15" s="1019">
        <f t="shared" si="130"/>
        <v>6107.476402140237</v>
      </c>
      <c r="FN15" s="1019" t="str">
        <f t="shared" si="153"/>
        <v>VS</v>
      </c>
      <c r="FO15" s="1019">
        <f t="shared" ref="FO15:FO77" si="159">$FO$5</f>
        <v>27537.409960060559</v>
      </c>
      <c r="FP15" s="1019">
        <f>FM15-FO15</f>
        <v>-21429.933557920322</v>
      </c>
      <c r="FQ15" s="1021"/>
      <c r="FR15" s="1021"/>
      <c r="FS15" s="1020"/>
      <c r="FT15" s="1055">
        <f t="shared" ref="FT15:FT16" si="160">FB15</f>
        <v>2586695.887965268</v>
      </c>
      <c r="FU15" s="1056"/>
      <c r="FV15" s="1056"/>
      <c r="FW15" s="503"/>
      <c r="FX15" s="1040"/>
      <c r="FY15" s="503"/>
      <c r="FZ15" s="503"/>
      <c r="GA15" s="1011">
        <v>24</v>
      </c>
      <c r="GB15" s="1036">
        <f t="shared" si="131"/>
        <v>45962</v>
      </c>
      <c r="GC15" s="1037">
        <v>45231</v>
      </c>
      <c r="GD15" s="503" t="s">
        <v>285</v>
      </c>
      <c r="GE15" s="503"/>
      <c r="GF15" s="503"/>
      <c r="GG15" s="956"/>
      <c r="GH15" s="945"/>
      <c r="GI15" s="1024">
        <f t="shared" si="78"/>
        <v>3496930.4901833055</v>
      </c>
      <c r="GJ15" s="1025">
        <f t="shared" si="79"/>
        <v>0.125</v>
      </c>
      <c r="GK15" s="1024">
        <f t="shared" si="80"/>
        <v>437116.31127291318</v>
      </c>
      <c r="GL15" s="1024">
        <f t="shared" si="81"/>
        <v>30000</v>
      </c>
      <c r="GM15" s="1024">
        <f t="shared" si="82"/>
        <v>407116.31127291318</v>
      </c>
      <c r="GN15" s="1024">
        <f t="shared" si="83"/>
        <v>2</v>
      </c>
      <c r="GO15" s="1024">
        <f t="shared" si="84"/>
        <v>203558.15563645659</v>
      </c>
      <c r="GP15" s="1025">
        <f t="shared" si="85"/>
        <v>0.875</v>
      </c>
      <c r="GQ15" s="1024">
        <f t="shared" si="86"/>
        <v>3059814.1789103923</v>
      </c>
      <c r="GR15" s="1024">
        <f t="shared" si="87"/>
        <v>23722.706761007681</v>
      </c>
      <c r="GS15" s="1024">
        <f t="shared" si="88"/>
        <v>27502.474875597669</v>
      </c>
      <c r="GT15" s="1024">
        <f t="shared" si="89"/>
        <v>35527.03710048685</v>
      </c>
      <c r="GU15" s="1024">
        <f t="shared" si="90"/>
        <v>60587.988053181267</v>
      </c>
      <c r="GV15" s="945"/>
      <c r="GW15" s="1024">
        <f t="shared" si="91"/>
        <v>3496930.4901833055</v>
      </c>
      <c r="GX15" s="1025">
        <f t="shared" si="92"/>
        <v>0.125</v>
      </c>
      <c r="GY15" s="1024">
        <f t="shared" si="93"/>
        <v>437116.31127291318</v>
      </c>
      <c r="GZ15" s="1024">
        <f t="shared" si="94"/>
        <v>30000</v>
      </c>
      <c r="HA15" s="1024">
        <f t="shared" si="95"/>
        <v>407116.31127291318</v>
      </c>
      <c r="HB15" s="1026">
        <f t="shared" si="96"/>
        <v>25</v>
      </c>
      <c r="HC15" s="1009">
        <f t="shared" si="97"/>
        <v>16284.652450916527</v>
      </c>
      <c r="HD15" s="1027">
        <f t="shared" si="98"/>
        <v>0.875</v>
      </c>
      <c r="HE15" s="1009">
        <f t="shared" si="99"/>
        <v>3059814.1789103923</v>
      </c>
      <c r="HF15" s="1008">
        <f t="shared" si="100"/>
        <v>23722.706761007681</v>
      </c>
      <c r="HG15" s="1008">
        <f t="shared" si="101"/>
        <v>27502.474875597669</v>
      </c>
      <c r="HH15" s="1008">
        <f t="shared" si="102"/>
        <v>35527.03710048685</v>
      </c>
      <c r="HI15" s="1008">
        <f t="shared" si="103"/>
        <v>60587.988053181267</v>
      </c>
      <c r="HJ15" s="945"/>
      <c r="HK15" s="1009">
        <f t="shared" si="104"/>
        <v>-187273.50318554006</v>
      </c>
      <c r="HL15" s="503"/>
      <c r="HM15" s="503"/>
      <c r="HN15" s="503"/>
      <c r="HO15" s="503"/>
      <c r="HP15" s="503"/>
      <c r="HQ15" s="503"/>
      <c r="HR15" s="956">
        <f t="shared" si="105"/>
        <v>0</v>
      </c>
      <c r="HS15" s="503"/>
      <c r="HT15" s="503"/>
      <c r="HU15" s="956"/>
      <c r="HV15" s="503"/>
      <c r="HW15" s="956"/>
      <c r="HX15" s="956"/>
      <c r="HY15" s="503"/>
      <c r="HZ15" s="503"/>
      <c r="IA15" s="503"/>
      <c r="IC15" s="1400" t="s">
        <v>286</v>
      </c>
      <c r="ID15" s="1401">
        <f t="shared" si="154"/>
        <v>45931</v>
      </c>
      <c r="IE15" s="1402">
        <f t="shared" si="113"/>
        <v>2</v>
      </c>
    </row>
    <row r="16" spans="1:239" s="1051" customFormat="1" ht="14.25" hidden="1" customHeight="1">
      <c r="A16" s="1018">
        <f t="shared" si="155"/>
        <v>10</v>
      </c>
      <c r="B16" s="716" t="s">
        <v>264</v>
      </c>
      <c r="C16" s="741">
        <f t="shared" si="107"/>
        <v>10</v>
      </c>
      <c r="D16" s="716" t="s">
        <v>237</v>
      </c>
      <c r="E16" s="743" t="str">
        <f t="shared" si="36"/>
        <v>2nd Floor</v>
      </c>
      <c r="F16" s="1048"/>
      <c r="G16" s="745" t="s">
        <v>287</v>
      </c>
      <c r="H16" s="745" t="s">
        <v>288</v>
      </c>
      <c r="I16" s="745" t="s">
        <v>267</v>
      </c>
      <c r="J16" s="1005">
        <v>22</v>
      </c>
      <c r="K16" s="1049"/>
      <c r="L16" s="1006" t="s">
        <v>268</v>
      </c>
      <c r="M16" s="745" t="s">
        <v>79</v>
      </c>
      <c r="N16" s="1050">
        <v>95909.091</v>
      </c>
      <c r="O16" s="934">
        <f t="shared" si="132"/>
        <v>2110000.0019999999</v>
      </c>
      <c r="P16" s="934">
        <f t="shared" si="156"/>
        <v>22400</v>
      </c>
      <c r="Q16" s="934">
        <f t="shared" si="119"/>
        <v>50000</v>
      </c>
      <c r="R16" s="934"/>
      <c r="S16" s="934"/>
      <c r="T16" s="934"/>
      <c r="U16" s="934"/>
      <c r="V16" s="934"/>
      <c r="W16" s="749"/>
      <c r="X16" s="934"/>
      <c r="Y16" s="934"/>
      <c r="Z16" s="934">
        <f t="shared" si="133"/>
        <v>75000</v>
      </c>
      <c r="AA16" s="934"/>
      <c r="AB16" s="934"/>
      <c r="AC16" s="934"/>
      <c r="AD16" s="934"/>
      <c r="AE16" s="934">
        <f t="shared" si="14"/>
        <v>147400</v>
      </c>
      <c r="AF16" s="1005">
        <f t="shared" si="15"/>
        <v>2257400.0019999999</v>
      </c>
      <c r="AG16" s="1005">
        <f t="shared" si="37"/>
        <v>56435.000050000002</v>
      </c>
      <c r="AH16" s="1005">
        <f t="shared" si="38"/>
        <v>2313835.0020499998</v>
      </c>
      <c r="AI16" s="1005">
        <f t="shared" si="39"/>
        <v>57845.875051249997</v>
      </c>
      <c r="AJ16" s="1005">
        <f t="shared" si="40"/>
        <v>2371680.87710125</v>
      </c>
      <c r="AK16" s="1005">
        <f t="shared" si="41"/>
        <v>118584.04385506251</v>
      </c>
      <c r="AL16" s="1005">
        <f t="shared" si="157"/>
        <v>2490264.9209563127</v>
      </c>
      <c r="AM16" s="934">
        <f t="shared" si="43"/>
        <v>24902.649209563126</v>
      </c>
      <c r="AN16" s="934">
        <f t="shared" si="44"/>
        <v>27537.409960060559</v>
      </c>
      <c r="AO16" s="934"/>
      <c r="AP16" s="934">
        <f t="shared" si="134"/>
        <v>109934.5752385239</v>
      </c>
      <c r="AQ16" s="1005">
        <f t="shared" si="45"/>
        <v>2652639.5553644602</v>
      </c>
      <c r="AR16" s="1005">
        <f t="shared" si="46"/>
        <v>119368.7799914007</v>
      </c>
      <c r="AS16" s="1147">
        <f t="shared" si="47"/>
        <v>2772008.3353558611</v>
      </c>
      <c r="AT16" s="1148">
        <f t="shared" si="135"/>
        <v>2000000</v>
      </c>
      <c r="AU16" s="1148">
        <f t="shared" si="16"/>
        <v>35091.287970720958</v>
      </c>
      <c r="AV16" s="1148">
        <f t="shared" si="136"/>
        <v>772008.33535586111</v>
      </c>
      <c r="AW16" s="1148">
        <f t="shared" si="17"/>
        <v>92641.000242703332</v>
      </c>
      <c r="AX16" s="1148">
        <f t="shared" si="18"/>
        <v>864649.33559856447</v>
      </c>
      <c r="AY16" s="1147">
        <f t="shared" si="48"/>
        <v>2864649.3355985642</v>
      </c>
      <c r="AZ16" s="934">
        <f t="shared" si="49"/>
        <v>35808.116694982054</v>
      </c>
      <c r="BA16" s="716" t="s">
        <v>269</v>
      </c>
      <c r="BB16" s="716">
        <f t="shared" si="19"/>
        <v>2900457.4522935464</v>
      </c>
      <c r="BC16" s="716" t="s">
        <v>269</v>
      </c>
      <c r="BD16" s="716">
        <f t="shared" si="50"/>
        <v>108767.15446100799</v>
      </c>
      <c r="BE16" s="716">
        <f t="shared" si="51"/>
        <v>33600</v>
      </c>
      <c r="BF16" s="716">
        <f t="shared" si="52"/>
        <v>3042824.6067545544</v>
      </c>
      <c r="BG16" s="716"/>
      <c r="BH16" s="716">
        <f t="shared" si="53"/>
        <v>3042824.6067545544</v>
      </c>
      <c r="BI16" s="716"/>
      <c r="BJ16" s="716">
        <f t="shared" si="54"/>
        <v>3042824.6067545544</v>
      </c>
      <c r="BK16" s="716"/>
      <c r="BL16" s="716">
        <f t="shared" si="55"/>
        <v>3042824.6067545544</v>
      </c>
      <c r="BM16" s="716"/>
      <c r="BN16" s="716">
        <f t="shared" si="20"/>
        <v>3042824.6067545544</v>
      </c>
      <c r="BO16" s="716"/>
      <c r="BP16" s="716">
        <f t="shared" si="56"/>
        <v>3042824.6067545544</v>
      </c>
      <c r="BQ16" s="716"/>
      <c r="BR16" s="716">
        <f t="shared" si="57"/>
        <v>3042824.6067545544</v>
      </c>
      <c r="BS16" s="716"/>
      <c r="BT16" s="716">
        <f t="shared" si="58"/>
        <v>3042824.6067545544</v>
      </c>
      <c r="BU16" s="716"/>
      <c r="BV16" s="716">
        <f t="shared" si="21"/>
        <v>3042824.6067545544</v>
      </c>
      <c r="BW16" s="716"/>
      <c r="BX16" s="716">
        <f t="shared" si="120"/>
        <v>31400</v>
      </c>
      <c r="BY16" s="716">
        <f t="shared" si="60"/>
        <v>3074224.6067545544</v>
      </c>
      <c r="BZ16" s="716"/>
      <c r="CA16" s="716">
        <f t="shared" si="61"/>
        <v>3074224.6067545544</v>
      </c>
      <c r="CB16" s="1135">
        <f t="shared" si="121"/>
        <v>3074224.6067545544</v>
      </c>
      <c r="CC16" s="1164">
        <f t="shared" si="109"/>
        <v>3074224.6067545544</v>
      </c>
      <c r="CD16" s="1164"/>
      <c r="CE16" s="1164">
        <f t="shared" si="63"/>
        <v>0</v>
      </c>
      <c r="CF16" s="1164">
        <f t="shared" si="115"/>
        <v>0</v>
      </c>
      <c r="CG16" s="1164">
        <f t="shared" si="116"/>
        <v>0</v>
      </c>
      <c r="CH16" s="1154">
        <f t="shared" si="158"/>
        <v>3074224.6067545544</v>
      </c>
      <c r="CI16" s="935">
        <f t="shared" si="137"/>
        <v>3074224.6067545544</v>
      </c>
      <c r="CJ16" s="935">
        <f t="shared" si="64"/>
        <v>0</v>
      </c>
      <c r="CK16" s="935">
        <f t="shared" si="65"/>
        <v>315108.0221923418</v>
      </c>
      <c r="CL16" s="935">
        <f t="shared" si="66"/>
        <v>107597.86123640942</v>
      </c>
      <c r="CM16" s="1006">
        <f t="shared" si="138"/>
        <v>3496930.4901833055</v>
      </c>
      <c r="CN16" s="1007">
        <f t="shared" si="139"/>
        <v>0.125</v>
      </c>
      <c r="CO16" s="935">
        <f t="shared" si="24"/>
        <v>437116.31127291318</v>
      </c>
      <c r="CP16" s="935">
        <f t="shared" si="140"/>
        <v>30000</v>
      </c>
      <c r="CQ16" s="935">
        <f t="shared" si="25"/>
        <v>407116.31127291318</v>
      </c>
      <c r="CR16" s="745">
        <f t="shared" si="141"/>
        <v>2</v>
      </c>
      <c r="CS16" s="935">
        <f>CQ16/CR16</f>
        <v>203558.15563645659</v>
      </c>
      <c r="CT16" s="1007">
        <f t="shared" si="68"/>
        <v>0.875</v>
      </c>
      <c r="CU16" s="935">
        <f t="shared" si="69"/>
        <v>3059814.1789103923</v>
      </c>
      <c r="CV16" s="1008">
        <f t="shared" si="110"/>
        <v>23722.706761007681</v>
      </c>
      <c r="CW16" s="1008">
        <f t="shared" si="70"/>
        <v>27502.474875597669</v>
      </c>
      <c r="CX16" s="1008">
        <f t="shared" si="71"/>
        <v>35527.03710048685</v>
      </c>
      <c r="CY16" s="1008">
        <f t="shared" si="72"/>
        <v>60587.988053181267</v>
      </c>
      <c r="CZ16" s="1119">
        <f t="shared" si="122"/>
        <v>248558.43141597047</v>
      </c>
      <c r="DA16" s="1119">
        <f t="shared" si="123"/>
        <v>98353.36051366452</v>
      </c>
      <c r="DB16" s="1119">
        <f t="shared" si="124"/>
        <v>71039.239301235197</v>
      </c>
      <c r="DC16" s="1119">
        <f t="shared" si="125"/>
        <v>54064.131585904252</v>
      </c>
      <c r="DD16" s="1028">
        <f t="shared" si="126"/>
        <v>0.38600416767793055</v>
      </c>
      <c r="DE16" s="1028">
        <f t="shared" si="142"/>
        <v>0</v>
      </c>
      <c r="DF16" s="1009" t="s">
        <v>270</v>
      </c>
      <c r="DG16" s="1009" t="s">
        <v>271</v>
      </c>
      <c r="DH16" s="966">
        <f t="shared" si="111"/>
        <v>45658</v>
      </c>
      <c r="DI16" s="912">
        <f t="shared" si="73"/>
        <v>14</v>
      </c>
      <c r="DJ16" s="939"/>
      <c r="DK16" s="913">
        <f t="shared" si="74"/>
        <v>45723</v>
      </c>
      <c r="DL16" s="912">
        <f t="shared" si="75"/>
        <v>16</v>
      </c>
      <c r="DM16" s="750" t="s">
        <v>272</v>
      </c>
      <c r="DN16" s="750" t="s">
        <v>273</v>
      </c>
      <c r="DO16" s="751">
        <f t="shared" si="31"/>
        <v>39302.242527207476</v>
      </c>
      <c r="DP16" s="751">
        <f t="shared" si="32"/>
        <v>864649.33559856447</v>
      </c>
      <c r="DQ16" s="752">
        <f t="shared" si="127"/>
        <v>0.43232466779928225</v>
      </c>
      <c r="DR16" s="503"/>
      <c r="DS16" s="751">
        <f t="shared" si="128"/>
        <v>3074224.6067545544</v>
      </c>
      <c r="DT16" s="751">
        <f>'[4]INTERNAL PRICELIST'!N10</f>
        <v>2061900</v>
      </c>
      <c r="DU16" s="751">
        <f t="shared" si="33"/>
        <v>1012324.6067545544</v>
      </c>
      <c r="DV16" s="503"/>
      <c r="DW16" s="951">
        <f t="shared" si="129"/>
        <v>139737.48212520703</v>
      </c>
      <c r="DX16" s="503"/>
      <c r="DZ16" s="1010" t="s">
        <v>287</v>
      </c>
      <c r="EA16" s="1052" t="b">
        <f t="shared" si="35"/>
        <v>1</v>
      </c>
      <c r="EB16" s="1053" t="s">
        <v>289</v>
      </c>
      <c r="EC16" s="1053" t="s">
        <v>275</v>
      </c>
      <c r="ED16" s="503"/>
      <c r="EE16" s="1029"/>
      <c r="EF16" s="503"/>
      <c r="EG16" s="503"/>
      <c r="EH16" s="930"/>
      <c r="EI16" s="930"/>
      <c r="EJ16" s="503"/>
      <c r="EK16" s="503"/>
      <c r="EL16" s="503"/>
      <c r="EM16" s="503"/>
      <c r="EN16" s="503"/>
      <c r="EO16" s="503"/>
      <c r="EP16" s="503"/>
      <c r="EQ16" s="503"/>
      <c r="ER16" s="1017" t="s">
        <v>264</v>
      </c>
      <c r="ES16" s="1391" t="s">
        <v>264</v>
      </c>
      <c r="ET16" s="1018" t="b">
        <f t="shared" si="76"/>
        <v>1</v>
      </c>
      <c r="EU16" s="940"/>
      <c r="EV16" s="941"/>
      <c r="EW16" s="940"/>
      <c r="EX16" s="1019">
        <v>2874106.5421836311</v>
      </c>
      <c r="EY16" s="1019">
        <f t="shared" si="143"/>
        <v>431115.98132754466</v>
      </c>
      <c r="EZ16" s="1019">
        <f t="shared" si="144"/>
        <v>2442990.5608560862</v>
      </c>
      <c r="FA16" s="1019">
        <f t="shared" si="145"/>
        <v>287410.65421836311</v>
      </c>
      <c r="FB16" s="1019">
        <f t="shared" si="146"/>
        <v>2586695.887965268</v>
      </c>
      <c r="FC16" s="1019">
        <f t="shared" si="147"/>
        <v>143705.32710918179</v>
      </c>
      <c r="FD16" s="1020"/>
      <c r="FE16" s="1021"/>
      <c r="FF16" s="1022">
        <f t="shared" si="148"/>
        <v>2442990.5608560862</v>
      </c>
      <c r="FG16" s="1022">
        <f t="shared" si="149"/>
        <v>207654.19767276733</v>
      </c>
      <c r="FH16" s="1022">
        <f t="shared" ref="FH16:FH77" si="161">FG16*(6/12)</f>
        <v>103827.09883638367</v>
      </c>
      <c r="FI16" s="1023">
        <f t="shared" si="150"/>
        <v>2586695.887965268</v>
      </c>
      <c r="FJ16" s="1023">
        <f t="shared" si="151"/>
        <v>219869.15047704781</v>
      </c>
      <c r="FK16" s="1023">
        <f t="shared" si="152"/>
        <v>109934.5752385239</v>
      </c>
      <c r="FL16" s="1019">
        <f t="shared" ref="FL16:FL77" si="162">FJ16-FG16</f>
        <v>12214.952804280474</v>
      </c>
      <c r="FM16" s="1019">
        <f t="shared" ref="FM16:FM77" si="163">FK16-FH16</f>
        <v>6107.476402140237</v>
      </c>
      <c r="FN16" s="1019" t="str">
        <f t="shared" si="153"/>
        <v>VS</v>
      </c>
      <c r="FO16" s="1019">
        <f t="shared" si="159"/>
        <v>27537.409960060559</v>
      </c>
      <c r="FP16" s="1019">
        <f t="shared" ref="FP16:FP77" si="164">FM16-FO16</f>
        <v>-21429.933557920322</v>
      </c>
      <c r="FQ16" s="1021"/>
      <c r="FR16" s="1021"/>
      <c r="FS16" s="1020"/>
      <c r="FT16" s="1055">
        <f t="shared" si="160"/>
        <v>2586695.887965268</v>
      </c>
      <c r="FU16" s="1056"/>
      <c r="FV16" s="1056"/>
      <c r="FW16" s="503"/>
      <c r="FX16" s="1040"/>
      <c r="FY16" s="503"/>
      <c r="FZ16" s="1057"/>
      <c r="GA16" s="1011">
        <f t="shared" ref="GA16:GA26" si="165">GA15-1</f>
        <v>23</v>
      </c>
      <c r="GB16" s="1036">
        <f t="shared" si="131"/>
        <v>45962</v>
      </c>
      <c r="GC16" s="1037">
        <v>45261</v>
      </c>
      <c r="GD16" s="503"/>
      <c r="GE16" s="503"/>
      <c r="GF16" s="503"/>
      <c r="GG16" s="956"/>
      <c r="GH16" s="945"/>
      <c r="GI16" s="1024">
        <f t="shared" si="78"/>
        <v>3496930.4901833055</v>
      </c>
      <c r="GJ16" s="1025">
        <f t="shared" si="79"/>
        <v>0.125</v>
      </c>
      <c r="GK16" s="1024">
        <f t="shared" si="80"/>
        <v>437116.31127291318</v>
      </c>
      <c r="GL16" s="1024">
        <f t="shared" si="81"/>
        <v>30000</v>
      </c>
      <c r="GM16" s="1024">
        <f t="shared" si="82"/>
        <v>407116.31127291318</v>
      </c>
      <c r="GN16" s="1024">
        <f t="shared" si="83"/>
        <v>2</v>
      </c>
      <c r="GO16" s="1024">
        <f t="shared" si="84"/>
        <v>203558.15563645659</v>
      </c>
      <c r="GP16" s="1025">
        <f t="shared" si="85"/>
        <v>0.875</v>
      </c>
      <c r="GQ16" s="1024">
        <f t="shared" si="86"/>
        <v>3059814.1789103923</v>
      </c>
      <c r="GR16" s="1024">
        <f t="shared" si="87"/>
        <v>23722.706761007681</v>
      </c>
      <c r="GS16" s="1024">
        <f t="shared" si="88"/>
        <v>27502.474875597669</v>
      </c>
      <c r="GT16" s="1024">
        <f t="shared" si="89"/>
        <v>35527.03710048685</v>
      </c>
      <c r="GU16" s="1024">
        <f t="shared" si="90"/>
        <v>60587.988053181267</v>
      </c>
      <c r="GV16" s="945"/>
      <c r="GW16" s="1024">
        <f t="shared" si="91"/>
        <v>3496930.4901833055</v>
      </c>
      <c r="GX16" s="1025">
        <f t="shared" si="92"/>
        <v>0.125</v>
      </c>
      <c r="GY16" s="1024">
        <f t="shared" si="93"/>
        <v>437116.31127291318</v>
      </c>
      <c r="GZ16" s="1024">
        <f t="shared" si="94"/>
        <v>30000</v>
      </c>
      <c r="HA16" s="1024">
        <f t="shared" si="95"/>
        <v>407116.31127291318</v>
      </c>
      <c r="HB16" s="1026">
        <f t="shared" si="96"/>
        <v>25</v>
      </c>
      <c r="HC16" s="1009">
        <f t="shared" si="97"/>
        <v>16284.652450916527</v>
      </c>
      <c r="HD16" s="1027">
        <f t="shared" si="98"/>
        <v>0.875</v>
      </c>
      <c r="HE16" s="1009">
        <f t="shared" si="99"/>
        <v>3059814.1789103923</v>
      </c>
      <c r="HF16" s="1008">
        <f t="shared" si="100"/>
        <v>23722.706761007681</v>
      </c>
      <c r="HG16" s="1008">
        <f t="shared" si="101"/>
        <v>27502.474875597669</v>
      </c>
      <c r="HH16" s="1008">
        <f t="shared" si="102"/>
        <v>35527.03710048685</v>
      </c>
      <c r="HI16" s="1008">
        <f t="shared" si="103"/>
        <v>60587.988053181267</v>
      </c>
      <c r="HJ16" s="945"/>
      <c r="HK16" s="1009">
        <f t="shared" si="104"/>
        <v>-187273.50318554006</v>
      </c>
      <c r="HL16" s="503"/>
      <c r="HM16" s="503"/>
      <c r="HN16" s="503"/>
      <c r="HO16" s="503"/>
      <c r="HP16" s="503"/>
      <c r="HQ16" s="503"/>
      <c r="HR16" s="956">
        <f t="shared" si="105"/>
        <v>0</v>
      </c>
      <c r="HS16" s="503"/>
      <c r="HT16" s="503"/>
      <c r="HU16" s="956"/>
      <c r="HV16" s="503"/>
      <c r="HW16" s="956"/>
      <c r="HX16" s="956"/>
      <c r="HY16" s="503"/>
      <c r="HZ16" s="503"/>
      <c r="IA16" s="503"/>
      <c r="IC16" s="1400" t="s">
        <v>290</v>
      </c>
      <c r="ID16" s="1401">
        <f t="shared" si="154"/>
        <v>45931</v>
      </c>
      <c r="IE16" s="1402">
        <f t="shared" si="113"/>
        <v>2</v>
      </c>
    </row>
    <row r="17" spans="1:239" s="1051" customFormat="1" ht="14.25" hidden="1" customHeight="1">
      <c r="A17" s="1018">
        <f t="shared" si="155"/>
        <v>11</v>
      </c>
      <c r="B17" s="716" t="s">
        <v>264</v>
      </c>
      <c r="C17" s="741">
        <f t="shared" si="107"/>
        <v>11</v>
      </c>
      <c r="D17" s="716" t="s">
        <v>237</v>
      </c>
      <c r="E17" s="743" t="str">
        <f t="shared" si="36"/>
        <v>2nd Floor</v>
      </c>
      <c r="F17" s="1048"/>
      <c r="G17" s="745" t="s">
        <v>291</v>
      </c>
      <c r="H17" s="745" t="s">
        <v>292</v>
      </c>
      <c r="I17" s="745" t="s">
        <v>267</v>
      </c>
      <c r="J17" s="1005">
        <v>22</v>
      </c>
      <c r="K17" s="1049"/>
      <c r="L17" s="1006" t="s">
        <v>268</v>
      </c>
      <c r="M17" s="745" t="s">
        <v>79</v>
      </c>
      <c r="N17" s="1050">
        <v>95909.091</v>
      </c>
      <c r="O17" s="934">
        <f t="shared" si="132"/>
        <v>2110000.0019999999</v>
      </c>
      <c r="P17" s="934">
        <f t="shared" si="156"/>
        <v>22400</v>
      </c>
      <c r="Q17" s="934">
        <f t="shared" si="119"/>
        <v>50000</v>
      </c>
      <c r="R17" s="934"/>
      <c r="S17" s="934"/>
      <c r="T17" s="934"/>
      <c r="U17" s="934"/>
      <c r="V17" s="934"/>
      <c r="W17" s="749"/>
      <c r="X17" s="934"/>
      <c r="Y17" s="934"/>
      <c r="Z17" s="934">
        <f t="shared" si="133"/>
        <v>75000</v>
      </c>
      <c r="AA17" s="934"/>
      <c r="AB17" s="934"/>
      <c r="AC17" s="934"/>
      <c r="AD17" s="934"/>
      <c r="AE17" s="934">
        <f t="shared" si="14"/>
        <v>147400</v>
      </c>
      <c r="AF17" s="1005">
        <f t="shared" si="15"/>
        <v>2257400.0019999999</v>
      </c>
      <c r="AG17" s="1005">
        <f t="shared" si="37"/>
        <v>56435.000050000002</v>
      </c>
      <c r="AH17" s="1005">
        <f t="shared" si="38"/>
        <v>2313835.0020499998</v>
      </c>
      <c r="AI17" s="1005">
        <f t="shared" si="39"/>
        <v>57845.875051249997</v>
      </c>
      <c r="AJ17" s="1005">
        <f t="shared" si="40"/>
        <v>2371680.87710125</v>
      </c>
      <c r="AK17" s="1005">
        <f t="shared" si="41"/>
        <v>118584.04385506251</v>
      </c>
      <c r="AL17" s="1005">
        <f t="shared" si="157"/>
        <v>2490264.9209563127</v>
      </c>
      <c r="AM17" s="934">
        <f t="shared" si="43"/>
        <v>24902.649209563126</v>
      </c>
      <c r="AN17" s="934">
        <f t="shared" si="44"/>
        <v>27537.409960060559</v>
      </c>
      <c r="AO17" s="934"/>
      <c r="AP17" s="934">
        <f t="shared" si="134"/>
        <v>109934.5752385239</v>
      </c>
      <c r="AQ17" s="1005">
        <f t="shared" si="45"/>
        <v>2652639.5553644602</v>
      </c>
      <c r="AR17" s="1005">
        <f t="shared" si="46"/>
        <v>119368.7799914007</v>
      </c>
      <c r="AS17" s="1147">
        <f t="shared" si="47"/>
        <v>2772008.3353558611</v>
      </c>
      <c r="AT17" s="1148">
        <f t="shared" si="135"/>
        <v>2000000</v>
      </c>
      <c r="AU17" s="1148">
        <f t="shared" si="16"/>
        <v>35091.287970720958</v>
      </c>
      <c r="AV17" s="1148">
        <f t="shared" si="136"/>
        <v>772008.33535586111</v>
      </c>
      <c r="AW17" s="1148">
        <f t="shared" si="17"/>
        <v>92641.000242703332</v>
      </c>
      <c r="AX17" s="1148">
        <f t="shared" si="18"/>
        <v>864649.33559856447</v>
      </c>
      <c r="AY17" s="1147">
        <f t="shared" si="48"/>
        <v>2864649.3355985642</v>
      </c>
      <c r="AZ17" s="934">
        <f t="shared" si="49"/>
        <v>35808.116694982054</v>
      </c>
      <c r="BA17" s="716" t="s">
        <v>269</v>
      </c>
      <c r="BB17" s="716">
        <f t="shared" si="19"/>
        <v>2900457.4522935464</v>
      </c>
      <c r="BC17" s="716" t="s">
        <v>269</v>
      </c>
      <c r="BD17" s="716">
        <f t="shared" si="50"/>
        <v>108767.15446100799</v>
      </c>
      <c r="BE17" s="716">
        <f t="shared" si="51"/>
        <v>33600</v>
      </c>
      <c r="BF17" s="716">
        <f t="shared" si="52"/>
        <v>3042824.6067545544</v>
      </c>
      <c r="BG17" s="716"/>
      <c r="BH17" s="716">
        <f t="shared" si="53"/>
        <v>3042824.6067545544</v>
      </c>
      <c r="BI17" s="716"/>
      <c r="BJ17" s="716">
        <f t="shared" si="54"/>
        <v>3042824.6067545544</v>
      </c>
      <c r="BK17" s="716"/>
      <c r="BL17" s="716">
        <f t="shared" si="55"/>
        <v>3042824.6067545544</v>
      </c>
      <c r="BM17" s="716"/>
      <c r="BN17" s="716">
        <f t="shared" si="20"/>
        <v>3042824.6067545544</v>
      </c>
      <c r="BO17" s="716"/>
      <c r="BP17" s="716">
        <f t="shared" si="56"/>
        <v>3042824.6067545544</v>
      </c>
      <c r="BQ17" s="716"/>
      <c r="BR17" s="716">
        <f t="shared" si="57"/>
        <v>3042824.6067545544</v>
      </c>
      <c r="BS17" s="716"/>
      <c r="BT17" s="716">
        <f t="shared" si="58"/>
        <v>3042824.6067545544</v>
      </c>
      <c r="BU17" s="716"/>
      <c r="BV17" s="716">
        <f t="shared" si="21"/>
        <v>3042824.6067545544</v>
      </c>
      <c r="BW17" s="716"/>
      <c r="BX17" s="716">
        <f t="shared" si="120"/>
        <v>31400</v>
      </c>
      <c r="BY17" s="716">
        <f t="shared" si="60"/>
        <v>3074224.6067545544</v>
      </c>
      <c r="BZ17" s="716"/>
      <c r="CA17" s="716">
        <f t="shared" si="61"/>
        <v>3074224.6067545544</v>
      </c>
      <c r="CB17" s="1135">
        <f t="shared" si="121"/>
        <v>3074224.6067545544</v>
      </c>
      <c r="CC17" s="1164">
        <f t="shared" si="109"/>
        <v>3074224.6067545544</v>
      </c>
      <c r="CD17" s="1164"/>
      <c r="CE17" s="1164">
        <f t="shared" si="63"/>
        <v>0</v>
      </c>
      <c r="CF17" s="1164">
        <f t="shared" si="115"/>
        <v>0</v>
      </c>
      <c r="CG17" s="1164">
        <f t="shared" si="116"/>
        <v>0</v>
      </c>
      <c r="CH17" s="1154">
        <f t="shared" si="158"/>
        <v>3074224.6067545544</v>
      </c>
      <c r="CI17" s="935">
        <f t="shared" si="137"/>
        <v>3074224.6067545544</v>
      </c>
      <c r="CJ17" s="935">
        <f t="shared" si="64"/>
        <v>0</v>
      </c>
      <c r="CK17" s="935">
        <f t="shared" si="65"/>
        <v>315108.0221923418</v>
      </c>
      <c r="CL17" s="935">
        <f t="shared" si="66"/>
        <v>107597.86123640942</v>
      </c>
      <c r="CM17" s="1006">
        <f t="shared" si="138"/>
        <v>3496930.4901833055</v>
      </c>
      <c r="CN17" s="1007">
        <f t="shared" si="139"/>
        <v>0.125</v>
      </c>
      <c r="CO17" s="935">
        <f t="shared" si="24"/>
        <v>437116.31127291318</v>
      </c>
      <c r="CP17" s="935">
        <f t="shared" si="140"/>
        <v>30000</v>
      </c>
      <c r="CQ17" s="935">
        <f t="shared" si="25"/>
        <v>407116.31127291318</v>
      </c>
      <c r="CR17" s="745">
        <f t="shared" si="141"/>
        <v>2</v>
      </c>
      <c r="CS17" s="935">
        <f t="shared" si="26"/>
        <v>203558.15563645659</v>
      </c>
      <c r="CT17" s="1007">
        <f t="shared" si="68"/>
        <v>0.875</v>
      </c>
      <c r="CU17" s="935">
        <f t="shared" si="69"/>
        <v>3059814.1789103923</v>
      </c>
      <c r="CV17" s="1008">
        <f t="shared" si="110"/>
        <v>23722.706761007681</v>
      </c>
      <c r="CW17" s="1008">
        <f t="shared" si="70"/>
        <v>27502.474875597669</v>
      </c>
      <c r="CX17" s="1008">
        <f t="shared" si="71"/>
        <v>35527.03710048685</v>
      </c>
      <c r="CY17" s="1008">
        <f t="shared" si="72"/>
        <v>60587.988053181267</v>
      </c>
      <c r="CZ17" s="1119">
        <f t="shared" si="122"/>
        <v>248558.43141597047</v>
      </c>
      <c r="DA17" s="1119">
        <f t="shared" si="123"/>
        <v>98353.36051366452</v>
      </c>
      <c r="DB17" s="1119">
        <f t="shared" si="124"/>
        <v>71039.239301235197</v>
      </c>
      <c r="DC17" s="1119">
        <f t="shared" si="125"/>
        <v>54064.131585904252</v>
      </c>
      <c r="DD17" s="1028">
        <f t="shared" si="126"/>
        <v>0.38600416767793055</v>
      </c>
      <c r="DE17" s="1028">
        <f t="shared" si="142"/>
        <v>0</v>
      </c>
      <c r="DF17" s="1009" t="s">
        <v>270</v>
      </c>
      <c r="DG17" s="1009" t="s">
        <v>271</v>
      </c>
      <c r="DH17" s="966">
        <f t="shared" si="111"/>
        <v>45658</v>
      </c>
      <c r="DI17" s="912">
        <f t="shared" si="73"/>
        <v>14</v>
      </c>
      <c r="DJ17" s="939"/>
      <c r="DK17" s="913">
        <f t="shared" si="74"/>
        <v>45723</v>
      </c>
      <c r="DL17" s="912">
        <f t="shared" si="75"/>
        <v>16</v>
      </c>
      <c r="DM17" s="750" t="s">
        <v>272</v>
      </c>
      <c r="DN17" s="750" t="s">
        <v>273</v>
      </c>
      <c r="DO17" s="751">
        <f t="shared" si="31"/>
        <v>39302.242527207476</v>
      </c>
      <c r="DP17" s="751">
        <f t="shared" si="32"/>
        <v>864649.33559856447</v>
      </c>
      <c r="DQ17" s="752">
        <f t="shared" si="127"/>
        <v>0.43232466779928225</v>
      </c>
      <c r="DR17" s="503"/>
      <c r="DS17" s="751">
        <f t="shared" si="128"/>
        <v>3074224.6067545544</v>
      </c>
      <c r="DT17" s="751">
        <f>'[4]INTERNAL PRICELIST'!N11</f>
        <v>2061900</v>
      </c>
      <c r="DU17" s="751">
        <f t="shared" si="33"/>
        <v>1012324.6067545544</v>
      </c>
      <c r="DV17" s="503"/>
      <c r="DW17" s="951">
        <f t="shared" si="129"/>
        <v>139737.48212520703</v>
      </c>
      <c r="DX17" s="503"/>
      <c r="DZ17" s="1010" t="s">
        <v>291</v>
      </c>
      <c r="EA17" s="1052" t="b">
        <f t="shared" si="35"/>
        <v>1</v>
      </c>
      <c r="EB17" s="1053" t="s">
        <v>293</v>
      </c>
      <c r="EC17" s="1053" t="s">
        <v>275</v>
      </c>
      <c r="ED17" s="503"/>
      <c r="EE17" s="1029"/>
      <c r="EF17" s="503"/>
      <c r="EG17" s="503"/>
      <c r="EH17" s="930"/>
      <c r="EI17" s="930"/>
      <c r="EJ17" s="503"/>
      <c r="EK17" s="503"/>
      <c r="EL17" s="503"/>
      <c r="EM17" s="503"/>
      <c r="EN17" s="503"/>
      <c r="EO17" s="503"/>
      <c r="EP17" s="503"/>
      <c r="EQ17" s="503"/>
      <c r="ER17" s="1017" t="s">
        <v>264</v>
      </c>
      <c r="ES17" s="1391" t="s">
        <v>264</v>
      </c>
      <c r="ET17" s="1018" t="b">
        <f t="shared" si="76"/>
        <v>1</v>
      </c>
      <c r="EU17" s="940"/>
      <c r="EV17" s="941"/>
      <c r="EW17" s="940"/>
      <c r="EX17" s="1019">
        <v>2874106.5421836311</v>
      </c>
      <c r="EY17" s="1019">
        <f t="shared" si="143"/>
        <v>431115.98132754466</v>
      </c>
      <c r="EZ17" s="1019">
        <f t="shared" si="144"/>
        <v>2442990.5608560862</v>
      </c>
      <c r="FA17" s="1019">
        <f t="shared" si="145"/>
        <v>287410.65421836311</v>
      </c>
      <c r="FB17" s="1019">
        <f t="shared" si="146"/>
        <v>2586695.887965268</v>
      </c>
      <c r="FC17" s="1019">
        <f t="shared" si="147"/>
        <v>143705.32710918179</v>
      </c>
      <c r="FD17" s="1020"/>
      <c r="FE17" s="1021"/>
      <c r="FF17" s="1022">
        <f t="shared" si="148"/>
        <v>2442990.5608560862</v>
      </c>
      <c r="FG17" s="1022">
        <f t="shared" si="149"/>
        <v>207654.19767276733</v>
      </c>
      <c r="FH17" s="1022">
        <f t="shared" si="161"/>
        <v>103827.09883638367</v>
      </c>
      <c r="FI17" s="1023">
        <f t="shared" si="150"/>
        <v>2586695.887965268</v>
      </c>
      <c r="FJ17" s="1023">
        <f t="shared" si="151"/>
        <v>219869.15047704781</v>
      </c>
      <c r="FK17" s="1023">
        <f>FJ17*(6/12)</f>
        <v>109934.5752385239</v>
      </c>
      <c r="FL17" s="1019">
        <f t="shared" si="162"/>
        <v>12214.952804280474</v>
      </c>
      <c r="FM17" s="1019">
        <f t="shared" si="163"/>
        <v>6107.476402140237</v>
      </c>
      <c r="FN17" s="1019" t="str">
        <f t="shared" si="153"/>
        <v>VS</v>
      </c>
      <c r="FO17" s="1019">
        <f t="shared" si="159"/>
        <v>27537.409960060559</v>
      </c>
      <c r="FP17" s="1019">
        <f t="shared" si="164"/>
        <v>-21429.933557920322</v>
      </c>
      <c r="FQ17" s="1021"/>
      <c r="FR17" s="1021"/>
      <c r="FS17" s="1020"/>
      <c r="FT17" s="503"/>
      <c r="FU17" s="956"/>
      <c r="FV17" s="503"/>
      <c r="FW17" s="503"/>
      <c r="FX17" s="1040"/>
      <c r="FY17" s="503"/>
      <c r="FZ17" s="503"/>
      <c r="GA17" s="1011">
        <f t="shared" si="165"/>
        <v>22</v>
      </c>
      <c r="GB17" s="1036">
        <f t="shared" si="131"/>
        <v>45962</v>
      </c>
      <c r="GC17" s="1037">
        <v>45292</v>
      </c>
      <c r="GD17" s="503"/>
      <c r="GE17" s="503"/>
      <c r="GF17" s="503"/>
      <c r="GG17" s="956"/>
      <c r="GH17" s="945"/>
      <c r="GI17" s="1024">
        <f t="shared" si="78"/>
        <v>3496930.4901833055</v>
      </c>
      <c r="GJ17" s="1025">
        <f t="shared" si="79"/>
        <v>0.125</v>
      </c>
      <c r="GK17" s="1024">
        <f t="shared" si="80"/>
        <v>437116.31127291318</v>
      </c>
      <c r="GL17" s="1024">
        <f t="shared" si="81"/>
        <v>30000</v>
      </c>
      <c r="GM17" s="1024">
        <f t="shared" si="82"/>
        <v>407116.31127291318</v>
      </c>
      <c r="GN17" s="1024">
        <f t="shared" si="83"/>
        <v>2</v>
      </c>
      <c r="GO17" s="1024">
        <f t="shared" si="84"/>
        <v>203558.15563645659</v>
      </c>
      <c r="GP17" s="1025">
        <f t="shared" si="85"/>
        <v>0.875</v>
      </c>
      <c r="GQ17" s="1024">
        <f t="shared" si="86"/>
        <v>3059814.1789103923</v>
      </c>
      <c r="GR17" s="1024">
        <f t="shared" si="87"/>
        <v>23722.706761007681</v>
      </c>
      <c r="GS17" s="1024">
        <f t="shared" si="88"/>
        <v>27502.474875597669</v>
      </c>
      <c r="GT17" s="1024">
        <f t="shared" si="89"/>
        <v>35527.03710048685</v>
      </c>
      <c r="GU17" s="1024">
        <f t="shared" si="90"/>
        <v>60587.988053181267</v>
      </c>
      <c r="GV17" s="945"/>
      <c r="GW17" s="1024">
        <f t="shared" si="91"/>
        <v>3496930.4901833055</v>
      </c>
      <c r="GX17" s="1025">
        <f t="shared" si="92"/>
        <v>0.125</v>
      </c>
      <c r="GY17" s="1024">
        <f t="shared" si="93"/>
        <v>437116.31127291318</v>
      </c>
      <c r="GZ17" s="1024">
        <f t="shared" si="94"/>
        <v>30000</v>
      </c>
      <c r="HA17" s="1024">
        <f t="shared" si="95"/>
        <v>407116.31127291318</v>
      </c>
      <c r="HB17" s="1026">
        <f t="shared" si="96"/>
        <v>25</v>
      </c>
      <c r="HC17" s="1009">
        <f t="shared" si="97"/>
        <v>16284.652450916527</v>
      </c>
      <c r="HD17" s="1027">
        <f t="shared" si="98"/>
        <v>0.875</v>
      </c>
      <c r="HE17" s="1009">
        <f t="shared" si="99"/>
        <v>3059814.1789103923</v>
      </c>
      <c r="HF17" s="1008">
        <f t="shared" si="100"/>
        <v>23722.706761007681</v>
      </c>
      <c r="HG17" s="1008">
        <f t="shared" si="101"/>
        <v>27502.474875597669</v>
      </c>
      <c r="HH17" s="1008">
        <f t="shared" si="102"/>
        <v>35527.03710048685</v>
      </c>
      <c r="HI17" s="1008">
        <f t="shared" si="103"/>
        <v>60587.988053181267</v>
      </c>
      <c r="HJ17" s="945"/>
      <c r="HK17" s="1009">
        <f t="shared" si="104"/>
        <v>-187273.50318554006</v>
      </c>
      <c r="HL17" s="503"/>
      <c r="HM17" s="503"/>
      <c r="HN17" s="503"/>
      <c r="HO17" s="503"/>
      <c r="HP17" s="503"/>
      <c r="HQ17" s="503"/>
      <c r="HR17" s="956">
        <f t="shared" si="105"/>
        <v>0</v>
      </c>
      <c r="HS17" s="503"/>
      <c r="HT17" s="503"/>
      <c r="HU17" s="956"/>
      <c r="HV17" s="503"/>
      <c r="HW17" s="956"/>
      <c r="HX17" s="956"/>
      <c r="HY17" s="503"/>
      <c r="HZ17" s="503"/>
      <c r="IA17" s="503"/>
      <c r="IC17" s="1400" t="s">
        <v>294</v>
      </c>
      <c r="ID17" s="1401">
        <f t="shared" si="154"/>
        <v>45931</v>
      </c>
      <c r="IE17" s="1402">
        <f t="shared" si="113"/>
        <v>2</v>
      </c>
    </row>
    <row r="18" spans="1:239" s="1051" customFormat="1" ht="14.25" customHeight="1">
      <c r="A18" s="1018">
        <f t="shared" si="155"/>
        <v>12</v>
      </c>
      <c r="B18" s="716" t="s">
        <v>264</v>
      </c>
      <c r="C18" s="741">
        <f t="shared" si="107"/>
        <v>12</v>
      </c>
      <c r="D18" s="716" t="s">
        <v>237</v>
      </c>
      <c r="E18" s="743" t="str">
        <f t="shared" si="36"/>
        <v>2nd Floor</v>
      </c>
      <c r="F18" s="1048"/>
      <c r="G18" s="745" t="s">
        <v>295</v>
      </c>
      <c r="H18" s="745" t="s">
        <v>296</v>
      </c>
      <c r="I18" s="745" t="s">
        <v>267</v>
      </c>
      <c r="J18" s="1005">
        <v>22</v>
      </c>
      <c r="K18" s="1049"/>
      <c r="L18" s="1006" t="s">
        <v>268</v>
      </c>
      <c r="M18" s="745" t="s">
        <v>65</v>
      </c>
      <c r="N18" s="1050">
        <v>95909.091</v>
      </c>
      <c r="O18" s="934">
        <f t="shared" si="132"/>
        <v>2110000.0019999999</v>
      </c>
      <c r="P18" s="934">
        <f t="shared" si="156"/>
        <v>22400</v>
      </c>
      <c r="Q18" s="934">
        <f t="shared" si="119"/>
        <v>50000</v>
      </c>
      <c r="R18" s="934"/>
      <c r="S18" s="934"/>
      <c r="T18" s="934"/>
      <c r="U18" s="934"/>
      <c r="V18" s="749">
        <f t="shared" ref="V18:V19" si="166">J18*$V$5</f>
        <v>55000</v>
      </c>
      <c r="W18" s="934"/>
      <c r="X18" s="934"/>
      <c r="Y18" s="934"/>
      <c r="Z18" s="934">
        <f t="shared" si="133"/>
        <v>75000</v>
      </c>
      <c r="AA18" s="934"/>
      <c r="AB18" s="934"/>
      <c r="AC18" s="934"/>
      <c r="AD18" s="934"/>
      <c r="AE18" s="934">
        <f t="shared" si="14"/>
        <v>202400</v>
      </c>
      <c r="AF18" s="1005">
        <f t="shared" si="15"/>
        <v>2312400.0019999999</v>
      </c>
      <c r="AG18" s="1005">
        <f t="shared" si="37"/>
        <v>57810.000050000002</v>
      </c>
      <c r="AH18" s="1005">
        <f t="shared" si="38"/>
        <v>2370210.0020499998</v>
      </c>
      <c r="AI18" s="1005">
        <f t="shared" si="39"/>
        <v>59255.250051249997</v>
      </c>
      <c r="AJ18" s="1005">
        <f t="shared" si="40"/>
        <v>2429465.25210125</v>
      </c>
      <c r="AK18" s="1005">
        <f t="shared" si="41"/>
        <v>121473.26260506251</v>
      </c>
      <c r="AL18" s="1005">
        <f t="shared" si="157"/>
        <v>2550938.5147063127</v>
      </c>
      <c r="AM18" s="934">
        <f t="shared" si="43"/>
        <v>25509.385147063127</v>
      </c>
      <c r="AN18" s="934">
        <f t="shared" si="44"/>
        <v>27537.409960060559</v>
      </c>
      <c r="AO18" s="934"/>
      <c r="AP18" s="934">
        <f t="shared" si="134"/>
        <v>115067.59339020263</v>
      </c>
      <c r="AQ18" s="1005">
        <f t="shared" si="45"/>
        <v>2719052.9032036387</v>
      </c>
      <c r="AR18" s="1005">
        <f t="shared" si="46"/>
        <v>122357.38064416374</v>
      </c>
      <c r="AS18" s="1147">
        <f t="shared" si="47"/>
        <v>2841410.2838478023</v>
      </c>
      <c r="AT18" s="1148">
        <f t="shared" si="135"/>
        <v>2000000</v>
      </c>
      <c r="AU18" s="1148">
        <f t="shared" si="16"/>
        <v>38245.921993081924</v>
      </c>
      <c r="AV18" s="1148">
        <f>AS18-AT18</f>
        <v>841410.28384780232</v>
      </c>
      <c r="AW18" s="1148">
        <f t="shared" si="17"/>
        <v>100969.23406173628</v>
      </c>
      <c r="AX18" s="1148">
        <f t="shared" si="18"/>
        <v>942379.51790953858</v>
      </c>
      <c r="AY18" s="1147">
        <f t="shared" si="48"/>
        <v>2942379.5179095385</v>
      </c>
      <c r="AZ18" s="934">
        <f t="shared" si="49"/>
        <v>36779.743973869234</v>
      </c>
      <c r="BA18" s="716" t="s">
        <v>269</v>
      </c>
      <c r="BB18" s="716">
        <f t="shared" si="19"/>
        <v>2979159.2618834078</v>
      </c>
      <c r="BC18" s="716" t="s">
        <v>269</v>
      </c>
      <c r="BD18" s="716">
        <f t="shared" si="50"/>
        <v>111718.47232062778</v>
      </c>
      <c r="BE18" s="716">
        <f t="shared" si="51"/>
        <v>33600</v>
      </c>
      <c r="BF18" s="716">
        <f t="shared" si="52"/>
        <v>3124477.7342040357</v>
      </c>
      <c r="BG18" s="716"/>
      <c r="BH18" s="716">
        <f t="shared" si="53"/>
        <v>3124477.7342040357</v>
      </c>
      <c r="BI18" s="716"/>
      <c r="BJ18" s="716">
        <f t="shared" si="54"/>
        <v>3124477.7342040357</v>
      </c>
      <c r="BK18" s="716">
        <v>5092.7923200000005</v>
      </c>
      <c r="BL18" s="716">
        <f t="shared" si="55"/>
        <v>3129570.5265240357</v>
      </c>
      <c r="BM18" s="716"/>
      <c r="BN18" s="716">
        <f t="shared" si="20"/>
        <v>3129570.5265240357</v>
      </c>
      <c r="BO18" s="716"/>
      <c r="BP18" s="716">
        <f t="shared" si="56"/>
        <v>3129570.5265240357</v>
      </c>
      <c r="BQ18" s="716"/>
      <c r="BR18" s="716">
        <f t="shared" si="57"/>
        <v>3129570.5265240357</v>
      </c>
      <c r="BS18" s="716"/>
      <c r="BT18" s="716">
        <f t="shared" si="58"/>
        <v>3129570.5265240357</v>
      </c>
      <c r="BU18" s="716">
        <f>$BU$5/24</f>
        <v>546.00000000000011</v>
      </c>
      <c r="BV18" s="716">
        <f t="shared" si="21"/>
        <v>3130116.5265240357</v>
      </c>
      <c r="BW18" s="716"/>
      <c r="BX18" s="716">
        <f>$BX$2+$BX$3-BE18</f>
        <v>31400</v>
      </c>
      <c r="BY18" s="716">
        <f t="shared" si="60"/>
        <v>3161516.5265240357</v>
      </c>
      <c r="BZ18" s="716">
        <f>$BZ$5/20</f>
        <v>33654.337039807535</v>
      </c>
      <c r="CA18" s="716">
        <f t="shared" si="61"/>
        <v>3195170.8635638431</v>
      </c>
      <c r="CB18" s="1135">
        <f>CA18</f>
        <v>3195170.8635638431</v>
      </c>
      <c r="CC18" s="1164">
        <f t="shared" si="109"/>
        <v>3195170.8635638431</v>
      </c>
      <c r="CD18" s="1164"/>
      <c r="CE18" s="1164">
        <f t="shared" si="63"/>
        <v>0</v>
      </c>
      <c r="CF18" s="1164">
        <f t="shared" si="115"/>
        <v>0</v>
      </c>
      <c r="CG18" s="1164">
        <f t="shared" si="116"/>
        <v>0</v>
      </c>
      <c r="CH18" s="1154">
        <f t="shared" si="158"/>
        <v>3195170.8635638431</v>
      </c>
      <c r="CI18" s="935">
        <f t="shared" si="137"/>
        <v>3195170.8635638431</v>
      </c>
      <c r="CJ18" s="935">
        <f t="shared" si="64"/>
        <v>0</v>
      </c>
      <c r="CK18" s="935">
        <f>CI18*CK$5</f>
        <v>327505.01351529389</v>
      </c>
      <c r="CL18" s="935">
        <f t="shared" si="66"/>
        <v>111830.98022473452</v>
      </c>
      <c r="CM18" s="1006">
        <f t="shared" si="138"/>
        <v>3634506.8573038718</v>
      </c>
      <c r="CN18" s="1007">
        <f t="shared" si="139"/>
        <v>0.125</v>
      </c>
      <c r="CO18" s="935">
        <f t="shared" si="24"/>
        <v>454313.35716298397</v>
      </c>
      <c r="CP18" s="935">
        <f t="shared" si="140"/>
        <v>30000</v>
      </c>
      <c r="CQ18" s="935">
        <f t="shared" si="25"/>
        <v>424313.35716298397</v>
      </c>
      <c r="CR18" s="745">
        <v>1</v>
      </c>
      <c r="CS18" s="935">
        <f t="shared" si="26"/>
        <v>424313.35716298397</v>
      </c>
      <c r="CT18" s="1007">
        <f t="shared" si="68"/>
        <v>0.875</v>
      </c>
      <c r="CU18" s="935">
        <f t="shared" si="69"/>
        <v>3180193.5001408877</v>
      </c>
      <c r="CV18" s="1008">
        <f t="shared" si="110"/>
        <v>24656.006357212933</v>
      </c>
      <c r="CW18" s="1008">
        <f t="shared" si="70"/>
        <v>28584.478247077615</v>
      </c>
      <c r="CX18" s="1008">
        <f t="shared" si="71"/>
        <v>36924.743092231161</v>
      </c>
      <c r="CY18" s="1008">
        <f t="shared" si="72"/>
        <v>62971.642893018819</v>
      </c>
      <c r="CZ18" s="1119">
        <f t="shared" si="122"/>
        <v>258337.22630691587</v>
      </c>
      <c r="DA18" s="1119">
        <f t="shared" si="123"/>
        <v>102222.78201676681</v>
      </c>
      <c r="DB18" s="1119">
        <f t="shared" si="124"/>
        <v>73834.067649556237</v>
      </c>
      <c r="DC18" s="1119">
        <f t="shared" si="125"/>
        <v>56191.124626228331</v>
      </c>
      <c r="DD18" s="1028">
        <f t="shared" si="126"/>
        <v>0.42070514192390118</v>
      </c>
      <c r="DE18" s="1028">
        <f t="shared" si="142"/>
        <v>0</v>
      </c>
      <c r="DF18" s="1009" t="s">
        <v>270</v>
      </c>
      <c r="DG18" s="1009" t="s">
        <v>271</v>
      </c>
      <c r="DH18" s="966">
        <f t="shared" si="111"/>
        <v>45658</v>
      </c>
      <c r="DI18" s="912">
        <f t="shared" si="73"/>
        <v>14</v>
      </c>
      <c r="DJ18" s="939"/>
      <c r="DK18" s="913">
        <f t="shared" si="74"/>
        <v>45723</v>
      </c>
      <c r="DL18" s="912">
        <f>(YEAR(DK18)-YEAR($DL$5))*12+MONTH(DK18)-MONTH($DL$5)+$DL$4+$DL$3</f>
        <v>16</v>
      </c>
      <c r="DM18" s="750" t="s">
        <v>272</v>
      </c>
      <c r="DN18" s="750" t="s">
        <v>273</v>
      </c>
      <c r="DO18" s="751">
        <f t="shared" si="31"/>
        <v>42835.432632251752</v>
      </c>
      <c r="DP18" s="751">
        <f t="shared" si="32"/>
        <v>942379.51790953858</v>
      </c>
      <c r="DQ18" s="752">
        <f t="shared" si="127"/>
        <v>0.47118975895476928</v>
      </c>
      <c r="DR18" s="503"/>
      <c r="DS18" s="751">
        <f t="shared" si="128"/>
        <v>3195170.8635638431</v>
      </c>
      <c r="DT18" s="751">
        <f>'[4]INTERNAL PRICELIST'!N12</f>
        <v>2061900</v>
      </c>
      <c r="DU18" s="751">
        <f t="shared" si="33"/>
        <v>1133270.8635638431</v>
      </c>
      <c r="DV18" s="503"/>
      <c r="DW18" s="951">
        <f t="shared" si="129"/>
        <v>145235.03925290194</v>
      </c>
      <c r="DX18" s="503"/>
      <c r="DZ18" s="1010" t="s">
        <v>295</v>
      </c>
      <c r="EA18" s="1052" t="b">
        <f t="shared" si="35"/>
        <v>1</v>
      </c>
      <c r="EB18" s="1053" t="s">
        <v>293</v>
      </c>
      <c r="EC18" s="1053" t="s">
        <v>275</v>
      </c>
      <c r="ED18" s="503"/>
      <c r="EE18" s="1029"/>
      <c r="EF18" s="503"/>
      <c r="EG18" s="503"/>
      <c r="EH18" s="930"/>
      <c r="EI18" s="930"/>
      <c r="EJ18" s="503"/>
      <c r="EK18" s="503"/>
      <c r="EL18" s="503"/>
      <c r="EM18" s="503"/>
      <c r="EN18" s="503"/>
      <c r="EO18" s="503"/>
      <c r="EP18" s="503"/>
      <c r="EQ18" s="503"/>
      <c r="ER18" s="1017" t="s">
        <v>243</v>
      </c>
      <c r="ES18" s="1391" t="s">
        <v>243</v>
      </c>
      <c r="ET18" s="1018" t="b">
        <f t="shared" si="76"/>
        <v>1</v>
      </c>
      <c r="EU18" s="940"/>
      <c r="EV18" s="941"/>
      <c r="EW18" s="940"/>
      <c r="EX18" s="1019">
        <v>3008303.0951686958</v>
      </c>
      <c r="EY18" s="1019">
        <f t="shared" si="143"/>
        <v>451245.46427530434</v>
      </c>
      <c r="EZ18" s="1019">
        <f t="shared" si="144"/>
        <v>2557057.6308933916</v>
      </c>
      <c r="FA18" s="1019">
        <f t="shared" si="145"/>
        <v>300830.3095168696</v>
      </c>
      <c r="FB18" s="1019">
        <f t="shared" si="146"/>
        <v>2707472.7856518263</v>
      </c>
      <c r="FC18" s="1019">
        <f t="shared" si="147"/>
        <v>150415.15475843474</v>
      </c>
      <c r="FD18" s="1020"/>
      <c r="FE18" s="1021"/>
      <c r="FF18" s="1022">
        <f t="shared" si="148"/>
        <v>2557057.6308933916</v>
      </c>
      <c r="FG18" s="1022">
        <f t="shared" si="149"/>
        <v>217349.89862593831</v>
      </c>
      <c r="FH18" s="1022">
        <f t="shared" si="161"/>
        <v>108674.94931296915</v>
      </c>
      <c r="FI18" s="1023">
        <f t="shared" si="150"/>
        <v>2707472.7856518263</v>
      </c>
      <c r="FJ18" s="1023">
        <f t="shared" si="151"/>
        <v>230135.18678040526</v>
      </c>
      <c r="FK18" s="1023">
        <f t="shared" si="152"/>
        <v>115067.59339020263</v>
      </c>
      <c r="FL18" s="1019">
        <f t="shared" si="162"/>
        <v>12785.288154466951</v>
      </c>
      <c r="FM18" s="1019">
        <f t="shared" si="163"/>
        <v>6392.6440772334754</v>
      </c>
      <c r="FN18" s="1019" t="str">
        <f t="shared" si="153"/>
        <v>VS</v>
      </c>
      <c r="FO18" s="1019">
        <f t="shared" si="159"/>
        <v>27537.409960060559</v>
      </c>
      <c r="FP18" s="1019">
        <f t="shared" si="164"/>
        <v>-21144.765882827083</v>
      </c>
      <c r="FQ18" s="1021"/>
      <c r="FR18" s="1021"/>
      <c r="FS18" s="1020"/>
      <c r="FT18" s="1055">
        <f>FB18</f>
        <v>2707472.7856518263</v>
      </c>
      <c r="FU18" s="1056"/>
      <c r="FV18" s="1056"/>
      <c r="FW18" s="503"/>
      <c r="FX18" s="1040"/>
      <c r="FY18" s="503"/>
      <c r="FZ18" s="503"/>
      <c r="GA18" s="1011">
        <f t="shared" si="165"/>
        <v>21</v>
      </c>
      <c r="GB18" s="1036">
        <f t="shared" si="131"/>
        <v>45962</v>
      </c>
      <c r="GC18" s="1037">
        <v>45323</v>
      </c>
      <c r="GD18" s="503"/>
      <c r="GE18" s="503"/>
      <c r="GF18" s="503"/>
      <c r="GG18" s="956"/>
      <c r="GH18" s="1058"/>
      <c r="GI18" s="1024">
        <f t="shared" si="78"/>
        <v>3634506.8573038718</v>
      </c>
      <c r="GJ18" s="1025">
        <f t="shared" si="79"/>
        <v>0.125</v>
      </c>
      <c r="GK18" s="1024">
        <f t="shared" si="80"/>
        <v>454313.35716298397</v>
      </c>
      <c r="GL18" s="1024">
        <f t="shared" si="81"/>
        <v>30000</v>
      </c>
      <c r="GM18" s="1024">
        <f t="shared" si="82"/>
        <v>424313.35716298397</v>
      </c>
      <c r="GN18" s="1024">
        <f t="shared" si="83"/>
        <v>1</v>
      </c>
      <c r="GO18" s="1024">
        <f t="shared" si="84"/>
        <v>424313.35716298397</v>
      </c>
      <c r="GP18" s="1025">
        <f t="shared" si="85"/>
        <v>0.875</v>
      </c>
      <c r="GQ18" s="1024">
        <f t="shared" si="86"/>
        <v>3180193.5001408877</v>
      </c>
      <c r="GR18" s="1024">
        <f t="shared" si="87"/>
        <v>24656.006357212933</v>
      </c>
      <c r="GS18" s="1024">
        <f t="shared" si="88"/>
        <v>28584.478247077615</v>
      </c>
      <c r="GT18" s="1024">
        <f t="shared" si="89"/>
        <v>36924.743092231161</v>
      </c>
      <c r="GU18" s="1024">
        <f t="shared" si="90"/>
        <v>62971.642893018819</v>
      </c>
      <c r="GV18" s="1058"/>
      <c r="GW18" s="1024">
        <f t="shared" si="91"/>
        <v>3634506.8573038718</v>
      </c>
      <c r="GX18" s="1025">
        <f t="shared" si="92"/>
        <v>0.125</v>
      </c>
      <c r="GY18" s="1024">
        <f t="shared" si="93"/>
        <v>454313.35716298397</v>
      </c>
      <c r="GZ18" s="1024">
        <f t="shared" si="94"/>
        <v>30000</v>
      </c>
      <c r="HA18" s="1024">
        <f t="shared" si="95"/>
        <v>424313.35716298397</v>
      </c>
      <c r="HB18" s="1026">
        <f t="shared" si="96"/>
        <v>25</v>
      </c>
      <c r="HC18" s="1009">
        <f t="shared" si="97"/>
        <v>16972.53428651936</v>
      </c>
      <c r="HD18" s="1027">
        <f t="shared" si="98"/>
        <v>0.875</v>
      </c>
      <c r="HE18" s="1009">
        <f>GW18*HD18</f>
        <v>3180193.5001408877</v>
      </c>
      <c r="HF18" s="1008">
        <f t="shared" si="100"/>
        <v>24656.006357212933</v>
      </c>
      <c r="HG18" s="1008">
        <f t="shared" si="101"/>
        <v>28584.478247077615</v>
      </c>
      <c r="HH18" s="1008">
        <f t="shared" si="102"/>
        <v>36924.743092231161</v>
      </c>
      <c r="HI18" s="1008">
        <f t="shared" si="103"/>
        <v>62971.642893018819</v>
      </c>
      <c r="HJ18" s="945"/>
      <c r="HK18" s="1009">
        <f t="shared" si="104"/>
        <v>-407340.82287646463</v>
      </c>
      <c r="HL18" s="503"/>
      <c r="HM18" s="503"/>
      <c r="HN18" s="503"/>
      <c r="HO18" s="503"/>
      <c r="HP18" s="503"/>
      <c r="HQ18" s="503"/>
      <c r="HR18" s="956">
        <f t="shared" si="105"/>
        <v>0</v>
      </c>
      <c r="HS18" s="503"/>
      <c r="HT18" s="503"/>
      <c r="HU18" s="956"/>
      <c r="HV18" s="503"/>
      <c r="HW18" s="956"/>
      <c r="HX18" s="956"/>
      <c r="HY18" s="503"/>
      <c r="HZ18" s="503"/>
      <c r="IA18" s="503"/>
      <c r="IC18" s="1400" t="s">
        <v>297</v>
      </c>
      <c r="ID18" s="1401">
        <f t="shared" si="154"/>
        <v>45931</v>
      </c>
      <c r="IE18" s="1402">
        <f t="shared" si="113"/>
        <v>2</v>
      </c>
    </row>
    <row r="19" spans="1:239" ht="14.25" hidden="1" customHeight="1">
      <c r="A19" s="1018">
        <f t="shared" si="155"/>
        <v>13</v>
      </c>
      <c r="B19" s="716"/>
      <c r="C19" s="741">
        <v>1</v>
      </c>
      <c r="D19" s="716" t="s">
        <v>256</v>
      </c>
      <c r="E19" s="743" t="str">
        <f>D19</f>
        <v>3rd Floor</v>
      </c>
      <c r="F19" s="1048"/>
      <c r="G19" s="745" t="s">
        <v>298</v>
      </c>
      <c r="H19" s="745" t="s">
        <v>266</v>
      </c>
      <c r="I19" s="745" t="s">
        <v>267</v>
      </c>
      <c r="J19" s="1005">
        <v>22</v>
      </c>
      <c r="K19" s="1049"/>
      <c r="L19" s="1006" t="s">
        <v>73</v>
      </c>
      <c r="M19" s="745" t="s">
        <v>65</v>
      </c>
      <c r="N19" s="1050">
        <v>95909.091</v>
      </c>
      <c r="O19" s="934">
        <f t="shared" si="132"/>
        <v>2110000.0019999999</v>
      </c>
      <c r="P19" s="934">
        <f t="shared" si="156"/>
        <v>22400</v>
      </c>
      <c r="Q19" s="934">
        <f t="shared" si="119"/>
        <v>50000</v>
      </c>
      <c r="R19" s="934"/>
      <c r="S19" s="934"/>
      <c r="T19" s="934"/>
      <c r="U19" s="934"/>
      <c r="V19" s="749">
        <f t="shared" si="166"/>
        <v>55000</v>
      </c>
      <c r="W19" s="749"/>
      <c r="X19" s="934"/>
      <c r="Y19" s="934"/>
      <c r="Z19" s="934">
        <f t="shared" si="133"/>
        <v>75000</v>
      </c>
      <c r="AA19" s="934"/>
      <c r="AB19" s="934"/>
      <c r="AC19" s="934"/>
      <c r="AD19" s="934"/>
      <c r="AE19" s="934">
        <f t="shared" si="14"/>
        <v>202400</v>
      </c>
      <c r="AF19" s="1005">
        <f t="shared" si="15"/>
        <v>2312400.0019999999</v>
      </c>
      <c r="AG19" s="1005">
        <f t="shared" si="37"/>
        <v>57810.000050000002</v>
      </c>
      <c r="AH19" s="1005">
        <f t="shared" si="38"/>
        <v>2370210.0020499998</v>
      </c>
      <c r="AI19" s="1005">
        <f t="shared" si="39"/>
        <v>59255.250051249997</v>
      </c>
      <c r="AJ19" s="1005">
        <f t="shared" si="40"/>
        <v>2429465.25210125</v>
      </c>
      <c r="AK19" s="1005">
        <f t="shared" si="41"/>
        <v>121473.26260506251</v>
      </c>
      <c r="AL19" s="1005">
        <f t="shared" si="157"/>
        <v>2550938.5147063127</v>
      </c>
      <c r="AM19" s="934">
        <f t="shared" si="43"/>
        <v>25509.385147063127</v>
      </c>
      <c r="AN19" s="934">
        <f t="shared" si="44"/>
        <v>27537.409960060559</v>
      </c>
      <c r="AO19" s="934"/>
      <c r="AP19" s="934">
        <f t="shared" si="134"/>
        <v>115067.59339020263</v>
      </c>
      <c r="AQ19" s="1005">
        <f t="shared" si="45"/>
        <v>2719052.9032036387</v>
      </c>
      <c r="AR19" s="1005">
        <f t="shared" si="46"/>
        <v>122357.38064416374</v>
      </c>
      <c r="AS19" s="1147">
        <f t="shared" si="47"/>
        <v>2841410.2838478023</v>
      </c>
      <c r="AT19" s="1148">
        <f t="shared" si="135"/>
        <v>2000000</v>
      </c>
      <c r="AU19" s="1148">
        <f t="shared" si="16"/>
        <v>38245.921993081924</v>
      </c>
      <c r="AV19" s="1148">
        <f t="shared" si="136"/>
        <v>841410.28384780232</v>
      </c>
      <c r="AW19" s="1148">
        <f t="shared" si="17"/>
        <v>100969.23406173628</v>
      </c>
      <c r="AX19" s="1148">
        <f t="shared" si="18"/>
        <v>942379.51790953858</v>
      </c>
      <c r="AY19" s="1147">
        <f t="shared" si="48"/>
        <v>2942379.5179095385</v>
      </c>
      <c r="AZ19" s="934">
        <f t="shared" si="49"/>
        <v>36779.743973869234</v>
      </c>
      <c r="BA19" s="716" t="s">
        <v>269</v>
      </c>
      <c r="BB19" s="716">
        <f t="shared" si="19"/>
        <v>2979159.2618834078</v>
      </c>
      <c r="BC19" s="716" t="s">
        <v>269</v>
      </c>
      <c r="BD19" s="716">
        <f t="shared" si="50"/>
        <v>111718.47232062778</v>
      </c>
      <c r="BE19" s="716">
        <f t="shared" si="51"/>
        <v>33600</v>
      </c>
      <c r="BF19" s="716">
        <f t="shared" si="52"/>
        <v>3124477.7342040357</v>
      </c>
      <c r="BG19" s="716"/>
      <c r="BH19" s="716">
        <f t="shared" si="53"/>
        <v>3124477.7342040357</v>
      </c>
      <c r="BI19" s="716"/>
      <c r="BJ19" s="716">
        <f t="shared" si="54"/>
        <v>3124477.7342040357</v>
      </c>
      <c r="BK19" s="716"/>
      <c r="BL19" s="716">
        <f t="shared" si="55"/>
        <v>3124477.7342040357</v>
      </c>
      <c r="BM19" s="716"/>
      <c r="BN19" s="716">
        <f t="shared" si="20"/>
        <v>3124477.7342040357</v>
      </c>
      <c r="BO19" s="716"/>
      <c r="BP19" s="716">
        <f t="shared" si="56"/>
        <v>3124477.7342040357</v>
      </c>
      <c r="BQ19" s="716"/>
      <c r="BR19" s="716">
        <f t="shared" si="57"/>
        <v>3124477.7342040357</v>
      </c>
      <c r="BS19" s="716"/>
      <c r="BT19" s="716">
        <f t="shared" si="58"/>
        <v>3124477.7342040357</v>
      </c>
      <c r="BU19" s="716"/>
      <c r="BV19" s="716">
        <f t="shared" si="21"/>
        <v>3124477.7342040357</v>
      </c>
      <c r="BW19" s="716"/>
      <c r="BX19" s="716">
        <f t="shared" ref="BX19:BX82" si="167">$BX$2+$BX$3-BE19</f>
        <v>31400</v>
      </c>
      <c r="BY19" s="716">
        <f t="shared" si="60"/>
        <v>3155877.7342040357</v>
      </c>
      <c r="BZ19" s="716"/>
      <c r="CA19" s="716">
        <f t="shared" si="61"/>
        <v>3155877.7342040357</v>
      </c>
      <c r="CB19" s="1135">
        <f t="shared" si="121"/>
        <v>3155877.7342040357</v>
      </c>
      <c r="CC19" s="1164">
        <f t="shared" si="109"/>
        <v>3155877.7342040357</v>
      </c>
      <c r="CD19" s="1164"/>
      <c r="CE19" s="1164">
        <f t="shared" si="63"/>
        <v>0</v>
      </c>
      <c r="CF19" s="1164">
        <f t="shared" si="115"/>
        <v>0</v>
      </c>
      <c r="CG19" s="1164">
        <f t="shared" si="116"/>
        <v>0</v>
      </c>
      <c r="CH19" s="1154">
        <f t="shared" si="158"/>
        <v>3155877.7342040357</v>
      </c>
      <c r="CI19" s="935">
        <f t="shared" si="137"/>
        <v>3155877.7342040357</v>
      </c>
      <c r="CJ19" s="935">
        <f t="shared" si="64"/>
        <v>0</v>
      </c>
      <c r="CK19" s="935">
        <f t="shared" si="65"/>
        <v>323477.46775591362</v>
      </c>
      <c r="CL19" s="935">
        <f t="shared" si="66"/>
        <v>110455.72069714127</v>
      </c>
      <c r="CM19" s="1006">
        <f t="shared" si="138"/>
        <v>3589810.9226570907</v>
      </c>
      <c r="CN19" s="1007">
        <f t="shared" si="139"/>
        <v>0.125</v>
      </c>
      <c r="CO19" s="935">
        <f t="shared" si="24"/>
        <v>448726.36533213634</v>
      </c>
      <c r="CP19" s="935">
        <f>$CP$5</f>
        <v>30000</v>
      </c>
      <c r="CQ19" s="935">
        <f t="shared" si="25"/>
        <v>418726.36533213634</v>
      </c>
      <c r="CR19" s="745">
        <f t="shared" si="141"/>
        <v>1</v>
      </c>
      <c r="CS19" s="935">
        <f t="shared" si="26"/>
        <v>418726.36533213634</v>
      </c>
      <c r="CT19" s="1007">
        <f t="shared" si="68"/>
        <v>0.875</v>
      </c>
      <c r="CU19" s="935">
        <f t="shared" si="69"/>
        <v>3141084.5573249543</v>
      </c>
      <c r="CV19" s="1008">
        <f t="shared" si="110"/>
        <v>24352.79513982921</v>
      </c>
      <c r="CW19" s="1008">
        <f t="shared" si="70"/>
        <v>28232.956012616498</v>
      </c>
      <c r="CX19" s="1008">
        <f t="shared" si="71"/>
        <v>36470.655104810539</v>
      </c>
      <c r="CY19" s="1008">
        <f t="shared" si="72"/>
        <v>62197.238951617357</v>
      </c>
      <c r="CZ19" s="1119">
        <f t="shared" si="122"/>
        <v>255160.28257364413</v>
      </c>
      <c r="DA19" s="1119">
        <f t="shared" si="123"/>
        <v>100965.68085729262</v>
      </c>
      <c r="DB19" s="1119">
        <f t="shared" si="124"/>
        <v>72926.081286636385</v>
      </c>
      <c r="DC19" s="1119">
        <f t="shared" si="125"/>
        <v>55500.105202513136</v>
      </c>
      <c r="DD19" s="1028">
        <f t="shared" si="126"/>
        <v>0.42070514192390118</v>
      </c>
      <c r="DE19" s="1028">
        <f t="shared" si="142"/>
        <v>0</v>
      </c>
      <c r="DF19" s="1009" t="s">
        <v>270</v>
      </c>
      <c r="DG19" s="1009" t="s">
        <v>271</v>
      </c>
      <c r="DH19" s="966">
        <f t="shared" si="111"/>
        <v>45658</v>
      </c>
      <c r="DI19" s="912">
        <f t="shared" si="73"/>
        <v>14</v>
      </c>
      <c r="DK19" s="913">
        <f t="shared" si="74"/>
        <v>45723</v>
      </c>
      <c r="DL19" s="912">
        <f t="shared" si="75"/>
        <v>16</v>
      </c>
      <c r="DM19" s="750" t="s">
        <v>272</v>
      </c>
      <c r="DN19" s="750" t="s">
        <v>273</v>
      </c>
      <c r="DO19" s="751">
        <f t="shared" si="31"/>
        <v>42835.432632251752</v>
      </c>
      <c r="DP19" s="751">
        <f t="shared" si="32"/>
        <v>942379.51790953858</v>
      </c>
      <c r="DQ19" s="752">
        <f t="shared" si="127"/>
        <v>0.47118975895476928</v>
      </c>
      <c r="DS19" s="751">
        <f t="shared" si="128"/>
        <v>3155877.7342040357</v>
      </c>
      <c r="DT19" s="751">
        <f>'[4]INTERNAL PRICELIST'!N13</f>
        <v>2063804</v>
      </c>
      <c r="DU19" s="751">
        <f t="shared" si="33"/>
        <v>1092073.7342040357</v>
      </c>
      <c r="DW19" s="951">
        <f t="shared" si="129"/>
        <v>143448.98791836525</v>
      </c>
      <c r="DZ19" s="1010" t="s">
        <v>298</v>
      </c>
      <c r="EA19" s="1011" t="b">
        <f t="shared" si="35"/>
        <v>1</v>
      </c>
      <c r="EB19" s="1011"/>
      <c r="EC19" s="1011"/>
      <c r="EE19" s="1029"/>
      <c r="ER19" s="1017" t="s">
        <v>264</v>
      </c>
      <c r="ES19" s="1391" t="s">
        <v>264</v>
      </c>
      <c r="ET19" s="1018" t="b">
        <f t="shared" si="76"/>
        <v>1</v>
      </c>
      <c r="EX19" s="1019">
        <v>3008303.0951686958</v>
      </c>
      <c r="EY19" s="1019">
        <f t="shared" si="143"/>
        <v>451245.46427530434</v>
      </c>
      <c r="EZ19" s="1019">
        <f t="shared" si="144"/>
        <v>2557057.6308933916</v>
      </c>
      <c r="FA19" s="1019">
        <f t="shared" si="145"/>
        <v>300830.3095168696</v>
      </c>
      <c r="FB19" s="1019">
        <f t="shared" si="146"/>
        <v>2707472.7856518263</v>
      </c>
      <c r="FC19" s="1019">
        <f t="shared" si="147"/>
        <v>150415.15475843474</v>
      </c>
      <c r="FD19" s="1020"/>
      <c r="FE19" s="1021"/>
      <c r="FF19" s="1022">
        <f t="shared" si="148"/>
        <v>2557057.6308933916</v>
      </c>
      <c r="FG19" s="1022">
        <f t="shared" si="149"/>
        <v>217349.89862593831</v>
      </c>
      <c r="FH19" s="1022">
        <f t="shared" si="161"/>
        <v>108674.94931296915</v>
      </c>
      <c r="FI19" s="1023">
        <f t="shared" si="150"/>
        <v>2707472.7856518263</v>
      </c>
      <c r="FJ19" s="1023">
        <f t="shared" si="151"/>
        <v>230135.18678040526</v>
      </c>
      <c r="FK19" s="1023">
        <f t="shared" si="152"/>
        <v>115067.59339020263</v>
      </c>
      <c r="FL19" s="1019">
        <f t="shared" si="162"/>
        <v>12785.288154466951</v>
      </c>
      <c r="FM19" s="1019">
        <f t="shared" si="163"/>
        <v>6392.6440772334754</v>
      </c>
      <c r="FN19" s="1019" t="str">
        <f t="shared" si="153"/>
        <v>VS</v>
      </c>
      <c r="FO19" s="1019">
        <f t="shared" si="159"/>
        <v>27537.409960060559</v>
      </c>
      <c r="FP19" s="1019">
        <f t="shared" si="164"/>
        <v>-21144.765882827083</v>
      </c>
      <c r="FQ19" s="1021"/>
      <c r="FR19" s="1021"/>
      <c r="FS19" s="1020"/>
      <c r="FT19" s="503"/>
      <c r="FU19" s="956"/>
      <c r="FV19" s="503"/>
      <c r="FX19" s="1040"/>
      <c r="GA19" s="1011">
        <f t="shared" si="165"/>
        <v>20</v>
      </c>
      <c r="GB19" s="1036">
        <f t="shared" ref="GB19" si="168">EDATE(GC19,GA19)</f>
        <v>45962</v>
      </c>
      <c r="GC19" s="1037">
        <v>45352</v>
      </c>
      <c r="GG19" s="956"/>
      <c r="GI19" s="1024">
        <f t="shared" si="78"/>
        <v>3589810.9226570907</v>
      </c>
      <c r="GJ19" s="1025">
        <f t="shared" si="79"/>
        <v>0.125</v>
      </c>
      <c r="GK19" s="1024">
        <f t="shared" si="80"/>
        <v>448726.36533213634</v>
      </c>
      <c r="GL19" s="1024">
        <f t="shared" si="81"/>
        <v>30000</v>
      </c>
      <c r="GM19" s="1024">
        <f t="shared" si="82"/>
        <v>418726.36533213634</v>
      </c>
      <c r="GN19" s="1024">
        <f t="shared" si="83"/>
        <v>1</v>
      </c>
      <c r="GO19" s="1024">
        <f t="shared" si="84"/>
        <v>418726.36533213634</v>
      </c>
      <c r="GP19" s="1025">
        <f t="shared" si="85"/>
        <v>0.875</v>
      </c>
      <c r="GQ19" s="1024">
        <f t="shared" si="86"/>
        <v>3141084.5573249543</v>
      </c>
      <c r="GR19" s="1024">
        <f t="shared" si="87"/>
        <v>24352.79513982921</v>
      </c>
      <c r="GS19" s="1024">
        <f t="shared" si="88"/>
        <v>28232.956012616498</v>
      </c>
      <c r="GT19" s="1024">
        <f t="shared" si="89"/>
        <v>36470.655104810539</v>
      </c>
      <c r="GU19" s="1024">
        <f t="shared" si="90"/>
        <v>62197.238951617357</v>
      </c>
      <c r="GW19" s="1024">
        <f t="shared" si="91"/>
        <v>3589810.9226570907</v>
      </c>
      <c r="GX19" s="1025">
        <f t="shared" si="92"/>
        <v>0.125</v>
      </c>
      <c r="GY19" s="1024">
        <f t="shared" si="93"/>
        <v>448726.36533213634</v>
      </c>
      <c r="GZ19" s="1024">
        <f t="shared" si="94"/>
        <v>30000</v>
      </c>
      <c r="HA19" s="1024">
        <f t="shared" si="95"/>
        <v>418726.36533213634</v>
      </c>
      <c r="HB19" s="1026">
        <f t="shared" si="96"/>
        <v>25</v>
      </c>
      <c r="HC19" s="1009">
        <f t="shared" si="97"/>
        <v>16749.054613285454</v>
      </c>
      <c r="HD19" s="1027">
        <f t="shared" si="98"/>
        <v>0.875</v>
      </c>
      <c r="HE19" s="1009">
        <f t="shared" si="99"/>
        <v>3141084.5573249543</v>
      </c>
      <c r="HF19" s="1008">
        <f t="shared" si="100"/>
        <v>24352.79513982921</v>
      </c>
      <c r="HG19" s="1008">
        <f t="shared" si="101"/>
        <v>28232.956012616498</v>
      </c>
      <c r="HH19" s="1008">
        <f t="shared" si="102"/>
        <v>36470.655104810539</v>
      </c>
      <c r="HI19" s="1008">
        <f t="shared" si="103"/>
        <v>62197.238951617357</v>
      </c>
      <c r="HK19" s="1009">
        <f t="shared" si="104"/>
        <v>-401977.31071885087</v>
      </c>
      <c r="HR19" s="956">
        <f t="shared" si="105"/>
        <v>0</v>
      </c>
      <c r="HU19" s="956"/>
      <c r="HW19" s="956"/>
      <c r="HX19" s="956"/>
      <c r="IC19" s="1400" t="s">
        <v>299</v>
      </c>
      <c r="ID19" s="1401">
        <f t="shared" si="154"/>
        <v>45931</v>
      </c>
      <c r="IE19" s="1402">
        <f t="shared" si="113"/>
        <v>2</v>
      </c>
    </row>
    <row r="20" spans="1:239" ht="14.25" hidden="1" customHeight="1">
      <c r="A20" s="1018">
        <f t="shared" si="155"/>
        <v>14</v>
      </c>
      <c r="B20" s="716"/>
      <c r="C20" s="741">
        <f>C19+1</f>
        <v>2</v>
      </c>
      <c r="D20" s="716" t="s">
        <v>256</v>
      </c>
      <c r="E20" s="743" t="str">
        <f t="shared" si="36"/>
        <v>3rd Floor</v>
      </c>
      <c r="F20" s="1048"/>
      <c r="G20" s="745" t="s">
        <v>300</v>
      </c>
      <c r="H20" s="745" t="s">
        <v>278</v>
      </c>
      <c r="I20" s="745" t="s">
        <v>267</v>
      </c>
      <c r="J20" s="1005">
        <v>22</v>
      </c>
      <c r="K20" s="1049"/>
      <c r="L20" s="1006" t="s">
        <v>73</v>
      </c>
      <c r="M20" s="745" t="s">
        <v>240</v>
      </c>
      <c r="N20" s="1050">
        <v>95909.091</v>
      </c>
      <c r="O20" s="934">
        <f t="shared" si="132"/>
        <v>2110000.0019999999</v>
      </c>
      <c r="P20" s="934">
        <f t="shared" si="156"/>
        <v>22400</v>
      </c>
      <c r="Q20" s="934">
        <f t="shared" si="119"/>
        <v>50000</v>
      </c>
      <c r="R20" s="934"/>
      <c r="S20" s="934"/>
      <c r="T20" s="934"/>
      <c r="U20" s="934"/>
      <c r="V20" s="934"/>
      <c r="W20" s="749">
        <f t="shared" ref="W20:W23" si="169">J20*$W$5</f>
        <v>22000</v>
      </c>
      <c r="X20" s="934"/>
      <c r="Y20" s="934"/>
      <c r="Z20" s="934">
        <f t="shared" si="133"/>
        <v>75000</v>
      </c>
      <c r="AA20" s="934"/>
      <c r="AB20" s="934"/>
      <c r="AC20" s="934"/>
      <c r="AD20" s="934"/>
      <c r="AE20" s="934">
        <f t="shared" si="14"/>
        <v>169400</v>
      </c>
      <c r="AF20" s="1005">
        <f t="shared" si="15"/>
        <v>2279400.0019999999</v>
      </c>
      <c r="AG20" s="1005">
        <f t="shared" si="37"/>
        <v>56985.000050000002</v>
      </c>
      <c r="AH20" s="1005">
        <f t="shared" si="38"/>
        <v>2336385.0020499998</v>
      </c>
      <c r="AI20" s="1005">
        <f t="shared" si="39"/>
        <v>58409.625051249997</v>
      </c>
      <c r="AJ20" s="1005">
        <f t="shared" si="40"/>
        <v>2394794.62710125</v>
      </c>
      <c r="AK20" s="1005">
        <f t="shared" si="41"/>
        <v>119739.73135506251</v>
      </c>
      <c r="AL20" s="1005">
        <f t="shared" si="157"/>
        <v>2514534.3584563127</v>
      </c>
      <c r="AM20" s="934">
        <f t="shared" si="43"/>
        <v>25145.343584563128</v>
      </c>
      <c r="AN20" s="934">
        <f t="shared" si="44"/>
        <v>27537.409960060559</v>
      </c>
      <c r="AO20" s="934"/>
      <c r="AP20" s="934">
        <f t="shared" si="134"/>
        <v>111106.84003559267</v>
      </c>
      <c r="AQ20" s="1005">
        <f t="shared" si="45"/>
        <v>2678323.9520365288</v>
      </c>
      <c r="AR20" s="1005">
        <f t="shared" si="46"/>
        <v>120524.5778416438</v>
      </c>
      <c r="AS20" s="1147">
        <f t="shared" si="47"/>
        <v>2798848.5298781726</v>
      </c>
      <c r="AT20" s="1148">
        <f t="shared" si="135"/>
        <v>2000000</v>
      </c>
      <c r="AU20" s="1148">
        <f t="shared" si="16"/>
        <v>36311.296812644207</v>
      </c>
      <c r="AV20" s="1148">
        <f t="shared" si="136"/>
        <v>798848.52987817256</v>
      </c>
      <c r="AW20" s="1148">
        <f t="shared" si="17"/>
        <v>95861.823585380698</v>
      </c>
      <c r="AX20" s="1148">
        <f t="shared" si="18"/>
        <v>894710.35346355324</v>
      </c>
      <c r="AY20" s="1147">
        <f t="shared" si="48"/>
        <v>2894710.3534635534</v>
      </c>
      <c r="AZ20" s="934">
        <f t="shared" si="49"/>
        <v>36183.879418294418</v>
      </c>
      <c r="BA20" s="716" t="s">
        <v>269</v>
      </c>
      <c r="BB20" s="716">
        <f t="shared" si="19"/>
        <v>2930894.2328818478</v>
      </c>
      <c r="BC20" s="716" t="s">
        <v>269</v>
      </c>
      <c r="BD20" s="716">
        <f t="shared" si="50"/>
        <v>109908.53373306929</v>
      </c>
      <c r="BE20" s="716">
        <f t="shared" si="51"/>
        <v>33600</v>
      </c>
      <c r="BF20" s="716">
        <f t="shared" si="52"/>
        <v>3074402.7666149172</v>
      </c>
      <c r="BG20" s="716"/>
      <c r="BH20" s="716">
        <f t="shared" si="53"/>
        <v>3074402.7666149172</v>
      </c>
      <c r="BI20" s="716"/>
      <c r="BJ20" s="716">
        <f t="shared" si="54"/>
        <v>3074402.7666149172</v>
      </c>
      <c r="BK20" s="716"/>
      <c r="BL20" s="716">
        <f t="shared" si="55"/>
        <v>3074402.7666149172</v>
      </c>
      <c r="BM20" s="716"/>
      <c r="BN20" s="716">
        <f t="shared" si="20"/>
        <v>3074402.7666149172</v>
      </c>
      <c r="BO20" s="716"/>
      <c r="BP20" s="716">
        <f t="shared" si="56"/>
        <v>3074402.7666149172</v>
      </c>
      <c r="BQ20" s="716"/>
      <c r="BR20" s="716">
        <f t="shared" si="57"/>
        <v>3074402.7666149172</v>
      </c>
      <c r="BS20" s="716"/>
      <c r="BT20" s="716">
        <f t="shared" si="58"/>
        <v>3074402.7666149172</v>
      </c>
      <c r="BU20" s="716"/>
      <c r="BV20" s="716">
        <f t="shared" si="21"/>
        <v>3074402.7666149172</v>
      </c>
      <c r="BW20" s="716"/>
      <c r="BX20" s="716">
        <f t="shared" si="167"/>
        <v>31400</v>
      </c>
      <c r="BY20" s="716">
        <f t="shared" si="60"/>
        <v>3105802.7666149172</v>
      </c>
      <c r="BZ20" s="716"/>
      <c r="CA20" s="716">
        <f t="shared" si="61"/>
        <v>3105802.7666149172</v>
      </c>
      <c r="CB20" s="1135">
        <f t="shared" si="121"/>
        <v>3105802.7666149172</v>
      </c>
      <c r="CC20" s="1164">
        <f t="shared" si="109"/>
        <v>3105802.7666149172</v>
      </c>
      <c r="CD20" s="1164"/>
      <c r="CE20" s="1164">
        <f t="shared" si="63"/>
        <v>0</v>
      </c>
      <c r="CF20" s="1164">
        <f t="shared" si="115"/>
        <v>0</v>
      </c>
      <c r="CG20" s="1164">
        <f t="shared" si="116"/>
        <v>0</v>
      </c>
      <c r="CH20" s="1154">
        <f t="shared" si="158"/>
        <v>3105802.7666149172</v>
      </c>
      <c r="CI20" s="935">
        <f t="shared" si="137"/>
        <v>3105802.7666149172</v>
      </c>
      <c r="CJ20" s="935">
        <f t="shared" si="64"/>
        <v>0</v>
      </c>
      <c r="CK20" s="935">
        <f t="shared" si="65"/>
        <v>318344.78357802902</v>
      </c>
      <c r="CL20" s="935">
        <f t="shared" si="66"/>
        <v>108703.09683152211</v>
      </c>
      <c r="CM20" s="1006">
        <f t="shared" si="138"/>
        <v>3532850.6470244681</v>
      </c>
      <c r="CN20" s="1007">
        <f t="shared" si="139"/>
        <v>0.125</v>
      </c>
      <c r="CO20" s="935">
        <f t="shared" si="24"/>
        <v>441606.33087805851</v>
      </c>
      <c r="CP20" s="935">
        <f t="shared" ref="CP20:CP83" si="170">$CP$5</f>
        <v>30000</v>
      </c>
      <c r="CQ20" s="935">
        <f t="shared" si="25"/>
        <v>411606.33087805851</v>
      </c>
      <c r="CR20" s="745">
        <f t="shared" si="141"/>
        <v>1</v>
      </c>
      <c r="CS20" s="935">
        <f t="shared" si="26"/>
        <v>411606.33087805851</v>
      </c>
      <c r="CT20" s="1007">
        <f t="shared" si="68"/>
        <v>0.875</v>
      </c>
      <c r="CU20" s="935">
        <f t="shared" si="69"/>
        <v>3091244.3161464096</v>
      </c>
      <c r="CV20" s="1008">
        <f t="shared" si="110"/>
        <v>23966.384280462073</v>
      </c>
      <c r="CW20" s="1008">
        <f t="shared" si="70"/>
        <v>27784.977834642708</v>
      </c>
      <c r="CX20" s="1008">
        <f t="shared" si="71"/>
        <v>35891.967644097516</v>
      </c>
      <c r="CY20" s="1008">
        <f t="shared" si="72"/>
        <v>61210.342440742083</v>
      </c>
      <c r="CZ20" s="1119">
        <f t="shared" si="122"/>
        <v>251111.60136479235</v>
      </c>
      <c r="DA20" s="1119">
        <f t="shared" si="123"/>
        <v>99363.63742520845</v>
      </c>
      <c r="DB20" s="1119">
        <f t="shared" si="124"/>
        <v>71768.948005694881</v>
      </c>
      <c r="DC20" s="1119">
        <f t="shared" si="125"/>
        <v>54619.473504051763</v>
      </c>
      <c r="DD20" s="1028">
        <f t="shared" si="126"/>
        <v>0.39942426493908628</v>
      </c>
      <c r="DE20" s="1028">
        <f t="shared" si="142"/>
        <v>0</v>
      </c>
      <c r="DF20" s="1009" t="s">
        <v>270</v>
      </c>
      <c r="DG20" s="1009" t="s">
        <v>271</v>
      </c>
      <c r="DH20" s="966">
        <f t="shared" si="111"/>
        <v>45658</v>
      </c>
      <c r="DI20" s="912">
        <f t="shared" si="73"/>
        <v>14</v>
      </c>
      <c r="DK20" s="913">
        <f t="shared" si="74"/>
        <v>45723</v>
      </c>
      <c r="DL20" s="912">
        <f t="shared" si="75"/>
        <v>16</v>
      </c>
      <c r="DM20" s="750" t="s">
        <v>272</v>
      </c>
      <c r="DN20" s="750" t="s">
        <v>273</v>
      </c>
      <c r="DO20" s="751">
        <f t="shared" si="31"/>
        <v>40668.652430161514</v>
      </c>
      <c r="DP20" s="751">
        <f t="shared" si="32"/>
        <v>894710.35346355324</v>
      </c>
      <c r="DQ20" s="752">
        <f t="shared" si="127"/>
        <v>0.4473551767317766</v>
      </c>
      <c r="DS20" s="751">
        <f t="shared" si="128"/>
        <v>3105802.7666149172</v>
      </c>
      <c r="DT20" s="751">
        <f>'[4]INTERNAL PRICELIST'!N14</f>
        <v>2061900</v>
      </c>
      <c r="DU20" s="751">
        <f t="shared" si="33"/>
        <v>1043902.7666149172</v>
      </c>
      <c r="DW20" s="951">
        <f t="shared" si="129"/>
        <v>141172.85302795077</v>
      </c>
      <c r="DZ20" s="1010" t="s">
        <v>300</v>
      </c>
      <c r="EA20" s="1011" t="b">
        <f t="shared" si="35"/>
        <v>1</v>
      </c>
      <c r="EB20" s="1011"/>
      <c r="EC20" s="1011"/>
      <c r="EE20" s="1029"/>
      <c r="ER20" s="1017" t="s">
        <v>264</v>
      </c>
      <c r="ES20" s="1391" t="s">
        <v>264</v>
      </c>
      <c r="ET20" s="1018" t="b">
        <f t="shared" si="76"/>
        <v>1</v>
      </c>
      <c r="EX20" s="1019">
        <v>2904753.9878586316</v>
      </c>
      <c r="EY20" s="1019">
        <f t="shared" si="143"/>
        <v>435713.09817879472</v>
      </c>
      <c r="EZ20" s="1019">
        <f t="shared" si="144"/>
        <v>2469040.889679837</v>
      </c>
      <c r="FA20" s="1019">
        <f t="shared" si="145"/>
        <v>290475.39878586319</v>
      </c>
      <c r="FB20" s="1019">
        <f t="shared" si="146"/>
        <v>2614278.5890727686</v>
      </c>
      <c r="FC20" s="1019">
        <f t="shared" si="147"/>
        <v>145237.69939293154</v>
      </c>
      <c r="FD20" s="1020"/>
      <c r="FE20" s="1021"/>
      <c r="FF20" s="1022">
        <f t="shared" si="148"/>
        <v>2469040.889679837</v>
      </c>
      <c r="FG20" s="1022">
        <f t="shared" si="149"/>
        <v>209868.47562278615</v>
      </c>
      <c r="FH20" s="1022">
        <f t="shared" si="161"/>
        <v>104934.23781139308</v>
      </c>
      <c r="FI20" s="1023">
        <f t="shared" si="150"/>
        <v>2614278.5890727686</v>
      </c>
      <c r="FJ20" s="1023">
        <f t="shared" si="151"/>
        <v>222213.68007118534</v>
      </c>
      <c r="FK20" s="1023">
        <f t="shared" si="152"/>
        <v>111106.84003559267</v>
      </c>
      <c r="FL20" s="1019">
        <f t="shared" si="162"/>
        <v>12345.204448399192</v>
      </c>
      <c r="FM20" s="1019">
        <f t="shared" si="163"/>
        <v>6172.6022241995961</v>
      </c>
      <c r="FN20" s="1019" t="str">
        <f t="shared" si="153"/>
        <v>VS</v>
      </c>
      <c r="FO20" s="1019">
        <f t="shared" si="159"/>
        <v>27537.409960060559</v>
      </c>
      <c r="FP20" s="1019">
        <f t="shared" si="164"/>
        <v>-21364.807735860963</v>
      </c>
      <c r="FQ20" s="1021"/>
      <c r="FR20" s="1021"/>
      <c r="FS20" s="1020"/>
      <c r="FT20" s="503"/>
      <c r="FU20" s="956"/>
      <c r="FV20" s="503"/>
      <c r="FX20" s="1040"/>
      <c r="GA20" s="1011">
        <f t="shared" si="165"/>
        <v>19</v>
      </c>
      <c r="GB20" s="1036">
        <f t="shared" ref="GB20" si="171">EDATE(GC20,GA20)</f>
        <v>45962</v>
      </c>
      <c r="GC20" s="1037">
        <v>45383</v>
      </c>
      <c r="GG20" s="956"/>
      <c r="GI20" s="1024">
        <f t="shared" si="78"/>
        <v>3532850.6470244681</v>
      </c>
      <c r="GJ20" s="1025">
        <f t="shared" si="79"/>
        <v>0.125</v>
      </c>
      <c r="GK20" s="1024">
        <f t="shared" si="80"/>
        <v>441606.33087805851</v>
      </c>
      <c r="GL20" s="1024">
        <f t="shared" si="81"/>
        <v>30000</v>
      </c>
      <c r="GM20" s="1024">
        <f t="shared" si="82"/>
        <v>411606.33087805851</v>
      </c>
      <c r="GN20" s="1024">
        <f t="shared" si="83"/>
        <v>1</v>
      </c>
      <c r="GO20" s="1024">
        <f t="shared" si="84"/>
        <v>411606.33087805851</v>
      </c>
      <c r="GP20" s="1025">
        <f t="shared" si="85"/>
        <v>0.875</v>
      </c>
      <c r="GQ20" s="1024">
        <f t="shared" si="86"/>
        <v>3091244.3161464096</v>
      </c>
      <c r="GR20" s="1024">
        <f t="shared" si="87"/>
        <v>23966.384280462073</v>
      </c>
      <c r="GS20" s="1024">
        <f t="shared" si="88"/>
        <v>27784.977834642708</v>
      </c>
      <c r="GT20" s="1024">
        <f t="shared" si="89"/>
        <v>35891.967644097516</v>
      </c>
      <c r="GU20" s="1024">
        <f t="shared" si="90"/>
        <v>61210.342440742083</v>
      </c>
      <c r="GW20" s="1024">
        <f t="shared" si="91"/>
        <v>3532850.6470244681</v>
      </c>
      <c r="GX20" s="1025">
        <f t="shared" si="92"/>
        <v>0.125</v>
      </c>
      <c r="GY20" s="1024">
        <f t="shared" si="93"/>
        <v>441606.33087805851</v>
      </c>
      <c r="GZ20" s="1024">
        <f t="shared" si="94"/>
        <v>30000</v>
      </c>
      <c r="HA20" s="1024">
        <f t="shared" si="95"/>
        <v>411606.33087805851</v>
      </c>
      <c r="HB20" s="1026">
        <f t="shared" si="96"/>
        <v>25</v>
      </c>
      <c r="HC20" s="1009">
        <f t="shared" si="97"/>
        <v>16464.253235122342</v>
      </c>
      <c r="HD20" s="1027">
        <f t="shared" si="98"/>
        <v>0.875</v>
      </c>
      <c r="HE20" s="1009">
        <f t="shared" si="99"/>
        <v>3091244.3161464096</v>
      </c>
      <c r="HF20" s="1008">
        <f t="shared" si="100"/>
        <v>23966.384280462073</v>
      </c>
      <c r="HG20" s="1008">
        <f t="shared" si="101"/>
        <v>27784.977834642708</v>
      </c>
      <c r="HH20" s="1008">
        <f t="shared" si="102"/>
        <v>35891.967644097516</v>
      </c>
      <c r="HI20" s="1008">
        <f t="shared" si="103"/>
        <v>61210.342440742083</v>
      </c>
      <c r="HK20" s="1009">
        <f t="shared" si="104"/>
        <v>-395142.07764293614</v>
      </c>
      <c r="HR20" s="956">
        <f t="shared" si="105"/>
        <v>0</v>
      </c>
      <c r="HU20" s="956"/>
      <c r="HW20" s="956"/>
      <c r="HX20" s="956"/>
    </row>
    <row r="21" spans="1:239" ht="14.25" hidden="1" customHeight="1">
      <c r="A21" s="1018">
        <f t="shared" si="155"/>
        <v>15</v>
      </c>
      <c r="B21" s="716"/>
      <c r="C21" s="741">
        <f t="shared" ref="C21:C36" si="172">C20+1</f>
        <v>3</v>
      </c>
      <c r="D21" s="716" t="s">
        <v>256</v>
      </c>
      <c r="E21" s="743" t="str">
        <f t="shared" si="36"/>
        <v>3rd Floor</v>
      </c>
      <c r="F21" s="1048"/>
      <c r="G21" s="745" t="s">
        <v>301</v>
      </c>
      <c r="H21" s="745" t="s">
        <v>283</v>
      </c>
      <c r="I21" s="745" t="s">
        <v>267</v>
      </c>
      <c r="J21" s="1005">
        <v>22</v>
      </c>
      <c r="K21" s="1049"/>
      <c r="L21" s="1006" t="s">
        <v>73</v>
      </c>
      <c r="M21" s="745" t="s">
        <v>240</v>
      </c>
      <c r="N21" s="1050">
        <v>95909.091</v>
      </c>
      <c r="O21" s="934">
        <f t="shared" si="132"/>
        <v>2110000.0019999999</v>
      </c>
      <c r="P21" s="934">
        <f t="shared" si="156"/>
        <v>22400</v>
      </c>
      <c r="Q21" s="934">
        <f t="shared" si="119"/>
        <v>50000</v>
      </c>
      <c r="R21" s="934"/>
      <c r="S21" s="934"/>
      <c r="T21" s="934"/>
      <c r="U21" s="934"/>
      <c r="V21" s="934"/>
      <c r="W21" s="749">
        <f t="shared" si="169"/>
        <v>22000</v>
      </c>
      <c r="X21" s="934"/>
      <c r="Y21" s="934"/>
      <c r="Z21" s="934">
        <f t="shared" si="133"/>
        <v>75000</v>
      </c>
      <c r="AA21" s="934"/>
      <c r="AB21" s="934"/>
      <c r="AC21" s="934"/>
      <c r="AD21" s="934"/>
      <c r="AE21" s="934">
        <f t="shared" si="14"/>
        <v>169400</v>
      </c>
      <c r="AF21" s="1005">
        <f t="shared" si="15"/>
        <v>2279400.0019999999</v>
      </c>
      <c r="AG21" s="1005">
        <f t="shared" si="37"/>
        <v>56985.000050000002</v>
      </c>
      <c r="AH21" s="1005">
        <f t="shared" si="38"/>
        <v>2336385.0020499998</v>
      </c>
      <c r="AI21" s="1005">
        <f t="shared" si="39"/>
        <v>58409.625051249997</v>
      </c>
      <c r="AJ21" s="1005">
        <f t="shared" si="40"/>
        <v>2394794.62710125</v>
      </c>
      <c r="AK21" s="1005">
        <f t="shared" si="41"/>
        <v>119739.73135506251</v>
      </c>
      <c r="AL21" s="1005">
        <f t="shared" si="157"/>
        <v>2514534.3584563127</v>
      </c>
      <c r="AM21" s="934">
        <f t="shared" si="43"/>
        <v>25145.343584563128</v>
      </c>
      <c r="AN21" s="934">
        <f t="shared" si="44"/>
        <v>27537.409960060559</v>
      </c>
      <c r="AO21" s="934"/>
      <c r="AP21" s="934">
        <f t="shared" si="134"/>
        <v>111106.84003559267</v>
      </c>
      <c r="AQ21" s="1005">
        <f t="shared" si="45"/>
        <v>2678323.9520365288</v>
      </c>
      <c r="AR21" s="1005">
        <f t="shared" si="46"/>
        <v>120524.5778416438</v>
      </c>
      <c r="AS21" s="1147">
        <f t="shared" si="47"/>
        <v>2798848.5298781726</v>
      </c>
      <c r="AT21" s="1148">
        <f t="shared" si="135"/>
        <v>2000000</v>
      </c>
      <c r="AU21" s="1148">
        <f t="shared" si="16"/>
        <v>36311.296812644207</v>
      </c>
      <c r="AV21" s="1148">
        <f t="shared" si="136"/>
        <v>798848.52987817256</v>
      </c>
      <c r="AW21" s="1148">
        <f t="shared" si="17"/>
        <v>95861.823585380698</v>
      </c>
      <c r="AX21" s="1148">
        <f t="shared" si="18"/>
        <v>894710.35346355324</v>
      </c>
      <c r="AY21" s="1147">
        <f t="shared" si="48"/>
        <v>2894710.3534635534</v>
      </c>
      <c r="AZ21" s="934">
        <f t="shared" si="49"/>
        <v>36183.879418294418</v>
      </c>
      <c r="BA21" s="716" t="s">
        <v>269</v>
      </c>
      <c r="BB21" s="716">
        <f t="shared" si="19"/>
        <v>2930894.2328818478</v>
      </c>
      <c r="BC21" s="716" t="s">
        <v>269</v>
      </c>
      <c r="BD21" s="716">
        <f t="shared" si="50"/>
        <v>109908.53373306929</v>
      </c>
      <c r="BE21" s="716">
        <f t="shared" si="51"/>
        <v>33600</v>
      </c>
      <c r="BF21" s="716">
        <f t="shared" si="52"/>
        <v>3074402.7666149172</v>
      </c>
      <c r="BG21" s="716"/>
      <c r="BH21" s="716">
        <f t="shared" si="53"/>
        <v>3074402.7666149172</v>
      </c>
      <c r="BI21" s="716"/>
      <c r="BJ21" s="716">
        <f t="shared" si="54"/>
        <v>3074402.7666149172</v>
      </c>
      <c r="BK21" s="716"/>
      <c r="BL21" s="716">
        <f t="shared" si="55"/>
        <v>3074402.7666149172</v>
      </c>
      <c r="BM21" s="716"/>
      <c r="BN21" s="716">
        <f t="shared" si="20"/>
        <v>3074402.7666149172</v>
      </c>
      <c r="BO21" s="716"/>
      <c r="BP21" s="716">
        <f t="shared" si="56"/>
        <v>3074402.7666149172</v>
      </c>
      <c r="BQ21" s="716"/>
      <c r="BR21" s="716">
        <f t="shared" si="57"/>
        <v>3074402.7666149172</v>
      </c>
      <c r="BS21" s="716"/>
      <c r="BT21" s="716">
        <f t="shared" si="58"/>
        <v>3074402.7666149172</v>
      </c>
      <c r="BU21" s="716"/>
      <c r="BV21" s="716">
        <f t="shared" si="21"/>
        <v>3074402.7666149172</v>
      </c>
      <c r="BW21" s="716"/>
      <c r="BX21" s="716">
        <f t="shared" si="167"/>
        <v>31400</v>
      </c>
      <c r="BY21" s="716">
        <f t="shared" si="60"/>
        <v>3105802.7666149172</v>
      </c>
      <c r="BZ21" s="716"/>
      <c r="CA21" s="716">
        <f t="shared" si="61"/>
        <v>3105802.7666149172</v>
      </c>
      <c r="CB21" s="1135">
        <f t="shared" si="121"/>
        <v>3105802.7666149172</v>
      </c>
      <c r="CC21" s="1164">
        <f t="shared" si="109"/>
        <v>3105802.7666149172</v>
      </c>
      <c r="CD21" s="1164"/>
      <c r="CE21" s="1164">
        <f t="shared" si="63"/>
        <v>0</v>
      </c>
      <c r="CF21" s="1164">
        <f t="shared" si="115"/>
        <v>0</v>
      </c>
      <c r="CG21" s="1164">
        <f t="shared" si="116"/>
        <v>0</v>
      </c>
      <c r="CH21" s="1154">
        <f t="shared" si="158"/>
        <v>3105802.7666149172</v>
      </c>
      <c r="CI21" s="935">
        <f t="shared" si="137"/>
        <v>3105802.7666149172</v>
      </c>
      <c r="CJ21" s="935">
        <f t="shared" si="64"/>
        <v>0</v>
      </c>
      <c r="CK21" s="935">
        <f t="shared" si="65"/>
        <v>318344.78357802902</v>
      </c>
      <c r="CL21" s="935">
        <f t="shared" si="66"/>
        <v>108703.09683152211</v>
      </c>
      <c r="CM21" s="1006">
        <f t="shared" si="138"/>
        <v>3532850.6470244681</v>
      </c>
      <c r="CN21" s="1007">
        <f t="shared" si="139"/>
        <v>0.125</v>
      </c>
      <c r="CO21" s="935">
        <f t="shared" si="24"/>
        <v>441606.33087805851</v>
      </c>
      <c r="CP21" s="935">
        <f t="shared" si="170"/>
        <v>30000</v>
      </c>
      <c r="CQ21" s="935">
        <f t="shared" si="25"/>
        <v>411606.33087805851</v>
      </c>
      <c r="CR21" s="745">
        <f t="shared" si="141"/>
        <v>1</v>
      </c>
      <c r="CS21" s="935">
        <f t="shared" si="26"/>
        <v>411606.33087805851</v>
      </c>
      <c r="CT21" s="1007">
        <f t="shared" si="68"/>
        <v>0.875</v>
      </c>
      <c r="CU21" s="935">
        <f t="shared" si="69"/>
        <v>3091244.3161464096</v>
      </c>
      <c r="CV21" s="1008">
        <f t="shared" si="110"/>
        <v>23966.384280462073</v>
      </c>
      <c r="CW21" s="1008">
        <f t="shared" si="70"/>
        <v>27784.977834642708</v>
      </c>
      <c r="CX21" s="1008">
        <f t="shared" si="71"/>
        <v>35891.967644097516</v>
      </c>
      <c r="CY21" s="1008">
        <f t="shared" si="72"/>
        <v>61210.342440742083</v>
      </c>
      <c r="CZ21" s="1119">
        <f t="shared" si="122"/>
        <v>251111.60136479235</v>
      </c>
      <c r="DA21" s="1119">
        <f t="shared" si="123"/>
        <v>99363.63742520845</v>
      </c>
      <c r="DB21" s="1119">
        <f t="shared" si="124"/>
        <v>71768.948005694881</v>
      </c>
      <c r="DC21" s="1119">
        <f t="shared" si="125"/>
        <v>54619.473504051763</v>
      </c>
      <c r="DD21" s="1028">
        <f t="shared" si="126"/>
        <v>0.39942426493908628</v>
      </c>
      <c r="DE21" s="1028">
        <f t="shared" si="142"/>
        <v>0</v>
      </c>
      <c r="DF21" s="1009" t="s">
        <v>270</v>
      </c>
      <c r="DG21" s="1009" t="s">
        <v>271</v>
      </c>
      <c r="DH21" s="966">
        <f t="shared" si="111"/>
        <v>45658</v>
      </c>
      <c r="DI21" s="912">
        <f t="shared" si="73"/>
        <v>14</v>
      </c>
      <c r="DK21" s="913">
        <f t="shared" si="74"/>
        <v>45723</v>
      </c>
      <c r="DL21" s="912">
        <f t="shared" si="75"/>
        <v>16</v>
      </c>
      <c r="DM21" s="750" t="s">
        <v>272</v>
      </c>
      <c r="DN21" s="750" t="s">
        <v>273</v>
      </c>
      <c r="DO21" s="751">
        <f t="shared" si="31"/>
        <v>40668.652430161514</v>
      </c>
      <c r="DP21" s="751">
        <f t="shared" si="32"/>
        <v>894710.35346355324</v>
      </c>
      <c r="DQ21" s="752">
        <f t="shared" si="127"/>
        <v>0.4473551767317766</v>
      </c>
      <c r="DS21" s="751">
        <f t="shared" si="128"/>
        <v>3105802.7666149172</v>
      </c>
      <c r="DT21" s="751">
        <f>'[4]INTERNAL PRICELIST'!N15</f>
        <v>2061900</v>
      </c>
      <c r="DU21" s="751">
        <f t="shared" si="33"/>
        <v>1043902.7666149172</v>
      </c>
      <c r="DW21" s="951">
        <f t="shared" si="129"/>
        <v>141172.85302795077</v>
      </c>
      <c r="DZ21" s="1010" t="s">
        <v>301</v>
      </c>
      <c r="EA21" s="1011" t="b">
        <f t="shared" si="35"/>
        <v>1</v>
      </c>
      <c r="EB21" s="1011"/>
      <c r="EC21" s="1011"/>
      <c r="EE21" s="1029"/>
      <c r="EJ21" s="1060"/>
      <c r="EK21" s="1061" t="s">
        <v>302</v>
      </c>
      <c r="EL21" s="1060"/>
      <c r="EM21" s="1060"/>
      <c r="EN21" s="1060"/>
      <c r="EO21" s="1062"/>
      <c r="ER21" s="1017" t="s">
        <v>264</v>
      </c>
      <c r="ES21" s="1391" t="s">
        <v>264</v>
      </c>
      <c r="ET21" s="1018" t="b">
        <f t="shared" si="76"/>
        <v>1</v>
      </c>
      <c r="EX21" s="1019">
        <v>2904753.9878586316</v>
      </c>
      <c r="EY21" s="1019">
        <f t="shared" si="143"/>
        <v>435713.09817879472</v>
      </c>
      <c r="EZ21" s="1019">
        <f t="shared" si="144"/>
        <v>2469040.889679837</v>
      </c>
      <c r="FA21" s="1019">
        <f t="shared" si="145"/>
        <v>290475.39878586319</v>
      </c>
      <c r="FB21" s="1019">
        <f t="shared" si="146"/>
        <v>2614278.5890727686</v>
      </c>
      <c r="FC21" s="1019">
        <f t="shared" si="147"/>
        <v>145237.69939293154</v>
      </c>
      <c r="FD21" s="1020"/>
      <c r="FE21" s="1021"/>
      <c r="FF21" s="1022">
        <f t="shared" si="148"/>
        <v>2469040.889679837</v>
      </c>
      <c r="FG21" s="1022">
        <f t="shared" si="149"/>
        <v>209868.47562278615</v>
      </c>
      <c r="FH21" s="1022">
        <f t="shared" si="161"/>
        <v>104934.23781139308</v>
      </c>
      <c r="FI21" s="1023">
        <f t="shared" si="150"/>
        <v>2614278.5890727686</v>
      </c>
      <c r="FJ21" s="1023">
        <f t="shared" si="151"/>
        <v>222213.68007118534</v>
      </c>
      <c r="FK21" s="1023">
        <f t="shared" si="152"/>
        <v>111106.84003559267</v>
      </c>
      <c r="FL21" s="1019">
        <f t="shared" si="162"/>
        <v>12345.204448399192</v>
      </c>
      <c r="FM21" s="1019">
        <f t="shared" si="163"/>
        <v>6172.6022241995961</v>
      </c>
      <c r="FN21" s="1019" t="str">
        <f t="shared" si="153"/>
        <v>VS</v>
      </c>
      <c r="FO21" s="1019">
        <f t="shared" si="159"/>
        <v>27537.409960060559</v>
      </c>
      <c r="FP21" s="1019">
        <f t="shared" si="164"/>
        <v>-21364.807735860963</v>
      </c>
      <c r="FQ21" s="1021"/>
      <c r="FR21" s="1021"/>
      <c r="FS21" s="1020"/>
      <c r="FT21" s="503"/>
      <c r="FU21" s="956"/>
      <c r="FV21" s="503"/>
      <c r="FX21" s="1040"/>
      <c r="GA21" s="1011">
        <f t="shared" si="165"/>
        <v>18</v>
      </c>
      <c r="GB21" s="1036">
        <f t="shared" ref="GB21" si="173">EDATE(GC21,GA21)</f>
        <v>45962</v>
      </c>
      <c r="GC21" s="1037">
        <v>45413</v>
      </c>
      <c r="GG21" s="956"/>
      <c r="GI21" s="1024">
        <f t="shared" si="78"/>
        <v>3532850.6470244681</v>
      </c>
      <c r="GJ21" s="1025">
        <f t="shared" si="79"/>
        <v>0.125</v>
      </c>
      <c r="GK21" s="1024">
        <f t="shared" si="80"/>
        <v>441606.33087805851</v>
      </c>
      <c r="GL21" s="1024">
        <f t="shared" si="81"/>
        <v>30000</v>
      </c>
      <c r="GM21" s="1024">
        <f t="shared" si="82"/>
        <v>411606.33087805851</v>
      </c>
      <c r="GN21" s="1024">
        <f t="shared" si="83"/>
        <v>1</v>
      </c>
      <c r="GO21" s="1024">
        <f t="shared" si="84"/>
        <v>411606.33087805851</v>
      </c>
      <c r="GP21" s="1025">
        <f t="shared" si="85"/>
        <v>0.875</v>
      </c>
      <c r="GQ21" s="1024">
        <f t="shared" si="86"/>
        <v>3091244.3161464096</v>
      </c>
      <c r="GR21" s="1024">
        <f t="shared" si="87"/>
        <v>23966.384280462073</v>
      </c>
      <c r="GS21" s="1024">
        <f t="shared" si="88"/>
        <v>27784.977834642708</v>
      </c>
      <c r="GT21" s="1024">
        <f t="shared" si="89"/>
        <v>35891.967644097516</v>
      </c>
      <c r="GU21" s="1024">
        <f t="shared" si="90"/>
        <v>61210.342440742083</v>
      </c>
      <c r="GW21" s="1024">
        <f t="shared" si="91"/>
        <v>3532850.6470244681</v>
      </c>
      <c r="GX21" s="1025">
        <f t="shared" si="92"/>
        <v>0.125</v>
      </c>
      <c r="GY21" s="1024">
        <f t="shared" si="93"/>
        <v>441606.33087805851</v>
      </c>
      <c r="GZ21" s="1024">
        <f t="shared" si="94"/>
        <v>30000</v>
      </c>
      <c r="HA21" s="1024">
        <f t="shared" si="95"/>
        <v>411606.33087805851</v>
      </c>
      <c r="HB21" s="1026">
        <f t="shared" si="96"/>
        <v>25</v>
      </c>
      <c r="HC21" s="1009">
        <f t="shared" si="97"/>
        <v>16464.253235122342</v>
      </c>
      <c r="HD21" s="1027">
        <f t="shared" si="98"/>
        <v>0.875</v>
      </c>
      <c r="HE21" s="1009">
        <f t="shared" si="99"/>
        <v>3091244.3161464096</v>
      </c>
      <c r="HF21" s="1008">
        <f t="shared" si="100"/>
        <v>23966.384280462073</v>
      </c>
      <c r="HG21" s="1008">
        <f t="shared" si="101"/>
        <v>27784.977834642708</v>
      </c>
      <c r="HH21" s="1008">
        <f t="shared" si="102"/>
        <v>35891.967644097516</v>
      </c>
      <c r="HI21" s="1008">
        <f t="shared" si="103"/>
        <v>61210.342440742083</v>
      </c>
      <c r="HK21" s="1009">
        <f t="shared" si="104"/>
        <v>-395142.07764293614</v>
      </c>
      <c r="HR21" s="956">
        <f t="shared" si="105"/>
        <v>0</v>
      </c>
      <c r="HU21" s="956"/>
      <c r="HW21" s="956"/>
      <c r="HX21" s="956"/>
    </row>
    <row r="22" spans="1:239" ht="14.25" hidden="1" customHeight="1">
      <c r="A22" s="1018">
        <f t="shared" si="155"/>
        <v>16</v>
      </c>
      <c r="B22" s="716"/>
      <c r="C22" s="741">
        <f t="shared" si="172"/>
        <v>4</v>
      </c>
      <c r="D22" s="716" t="s">
        <v>256</v>
      </c>
      <c r="E22" s="743" t="str">
        <f t="shared" si="36"/>
        <v>3rd Floor</v>
      </c>
      <c r="F22" s="1048"/>
      <c r="G22" s="745" t="s">
        <v>303</v>
      </c>
      <c r="H22" s="745" t="s">
        <v>288</v>
      </c>
      <c r="I22" s="745" t="s">
        <v>267</v>
      </c>
      <c r="J22" s="1005">
        <v>22</v>
      </c>
      <c r="K22" s="1049"/>
      <c r="L22" s="1006" t="s">
        <v>73</v>
      </c>
      <c r="M22" s="745" t="s">
        <v>240</v>
      </c>
      <c r="N22" s="1050">
        <v>95909.091</v>
      </c>
      <c r="O22" s="934">
        <f t="shared" si="132"/>
        <v>2110000.0019999999</v>
      </c>
      <c r="P22" s="934">
        <f t="shared" si="156"/>
        <v>22400</v>
      </c>
      <c r="Q22" s="934">
        <f t="shared" si="119"/>
        <v>50000</v>
      </c>
      <c r="R22" s="934"/>
      <c r="S22" s="934"/>
      <c r="T22" s="934"/>
      <c r="U22" s="934"/>
      <c r="V22" s="934"/>
      <c r="W22" s="749">
        <f t="shared" si="169"/>
        <v>22000</v>
      </c>
      <c r="X22" s="934"/>
      <c r="Y22" s="934"/>
      <c r="Z22" s="934">
        <f t="shared" si="133"/>
        <v>75000</v>
      </c>
      <c r="AA22" s="934"/>
      <c r="AB22" s="934"/>
      <c r="AC22" s="934"/>
      <c r="AD22" s="934"/>
      <c r="AE22" s="934">
        <f t="shared" si="14"/>
        <v>169400</v>
      </c>
      <c r="AF22" s="1005">
        <f t="shared" si="15"/>
        <v>2279400.0019999999</v>
      </c>
      <c r="AG22" s="1005">
        <f t="shared" si="37"/>
        <v>56985.000050000002</v>
      </c>
      <c r="AH22" s="1005">
        <f t="shared" si="38"/>
        <v>2336385.0020499998</v>
      </c>
      <c r="AI22" s="1005">
        <f t="shared" si="39"/>
        <v>58409.625051249997</v>
      </c>
      <c r="AJ22" s="1005">
        <f t="shared" si="40"/>
        <v>2394794.62710125</v>
      </c>
      <c r="AK22" s="1005">
        <f t="shared" si="41"/>
        <v>119739.73135506251</v>
      </c>
      <c r="AL22" s="1005">
        <f t="shared" si="157"/>
        <v>2514534.3584563127</v>
      </c>
      <c r="AM22" s="934">
        <f t="shared" si="43"/>
        <v>25145.343584563128</v>
      </c>
      <c r="AN22" s="934">
        <f t="shared" si="44"/>
        <v>27537.409960060559</v>
      </c>
      <c r="AO22" s="934"/>
      <c r="AP22" s="934">
        <f t="shared" si="134"/>
        <v>111106.84003559267</v>
      </c>
      <c r="AQ22" s="1005">
        <f t="shared" si="45"/>
        <v>2678323.9520365288</v>
      </c>
      <c r="AR22" s="1005">
        <f t="shared" si="46"/>
        <v>120524.5778416438</v>
      </c>
      <c r="AS22" s="1147">
        <f t="shared" si="47"/>
        <v>2798848.5298781726</v>
      </c>
      <c r="AT22" s="1148">
        <f t="shared" si="135"/>
        <v>2000000</v>
      </c>
      <c r="AU22" s="1148">
        <f t="shared" si="16"/>
        <v>36311.296812644207</v>
      </c>
      <c r="AV22" s="1148">
        <f t="shared" si="136"/>
        <v>798848.52987817256</v>
      </c>
      <c r="AW22" s="1148">
        <f t="shared" si="17"/>
        <v>95861.823585380698</v>
      </c>
      <c r="AX22" s="1148">
        <f t="shared" si="18"/>
        <v>894710.35346355324</v>
      </c>
      <c r="AY22" s="1147">
        <f t="shared" si="48"/>
        <v>2894710.3534635534</v>
      </c>
      <c r="AZ22" s="934">
        <f t="shared" si="49"/>
        <v>36183.879418294418</v>
      </c>
      <c r="BA22" s="716" t="s">
        <v>269</v>
      </c>
      <c r="BB22" s="716">
        <f t="shared" si="19"/>
        <v>2930894.2328818478</v>
      </c>
      <c r="BC22" s="716" t="s">
        <v>269</v>
      </c>
      <c r="BD22" s="716">
        <f t="shared" si="50"/>
        <v>109908.53373306929</v>
      </c>
      <c r="BE22" s="716">
        <f t="shared" si="51"/>
        <v>33600</v>
      </c>
      <c r="BF22" s="716">
        <f t="shared" si="52"/>
        <v>3074402.7666149172</v>
      </c>
      <c r="BG22" s="716"/>
      <c r="BH22" s="716">
        <f t="shared" si="53"/>
        <v>3074402.7666149172</v>
      </c>
      <c r="BI22" s="716"/>
      <c r="BJ22" s="716">
        <f t="shared" si="54"/>
        <v>3074402.7666149172</v>
      </c>
      <c r="BK22" s="716"/>
      <c r="BL22" s="716">
        <f t="shared" si="55"/>
        <v>3074402.7666149172</v>
      </c>
      <c r="BM22" s="716"/>
      <c r="BN22" s="716">
        <f t="shared" si="20"/>
        <v>3074402.7666149172</v>
      </c>
      <c r="BO22" s="716"/>
      <c r="BP22" s="716">
        <f t="shared" si="56"/>
        <v>3074402.7666149172</v>
      </c>
      <c r="BQ22" s="716"/>
      <c r="BR22" s="716">
        <f t="shared" si="57"/>
        <v>3074402.7666149172</v>
      </c>
      <c r="BS22" s="716"/>
      <c r="BT22" s="716">
        <f t="shared" si="58"/>
        <v>3074402.7666149172</v>
      </c>
      <c r="BU22" s="716"/>
      <c r="BV22" s="716">
        <f t="shared" si="21"/>
        <v>3074402.7666149172</v>
      </c>
      <c r="BW22" s="716"/>
      <c r="BX22" s="716">
        <f t="shared" si="167"/>
        <v>31400</v>
      </c>
      <c r="BY22" s="716">
        <f t="shared" si="60"/>
        <v>3105802.7666149172</v>
      </c>
      <c r="BZ22" s="716"/>
      <c r="CA22" s="716">
        <f t="shared" si="61"/>
        <v>3105802.7666149172</v>
      </c>
      <c r="CB22" s="1135">
        <f t="shared" si="121"/>
        <v>3105802.7666149172</v>
      </c>
      <c r="CC22" s="1164">
        <f t="shared" si="109"/>
        <v>3105802.7666149172</v>
      </c>
      <c r="CD22" s="1164"/>
      <c r="CE22" s="1164">
        <f t="shared" si="63"/>
        <v>0</v>
      </c>
      <c r="CF22" s="1164">
        <f t="shared" si="115"/>
        <v>0</v>
      </c>
      <c r="CG22" s="1164">
        <f t="shared" si="116"/>
        <v>0</v>
      </c>
      <c r="CH22" s="1154">
        <f t="shared" si="158"/>
        <v>3105802.7666149172</v>
      </c>
      <c r="CI22" s="935">
        <f t="shared" si="137"/>
        <v>3105802.7666149172</v>
      </c>
      <c r="CJ22" s="935">
        <f t="shared" si="64"/>
        <v>0</v>
      </c>
      <c r="CK22" s="935">
        <f t="shared" si="65"/>
        <v>318344.78357802902</v>
      </c>
      <c r="CL22" s="935">
        <f t="shared" si="66"/>
        <v>108703.09683152211</v>
      </c>
      <c r="CM22" s="1006">
        <f t="shared" si="138"/>
        <v>3532850.6470244681</v>
      </c>
      <c r="CN22" s="1007">
        <f t="shared" si="139"/>
        <v>0.125</v>
      </c>
      <c r="CO22" s="935">
        <f t="shared" si="24"/>
        <v>441606.33087805851</v>
      </c>
      <c r="CP22" s="935">
        <f t="shared" si="170"/>
        <v>30000</v>
      </c>
      <c r="CQ22" s="935">
        <f t="shared" si="25"/>
        <v>411606.33087805851</v>
      </c>
      <c r="CR22" s="745">
        <f t="shared" si="141"/>
        <v>1</v>
      </c>
      <c r="CS22" s="935">
        <f t="shared" si="26"/>
        <v>411606.33087805851</v>
      </c>
      <c r="CT22" s="1007">
        <f t="shared" si="68"/>
        <v>0.875</v>
      </c>
      <c r="CU22" s="935">
        <f t="shared" si="69"/>
        <v>3091244.3161464096</v>
      </c>
      <c r="CV22" s="1008">
        <f t="shared" si="110"/>
        <v>23966.384280462073</v>
      </c>
      <c r="CW22" s="1008">
        <f t="shared" si="70"/>
        <v>27784.977834642708</v>
      </c>
      <c r="CX22" s="1008">
        <f t="shared" si="71"/>
        <v>35891.967644097516</v>
      </c>
      <c r="CY22" s="1008">
        <f t="shared" si="72"/>
        <v>61210.342440742083</v>
      </c>
      <c r="CZ22" s="1119">
        <f t="shared" si="122"/>
        <v>251111.60136479235</v>
      </c>
      <c r="DA22" s="1119">
        <f t="shared" si="123"/>
        <v>99363.63742520845</v>
      </c>
      <c r="DB22" s="1119">
        <f t="shared" si="124"/>
        <v>71768.948005694881</v>
      </c>
      <c r="DC22" s="1119">
        <f t="shared" si="125"/>
        <v>54619.473504051763</v>
      </c>
      <c r="DD22" s="1028">
        <f t="shared" si="126"/>
        <v>0.39942426493908628</v>
      </c>
      <c r="DE22" s="1028">
        <f t="shared" si="142"/>
        <v>0</v>
      </c>
      <c r="DF22" s="1009" t="s">
        <v>270</v>
      </c>
      <c r="DG22" s="1009" t="s">
        <v>271</v>
      </c>
      <c r="DH22" s="966">
        <f t="shared" si="111"/>
        <v>45658</v>
      </c>
      <c r="DI22" s="912">
        <f t="shared" si="73"/>
        <v>14</v>
      </c>
      <c r="DK22" s="913">
        <f t="shared" si="74"/>
        <v>45723</v>
      </c>
      <c r="DL22" s="912">
        <f t="shared" si="75"/>
        <v>16</v>
      </c>
      <c r="DM22" s="750" t="s">
        <v>272</v>
      </c>
      <c r="DN22" s="750" t="s">
        <v>273</v>
      </c>
      <c r="DO22" s="751">
        <f t="shared" si="31"/>
        <v>40668.652430161514</v>
      </c>
      <c r="DP22" s="751">
        <f t="shared" si="32"/>
        <v>894710.35346355324</v>
      </c>
      <c r="DQ22" s="752">
        <f t="shared" si="127"/>
        <v>0.4473551767317766</v>
      </c>
      <c r="DS22" s="751">
        <f t="shared" si="128"/>
        <v>3105802.7666149172</v>
      </c>
      <c r="DT22" s="751">
        <f>'[4]INTERNAL PRICELIST'!N16</f>
        <v>2061900</v>
      </c>
      <c r="DU22" s="751">
        <f t="shared" si="33"/>
        <v>1043902.7666149172</v>
      </c>
      <c r="DW22" s="951">
        <f t="shared" si="129"/>
        <v>141172.85302795077</v>
      </c>
      <c r="DZ22" s="1010" t="s">
        <v>303</v>
      </c>
      <c r="EA22" s="1011" t="b">
        <f t="shared" si="35"/>
        <v>1</v>
      </c>
      <c r="EB22" s="1011"/>
      <c r="EC22" s="1011"/>
      <c r="EE22" s="1029"/>
      <c r="EJ22" s="1060"/>
      <c r="EK22" s="1380"/>
      <c r="EL22" s="1381"/>
      <c r="EM22" s="1060"/>
      <c r="EN22" s="1064" t="s">
        <v>304</v>
      </c>
      <c r="EO22" s="1062"/>
      <c r="ER22" s="1017" t="s">
        <v>264</v>
      </c>
      <c r="ES22" s="1391" t="s">
        <v>264</v>
      </c>
      <c r="ET22" s="1018" t="b">
        <f t="shared" si="76"/>
        <v>1</v>
      </c>
      <c r="EX22" s="1019">
        <v>2904753.9878586316</v>
      </c>
      <c r="EY22" s="1019">
        <f t="shared" si="143"/>
        <v>435713.09817879472</v>
      </c>
      <c r="EZ22" s="1019">
        <f t="shared" si="144"/>
        <v>2469040.889679837</v>
      </c>
      <c r="FA22" s="1019">
        <f t="shared" si="145"/>
        <v>290475.39878586319</v>
      </c>
      <c r="FB22" s="1019">
        <f t="shared" si="146"/>
        <v>2614278.5890727686</v>
      </c>
      <c r="FC22" s="1019">
        <f t="shared" si="147"/>
        <v>145237.69939293154</v>
      </c>
      <c r="FD22" s="1020"/>
      <c r="FE22" s="1021"/>
      <c r="FF22" s="1022">
        <f t="shared" si="148"/>
        <v>2469040.889679837</v>
      </c>
      <c r="FG22" s="1022">
        <f t="shared" si="149"/>
        <v>209868.47562278615</v>
      </c>
      <c r="FH22" s="1022">
        <f t="shared" si="161"/>
        <v>104934.23781139308</v>
      </c>
      <c r="FI22" s="1023">
        <f t="shared" si="150"/>
        <v>2614278.5890727686</v>
      </c>
      <c r="FJ22" s="1023">
        <f t="shared" si="151"/>
        <v>222213.68007118534</v>
      </c>
      <c r="FK22" s="1023">
        <f t="shared" si="152"/>
        <v>111106.84003559267</v>
      </c>
      <c r="FL22" s="1019">
        <f t="shared" si="162"/>
        <v>12345.204448399192</v>
      </c>
      <c r="FM22" s="1019">
        <f t="shared" si="163"/>
        <v>6172.6022241995961</v>
      </c>
      <c r="FN22" s="1019" t="str">
        <f t="shared" si="153"/>
        <v>VS</v>
      </c>
      <c r="FO22" s="1019">
        <f t="shared" si="159"/>
        <v>27537.409960060559</v>
      </c>
      <c r="FP22" s="1019">
        <f t="shared" si="164"/>
        <v>-21364.807735860963</v>
      </c>
      <c r="FQ22" s="1021"/>
      <c r="FR22" s="1021"/>
      <c r="FS22" s="1020"/>
      <c r="FT22" s="503"/>
      <c r="FU22" s="956"/>
      <c r="FV22" s="503"/>
      <c r="FX22" s="1040"/>
      <c r="GA22" s="1011">
        <f t="shared" si="165"/>
        <v>17</v>
      </c>
      <c r="GB22" s="1036">
        <f t="shared" ref="GB22" si="174">EDATE(GC22,GA22)</f>
        <v>45962</v>
      </c>
      <c r="GC22" s="1037">
        <v>45444</v>
      </c>
      <c r="GG22" s="956"/>
      <c r="GI22" s="1024">
        <f t="shared" si="78"/>
        <v>3532850.6470244681</v>
      </c>
      <c r="GJ22" s="1025">
        <f t="shared" si="79"/>
        <v>0.125</v>
      </c>
      <c r="GK22" s="1024">
        <f t="shared" si="80"/>
        <v>441606.33087805851</v>
      </c>
      <c r="GL22" s="1024">
        <f t="shared" si="81"/>
        <v>30000</v>
      </c>
      <c r="GM22" s="1024">
        <f t="shared" si="82"/>
        <v>411606.33087805851</v>
      </c>
      <c r="GN22" s="1024">
        <f t="shared" si="83"/>
        <v>1</v>
      </c>
      <c r="GO22" s="1024">
        <f t="shared" si="84"/>
        <v>411606.33087805851</v>
      </c>
      <c r="GP22" s="1025">
        <f t="shared" si="85"/>
        <v>0.875</v>
      </c>
      <c r="GQ22" s="1024">
        <f t="shared" si="86"/>
        <v>3091244.3161464096</v>
      </c>
      <c r="GR22" s="1024">
        <f t="shared" si="87"/>
        <v>23966.384280462073</v>
      </c>
      <c r="GS22" s="1024">
        <f t="shared" si="88"/>
        <v>27784.977834642708</v>
      </c>
      <c r="GT22" s="1024">
        <f t="shared" si="89"/>
        <v>35891.967644097516</v>
      </c>
      <c r="GU22" s="1024">
        <f t="shared" si="90"/>
        <v>61210.342440742083</v>
      </c>
      <c r="GW22" s="1024">
        <f t="shared" si="91"/>
        <v>3532850.6470244681</v>
      </c>
      <c r="GX22" s="1025">
        <f t="shared" si="92"/>
        <v>0.125</v>
      </c>
      <c r="GY22" s="1024">
        <f t="shared" si="93"/>
        <v>441606.33087805851</v>
      </c>
      <c r="GZ22" s="1024">
        <f t="shared" si="94"/>
        <v>30000</v>
      </c>
      <c r="HA22" s="1024">
        <f t="shared" si="95"/>
        <v>411606.33087805851</v>
      </c>
      <c r="HB22" s="1026">
        <f t="shared" si="96"/>
        <v>25</v>
      </c>
      <c r="HC22" s="1009">
        <f t="shared" si="97"/>
        <v>16464.253235122342</v>
      </c>
      <c r="HD22" s="1027">
        <f t="shared" si="98"/>
        <v>0.875</v>
      </c>
      <c r="HE22" s="1009">
        <f t="shared" si="99"/>
        <v>3091244.3161464096</v>
      </c>
      <c r="HF22" s="1008">
        <f t="shared" si="100"/>
        <v>23966.384280462073</v>
      </c>
      <c r="HG22" s="1008">
        <f t="shared" si="101"/>
        <v>27784.977834642708</v>
      </c>
      <c r="HH22" s="1008">
        <f t="shared" si="102"/>
        <v>35891.967644097516</v>
      </c>
      <c r="HI22" s="1008">
        <f t="shared" si="103"/>
        <v>61210.342440742083</v>
      </c>
      <c r="HK22" s="1009">
        <f t="shared" si="104"/>
        <v>-395142.07764293614</v>
      </c>
      <c r="HR22" s="956">
        <f t="shared" si="105"/>
        <v>0</v>
      </c>
      <c r="HU22" s="956"/>
      <c r="HW22" s="956"/>
      <c r="HX22" s="956"/>
    </row>
    <row r="23" spans="1:239" ht="14.25" hidden="1" customHeight="1">
      <c r="A23" s="1018">
        <f t="shared" si="155"/>
        <v>17</v>
      </c>
      <c r="B23" s="716"/>
      <c r="C23" s="741">
        <f t="shared" si="172"/>
        <v>5</v>
      </c>
      <c r="D23" s="716" t="s">
        <v>256</v>
      </c>
      <c r="E23" s="743" t="str">
        <f t="shared" si="36"/>
        <v>3rd Floor</v>
      </c>
      <c r="F23" s="1048"/>
      <c r="G23" s="745" t="s">
        <v>305</v>
      </c>
      <c r="H23" s="745" t="s">
        <v>292</v>
      </c>
      <c r="I23" s="745" t="s">
        <v>267</v>
      </c>
      <c r="J23" s="1005">
        <v>22</v>
      </c>
      <c r="K23" s="1049"/>
      <c r="L23" s="1006" t="s">
        <v>73</v>
      </c>
      <c r="M23" s="745" t="s">
        <v>240</v>
      </c>
      <c r="N23" s="1050">
        <v>95909.091</v>
      </c>
      <c r="O23" s="934">
        <f t="shared" si="132"/>
        <v>2110000.0019999999</v>
      </c>
      <c r="P23" s="934">
        <f t="shared" si="156"/>
        <v>22400</v>
      </c>
      <c r="Q23" s="934">
        <f t="shared" si="119"/>
        <v>50000</v>
      </c>
      <c r="R23" s="934"/>
      <c r="S23" s="934"/>
      <c r="T23" s="934"/>
      <c r="U23" s="934"/>
      <c r="V23" s="934"/>
      <c r="W23" s="749">
        <f t="shared" si="169"/>
        <v>22000</v>
      </c>
      <c r="X23" s="934"/>
      <c r="Y23" s="934"/>
      <c r="Z23" s="934">
        <f t="shared" si="133"/>
        <v>75000</v>
      </c>
      <c r="AA23" s="934"/>
      <c r="AB23" s="934"/>
      <c r="AC23" s="934"/>
      <c r="AD23" s="934"/>
      <c r="AE23" s="934">
        <f t="shared" si="14"/>
        <v>169400</v>
      </c>
      <c r="AF23" s="1005">
        <f t="shared" si="15"/>
        <v>2279400.0019999999</v>
      </c>
      <c r="AG23" s="1005">
        <f t="shared" si="37"/>
        <v>56985.000050000002</v>
      </c>
      <c r="AH23" s="1005">
        <f t="shared" si="38"/>
        <v>2336385.0020499998</v>
      </c>
      <c r="AI23" s="1005">
        <f t="shared" si="39"/>
        <v>58409.625051249997</v>
      </c>
      <c r="AJ23" s="1005">
        <f t="shared" si="40"/>
        <v>2394794.62710125</v>
      </c>
      <c r="AK23" s="1005">
        <f t="shared" si="41"/>
        <v>119739.73135506251</v>
      </c>
      <c r="AL23" s="1005">
        <f t="shared" si="157"/>
        <v>2514534.3584563127</v>
      </c>
      <c r="AM23" s="934">
        <f t="shared" si="43"/>
        <v>25145.343584563128</v>
      </c>
      <c r="AN23" s="934">
        <f t="shared" si="44"/>
        <v>27537.409960060559</v>
      </c>
      <c r="AO23" s="934"/>
      <c r="AP23" s="934">
        <f t="shared" si="134"/>
        <v>111106.84003559267</v>
      </c>
      <c r="AQ23" s="1005">
        <f t="shared" si="45"/>
        <v>2678323.9520365288</v>
      </c>
      <c r="AR23" s="1005">
        <f t="shared" si="46"/>
        <v>120524.5778416438</v>
      </c>
      <c r="AS23" s="1147">
        <f t="shared" si="47"/>
        <v>2798848.5298781726</v>
      </c>
      <c r="AT23" s="1148">
        <f t="shared" si="135"/>
        <v>2000000</v>
      </c>
      <c r="AU23" s="1148">
        <f t="shared" si="16"/>
        <v>36311.296812644207</v>
      </c>
      <c r="AV23" s="1148">
        <f t="shared" si="136"/>
        <v>798848.52987817256</v>
      </c>
      <c r="AW23" s="1148">
        <f t="shared" si="17"/>
        <v>95861.823585380698</v>
      </c>
      <c r="AX23" s="1148">
        <f t="shared" si="18"/>
        <v>894710.35346355324</v>
      </c>
      <c r="AY23" s="1147">
        <f t="shared" si="48"/>
        <v>2894710.3534635534</v>
      </c>
      <c r="AZ23" s="934">
        <f t="shared" si="49"/>
        <v>36183.879418294418</v>
      </c>
      <c r="BA23" s="716" t="s">
        <v>269</v>
      </c>
      <c r="BB23" s="716">
        <f t="shared" si="19"/>
        <v>2930894.2328818478</v>
      </c>
      <c r="BC23" s="716" t="s">
        <v>269</v>
      </c>
      <c r="BD23" s="716">
        <f t="shared" si="50"/>
        <v>109908.53373306929</v>
      </c>
      <c r="BE23" s="716">
        <f t="shared" si="51"/>
        <v>33600</v>
      </c>
      <c r="BF23" s="716">
        <f t="shared" si="52"/>
        <v>3074402.7666149172</v>
      </c>
      <c r="BG23" s="716"/>
      <c r="BH23" s="716">
        <f t="shared" si="53"/>
        <v>3074402.7666149172</v>
      </c>
      <c r="BI23" s="716"/>
      <c r="BJ23" s="716">
        <f t="shared" si="54"/>
        <v>3074402.7666149172</v>
      </c>
      <c r="BK23" s="716"/>
      <c r="BL23" s="716">
        <f t="shared" si="55"/>
        <v>3074402.7666149172</v>
      </c>
      <c r="BM23" s="716"/>
      <c r="BN23" s="716">
        <f t="shared" si="20"/>
        <v>3074402.7666149172</v>
      </c>
      <c r="BO23" s="716"/>
      <c r="BP23" s="716">
        <f t="shared" si="56"/>
        <v>3074402.7666149172</v>
      </c>
      <c r="BQ23" s="716"/>
      <c r="BR23" s="716">
        <f t="shared" si="57"/>
        <v>3074402.7666149172</v>
      </c>
      <c r="BS23" s="716"/>
      <c r="BT23" s="716">
        <f t="shared" si="58"/>
        <v>3074402.7666149172</v>
      </c>
      <c r="BU23" s="716"/>
      <c r="BV23" s="716">
        <f t="shared" si="21"/>
        <v>3074402.7666149172</v>
      </c>
      <c r="BW23" s="716"/>
      <c r="BX23" s="716">
        <f t="shared" si="167"/>
        <v>31400</v>
      </c>
      <c r="BY23" s="716">
        <f t="shared" si="60"/>
        <v>3105802.7666149172</v>
      </c>
      <c r="BZ23" s="716"/>
      <c r="CA23" s="716">
        <f t="shared" si="61"/>
        <v>3105802.7666149172</v>
      </c>
      <c r="CB23" s="1135">
        <f t="shared" si="121"/>
        <v>3105802.7666149172</v>
      </c>
      <c r="CC23" s="1164">
        <f t="shared" si="109"/>
        <v>3105802.7666149172</v>
      </c>
      <c r="CD23" s="1164"/>
      <c r="CE23" s="1164">
        <f t="shared" si="63"/>
        <v>0</v>
      </c>
      <c r="CF23" s="1164">
        <f t="shared" si="115"/>
        <v>0</v>
      </c>
      <c r="CG23" s="1164">
        <f t="shared" si="116"/>
        <v>0</v>
      </c>
      <c r="CH23" s="1154">
        <f t="shared" si="158"/>
        <v>3105802.7666149172</v>
      </c>
      <c r="CI23" s="935">
        <f t="shared" si="137"/>
        <v>3105802.7666149172</v>
      </c>
      <c r="CJ23" s="935">
        <f t="shared" si="64"/>
        <v>0</v>
      </c>
      <c r="CK23" s="935">
        <f t="shared" si="65"/>
        <v>318344.78357802902</v>
      </c>
      <c r="CL23" s="935">
        <f t="shared" si="66"/>
        <v>108703.09683152211</v>
      </c>
      <c r="CM23" s="1006">
        <f t="shared" si="138"/>
        <v>3532850.6470244681</v>
      </c>
      <c r="CN23" s="1007">
        <f t="shared" si="139"/>
        <v>0.125</v>
      </c>
      <c r="CO23" s="935">
        <f t="shared" si="24"/>
        <v>441606.33087805851</v>
      </c>
      <c r="CP23" s="935">
        <f t="shared" si="170"/>
        <v>30000</v>
      </c>
      <c r="CQ23" s="935">
        <f t="shared" si="25"/>
        <v>411606.33087805851</v>
      </c>
      <c r="CR23" s="745">
        <f t="shared" si="141"/>
        <v>1</v>
      </c>
      <c r="CS23" s="935">
        <f t="shared" si="26"/>
        <v>411606.33087805851</v>
      </c>
      <c r="CT23" s="1007">
        <f t="shared" si="68"/>
        <v>0.875</v>
      </c>
      <c r="CU23" s="935">
        <f t="shared" si="69"/>
        <v>3091244.3161464096</v>
      </c>
      <c r="CV23" s="1008">
        <f t="shared" si="110"/>
        <v>23966.384280462073</v>
      </c>
      <c r="CW23" s="1008">
        <f t="shared" si="70"/>
        <v>27784.977834642708</v>
      </c>
      <c r="CX23" s="1008">
        <f t="shared" si="71"/>
        <v>35891.967644097516</v>
      </c>
      <c r="CY23" s="1008">
        <f t="shared" si="72"/>
        <v>61210.342440742083</v>
      </c>
      <c r="CZ23" s="1119">
        <f t="shared" si="122"/>
        <v>251111.60136479235</v>
      </c>
      <c r="DA23" s="1119">
        <f t="shared" si="123"/>
        <v>99363.63742520845</v>
      </c>
      <c r="DB23" s="1119">
        <f t="shared" si="124"/>
        <v>71768.948005694881</v>
      </c>
      <c r="DC23" s="1119">
        <f t="shared" si="125"/>
        <v>54619.473504051763</v>
      </c>
      <c r="DD23" s="1028">
        <f t="shared" si="126"/>
        <v>0.39942426493908628</v>
      </c>
      <c r="DE23" s="1028">
        <f t="shared" si="142"/>
        <v>0</v>
      </c>
      <c r="DF23" s="1009" t="s">
        <v>270</v>
      </c>
      <c r="DG23" s="1009" t="s">
        <v>271</v>
      </c>
      <c r="DH23" s="966">
        <f t="shared" si="111"/>
        <v>45658</v>
      </c>
      <c r="DI23" s="912">
        <f t="shared" si="73"/>
        <v>14</v>
      </c>
      <c r="DK23" s="913">
        <f t="shared" si="74"/>
        <v>45723</v>
      </c>
      <c r="DL23" s="912">
        <f t="shared" si="75"/>
        <v>16</v>
      </c>
      <c r="DM23" s="750" t="s">
        <v>272</v>
      </c>
      <c r="DN23" s="750" t="s">
        <v>273</v>
      </c>
      <c r="DO23" s="751">
        <f t="shared" si="31"/>
        <v>40668.652430161514</v>
      </c>
      <c r="DP23" s="751">
        <f t="shared" si="32"/>
        <v>894710.35346355324</v>
      </c>
      <c r="DQ23" s="752">
        <f t="shared" si="127"/>
        <v>0.4473551767317766</v>
      </c>
      <c r="DS23" s="751">
        <f t="shared" si="128"/>
        <v>3105802.7666149172</v>
      </c>
      <c r="DT23" s="751">
        <f>'[4]INTERNAL PRICELIST'!N17</f>
        <v>2061900</v>
      </c>
      <c r="DU23" s="751">
        <f t="shared" si="33"/>
        <v>1043902.7666149172</v>
      </c>
      <c r="DW23" s="951">
        <f t="shared" si="129"/>
        <v>141172.85302795077</v>
      </c>
      <c r="DZ23" s="1010" t="s">
        <v>305</v>
      </c>
      <c r="EA23" s="1011" t="b">
        <f t="shared" si="35"/>
        <v>1</v>
      </c>
      <c r="EB23" s="1011"/>
      <c r="EC23" s="1011"/>
      <c r="EE23" s="1029"/>
      <c r="EJ23" s="1060"/>
      <c r="EK23" s="1060"/>
      <c r="EL23" s="1060"/>
      <c r="EM23" s="1060"/>
      <c r="EN23" s="1060"/>
      <c r="EO23" s="1062"/>
      <c r="ER23" s="1017" t="s">
        <v>264</v>
      </c>
      <c r="ES23" s="1391" t="s">
        <v>264</v>
      </c>
      <c r="ET23" s="1018" t="b">
        <f t="shared" si="76"/>
        <v>1</v>
      </c>
      <c r="EX23" s="1019">
        <v>2904753.9878586316</v>
      </c>
      <c r="EY23" s="1019">
        <f t="shared" si="143"/>
        <v>435713.09817879472</v>
      </c>
      <c r="EZ23" s="1019">
        <f t="shared" si="144"/>
        <v>2469040.889679837</v>
      </c>
      <c r="FA23" s="1019">
        <f t="shared" si="145"/>
        <v>290475.39878586319</v>
      </c>
      <c r="FB23" s="1019">
        <f t="shared" si="146"/>
        <v>2614278.5890727686</v>
      </c>
      <c r="FC23" s="1019">
        <f t="shared" si="147"/>
        <v>145237.69939293154</v>
      </c>
      <c r="FD23" s="1020"/>
      <c r="FE23" s="1021"/>
      <c r="FF23" s="1022">
        <f t="shared" si="148"/>
        <v>2469040.889679837</v>
      </c>
      <c r="FG23" s="1022">
        <f t="shared" si="149"/>
        <v>209868.47562278615</v>
      </c>
      <c r="FH23" s="1022">
        <f t="shared" si="161"/>
        <v>104934.23781139308</v>
      </c>
      <c r="FI23" s="1023">
        <f t="shared" si="150"/>
        <v>2614278.5890727686</v>
      </c>
      <c r="FJ23" s="1023">
        <f t="shared" si="151"/>
        <v>222213.68007118534</v>
      </c>
      <c r="FK23" s="1023">
        <f t="shared" si="152"/>
        <v>111106.84003559267</v>
      </c>
      <c r="FL23" s="1019">
        <f t="shared" si="162"/>
        <v>12345.204448399192</v>
      </c>
      <c r="FM23" s="1019">
        <f t="shared" si="163"/>
        <v>6172.6022241995961</v>
      </c>
      <c r="FN23" s="1019" t="str">
        <f t="shared" si="153"/>
        <v>VS</v>
      </c>
      <c r="FO23" s="1019">
        <f t="shared" si="159"/>
        <v>27537.409960060559</v>
      </c>
      <c r="FP23" s="1019">
        <f t="shared" si="164"/>
        <v>-21364.807735860963</v>
      </c>
      <c r="FQ23" s="1021"/>
      <c r="FR23" s="1021"/>
      <c r="FS23" s="1020"/>
      <c r="FT23" s="503"/>
      <c r="FU23" s="956"/>
      <c r="FV23" s="503"/>
      <c r="FX23" s="1040"/>
      <c r="GA23" s="1011">
        <f t="shared" si="165"/>
        <v>16</v>
      </c>
      <c r="GB23" s="1036">
        <f t="shared" ref="GB23" si="175">EDATE(GC23,GA23)</f>
        <v>45962</v>
      </c>
      <c r="GC23" s="1037">
        <v>45474</v>
      </c>
      <c r="GG23" s="956"/>
      <c r="GI23" s="1024">
        <f t="shared" si="78"/>
        <v>3532850.6470244681</v>
      </c>
      <c r="GJ23" s="1025">
        <f t="shared" si="79"/>
        <v>0.125</v>
      </c>
      <c r="GK23" s="1024">
        <f t="shared" si="80"/>
        <v>441606.33087805851</v>
      </c>
      <c r="GL23" s="1024">
        <f t="shared" si="81"/>
        <v>30000</v>
      </c>
      <c r="GM23" s="1024">
        <f t="shared" si="82"/>
        <v>411606.33087805851</v>
      </c>
      <c r="GN23" s="1024">
        <f t="shared" si="83"/>
        <v>1</v>
      </c>
      <c r="GO23" s="1024">
        <f t="shared" si="84"/>
        <v>411606.33087805851</v>
      </c>
      <c r="GP23" s="1025">
        <f t="shared" si="85"/>
        <v>0.875</v>
      </c>
      <c r="GQ23" s="1024">
        <f t="shared" si="86"/>
        <v>3091244.3161464096</v>
      </c>
      <c r="GR23" s="1024">
        <f t="shared" si="87"/>
        <v>23966.384280462073</v>
      </c>
      <c r="GS23" s="1024">
        <f t="shared" si="88"/>
        <v>27784.977834642708</v>
      </c>
      <c r="GT23" s="1024">
        <f t="shared" si="89"/>
        <v>35891.967644097516</v>
      </c>
      <c r="GU23" s="1024">
        <f t="shared" si="90"/>
        <v>61210.342440742083</v>
      </c>
      <c r="GW23" s="1024">
        <f t="shared" si="91"/>
        <v>3532850.6470244681</v>
      </c>
      <c r="GX23" s="1025">
        <f t="shared" si="92"/>
        <v>0.125</v>
      </c>
      <c r="GY23" s="1024">
        <f t="shared" si="93"/>
        <v>441606.33087805851</v>
      </c>
      <c r="GZ23" s="1024">
        <f t="shared" si="94"/>
        <v>30000</v>
      </c>
      <c r="HA23" s="1024">
        <f t="shared" si="95"/>
        <v>411606.33087805851</v>
      </c>
      <c r="HB23" s="1026">
        <f t="shared" si="96"/>
        <v>25</v>
      </c>
      <c r="HC23" s="1009">
        <f t="shared" si="97"/>
        <v>16464.253235122342</v>
      </c>
      <c r="HD23" s="1027">
        <f t="shared" si="98"/>
        <v>0.875</v>
      </c>
      <c r="HE23" s="1009">
        <f t="shared" si="99"/>
        <v>3091244.3161464096</v>
      </c>
      <c r="HF23" s="1008">
        <f t="shared" si="100"/>
        <v>23966.384280462073</v>
      </c>
      <c r="HG23" s="1008">
        <f t="shared" si="101"/>
        <v>27784.977834642708</v>
      </c>
      <c r="HH23" s="1008">
        <f t="shared" si="102"/>
        <v>35891.967644097516</v>
      </c>
      <c r="HI23" s="1008">
        <f t="shared" si="103"/>
        <v>61210.342440742083</v>
      </c>
      <c r="HK23" s="1009">
        <f t="shared" si="104"/>
        <v>-395142.07764293614</v>
      </c>
      <c r="HR23" s="956">
        <f t="shared" si="105"/>
        <v>0</v>
      </c>
      <c r="HU23" s="956"/>
      <c r="HW23" s="956"/>
      <c r="HX23" s="956"/>
    </row>
    <row r="24" spans="1:239" ht="14.25" hidden="1" customHeight="1">
      <c r="A24" s="1018">
        <f t="shared" si="155"/>
        <v>18</v>
      </c>
      <c r="B24" s="716"/>
      <c r="C24" s="741">
        <f t="shared" si="172"/>
        <v>6</v>
      </c>
      <c r="D24" s="716" t="s">
        <v>256</v>
      </c>
      <c r="E24" s="743" t="str">
        <f t="shared" si="36"/>
        <v>3rd Floor</v>
      </c>
      <c r="F24" s="1048"/>
      <c r="G24" s="745" t="s">
        <v>306</v>
      </c>
      <c r="H24" s="745" t="s">
        <v>296</v>
      </c>
      <c r="I24" s="745" t="s">
        <v>267</v>
      </c>
      <c r="J24" s="1005">
        <v>22</v>
      </c>
      <c r="K24" s="1049"/>
      <c r="L24" s="1006" t="s">
        <v>73</v>
      </c>
      <c r="M24" s="745" t="s">
        <v>79</v>
      </c>
      <c r="N24" s="1050">
        <v>95909.091</v>
      </c>
      <c r="O24" s="934">
        <f t="shared" si="132"/>
        <v>2110000.0019999999</v>
      </c>
      <c r="P24" s="934">
        <f t="shared" si="156"/>
        <v>22400</v>
      </c>
      <c r="Q24" s="934">
        <f t="shared" si="119"/>
        <v>50000</v>
      </c>
      <c r="R24" s="934"/>
      <c r="S24" s="934"/>
      <c r="T24" s="934"/>
      <c r="U24" s="934"/>
      <c r="V24" s="934"/>
      <c r="W24" s="934"/>
      <c r="X24" s="934"/>
      <c r="Y24" s="934"/>
      <c r="Z24" s="934">
        <f t="shared" si="133"/>
        <v>75000</v>
      </c>
      <c r="AA24" s="934"/>
      <c r="AB24" s="934"/>
      <c r="AC24" s="934"/>
      <c r="AD24" s="934"/>
      <c r="AE24" s="934">
        <f t="shared" si="14"/>
        <v>147400</v>
      </c>
      <c r="AF24" s="1005">
        <f t="shared" si="15"/>
        <v>2257400.0019999999</v>
      </c>
      <c r="AG24" s="1005">
        <f t="shared" si="37"/>
        <v>56435.000050000002</v>
      </c>
      <c r="AH24" s="1005">
        <f t="shared" si="38"/>
        <v>2313835.0020499998</v>
      </c>
      <c r="AI24" s="1005">
        <f t="shared" si="39"/>
        <v>57845.875051249997</v>
      </c>
      <c r="AJ24" s="1005">
        <f t="shared" si="40"/>
        <v>2371680.87710125</v>
      </c>
      <c r="AK24" s="1005">
        <f t="shared" si="41"/>
        <v>118584.04385506251</v>
      </c>
      <c r="AL24" s="1005">
        <f t="shared" si="157"/>
        <v>2490264.9209563127</v>
      </c>
      <c r="AM24" s="934">
        <f t="shared" si="43"/>
        <v>24902.649209563126</v>
      </c>
      <c r="AN24" s="934">
        <f t="shared" si="44"/>
        <v>27537.409960060559</v>
      </c>
      <c r="AO24" s="934"/>
      <c r="AP24" s="934">
        <f t="shared" si="134"/>
        <v>109934.5752385239</v>
      </c>
      <c r="AQ24" s="1005">
        <f t="shared" si="45"/>
        <v>2652639.5553644602</v>
      </c>
      <c r="AR24" s="1005">
        <f t="shared" si="46"/>
        <v>119368.7799914007</v>
      </c>
      <c r="AS24" s="1147">
        <f t="shared" si="47"/>
        <v>2772008.3353558611</v>
      </c>
      <c r="AT24" s="1148">
        <f t="shared" si="135"/>
        <v>2000000</v>
      </c>
      <c r="AU24" s="1148">
        <f t="shared" si="16"/>
        <v>35091.287970720958</v>
      </c>
      <c r="AV24" s="1148">
        <f t="shared" si="136"/>
        <v>772008.33535586111</v>
      </c>
      <c r="AW24" s="1148">
        <f t="shared" si="17"/>
        <v>92641.000242703332</v>
      </c>
      <c r="AX24" s="1148">
        <f t="shared" si="18"/>
        <v>864649.33559856447</v>
      </c>
      <c r="AY24" s="1147">
        <f t="shared" si="48"/>
        <v>2864649.3355985642</v>
      </c>
      <c r="AZ24" s="934">
        <f t="shared" si="49"/>
        <v>35808.116694982054</v>
      </c>
      <c r="BA24" s="716" t="s">
        <v>269</v>
      </c>
      <c r="BB24" s="716">
        <f t="shared" si="19"/>
        <v>2900457.4522935464</v>
      </c>
      <c r="BC24" s="716" t="s">
        <v>269</v>
      </c>
      <c r="BD24" s="716">
        <f t="shared" si="50"/>
        <v>108767.15446100799</v>
      </c>
      <c r="BE24" s="716">
        <f t="shared" si="51"/>
        <v>33600</v>
      </c>
      <c r="BF24" s="716">
        <f t="shared" si="52"/>
        <v>3042824.6067545544</v>
      </c>
      <c r="BG24" s="716"/>
      <c r="BH24" s="716">
        <f t="shared" si="53"/>
        <v>3042824.6067545544</v>
      </c>
      <c r="BI24" s="716"/>
      <c r="BJ24" s="716">
        <f t="shared" si="54"/>
        <v>3042824.6067545544</v>
      </c>
      <c r="BK24" s="716"/>
      <c r="BL24" s="716">
        <f t="shared" si="55"/>
        <v>3042824.6067545544</v>
      </c>
      <c r="BM24" s="716"/>
      <c r="BN24" s="716">
        <f t="shared" si="20"/>
        <v>3042824.6067545544</v>
      </c>
      <c r="BO24" s="716"/>
      <c r="BP24" s="716">
        <f t="shared" si="56"/>
        <v>3042824.6067545544</v>
      </c>
      <c r="BQ24" s="716"/>
      <c r="BR24" s="716">
        <f t="shared" si="57"/>
        <v>3042824.6067545544</v>
      </c>
      <c r="BS24" s="716"/>
      <c r="BT24" s="716">
        <f t="shared" si="58"/>
        <v>3042824.6067545544</v>
      </c>
      <c r="BU24" s="716"/>
      <c r="BV24" s="716">
        <f t="shared" si="21"/>
        <v>3042824.6067545544</v>
      </c>
      <c r="BW24" s="716"/>
      <c r="BX24" s="716">
        <f t="shared" si="167"/>
        <v>31400</v>
      </c>
      <c r="BY24" s="716">
        <f t="shared" si="60"/>
        <v>3074224.6067545544</v>
      </c>
      <c r="BZ24" s="716"/>
      <c r="CA24" s="716">
        <f t="shared" si="61"/>
        <v>3074224.6067545544</v>
      </c>
      <c r="CB24" s="1135">
        <f t="shared" si="121"/>
        <v>3074224.6067545544</v>
      </c>
      <c r="CC24" s="1164">
        <f t="shared" si="109"/>
        <v>3074224.6067545544</v>
      </c>
      <c r="CD24" s="1164"/>
      <c r="CE24" s="1164">
        <f t="shared" si="63"/>
        <v>0</v>
      </c>
      <c r="CF24" s="1164">
        <f t="shared" si="115"/>
        <v>0</v>
      </c>
      <c r="CG24" s="1164">
        <f t="shared" si="116"/>
        <v>0</v>
      </c>
      <c r="CH24" s="1154">
        <f t="shared" si="158"/>
        <v>3074224.6067545544</v>
      </c>
      <c r="CI24" s="935">
        <f t="shared" si="137"/>
        <v>3074224.6067545544</v>
      </c>
      <c r="CJ24" s="935">
        <f t="shared" si="64"/>
        <v>0</v>
      </c>
      <c r="CK24" s="935">
        <f t="shared" si="65"/>
        <v>315108.0221923418</v>
      </c>
      <c r="CL24" s="935">
        <f t="shared" si="66"/>
        <v>107597.86123640942</v>
      </c>
      <c r="CM24" s="1006">
        <f t="shared" si="138"/>
        <v>3496930.4901833055</v>
      </c>
      <c r="CN24" s="1007">
        <f t="shared" si="139"/>
        <v>0.125</v>
      </c>
      <c r="CO24" s="935">
        <f>CM24*CN24</f>
        <v>437116.31127291318</v>
      </c>
      <c r="CP24" s="935">
        <f t="shared" si="170"/>
        <v>30000</v>
      </c>
      <c r="CQ24" s="935">
        <f t="shared" si="25"/>
        <v>407116.31127291318</v>
      </c>
      <c r="CR24" s="745">
        <f t="shared" si="141"/>
        <v>1</v>
      </c>
      <c r="CS24" s="935">
        <f t="shared" si="26"/>
        <v>407116.31127291318</v>
      </c>
      <c r="CT24" s="1007">
        <f t="shared" si="68"/>
        <v>0.875</v>
      </c>
      <c r="CU24" s="935">
        <f t="shared" si="69"/>
        <v>3059814.1789103923</v>
      </c>
      <c r="CV24" s="1008">
        <f t="shared" si="110"/>
        <v>23722.706761007681</v>
      </c>
      <c r="CW24" s="1008">
        <f t="shared" si="70"/>
        <v>27502.474875597669</v>
      </c>
      <c r="CX24" s="1008">
        <f t="shared" si="71"/>
        <v>35527.03710048685</v>
      </c>
      <c r="CY24" s="1008">
        <f t="shared" si="72"/>
        <v>60587.988053181267</v>
      </c>
      <c r="CZ24" s="1119">
        <f t="shared" si="122"/>
        <v>248558.43141597047</v>
      </c>
      <c r="DA24" s="1119">
        <f t="shared" si="123"/>
        <v>98353.36051366452</v>
      </c>
      <c r="DB24" s="1119">
        <f t="shared" si="124"/>
        <v>71039.239301235197</v>
      </c>
      <c r="DC24" s="1119">
        <f t="shared" si="125"/>
        <v>54064.131585904252</v>
      </c>
      <c r="DD24" s="1028">
        <f t="shared" si="126"/>
        <v>0.38600416767793055</v>
      </c>
      <c r="DE24" s="1028">
        <f t="shared" si="142"/>
        <v>0</v>
      </c>
      <c r="DF24" s="1009" t="s">
        <v>270</v>
      </c>
      <c r="DG24" s="1009" t="s">
        <v>271</v>
      </c>
      <c r="DH24" s="966">
        <f t="shared" si="111"/>
        <v>45658</v>
      </c>
      <c r="DI24" s="912">
        <f t="shared" si="73"/>
        <v>14</v>
      </c>
      <c r="DK24" s="913">
        <f t="shared" si="74"/>
        <v>45723</v>
      </c>
      <c r="DL24" s="912">
        <f t="shared" si="75"/>
        <v>16</v>
      </c>
      <c r="DM24" s="750" t="s">
        <v>272</v>
      </c>
      <c r="DN24" s="750" t="s">
        <v>273</v>
      </c>
      <c r="DO24" s="751">
        <f t="shared" si="31"/>
        <v>39302.242527207476</v>
      </c>
      <c r="DP24" s="751">
        <f t="shared" si="32"/>
        <v>864649.33559856447</v>
      </c>
      <c r="DQ24" s="752">
        <f t="shared" si="127"/>
        <v>0.43232466779928225</v>
      </c>
      <c r="DS24" s="751">
        <f t="shared" si="128"/>
        <v>3074224.6067545544</v>
      </c>
      <c r="DT24" s="751">
        <f>'[4]INTERNAL PRICELIST'!N18</f>
        <v>2061900</v>
      </c>
      <c r="DU24" s="751">
        <f t="shared" si="33"/>
        <v>1012324.6067545544</v>
      </c>
      <c r="DW24" s="951">
        <f t="shared" si="129"/>
        <v>139737.48212520703</v>
      </c>
      <c r="DZ24" s="1010" t="s">
        <v>306</v>
      </c>
      <c r="EA24" s="1011" t="b">
        <f t="shared" si="35"/>
        <v>1</v>
      </c>
      <c r="EB24" s="1011"/>
      <c r="EC24" s="1011"/>
      <c r="EE24" s="1029"/>
      <c r="EJ24" s="1064" t="s">
        <v>307</v>
      </c>
      <c r="EK24" s="1065" t="s">
        <v>308</v>
      </c>
      <c r="EL24" s="1063"/>
      <c r="EM24" s="1060"/>
      <c r="EN24" s="1060"/>
      <c r="EO24" s="1062"/>
      <c r="ER24" s="1017" t="s">
        <v>264</v>
      </c>
      <c r="ES24" s="1391" t="s">
        <v>264</v>
      </c>
      <c r="ET24" s="1018" t="b">
        <f t="shared" si="76"/>
        <v>1</v>
      </c>
      <c r="EX24" s="1019">
        <v>2874106.5421836311</v>
      </c>
      <c r="EY24" s="1019">
        <f t="shared" si="143"/>
        <v>431115.98132754466</v>
      </c>
      <c r="EZ24" s="1019">
        <f t="shared" si="144"/>
        <v>2442990.5608560862</v>
      </c>
      <c r="FA24" s="1019">
        <f t="shared" si="145"/>
        <v>287410.65421836311</v>
      </c>
      <c r="FB24" s="1019">
        <f t="shared" si="146"/>
        <v>2586695.887965268</v>
      </c>
      <c r="FC24" s="1019">
        <f t="shared" si="147"/>
        <v>143705.32710918179</v>
      </c>
      <c r="FD24" s="1020"/>
      <c r="FE24" s="1021"/>
      <c r="FF24" s="1022">
        <f t="shared" si="148"/>
        <v>2442990.5608560862</v>
      </c>
      <c r="FG24" s="1022">
        <f t="shared" si="149"/>
        <v>207654.19767276733</v>
      </c>
      <c r="FH24" s="1022">
        <f t="shared" si="161"/>
        <v>103827.09883638367</v>
      </c>
      <c r="FI24" s="1023">
        <f t="shared" si="150"/>
        <v>2586695.887965268</v>
      </c>
      <c r="FJ24" s="1023">
        <f t="shared" si="151"/>
        <v>219869.15047704781</v>
      </c>
      <c r="FK24" s="1023">
        <f t="shared" si="152"/>
        <v>109934.5752385239</v>
      </c>
      <c r="FL24" s="1019">
        <f t="shared" si="162"/>
        <v>12214.952804280474</v>
      </c>
      <c r="FM24" s="1019">
        <f t="shared" si="163"/>
        <v>6107.476402140237</v>
      </c>
      <c r="FN24" s="1019" t="str">
        <f t="shared" si="153"/>
        <v>VS</v>
      </c>
      <c r="FO24" s="1019">
        <f t="shared" si="159"/>
        <v>27537.409960060559</v>
      </c>
      <c r="FP24" s="1019">
        <f t="shared" si="164"/>
        <v>-21429.933557920322</v>
      </c>
      <c r="FQ24" s="1021"/>
      <c r="FR24" s="1021"/>
      <c r="FS24" s="1020"/>
      <c r="FT24" s="503"/>
      <c r="FU24" s="956"/>
      <c r="FV24" s="503"/>
      <c r="FX24" s="1040"/>
      <c r="GA24" s="1011">
        <f t="shared" si="165"/>
        <v>15</v>
      </c>
      <c r="GB24" s="1036">
        <f t="shared" ref="GB24" si="176">EDATE(GC24,GA24)</f>
        <v>45962</v>
      </c>
      <c r="GC24" s="1037">
        <v>45505</v>
      </c>
      <c r="GG24" s="956"/>
      <c r="GI24" s="1024">
        <f t="shared" si="78"/>
        <v>3496930.4901833055</v>
      </c>
      <c r="GJ24" s="1025">
        <f t="shared" si="79"/>
        <v>0.125</v>
      </c>
      <c r="GK24" s="1024">
        <f t="shared" si="80"/>
        <v>437116.31127291318</v>
      </c>
      <c r="GL24" s="1024">
        <f t="shared" si="81"/>
        <v>30000</v>
      </c>
      <c r="GM24" s="1024">
        <f t="shared" si="82"/>
        <v>407116.31127291318</v>
      </c>
      <c r="GN24" s="1024">
        <f t="shared" si="83"/>
        <v>1</v>
      </c>
      <c r="GO24" s="1024">
        <f t="shared" si="84"/>
        <v>407116.31127291318</v>
      </c>
      <c r="GP24" s="1025">
        <f t="shared" si="85"/>
        <v>0.875</v>
      </c>
      <c r="GQ24" s="1024">
        <f t="shared" si="86"/>
        <v>3059814.1789103923</v>
      </c>
      <c r="GR24" s="1024">
        <f t="shared" si="87"/>
        <v>23722.706761007681</v>
      </c>
      <c r="GS24" s="1024">
        <f t="shared" si="88"/>
        <v>27502.474875597669</v>
      </c>
      <c r="GT24" s="1024">
        <f t="shared" si="89"/>
        <v>35527.03710048685</v>
      </c>
      <c r="GU24" s="1024">
        <f t="shared" si="90"/>
        <v>60587.988053181267</v>
      </c>
      <c r="GW24" s="1024">
        <f t="shared" si="91"/>
        <v>3496930.4901833055</v>
      </c>
      <c r="GX24" s="1025">
        <f t="shared" si="92"/>
        <v>0.125</v>
      </c>
      <c r="GY24" s="1024">
        <f t="shared" si="93"/>
        <v>437116.31127291318</v>
      </c>
      <c r="GZ24" s="1024">
        <f t="shared" si="94"/>
        <v>30000</v>
      </c>
      <c r="HA24" s="1024">
        <f t="shared" si="95"/>
        <v>407116.31127291318</v>
      </c>
      <c r="HB24" s="1026">
        <f t="shared" si="96"/>
        <v>25</v>
      </c>
      <c r="HC24" s="1009">
        <f t="shared" si="97"/>
        <v>16284.652450916527</v>
      </c>
      <c r="HD24" s="1027">
        <f t="shared" si="98"/>
        <v>0.875</v>
      </c>
      <c r="HE24" s="1009">
        <f t="shared" si="99"/>
        <v>3059814.1789103923</v>
      </c>
      <c r="HF24" s="1008">
        <f t="shared" si="100"/>
        <v>23722.706761007681</v>
      </c>
      <c r="HG24" s="1008">
        <f t="shared" si="101"/>
        <v>27502.474875597669</v>
      </c>
      <c r="HH24" s="1008">
        <f t="shared" si="102"/>
        <v>35527.03710048685</v>
      </c>
      <c r="HI24" s="1008">
        <f t="shared" si="103"/>
        <v>60587.988053181267</v>
      </c>
      <c r="HK24" s="1009">
        <f t="shared" si="104"/>
        <v>-390831.65882199665</v>
      </c>
      <c r="HR24" s="956">
        <f t="shared" si="105"/>
        <v>0</v>
      </c>
      <c r="HU24" s="956"/>
      <c r="HW24" s="956"/>
      <c r="HX24" s="956"/>
    </row>
    <row r="25" spans="1:239" s="1051" customFormat="1" ht="14.25" hidden="1" customHeight="1">
      <c r="A25" s="1018">
        <f t="shared" si="155"/>
        <v>19</v>
      </c>
      <c r="B25" s="716" t="s">
        <v>264</v>
      </c>
      <c r="C25" s="741">
        <f t="shared" si="172"/>
        <v>7</v>
      </c>
      <c r="D25" s="716" t="s">
        <v>256</v>
      </c>
      <c r="E25" s="743" t="str">
        <f t="shared" si="36"/>
        <v>3rd Floor</v>
      </c>
      <c r="F25" s="1048"/>
      <c r="G25" s="745" t="s">
        <v>309</v>
      </c>
      <c r="H25" s="745" t="s">
        <v>310</v>
      </c>
      <c r="I25" s="745" t="s">
        <v>267</v>
      </c>
      <c r="J25" s="1005">
        <v>22</v>
      </c>
      <c r="K25" s="1049"/>
      <c r="L25" s="1006" t="s">
        <v>73</v>
      </c>
      <c r="M25" s="745" t="s">
        <v>240</v>
      </c>
      <c r="N25" s="1050">
        <v>95909.091</v>
      </c>
      <c r="O25" s="934">
        <f t="shared" si="132"/>
        <v>2110000.0019999999</v>
      </c>
      <c r="P25" s="934">
        <f t="shared" si="156"/>
        <v>22400</v>
      </c>
      <c r="Q25" s="934">
        <f t="shared" si="119"/>
        <v>50000</v>
      </c>
      <c r="R25" s="934"/>
      <c r="S25" s="934"/>
      <c r="T25" s="934"/>
      <c r="U25" s="934"/>
      <c r="V25" s="934"/>
      <c r="W25" s="749">
        <f>J25*$W$5</f>
        <v>22000</v>
      </c>
      <c r="X25" s="934"/>
      <c r="Y25" s="934"/>
      <c r="Z25" s="934">
        <f t="shared" si="133"/>
        <v>75000</v>
      </c>
      <c r="AA25" s="934"/>
      <c r="AB25" s="934"/>
      <c r="AC25" s="934"/>
      <c r="AD25" s="934"/>
      <c r="AE25" s="934">
        <f t="shared" si="14"/>
        <v>169400</v>
      </c>
      <c r="AF25" s="1005">
        <f t="shared" si="15"/>
        <v>2279400.0019999999</v>
      </c>
      <c r="AG25" s="1005">
        <f t="shared" si="37"/>
        <v>56985.000050000002</v>
      </c>
      <c r="AH25" s="1005">
        <f t="shared" si="38"/>
        <v>2336385.0020499998</v>
      </c>
      <c r="AI25" s="1005">
        <f t="shared" si="39"/>
        <v>58409.625051249997</v>
      </c>
      <c r="AJ25" s="1005">
        <f t="shared" si="40"/>
        <v>2394794.62710125</v>
      </c>
      <c r="AK25" s="1005">
        <f t="shared" si="41"/>
        <v>119739.73135506251</v>
      </c>
      <c r="AL25" s="1005">
        <f t="shared" si="157"/>
        <v>2514534.3584563127</v>
      </c>
      <c r="AM25" s="934">
        <f t="shared" si="43"/>
        <v>25145.343584563128</v>
      </c>
      <c r="AN25" s="934">
        <f t="shared" si="44"/>
        <v>27537.409960060559</v>
      </c>
      <c r="AO25" s="934"/>
      <c r="AP25" s="934">
        <f t="shared" si="134"/>
        <v>111106.84003559267</v>
      </c>
      <c r="AQ25" s="1005">
        <f t="shared" si="45"/>
        <v>2678323.9520365288</v>
      </c>
      <c r="AR25" s="1005">
        <f t="shared" si="46"/>
        <v>120524.5778416438</v>
      </c>
      <c r="AS25" s="1147">
        <f t="shared" si="47"/>
        <v>2798848.5298781726</v>
      </c>
      <c r="AT25" s="1148">
        <f t="shared" si="135"/>
        <v>2000000</v>
      </c>
      <c r="AU25" s="1148">
        <f t="shared" si="16"/>
        <v>36311.296812644207</v>
      </c>
      <c r="AV25" s="1148">
        <f t="shared" si="136"/>
        <v>798848.52987817256</v>
      </c>
      <c r="AW25" s="1148">
        <f t="shared" si="17"/>
        <v>95861.823585380698</v>
      </c>
      <c r="AX25" s="1148">
        <f t="shared" si="18"/>
        <v>894710.35346355324</v>
      </c>
      <c r="AY25" s="1147">
        <f t="shared" si="48"/>
        <v>2894710.3534635534</v>
      </c>
      <c r="AZ25" s="934">
        <f t="shared" si="49"/>
        <v>36183.879418294418</v>
      </c>
      <c r="BA25" s="716" t="s">
        <v>269</v>
      </c>
      <c r="BB25" s="716">
        <f t="shared" si="19"/>
        <v>2930894.2328818478</v>
      </c>
      <c r="BC25" s="716" t="s">
        <v>269</v>
      </c>
      <c r="BD25" s="716">
        <f t="shared" si="50"/>
        <v>109908.53373306929</v>
      </c>
      <c r="BE25" s="716">
        <f t="shared" si="51"/>
        <v>33600</v>
      </c>
      <c r="BF25" s="716">
        <f t="shared" si="52"/>
        <v>3074402.7666149172</v>
      </c>
      <c r="BG25" s="716"/>
      <c r="BH25" s="716">
        <f t="shared" si="53"/>
        <v>3074402.7666149172</v>
      </c>
      <c r="BI25" s="716"/>
      <c r="BJ25" s="716">
        <f t="shared" si="54"/>
        <v>3074402.7666149172</v>
      </c>
      <c r="BK25" s="716"/>
      <c r="BL25" s="716">
        <f t="shared" si="55"/>
        <v>3074402.7666149172</v>
      </c>
      <c r="BM25" s="716"/>
      <c r="BN25" s="716">
        <f t="shared" si="20"/>
        <v>3074402.7666149172</v>
      </c>
      <c r="BO25" s="716"/>
      <c r="BP25" s="716">
        <f t="shared" si="56"/>
        <v>3074402.7666149172</v>
      </c>
      <c r="BQ25" s="716"/>
      <c r="BR25" s="716">
        <f t="shared" si="57"/>
        <v>3074402.7666149172</v>
      </c>
      <c r="BS25" s="716"/>
      <c r="BT25" s="716">
        <f t="shared" si="58"/>
        <v>3074402.7666149172</v>
      </c>
      <c r="BU25" s="716"/>
      <c r="BV25" s="716">
        <f t="shared" si="21"/>
        <v>3074402.7666149172</v>
      </c>
      <c r="BW25" s="716"/>
      <c r="BX25" s="716">
        <f t="shared" si="167"/>
        <v>31400</v>
      </c>
      <c r="BY25" s="716">
        <f t="shared" si="60"/>
        <v>3105802.7666149172</v>
      </c>
      <c r="BZ25" s="716"/>
      <c r="CA25" s="716">
        <f t="shared" si="61"/>
        <v>3105802.7666149172</v>
      </c>
      <c r="CB25" s="1135">
        <f t="shared" si="121"/>
        <v>3105802.7666149172</v>
      </c>
      <c r="CC25" s="1164">
        <f t="shared" si="109"/>
        <v>3105802.7666149172</v>
      </c>
      <c r="CD25" s="1164"/>
      <c r="CE25" s="1164">
        <f t="shared" si="63"/>
        <v>0</v>
      </c>
      <c r="CF25" s="1164">
        <f t="shared" si="115"/>
        <v>0</v>
      </c>
      <c r="CG25" s="1164">
        <f t="shared" si="116"/>
        <v>0</v>
      </c>
      <c r="CH25" s="1154">
        <f t="shared" si="158"/>
        <v>3105802.7666149172</v>
      </c>
      <c r="CI25" s="935">
        <f t="shared" si="137"/>
        <v>3105802.7666149172</v>
      </c>
      <c r="CJ25" s="935">
        <f t="shared" si="64"/>
        <v>0</v>
      </c>
      <c r="CK25" s="935">
        <f t="shared" si="65"/>
        <v>318344.78357802902</v>
      </c>
      <c r="CL25" s="935">
        <f t="shared" si="66"/>
        <v>108703.09683152211</v>
      </c>
      <c r="CM25" s="1006">
        <f t="shared" si="138"/>
        <v>3532850.6470244681</v>
      </c>
      <c r="CN25" s="1007">
        <f t="shared" si="139"/>
        <v>0.125</v>
      </c>
      <c r="CO25" s="935">
        <f t="shared" si="24"/>
        <v>441606.33087805851</v>
      </c>
      <c r="CP25" s="935">
        <f t="shared" si="170"/>
        <v>30000</v>
      </c>
      <c r="CQ25" s="935">
        <f t="shared" si="25"/>
        <v>411606.33087805851</v>
      </c>
      <c r="CR25" s="745">
        <f t="shared" si="141"/>
        <v>1</v>
      </c>
      <c r="CS25" s="935">
        <f t="shared" si="26"/>
        <v>411606.33087805851</v>
      </c>
      <c r="CT25" s="1007">
        <f t="shared" si="68"/>
        <v>0.875</v>
      </c>
      <c r="CU25" s="935">
        <f t="shared" si="69"/>
        <v>3091244.3161464096</v>
      </c>
      <c r="CV25" s="1008">
        <f t="shared" si="110"/>
        <v>23966.384280462073</v>
      </c>
      <c r="CW25" s="1008">
        <f t="shared" si="70"/>
        <v>27784.977834642708</v>
      </c>
      <c r="CX25" s="1008">
        <f t="shared" si="71"/>
        <v>35891.967644097516</v>
      </c>
      <c r="CY25" s="1008">
        <f t="shared" si="72"/>
        <v>61210.342440742083</v>
      </c>
      <c r="CZ25" s="1119">
        <f t="shared" si="122"/>
        <v>251111.60136479235</v>
      </c>
      <c r="DA25" s="1119">
        <f t="shared" si="123"/>
        <v>99363.63742520845</v>
      </c>
      <c r="DB25" s="1119">
        <f t="shared" si="124"/>
        <v>71768.948005694881</v>
      </c>
      <c r="DC25" s="1119">
        <f t="shared" si="125"/>
        <v>54619.473504051763</v>
      </c>
      <c r="DD25" s="1028">
        <f t="shared" si="126"/>
        <v>0.39942426493908628</v>
      </c>
      <c r="DE25" s="1028">
        <f t="shared" si="142"/>
        <v>0</v>
      </c>
      <c r="DF25" s="1009" t="s">
        <v>270</v>
      </c>
      <c r="DG25" s="1009" t="s">
        <v>271</v>
      </c>
      <c r="DH25" s="966">
        <f t="shared" si="111"/>
        <v>45658</v>
      </c>
      <c r="DI25" s="912">
        <f t="shared" si="73"/>
        <v>14</v>
      </c>
      <c r="DJ25" s="939"/>
      <c r="DK25" s="913">
        <f t="shared" si="74"/>
        <v>45723</v>
      </c>
      <c r="DL25" s="912">
        <f t="shared" si="75"/>
        <v>16</v>
      </c>
      <c r="DM25" s="750" t="s">
        <v>272</v>
      </c>
      <c r="DN25" s="750" t="s">
        <v>273</v>
      </c>
      <c r="DO25" s="751">
        <f t="shared" si="31"/>
        <v>40668.652430161514</v>
      </c>
      <c r="DP25" s="751">
        <f t="shared" si="32"/>
        <v>894710.35346355324</v>
      </c>
      <c r="DQ25" s="752">
        <f t="shared" si="127"/>
        <v>0.4473551767317766</v>
      </c>
      <c r="DR25" s="503"/>
      <c r="DS25" s="751">
        <f t="shared" si="128"/>
        <v>3105802.7666149172</v>
      </c>
      <c r="DT25" s="751">
        <f>'[4]INTERNAL PRICELIST'!N19</f>
        <v>2061900</v>
      </c>
      <c r="DU25" s="751">
        <f t="shared" si="33"/>
        <v>1043902.7666149172</v>
      </c>
      <c r="DV25" s="503"/>
      <c r="DW25" s="951">
        <f t="shared" si="129"/>
        <v>141172.85302795077</v>
      </c>
      <c r="DX25" s="503"/>
      <c r="DZ25" s="1010" t="s">
        <v>309</v>
      </c>
      <c r="EA25" s="1052" t="b">
        <f t="shared" si="35"/>
        <v>1</v>
      </c>
      <c r="EB25" s="1053" t="s">
        <v>311</v>
      </c>
      <c r="EC25" s="1053" t="s">
        <v>312</v>
      </c>
      <c r="ED25" s="503"/>
      <c r="EE25" s="1029"/>
      <c r="EF25" s="503"/>
      <c r="EG25" s="503"/>
      <c r="EH25" s="930"/>
      <c r="EI25" s="930"/>
      <c r="EJ25" s="1064" t="s">
        <v>313</v>
      </c>
      <c r="EK25" s="1063" t="s">
        <v>314</v>
      </c>
      <c r="EL25" s="1063"/>
      <c r="EM25" s="1060"/>
      <c r="EN25" s="1060"/>
      <c r="EO25" s="1062"/>
      <c r="EP25" s="503"/>
      <c r="EQ25" s="503"/>
      <c r="ER25" s="1017" t="s">
        <v>264</v>
      </c>
      <c r="ES25" s="1391" t="s">
        <v>264</v>
      </c>
      <c r="ET25" s="1018" t="b">
        <f t="shared" si="76"/>
        <v>1</v>
      </c>
      <c r="EU25" s="940"/>
      <c r="EV25" s="941"/>
      <c r="EW25" s="940"/>
      <c r="EX25" s="1019">
        <v>2904753.9878586316</v>
      </c>
      <c r="EY25" s="1019">
        <f t="shared" si="143"/>
        <v>435713.09817879472</v>
      </c>
      <c r="EZ25" s="1019">
        <f t="shared" si="144"/>
        <v>2469040.889679837</v>
      </c>
      <c r="FA25" s="1019">
        <f t="shared" si="145"/>
        <v>290475.39878586319</v>
      </c>
      <c r="FB25" s="1019">
        <f t="shared" si="146"/>
        <v>2614278.5890727686</v>
      </c>
      <c r="FC25" s="1019">
        <f t="shared" si="147"/>
        <v>145237.69939293154</v>
      </c>
      <c r="FD25" s="1020"/>
      <c r="FE25" s="1021"/>
      <c r="FF25" s="1022">
        <f t="shared" si="148"/>
        <v>2469040.889679837</v>
      </c>
      <c r="FG25" s="1022">
        <f t="shared" si="149"/>
        <v>209868.47562278615</v>
      </c>
      <c r="FH25" s="1022">
        <f t="shared" si="161"/>
        <v>104934.23781139308</v>
      </c>
      <c r="FI25" s="1023">
        <f t="shared" si="150"/>
        <v>2614278.5890727686</v>
      </c>
      <c r="FJ25" s="1023">
        <f t="shared" si="151"/>
        <v>222213.68007118534</v>
      </c>
      <c r="FK25" s="1023">
        <f t="shared" si="152"/>
        <v>111106.84003559267</v>
      </c>
      <c r="FL25" s="1019">
        <f t="shared" si="162"/>
        <v>12345.204448399192</v>
      </c>
      <c r="FM25" s="1019">
        <f t="shared" si="163"/>
        <v>6172.6022241995961</v>
      </c>
      <c r="FN25" s="1019" t="str">
        <f t="shared" si="153"/>
        <v>VS</v>
      </c>
      <c r="FO25" s="1019">
        <f t="shared" si="159"/>
        <v>27537.409960060559</v>
      </c>
      <c r="FP25" s="1019">
        <f t="shared" si="164"/>
        <v>-21364.807735860963</v>
      </c>
      <c r="FQ25" s="1021"/>
      <c r="FR25" s="1021"/>
      <c r="FS25" s="1020"/>
      <c r="FT25" s="503"/>
      <c r="FU25" s="956"/>
      <c r="FV25" s="503"/>
      <c r="FW25" s="503"/>
      <c r="FX25" s="1040"/>
      <c r="FY25" s="503"/>
      <c r="FZ25" s="503"/>
      <c r="GA25" s="1011">
        <f t="shared" si="165"/>
        <v>14</v>
      </c>
      <c r="GB25" s="1036">
        <f t="shared" ref="GB25" si="177">EDATE(GC25,GA25)</f>
        <v>45962</v>
      </c>
      <c r="GC25" s="1037">
        <v>45536</v>
      </c>
      <c r="GD25" s="503"/>
      <c r="GE25" s="503"/>
      <c r="GF25" s="503"/>
      <c r="GG25" s="956"/>
      <c r="GH25" s="945"/>
      <c r="GI25" s="1024">
        <f t="shared" si="78"/>
        <v>3532850.6470244681</v>
      </c>
      <c r="GJ25" s="1025">
        <f t="shared" si="79"/>
        <v>0.125</v>
      </c>
      <c r="GK25" s="1024">
        <f t="shared" si="80"/>
        <v>441606.33087805851</v>
      </c>
      <c r="GL25" s="1024">
        <f t="shared" si="81"/>
        <v>30000</v>
      </c>
      <c r="GM25" s="1024">
        <f t="shared" si="82"/>
        <v>411606.33087805851</v>
      </c>
      <c r="GN25" s="1024">
        <f t="shared" si="83"/>
        <v>1</v>
      </c>
      <c r="GO25" s="1024">
        <f t="shared" si="84"/>
        <v>411606.33087805851</v>
      </c>
      <c r="GP25" s="1025">
        <f t="shared" si="85"/>
        <v>0.875</v>
      </c>
      <c r="GQ25" s="1024">
        <f t="shared" si="86"/>
        <v>3091244.3161464096</v>
      </c>
      <c r="GR25" s="1024">
        <f t="shared" si="87"/>
        <v>23966.384280462073</v>
      </c>
      <c r="GS25" s="1024">
        <f t="shared" si="88"/>
        <v>27784.977834642708</v>
      </c>
      <c r="GT25" s="1024">
        <f t="shared" si="89"/>
        <v>35891.967644097516</v>
      </c>
      <c r="GU25" s="1024">
        <f t="shared" si="90"/>
        <v>61210.342440742083</v>
      </c>
      <c r="GV25" s="945"/>
      <c r="GW25" s="1024">
        <f t="shared" si="91"/>
        <v>3532850.6470244681</v>
      </c>
      <c r="GX25" s="1025">
        <f t="shared" si="92"/>
        <v>0.125</v>
      </c>
      <c r="GY25" s="1024">
        <f t="shared" si="93"/>
        <v>441606.33087805851</v>
      </c>
      <c r="GZ25" s="1024">
        <f t="shared" si="94"/>
        <v>30000</v>
      </c>
      <c r="HA25" s="1024">
        <f t="shared" si="95"/>
        <v>411606.33087805851</v>
      </c>
      <c r="HB25" s="1026">
        <f t="shared" si="96"/>
        <v>25</v>
      </c>
      <c r="HC25" s="1009">
        <f t="shared" si="97"/>
        <v>16464.253235122342</v>
      </c>
      <c r="HD25" s="1027">
        <f t="shared" si="98"/>
        <v>0.875</v>
      </c>
      <c r="HE25" s="1009">
        <f t="shared" si="99"/>
        <v>3091244.3161464096</v>
      </c>
      <c r="HF25" s="1008">
        <f t="shared" si="100"/>
        <v>23966.384280462073</v>
      </c>
      <c r="HG25" s="1008">
        <f t="shared" si="101"/>
        <v>27784.977834642708</v>
      </c>
      <c r="HH25" s="1008">
        <f t="shared" si="102"/>
        <v>35891.967644097516</v>
      </c>
      <c r="HI25" s="1008">
        <f t="shared" si="103"/>
        <v>61210.342440742083</v>
      </c>
      <c r="HJ25" s="945"/>
      <c r="HK25" s="1009">
        <f t="shared" si="104"/>
        <v>-395142.07764293614</v>
      </c>
      <c r="HL25" s="503"/>
      <c r="HM25" s="503"/>
      <c r="HN25" s="503"/>
      <c r="HO25" s="503"/>
      <c r="HP25" s="503"/>
      <c r="HQ25" s="503"/>
      <c r="HR25" s="956">
        <f t="shared" si="105"/>
        <v>0</v>
      </c>
      <c r="HS25" s="503"/>
      <c r="HT25" s="503"/>
      <c r="HU25" s="956"/>
      <c r="HV25" s="503"/>
      <c r="HW25" s="956"/>
      <c r="HX25" s="956"/>
      <c r="HY25" s="503"/>
      <c r="HZ25" s="503"/>
      <c r="IA25" s="503"/>
      <c r="ID25" s="1394"/>
    </row>
    <row r="26" spans="1:239" s="1051" customFormat="1" ht="14.25" hidden="1" customHeight="1">
      <c r="A26" s="1018">
        <f t="shared" si="155"/>
        <v>20</v>
      </c>
      <c r="B26" s="716" t="s">
        <v>264</v>
      </c>
      <c r="C26" s="741">
        <f t="shared" si="172"/>
        <v>8</v>
      </c>
      <c r="D26" s="716" t="s">
        <v>256</v>
      </c>
      <c r="E26" s="743" t="str">
        <f t="shared" si="36"/>
        <v>3rd Floor</v>
      </c>
      <c r="F26" s="1048"/>
      <c r="G26" s="745" t="s">
        <v>315</v>
      </c>
      <c r="H26" s="745" t="s">
        <v>316</v>
      </c>
      <c r="I26" s="745" t="s">
        <v>267</v>
      </c>
      <c r="J26" s="1005">
        <v>22</v>
      </c>
      <c r="K26" s="1049"/>
      <c r="L26" s="1006" t="s">
        <v>268</v>
      </c>
      <c r="M26" s="745" t="s">
        <v>65</v>
      </c>
      <c r="N26" s="1050">
        <v>95909.091</v>
      </c>
      <c r="O26" s="934">
        <f t="shared" si="132"/>
        <v>2110000.0019999999</v>
      </c>
      <c r="P26" s="934">
        <f t="shared" si="156"/>
        <v>22400</v>
      </c>
      <c r="Q26" s="934">
        <f t="shared" si="119"/>
        <v>50000</v>
      </c>
      <c r="R26" s="934"/>
      <c r="S26" s="934"/>
      <c r="T26" s="934"/>
      <c r="U26" s="934"/>
      <c r="V26" s="749">
        <f>J26*$V$5</f>
        <v>55000</v>
      </c>
      <c r="W26" s="934"/>
      <c r="X26" s="934"/>
      <c r="Y26" s="934"/>
      <c r="Z26" s="934">
        <f t="shared" si="133"/>
        <v>75000</v>
      </c>
      <c r="AA26" s="934"/>
      <c r="AB26" s="934"/>
      <c r="AC26" s="934"/>
      <c r="AD26" s="934"/>
      <c r="AE26" s="934">
        <f t="shared" si="14"/>
        <v>202400</v>
      </c>
      <c r="AF26" s="1005">
        <f t="shared" si="15"/>
        <v>2312400.0019999999</v>
      </c>
      <c r="AG26" s="1005">
        <f t="shared" si="37"/>
        <v>57810.000050000002</v>
      </c>
      <c r="AH26" s="1005">
        <f t="shared" si="38"/>
        <v>2370210.0020499998</v>
      </c>
      <c r="AI26" s="1005">
        <f t="shared" si="39"/>
        <v>59255.250051249997</v>
      </c>
      <c r="AJ26" s="1005">
        <f t="shared" si="40"/>
        <v>2429465.25210125</v>
      </c>
      <c r="AK26" s="1005">
        <f t="shared" si="41"/>
        <v>121473.26260506251</v>
      </c>
      <c r="AL26" s="1005">
        <f t="shared" si="157"/>
        <v>2550938.5147063127</v>
      </c>
      <c r="AM26" s="934">
        <f t="shared" si="43"/>
        <v>25509.385147063127</v>
      </c>
      <c r="AN26" s="934">
        <f t="shared" si="44"/>
        <v>27537.409960060559</v>
      </c>
      <c r="AO26" s="934"/>
      <c r="AP26" s="934">
        <f t="shared" si="134"/>
        <v>115067.59339020263</v>
      </c>
      <c r="AQ26" s="1005">
        <f t="shared" si="45"/>
        <v>2719052.9032036387</v>
      </c>
      <c r="AR26" s="1005">
        <f t="shared" si="46"/>
        <v>122357.38064416374</v>
      </c>
      <c r="AS26" s="1147">
        <f t="shared" si="47"/>
        <v>2841410.2838478023</v>
      </c>
      <c r="AT26" s="1148">
        <f t="shared" si="135"/>
        <v>2000000</v>
      </c>
      <c r="AU26" s="1148">
        <f t="shared" si="16"/>
        <v>38245.921993081924</v>
      </c>
      <c r="AV26" s="1148">
        <f t="shared" si="136"/>
        <v>841410.28384780232</v>
      </c>
      <c r="AW26" s="1148">
        <f t="shared" si="17"/>
        <v>100969.23406173628</v>
      </c>
      <c r="AX26" s="1148">
        <f t="shared" si="18"/>
        <v>942379.51790953858</v>
      </c>
      <c r="AY26" s="1147">
        <f t="shared" si="48"/>
        <v>2942379.5179095385</v>
      </c>
      <c r="AZ26" s="934">
        <f t="shared" si="49"/>
        <v>36779.743973869234</v>
      </c>
      <c r="BA26" s="716" t="s">
        <v>269</v>
      </c>
      <c r="BB26" s="716">
        <f t="shared" si="19"/>
        <v>2979159.2618834078</v>
      </c>
      <c r="BC26" s="716" t="s">
        <v>269</v>
      </c>
      <c r="BD26" s="716">
        <f t="shared" si="50"/>
        <v>111718.47232062778</v>
      </c>
      <c r="BE26" s="716">
        <f t="shared" si="51"/>
        <v>33600</v>
      </c>
      <c r="BF26" s="716">
        <f t="shared" si="52"/>
        <v>3124477.7342040357</v>
      </c>
      <c r="BG26" s="716"/>
      <c r="BH26" s="716">
        <f t="shared" si="53"/>
        <v>3124477.7342040357</v>
      </c>
      <c r="BI26" s="716"/>
      <c r="BJ26" s="716">
        <f t="shared" si="54"/>
        <v>3124477.7342040357</v>
      </c>
      <c r="BK26" s="716"/>
      <c r="BL26" s="716">
        <f t="shared" si="55"/>
        <v>3124477.7342040357</v>
      </c>
      <c r="BM26" s="716"/>
      <c r="BN26" s="716">
        <f t="shared" si="20"/>
        <v>3124477.7342040357</v>
      </c>
      <c r="BO26" s="716"/>
      <c r="BP26" s="716">
        <f t="shared" si="56"/>
        <v>3124477.7342040357</v>
      </c>
      <c r="BQ26" s="716"/>
      <c r="BR26" s="716">
        <f t="shared" si="57"/>
        <v>3124477.7342040357</v>
      </c>
      <c r="BS26" s="716"/>
      <c r="BT26" s="716">
        <f t="shared" si="58"/>
        <v>3124477.7342040357</v>
      </c>
      <c r="BU26" s="716"/>
      <c r="BV26" s="716">
        <f t="shared" si="21"/>
        <v>3124477.7342040357</v>
      </c>
      <c r="BW26" s="716"/>
      <c r="BX26" s="716">
        <f t="shared" si="167"/>
        <v>31400</v>
      </c>
      <c r="BY26" s="716">
        <f t="shared" si="60"/>
        <v>3155877.7342040357</v>
      </c>
      <c r="BZ26" s="716"/>
      <c r="CA26" s="716">
        <f t="shared" si="61"/>
        <v>3155877.7342040357</v>
      </c>
      <c r="CB26" s="1135">
        <f t="shared" si="121"/>
        <v>3155877.7342040357</v>
      </c>
      <c r="CC26" s="1164">
        <f t="shared" si="109"/>
        <v>3155877.7342040357</v>
      </c>
      <c r="CD26" s="1164"/>
      <c r="CE26" s="1164">
        <f t="shared" si="63"/>
        <v>0</v>
      </c>
      <c r="CF26" s="1164">
        <f t="shared" si="115"/>
        <v>0</v>
      </c>
      <c r="CG26" s="1164">
        <f t="shared" si="116"/>
        <v>0</v>
      </c>
      <c r="CH26" s="1154">
        <f t="shared" si="158"/>
        <v>3155877.7342040357</v>
      </c>
      <c r="CI26" s="935">
        <f t="shared" si="137"/>
        <v>3155877.7342040357</v>
      </c>
      <c r="CJ26" s="935">
        <f t="shared" si="64"/>
        <v>0</v>
      </c>
      <c r="CK26" s="935">
        <f t="shared" si="65"/>
        <v>323477.46775591362</v>
      </c>
      <c r="CL26" s="935">
        <f t="shared" si="66"/>
        <v>110455.72069714127</v>
      </c>
      <c r="CM26" s="1006">
        <f t="shared" si="138"/>
        <v>3589810.9226570907</v>
      </c>
      <c r="CN26" s="1007">
        <f t="shared" si="139"/>
        <v>0.125</v>
      </c>
      <c r="CO26" s="935">
        <f t="shared" si="24"/>
        <v>448726.36533213634</v>
      </c>
      <c r="CP26" s="935">
        <f t="shared" si="170"/>
        <v>30000</v>
      </c>
      <c r="CQ26" s="935">
        <f t="shared" si="25"/>
        <v>418726.36533213634</v>
      </c>
      <c r="CR26" s="745">
        <f t="shared" si="141"/>
        <v>1</v>
      </c>
      <c r="CS26" s="935">
        <f t="shared" si="26"/>
        <v>418726.36533213634</v>
      </c>
      <c r="CT26" s="1007">
        <f t="shared" si="68"/>
        <v>0.875</v>
      </c>
      <c r="CU26" s="935">
        <f t="shared" si="69"/>
        <v>3141084.5573249543</v>
      </c>
      <c r="CV26" s="1008">
        <f t="shared" si="110"/>
        <v>24352.79513982921</v>
      </c>
      <c r="CW26" s="1008">
        <f t="shared" si="70"/>
        <v>28232.956012616498</v>
      </c>
      <c r="CX26" s="1008">
        <f t="shared" si="71"/>
        <v>36470.655104810539</v>
      </c>
      <c r="CY26" s="1008">
        <f t="shared" si="72"/>
        <v>62197.238951617357</v>
      </c>
      <c r="CZ26" s="1119">
        <f t="shared" si="122"/>
        <v>255160.28257364413</v>
      </c>
      <c r="DA26" s="1119">
        <f t="shared" si="123"/>
        <v>100965.68085729262</v>
      </c>
      <c r="DB26" s="1119">
        <f t="shared" si="124"/>
        <v>72926.081286636385</v>
      </c>
      <c r="DC26" s="1119">
        <f t="shared" si="125"/>
        <v>55500.105202513136</v>
      </c>
      <c r="DD26" s="1028">
        <f t="shared" si="126"/>
        <v>0.42070514192390118</v>
      </c>
      <c r="DE26" s="1028">
        <f t="shared" si="142"/>
        <v>0</v>
      </c>
      <c r="DF26" s="1009" t="s">
        <v>270</v>
      </c>
      <c r="DG26" s="1009" t="s">
        <v>271</v>
      </c>
      <c r="DH26" s="966">
        <f t="shared" si="111"/>
        <v>45658</v>
      </c>
      <c r="DI26" s="912">
        <f t="shared" si="73"/>
        <v>14</v>
      </c>
      <c r="DJ26" s="939"/>
      <c r="DK26" s="913">
        <f t="shared" si="74"/>
        <v>45723</v>
      </c>
      <c r="DL26" s="912">
        <f t="shared" si="75"/>
        <v>16</v>
      </c>
      <c r="DM26" s="750" t="s">
        <v>272</v>
      </c>
      <c r="DN26" s="750" t="s">
        <v>273</v>
      </c>
      <c r="DO26" s="751">
        <f t="shared" si="31"/>
        <v>42835.432632251752</v>
      </c>
      <c r="DP26" s="751">
        <f t="shared" si="32"/>
        <v>942379.51790953858</v>
      </c>
      <c r="DQ26" s="752">
        <f t="shared" si="127"/>
        <v>0.47118975895476928</v>
      </c>
      <c r="DR26" s="503"/>
      <c r="DS26" s="751">
        <f t="shared" si="128"/>
        <v>3155877.7342040357</v>
      </c>
      <c r="DT26" s="751">
        <f>'[4]INTERNAL PRICELIST'!N20</f>
        <v>2061900</v>
      </c>
      <c r="DU26" s="751">
        <f t="shared" si="33"/>
        <v>1093977.7342040357</v>
      </c>
      <c r="DV26" s="503"/>
      <c r="DW26" s="951">
        <f t="shared" si="129"/>
        <v>143448.98791836525</v>
      </c>
      <c r="DX26" s="503"/>
      <c r="DZ26" s="1010" t="s">
        <v>315</v>
      </c>
      <c r="EA26" s="1052" t="b">
        <f t="shared" si="35"/>
        <v>1</v>
      </c>
      <c r="EB26" s="1053" t="s">
        <v>317</v>
      </c>
      <c r="EC26" s="1053" t="s">
        <v>312</v>
      </c>
      <c r="ED26" s="503"/>
      <c r="EE26" s="1029"/>
      <c r="EF26" s="503"/>
      <c r="EG26" s="503"/>
      <c r="EH26" s="930"/>
      <c r="EI26" s="930"/>
      <c r="EJ26" s="1064" t="s">
        <v>318</v>
      </c>
      <c r="EK26" s="1063" t="s">
        <v>319</v>
      </c>
      <c r="EL26" s="1063"/>
      <c r="EM26" s="1060"/>
      <c r="EN26" s="1060"/>
      <c r="EO26" s="1062"/>
      <c r="EP26" s="503"/>
      <c r="EQ26" s="503"/>
      <c r="ER26" s="1017" t="s">
        <v>264</v>
      </c>
      <c r="ES26" s="1391" t="s">
        <v>264</v>
      </c>
      <c r="ET26" s="1018" t="b">
        <f t="shared" si="76"/>
        <v>1</v>
      </c>
      <c r="EU26" s="940"/>
      <c r="EV26" s="941"/>
      <c r="EW26" s="940"/>
      <c r="EX26" s="1019">
        <v>3008303.0951686958</v>
      </c>
      <c r="EY26" s="1019">
        <f t="shared" si="143"/>
        <v>451245.46427530434</v>
      </c>
      <c r="EZ26" s="1019">
        <f t="shared" si="144"/>
        <v>2557057.6308933916</v>
      </c>
      <c r="FA26" s="1019">
        <f t="shared" si="145"/>
        <v>300830.3095168696</v>
      </c>
      <c r="FB26" s="1019">
        <f t="shared" si="146"/>
        <v>2707472.7856518263</v>
      </c>
      <c r="FC26" s="1019">
        <f t="shared" si="147"/>
        <v>150415.15475843474</v>
      </c>
      <c r="FD26" s="1020"/>
      <c r="FE26" s="1021"/>
      <c r="FF26" s="1022">
        <f t="shared" si="148"/>
        <v>2557057.6308933916</v>
      </c>
      <c r="FG26" s="1022">
        <f t="shared" si="149"/>
        <v>217349.89862593831</v>
      </c>
      <c r="FH26" s="1022">
        <f t="shared" si="161"/>
        <v>108674.94931296915</v>
      </c>
      <c r="FI26" s="1023">
        <f t="shared" si="150"/>
        <v>2707472.7856518263</v>
      </c>
      <c r="FJ26" s="1023">
        <f t="shared" si="151"/>
        <v>230135.18678040526</v>
      </c>
      <c r="FK26" s="1023">
        <f t="shared" si="152"/>
        <v>115067.59339020263</v>
      </c>
      <c r="FL26" s="1019">
        <f t="shared" si="162"/>
        <v>12785.288154466951</v>
      </c>
      <c r="FM26" s="1019">
        <f t="shared" si="163"/>
        <v>6392.6440772334754</v>
      </c>
      <c r="FN26" s="1019" t="str">
        <f t="shared" si="153"/>
        <v>VS</v>
      </c>
      <c r="FO26" s="1019">
        <f t="shared" si="159"/>
        <v>27537.409960060559</v>
      </c>
      <c r="FP26" s="1019">
        <f t="shared" si="164"/>
        <v>-21144.765882827083</v>
      </c>
      <c r="FQ26" s="1021"/>
      <c r="FR26" s="1021"/>
      <c r="FS26" s="1020"/>
      <c r="FT26" s="503"/>
      <c r="FU26" s="956"/>
      <c r="FV26" s="503"/>
      <c r="FW26" s="503"/>
      <c r="FX26" s="1040"/>
      <c r="FY26" s="503"/>
      <c r="FZ26" s="503"/>
      <c r="GA26" s="1011">
        <f t="shared" si="165"/>
        <v>13</v>
      </c>
      <c r="GB26" s="1036">
        <f t="shared" ref="GB26:GB27" si="178">EDATE(GC26,GA26)</f>
        <v>45962</v>
      </c>
      <c r="GC26" s="1037">
        <v>45566</v>
      </c>
      <c r="GD26" s="503"/>
      <c r="GE26" s="503"/>
      <c r="GF26" s="503"/>
      <c r="GG26" s="956"/>
      <c r="GH26" s="945"/>
      <c r="GI26" s="1024">
        <f t="shared" si="78"/>
        <v>3589810.9226570907</v>
      </c>
      <c r="GJ26" s="1025">
        <f t="shared" si="79"/>
        <v>0.125</v>
      </c>
      <c r="GK26" s="1024">
        <f t="shared" si="80"/>
        <v>448726.36533213634</v>
      </c>
      <c r="GL26" s="1024">
        <f t="shared" si="81"/>
        <v>30000</v>
      </c>
      <c r="GM26" s="1024">
        <f t="shared" si="82"/>
        <v>418726.36533213634</v>
      </c>
      <c r="GN26" s="1024">
        <f t="shared" si="83"/>
        <v>1</v>
      </c>
      <c r="GO26" s="1024">
        <f t="shared" si="84"/>
        <v>418726.36533213634</v>
      </c>
      <c r="GP26" s="1025">
        <f t="shared" si="85"/>
        <v>0.875</v>
      </c>
      <c r="GQ26" s="1024">
        <f t="shared" si="86"/>
        <v>3141084.5573249543</v>
      </c>
      <c r="GR26" s="1024">
        <f t="shared" si="87"/>
        <v>24352.79513982921</v>
      </c>
      <c r="GS26" s="1024">
        <f t="shared" si="88"/>
        <v>28232.956012616498</v>
      </c>
      <c r="GT26" s="1024">
        <f t="shared" si="89"/>
        <v>36470.655104810539</v>
      </c>
      <c r="GU26" s="1024">
        <f t="shared" si="90"/>
        <v>62197.238951617357</v>
      </c>
      <c r="GV26" s="945"/>
      <c r="GW26" s="1024">
        <f t="shared" si="91"/>
        <v>3589810.9226570907</v>
      </c>
      <c r="GX26" s="1025">
        <f t="shared" si="92"/>
        <v>0.125</v>
      </c>
      <c r="GY26" s="1024">
        <f t="shared" si="93"/>
        <v>448726.36533213634</v>
      </c>
      <c r="GZ26" s="1024">
        <f t="shared" si="94"/>
        <v>30000</v>
      </c>
      <c r="HA26" s="1024">
        <f t="shared" si="95"/>
        <v>418726.36533213634</v>
      </c>
      <c r="HB26" s="1026">
        <f t="shared" si="96"/>
        <v>25</v>
      </c>
      <c r="HC26" s="1009">
        <f t="shared" si="97"/>
        <v>16749.054613285454</v>
      </c>
      <c r="HD26" s="1027">
        <f t="shared" si="98"/>
        <v>0.875</v>
      </c>
      <c r="HE26" s="1009">
        <f t="shared" si="99"/>
        <v>3141084.5573249543</v>
      </c>
      <c r="HF26" s="1008">
        <f t="shared" si="100"/>
        <v>24352.79513982921</v>
      </c>
      <c r="HG26" s="1008">
        <f t="shared" si="101"/>
        <v>28232.956012616498</v>
      </c>
      <c r="HH26" s="1008">
        <f t="shared" si="102"/>
        <v>36470.655104810539</v>
      </c>
      <c r="HI26" s="1008">
        <f t="shared" si="103"/>
        <v>62197.238951617357</v>
      </c>
      <c r="HJ26" s="945"/>
      <c r="HK26" s="1009">
        <f t="shared" si="104"/>
        <v>-401977.31071885087</v>
      </c>
      <c r="HL26" s="503"/>
      <c r="HM26" s="503"/>
      <c r="HN26" s="503"/>
      <c r="HO26" s="503"/>
      <c r="HP26" s="503"/>
      <c r="HQ26" s="503"/>
      <c r="HR26" s="956">
        <f t="shared" si="105"/>
        <v>0</v>
      </c>
      <c r="HS26" s="503"/>
      <c r="HT26" s="503"/>
      <c r="HU26" s="956"/>
      <c r="HV26" s="503"/>
      <c r="HW26" s="956"/>
      <c r="HX26" s="956"/>
      <c r="HY26" s="503"/>
      <c r="HZ26" s="503"/>
      <c r="IA26" s="503"/>
      <c r="ID26" s="1394"/>
    </row>
    <row r="27" spans="1:239" s="1051" customFormat="1" ht="14.25" hidden="1" customHeight="1">
      <c r="A27" s="1018">
        <f t="shared" si="155"/>
        <v>21</v>
      </c>
      <c r="B27" s="716" t="s">
        <v>264</v>
      </c>
      <c r="C27" s="741">
        <f t="shared" si="172"/>
        <v>9</v>
      </c>
      <c r="D27" s="716" t="s">
        <v>256</v>
      </c>
      <c r="E27" s="743" t="str">
        <f t="shared" si="36"/>
        <v>3rd Floor</v>
      </c>
      <c r="F27" s="1048"/>
      <c r="G27" s="745" t="s">
        <v>320</v>
      </c>
      <c r="H27" s="745" t="s">
        <v>321</v>
      </c>
      <c r="I27" s="745" t="s">
        <v>267</v>
      </c>
      <c r="J27" s="1005">
        <v>22</v>
      </c>
      <c r="K27" s="1049"/>
      <c r="L27" s="1006" t="s">
        <v>268</v>
      </c>
      <c r="M27" s="745" t="s">
        <v>79</v>
      </c>
      <c r="N27" s="1050">
        <v>95909.091</v>
      </c>
      <c r="O27" s="934">
        <f t="shared" si="132"/>
        <v>2110000.0019999999</v>
      </c>
      <c r="P27" s="934">
        <f t="shared" si="156"/>
        <v>22400</v>
      </c>
      <c r="Q27" s="934">
        <f t="shared" si="119"/>
        <v>50000</v>
      </c>
      <c r="R27" s="934"/>
      <c r="S27" s="934"/>
      <c r="T27" s="934"/>
      <c r="U27" s="934"/>
      <c r="V27" s="934"/>
      <c r="W27" s="934"/>
      <c r="X27" s="934"/>
      <c r="Y27" s="934"/>
      <c r="Z27" s="934">
        <f t="shared" si="133"/>
        <v>75000</v>
      </c>
      <c r="AA27" s="934"/>
      <c r="AB27" s="934"/>
      <c r="AC27" s="934"/>
      <c r="AD27" s="934"/>
      <c r="AE27" s="934">
        <f t="shared" si="14"/>
        <v>147400</v>
      </c>
      <c r="AF27" s="1005">
        <f t="shared" si="15"/>
        <v>2257400.0019999999</v>
      </c>
      <c r="AG27" s="1005">
        <f t="shared" si="37"/>
        <v>56435.000050000002</v>
      </c>
      <c r="AH27" s="1005">
        <f t="shared" si="38"/>
        <v>2313835.0020499998</v>
      </c>
      <c r="AI27" s="1005">
        <f t="shared" si="39"/>
        <v>57845.875051249997</v>
      </c>
      <c r="AJ27" s="1005">
        <f t="shared" si="40"/>
        <v>2371680.87710125</v>
      </c>
      <c r="AK27" s="1005">
        <f t="shared" si="41"/>
        <v>118584.04385506251</v>
      </c>
      <c r="AL27" s="1005">
        <f t="shared" si="157"/>
        <v>2490264.9209563127</v>
      </c>
      <c r="AM27" s="934">
        <f t="shared" si="43"/>
        <v>24902.649209563126</v>
      </c>
      <c r="AN27" s="934">
        <f t="shared" si="44"/>
        <v>27537.409960060559</v>
      </c>
      <c r="AO27" s="934"/>
      <c r="AP27" s="934">
        <f t="shared" si="134"/>
        <v>109934.5752385239</v>
      </c>
      <c r="AQ27" s="1005">
        <f t="shared" si="45"/>
        <v>2652639.5553644602</v>
      </c>
      <c r="AR27" s="1005">
        <f t="shared" si="46"/>
        <v>119368.7799914007</v>
      </c>
      <c r="AS27" s="1147">
        <f t="shared" si="47"/>
        <v>2772008.3353558611</v>
      </c>
      <c r="AT27" s="1148">
        <f t="shared" si="135"/>
        <v>2000000</v>
      </c>
      <c r="AU27" s="1148">
        <f t="shared" si="16"/>
        <v>35091.287970720958</v>
      </c>
      <c r="AV27" s="1148">
        <f t="shared" si="136"/>
        <v>772008.33535586111</v>
      </c>
      <c r="AW27" s="1148">
        <f t="shared" si="17"/>
        <v>92641.000242703332</v>
      </c>
      <c r="AX27" s="1148">
        <f t="shared" si="18"/>
        <v>864649.33559856447</v>
      </c>
      <c r="AY27" s="1147">
        <f t="shared" si="48"/>
        <v>2864649.3355985642</v>
      </c>
      <c r="AZ27" s="934">
        <f t="shared" si="49"/>
        <v>35808.116694982054</v>
      </c>
      <c r="BA27" s="716" t="s">
        <v>269</v>
      </c>
      <c r="BB27" s="716">
        <f t="shared" si="19"/>
        <v>2900457.4522935464</v>
      </c>
      <c r="BC27" s="716" t="s">
        <v>269</v>
      </c>
      <c r="BD27" s="716">
        <f t="shared" si="50"/>
        <v>108767.15446100799</v>
      </c>
      <c r="BE27" s="716">
        <f t="shared" si="51"/>
        <v>33600</v>
      </c>
      <c r="BF27" s="716">
        <f t="shared" si="52"/>
        <v>3042824.6067545544</v>
      </c>
      <c r="BG27" s="716"/>
      <c r="BH27" s="716">
        <f t="shared" si="53"/>
        <v>3042824.6067545544</v>
      </c>
      <c r="BI27" s="716"/>
      <c r="BJ27" s="716">
        <f t="shared" si="54"/>
        <v>3042824.6067545544</v>
      </c>
      <c r="BK27" s="716"/>
      <c r="BL27" s="716">
        <f t="shared" si="55"/>
        <v>3042824.6067545544</v>
      </c>
      <c r="BM27" s="716"/>
      <c r="BN27" s="716">
        <f t="shared" si="20"/>
        <v>3042824.6067545544</v>
      </c>
      <c r="BO27" s="716"/>
      <c r="BP27" s="716">
        <f t="shared" si="56"/>
        <v>3042824.6067545544</v>
      </c>
      <c r="BQ27" s="716"/>
      <c r="BR27" s="716">
        <f t="shared" si="57"/>
        <v>3042824.6067545544</v>
      </c>
      <c r="BS27" s="716"/>
      <c r="BT27" s="716">
        <f t="shared" si="58"/>
        <v>3042824.6067545544</v>
      </c>
      <c r="BU27" s="716"/>
      <c r="BV27" s="716">
        <f t="shared" si="21"/>
        <v>3042824.6067545544</v>
      </c>
      <c r="BW27" s="716"/>
      <c r="BX27" s="716">
        <f t="shared" si="167"/>
        <v>31400</v>
      </c>
      <c r="BY27" s="716">
        <f t="shared" si="60"/>
        <v>3074224.6067545544</v>
      </c>
      <c r="BZ27" s="716"/>
      <c r="CA27" s="716">
        <f t="shared" si="61"/>
        <v>3074224.6067545544</v>
      </c>
      <c r="CB27" s="1135">
        <f t="shared" si="121"/>
        <v>3074224.6067545544</v>
      </c>
      <c r="CC27" s="1164">
        <f t="shared" si="109"/>
        <v>3074224.6067545544</v>
      </c>
      <c r="CD27" s="1164"/>
      <c r="CE27" s="1164">
        <f t="shared" si="63"/>
        <v>0</v>
      </c>
      <c r="CF27" s="1164">
        <f t="shared" si="115"/>
        <v>0</v>
      </c>
      <c r="CG27" s="1164">
        <f t="shared" si="116"/>
        <v>0</v>
      </c>
      <c r="CH27" s="1154">
        <f t="shared" si="158"/>
        <v>3074224.6067545544</v>
      </c>
      <c r="CI27" s="935">
        <f t="shared" si="137"/>
        <v>3074224.6067545544</v>
      </c>
      <c r="CJ27" s="935">
        <f t="shared" si="64"/>
        <v>0</v>
      </c>
      <c r="CK27" s="935">
        <f t="shared" si="65"/>
        <v>315108.0221923418</v>
      </c>
      <c r="CL27" s="935">
        <f t="shared" si="66"/>
        <v>107597.86123640942</v>
      </c>
      <c r="CM27" s="1006">
        <f t="shared" si="138"/>
        <v>3496930.4901833055</v>
      </c>
      <c r="CN27" s="1007">
        <f t="shared" si="139"/>
        <v>0.125</v>
      </c>
      <c r="CO27" s="935">
        <f t="shared" si="24"/>
        <v>437116.31127291318</v>
      </c>
      <c r="CP27" s="935">
        <f t="shared" si="170"/>
        <v>30000</v>
      </c>
      <c r="CQ27" s="935">
        <f t="shared" si="25"/>
        <v>407116.31127291318</v>
      </c>
      <c r="CR27" s="745">
        <f t="shared" si="141"/>
        <v>1</v>
      </c>
      <c r="CS27" s="935">
        <f t="shared" si="26"/>
        <v>407116.31127291318</v>
      </c>
      <c r="CT27" s="1007">
        <f t="shared" si="68"/>
        <v>0.875</v>
      </c>
      <c r="CU27" s="935">
        <f t="shared" si="69"/>
        <v>3059814.1789103923</v>
      </c>
      <c r="CV27" s="1008">
        <f t="shared" si="110"/>
        <v>23722.706761007681</v>
      </c>
      <c r="CW27" s="1008">
        <f t="shared" si="70"/>
        <v>27502.474875597669</v>
      </c>
      <c r="CX27" s="1008">
        <f t="shared" si="71"/>
        <v>35527.03710048685</v>
      </c>
      <c r="CY27" s="1008">
        <f t="shared" si="72"/>
        <v>60587.988053181267</v>
      </c>
      <c r="CZ27" s="1119">
        <f t="shared" si="122"/>
        <v>248558.43141597047</v>
      </c>
      <c r="DA27" s="1119">
        <f t="shared" si="123"/>
        <v>98353.36051366452</v>
      </c>
      <c r="DB27" s="1119">
        <f t="shared" si="124"/>
        <v>71039.239301235197</v>
      </c>
      <c r="DC27" s="1119">
        <f t="shared" si="125"/>
        <v>54064.131585904252</v>
      </c>
      <c r="DD27" s="1028">
        <f t="shared" si="126"/>
        <v>0.38600416767793055</v>
      </c>
      <c r="DE27" s="1028">
        <f t="shared" si="142"/>
        <v>0</v>
      </c>
      <c r="DF27" s="1009" t="s">
        <v>270</v>
      </c>
      <c r="DG27" s="1009" t="s">
        <v>271</v>
      </c>
      <c r="DH27" s="966">
        <f t="shared" si="111"/>
        <v>45658</v>
      </c>
      <c r="DI27" s="912">
        <f t="shared" si="73"/>
        <v>14</v>
      </c>
      <c r="DJ27" s="939"/>
      <c r="DK27" s="913">
        <f t="shared" si="74"/>
        <v>45723</v>
      </c>
      <c r="DL27" s="912">
        <f t="shared" si="75"/>
        <v>16</v>
      </c>
      <c r="DM27" s="750" t="s">
        <v>272</v>
      </c>
      <c r="DN27" s="750" t="s">
        <v>273</v>
      </c>
      <c r="DO27" s="751">
        <f t="shared" si="31"/>
        <v>39302.242527207476</v>
      </c>
      <c r="DP27" s="751">
        <f t="shared" si="32"/>
        <v>864649.33559856447</v>
      </c>
      <c r="DQ27" s="752">
        <f t="shared" si="127"/>
        <v>0.43232466779928225</v>
      </c>
      <c r="DR27" s="503"/>
      <c r="DS27" s="751">
        <f t="shared" si="128"/>
        <v>3074224.6067545544</v>
      </c>
      <c r="DT27" s="751">
        <f>'[4]INTERNAL PRICELIST'!N21</f>
        <v>2061900</v>
      </c>
      <c r="DU27" s="751">
        <f t="shared" si="33"/>
        <v>1012324.6067545544</v>
      </c>
      <c r="DV27" s="503"/>
      <c r="DW27" s="951">
        <f t="shared" si="129"/>
        <v>139737.48212520703</v>
      </c>
      <c r="DX27" s="503"/>
      <c r="DZ27" s="1010" t="s">
        <v>320</v>
      </c>
      <c r="EA27" s="1052" t="b">
        <f t="shared" si="35"/>
        <v>1</v>
      </c>
      <c r="EB27" s="1053" t="s">
        <v>322</v>
      </c>
      <c r="EC27" s="1053" t="s">
        <v>312</v>
      </c>
      <c r="ED27" s="503"/>
      <c r="EE27" s="1029"/>
      <c r="EF27" s="503"/>
      <c r="EG27" s="503"/>
      <c r="EH27" s="930"/>
      <c r="EI27" s="930"/>
      <c r="EJ27" s="1064"/>
      <c r="EK27" s="1060"/>
      <c r="EL27" s="1060"/>
      <c r="EM27" s="1060"/>
      <c r="EN27" s="1060"/>
      <c r="EO27" s="1062"/>
      <c r="EP27" s="503"/>
      <c r="EQ27" s="503"/>
      <c r="ER27" s="1017" t="s">
        <v>264</v>
      </c>
      <c r="ES27" s="1391" t="s">
        <v>264</v>
      </c>
      <c r="ET27" s="1018" t="b">
        <f t="shared" si="76"/>
        <v>1</v>
      </c>
      <c r="EU27" s="940"/>
      <c r="EV27" s="941"/>
      <c r="EW27" s="940"/>
      <c r="EX27" s="1019">
        <v>2874106.5421836311</v>
      </c>
      <c r="EY27" s="1019">
        <f t="shared" si="143"/>
        <v>431115.98132754466</v>
      </c>
      <c r="EZ27" s="1019">
        <f t="shared" si="144"/>
        <v>2442990.5608560862</v>
      </c>
      <c r="FA27" s="1019">
        <f t="shared" si="145"/>
        <v>287410.65421836311</v>
      </c>
      <c r="FB27" s="1019">
        <f t="shared" si="146"/>
        <v>2586695.887965268</v>
      </c>
      <c r="FC27" s="1019">
        <f t="shared" si="147"/>
        <v>143705.32710918179</v>
      </c>
      <c r="FD27" s="1020"/>
      <c r="FE27" s="1021"/>
      <c r="FF27" s="1022">
        <f t="shared" si="148"/>
        <v>2442990.5608560862</v>
      </c>
      <c r="FG27" s="1022">
        <f t="shared" si="149"/>
        <v>207654.19767276733</v>
      </c>
      <c r="FH27" s="1022">
        <f t="shared" si="161"/>
        <v>103827.09883638367</v>
      </c>
      <c r="FI27" s="1023">
        <f t="shared" si="150"/>
        <v>2586695.887965268</v>
      </c>
      <c r="FJ27" s="1023">
        <f t="shared" si="151"/>
        <v>219869.15047704781</v>
      </c>
      <c r="FK27" s="1023">
        <f t="shared" si="152"/>
        <v>109934.5752385239</v>
      </c>
      <c r="FL27" s="1019">
        <f t="shared" si="162"/>
        <v>12214.952804280474</v>
      </c>
      <c r="FM27" s="1019">
        <f t="shared" si="163"/>
        <v>6107.476402140237</v>
      </c>
      <c r="FN27" s="1019" t="str">
        <f t="shared" si="153"/>
        <v>VS</v>
      </c>
      <c r="FO27" s="1019">
        <f t="shared" si="159"/>
        <v>27537.409960060559</v>
      </c>
      <c r="FP27" s="1019">
        <f t="shared" si="164"/>
        <v>-21429.933557920322</v>
      </c>
      <c r="FQ27" s="1021"/>
      <c r="FR27" s="1021"/>
      <c r="FS27" s="1020"/>
      <c r="FT27" s="503"/>
      <c r="FU27" s="956"/>
      <c r="FV27" s="503"/>
      <c r="FW27" s="503"/>
      <c r="FX27" s="1040"/>
      <c r="FY27" s="503"/>
      <c r="FZ27" s="503"/>
      <c r="GA27" s="1011">
        <v>9</v>
      </c>
      <c r="GB27" s="1036">
        <f t="shared" si="178"/>
        <v>45870</v>
      </c>
      <c r="GC27" s="1037">
        <v>45597</v>
      </c>
      <c r="GD27" s="503" t="s">
        <v>323</v>
      </c>
      <c r="GE27" s="503"/>
      <c r="GF27" s="503"/>
      <c r="GG27" s="956"/>
      <c r="GH27" s="945"/>
      <c r="GI27" s="1024">
        <f t="shared" si="78"/>
        <v>3496930.4901833055</v>
      </c>
      <c r="GJ27" s="1025">
        <f t="shared" si="79"/>
        <v>0.125</v>
      </c>
      <c r="GK27" s="1024">
        <f t="shared" si="80"/>
        <v>437116.31127291318</v>
      </c>
      <c r="GL27" s="1024">
        <f t="shared" si="81"/>
        <v>30000</v>
      </c>
      <c r="GM27" s="1024">
        <f t="shared" si="82"/>
        <v>407116.31127291318</v>
      </c>
      <c r="GN27" s="1024">
        <f t="shared" si="83"/>
        <v>1</v>
      </c>
      <c r="GO27" s="1024">
        <f t="shared" si="84"/>
        <v>407116.31127291318</v>
      </c>
      <c r="GP27" s="1025">
        <f t="shared" si="85"/>
        <v>0.875</v>
      </c>
      <c r="GQ27" s="1024">
        <f t="shared" si="86"/>
        <v>3059814.1789103923</v>
      </c>
      <c r="GR27" s="1024">
        <f t="shared" si="87"/>
        <v>23722.706761007681</v>
      </c>
      <c r="GS27" s="1024">
        <f t="shared" si="88"/>
        <v>27502.474875597669</v>
      </c>
      <c r="GT27" s="1024">
        <f t="shared" si="89"/>
        <v>35527.03710048685</v>
      </c>
      <c r="GU27" s="1024">
        <f t="shared" si="90"/>
        <v>60587.988053181267</v>
      </c>
      <c r="GV27" s="945"/>
      <c r="GW27" s="1024">
        <f t="shared" si="91"/>
        <v>3496930.4901833055</v>
      </c>
      <c r="GX27" s="1025">
        <f t="shared" si="92"/>
        <v>0.125</v>
      </c>
      <c r="GY27" s="1024">
        <f t="shared" si="93"/>
        <v>437116.31127291318</v>
      </c>
      <c r="GZ27" s="1024">
        <f t="shared" si="94"/>
        <v>30000</v>
      </c>
      <c r="HA27" s="1024">
        <f t="shared" si="95"/>
        <v>407116.31127291318</v>
      </c>
      <c r="HB27" s="1026">
        <f t="shared" si="96"/>
        <v>25</v>
      </c>
      <c r="HC27" s="1009">
        <f t="shared" si="97"/>
        <v>16284.652450916527</v>
      </c>
      <c r="HD27" s="1027">
        <f t="shared" si="98"/>
        <v>0.875</v>
      </c>
      <c r="HE27" s="1009">
        <f t="shared" si="99"/>
        <v>3059814.1789103923</v>
      </c>
      <c r="HF27" s="1008">
        <f t="shared" si="100"/>
        <v>23722.706761007681</v>
      </c>
      <c r="HG27" s="1008">
        <f t="shared" si="101"/>
        <v>27502.474875597669</v>
      </c>
      <c r="HH27" s="1008">
        <f t="shared" si="102"/>
        <v>35527.03710048685</v>
      </c>
      <c r="HI27" s="1008">
        <f t="shared" si="103"/>
        <v>60587.988053181267</v>
      </c>
      <c r="HJ27" s="945"/>
      <c r="HK27" s="1009">
        <f t="shared" si="104"/>
        <v>-390831.65882199665</v>
      </c>
      <c r="HL27" s="503"/>
      <c r="HM27" s="503"/>
      <c r="HN27" s="503"/>
      <c r="HO27" s="503"/>
      <c r="HP27" s="503"/>
      <c r="HQ27" s="503"/>
      <c r="HR27" s="956">
        <f t="shared" si="105"/>
        <v>0</v>
      </c>
      <c r="HS27" s="503"/>
      <c r="HT27" s="503"/>
      <c r="HU27" s="956"/>
      <c r="HV27" s="503"/>
      <c r="HW27" s="956"/>
      <c r="HX27" s="956"/>
      <c r="HY27" s="503"/>
      <c r="HZ27" s="503"/>
      <c r="IA27" s="503"/>
      <c r="ID27" s="1394"/>
    </row>
    <row r="28" spans="1:239" s="1051" customFormat="1" ht="14.25" hidden="1" customHeight="1">
      <c r="A28" s="1018">
        <f t="shared" si="155"/>
        <v>22</v>
      </c>
      <c r="B28" s="716" t="s">
        <v>264</v>
      </c>
      <c r="C28" s="741">
        <f t="shared" si="172"/>
        <v>10</v>
      </c>
      <c r="D28" s="716" t="s">
        <v>256</v>
      </c>
      <c r="E28" s="743" t="str">
        <f t="shared" si="36"/>
        <v>3rd Floor</v>
      </c>
      <c r="F28" s="1048"/>
      <c r="G28" s="745" t="s">
        <v>324</v>
      </c>
      <c r="H28" s="745" t="s">
        <v>325</v>
      </c>
      <c r="I28" s="745" t="s">
        <v>267</v>
      </c>
      <c r="J28" s="1005">
        <v>22</v>
      </c>
      <c r="K28" s="1049"/>
      <c r="L28" s="1006" t="s">
        <v>268</v>
      </c>
      <c r="M28" s="745" t="s">
        <v>79</v>
      </c>
      <c r="N28" s="1050">
        <v>95909.091</v>
      </c>
      <c r="O28" s="934">
        <f t="shared" si="132"/>
        <v>2110000.0019999999</v>
      </c>
      <c r="P28" s="934">
        <f t="shared" si="156"/>
        <v>22400</v>
      </c>
      <c r="Q28" s="934">
        <f t="shared" si="119"/>
        <v>50000</v>
      </c>
      <c r="R28" s="934"/>
      <c r="S28" s="934"/>
      <c r="T28" s="934"/>
      <c r="U28" s="934"/>
      <c r="V28" s="934"/>
      <c r="W28" s="934"/>
      <c r="X28" s="934"/>
      <c r="Y28" s="934"/>
      <c r="Z28" s="934">
        <f t="shared" si="133"/>
        <v>75000</v>
      </c>
      <c r="AA28" s="934"/>
      <c r="AB28" s="934"/>
      <c r="AC28" s="934"/>
      <c r="AD28" s="934"/>
      <c r="AE28" s="934">
        <f t="shared" si="14"/>
        <v>147400</v>
      </c>
      <c r="AF28" s="1005">
        <f t="shared" si="15"/>
        <v>2257400.0019999999</v>
      </c>
      <c r="AG28" s="1005">
        <f t="shared" si="37"/>
        <v>56435.000050000002</v>
      </c>
      <c r="AH28" s="1005">
        <f t="shared" si="38"/>
        <v>2313835.0020499998</v>
      </c>
      <c r="AI28" s="1005">
        <f t="shared" si="39"/>
        <v>57845.875051249997</v>
      </c>
      <c r="AJ28" s="1005">
        <f t="shared" si="40"/>
        <v>2371680.87710125</v>
      </c>
      <c r="AK28" s="1005">
        <f t="shared" si="41"/>
        <v>118584.04385506251</v>
      </c>
      <c r="AL28" s="1005">
        <f t="shared" si="157"/>
        <v>2490264.9209563127</v>
      </c>
      <c r="AM28" s="934">
        <f t="shared" si="43"/>
        <v>24902.649209563126</v>
      </c>
      <c r="AN28" s="934">
        <f t="shared" si="44"/>
        <v>27537.409960060559</v>
      </c>
      <c r="AO28" s="934"/>
      <c r="AP28" s="934">
        <f t="shared" si="134"/>
        <v>109934.5752385239</v>
      </c>
      <c r="AQ28" s="1005">
        <f t="shared" si="45"/>
        <v>2652639.5553644602</v>
      </c>
      <c r="AR28" s="1005">
        <f t="shared" si="46"/>
        <v>119368.7799914007</v>
      </c>
      <c r="AS28" s="1147">
        <f t="shared" si="47"/>
        <v>2772008.3353558611</v>
      </c>
      <c r="AT28" s="1148">
        <f t="shared" si="135"/>
        <v>2000000</v>
      </c>
      <c r="AU28" s="1148">
        <f t="shared" si="16"/>
        <v>35091.287970720958</v>
      </c>
      <c r="AV28" s="1148">
        <f t="shared" si="136"/>
        <v>772008.33535586111</v>
      </c>
      <c r="AW28" s="1148">
        <f t="shared" si="17"/>
        <v>92641.000242703332</v>
      </c>
      <c r="AX28" s="1148">
        <f t="shared" si="18"/>
        <v>864649.33559856447</v>
      </c>
      <c r="AY28" s="1147">
        <f t="shared" si="48"/>
        <v>2864649.3355985642</v>
      </c>
      <c r="AZ28" s="934">
        <f t="shared" si="49"/>
        <v>35808.116694982054</v>
      </c>
      <c r="BA28" s="716" t="s">
        <v>269</v>
      </c>
      <c r="BB28" s="716">
        <f t="shared" si="19"/>
        <v>2900457.4522935464</v>
      </c>
      <c r="BC28" s="716" t="s">
        <v>269</v>
      </c>
      <c r="BD28" s="716">
        <f t="shared" si="50"/>
        <v>108767.15446100799</v>
      </c>
      <c r="BE28" s="716">
        <f t="shared" si="51"/>
        <v>33600</v>
      </c>
      <c r="BF28" s="716">
        <f t="shared" si="52"/>
        <v>3042824.6067545544</v>
      </c>
      <c r="BG28" s="716"/>
      <c r="BH28" s="716">
        <f t="shared" si="53"/>
        <v>3042824.6067545544</v>
      </c>
      <c r="BI28" s="716"/>
      <c r="BJ28" s="716">
        <f t="shared" si="54"/>
        <v>3042824.6067545544</v>
      </c>
      <c r="BK28" s="716"/>
      <c r="BL28" s="716">
        <f t="shared" si="55"/>
        <v>3042824.6067545544</v>
      </c>
      <c r="BM28" s="716"/>
      <c r="BN28" s="716">
        <f t="shared" si="20"/>
        <v>3042824.6067545544</v>
      </c>
      <c r="BO28" s="716"/>
      <c r="BP28" s="716">
        <f t="shared" si="56"/>
        <v>3042824.6067545544</v>
      </c>
      <c r="BQ28" s="716"/>
      <c r="BR28" s="716">
        <f t="shared" si="57"/>
        <v>3042824.6067545544</v>
      </c>
      <c r="BS28" s="716"/>
      <c r="BT28" s="716">
        <f t="shared" si="58"/>
        <v>3042824.6067545544</v>
      </c>
      <c r="BU28" s="716"/>
      <c r="BV28" s="716">
        <f t="shared" si="21"/>
        <v>3042824.6067545544</v>
      </c>
      <c r="BW28" s="716"/>
      <c r="BX28" s="716">
        <f t="shared" si="167"/>
        <v>31400</v>
      </c>
      <c r="BY28" s="716">
        <f t="shared" si="60"/>
        <v>3074224.6067545544</v>
      </c>
      <c r="BZ28" s="716"/>
      <c r="CA28" s="716">
        <f t="shared" si="61"/>
        <v>3074224.6067545544</v>
      </c>
      <c r="CB28" s="1135">
        <f t="shared" si="121"/>
        <v>3074224.6067545544</v>
      </c>
      <c r="CC28" s="1164">
        <f t="shared" si="109"/>
        <v>3074224.6067545544</v>
      </c>
      <c r="CD28" s="1164"/>
      <c r="CE28" s="1164">
        <f t="shared" si="63"/>
        <v>0</v>
      </c>
      <c r="CF28" s="1164">
        <f t="shared" si="115"/>
        <v>0</v>
      </c>
      <c r="CG28" s="1164">
        <f t="shared" si="116"/>
        <v>0</v>
      </c>
      <c r="CH28" s="1154">
        <f t="shared" si="158"/>
        <v>3074224.6067545544</v>
      </c>
      <c r="CI28" s="935">
        <f t="shared" si="137"/>
        <v>3074224.6067545544</v>
      </c>
      <c r="CJ28" s="935">
        <f t="shared" si="64"/>
        <v>0</v>
      </c>
      <c r="CK28" s="935">
        <f t="shared" si="65"/>
        <v>315108.0221923418</v>
      </c>
      <c r="CL28" s="935">
        <f t="shared" si="66"/>
        <v>107597.86123640942</v>
      </c>
      <c r="CM28" s="1006">
        <f t="shared" si="138"/>
        <v>3496930.4901833055</v>
      </c>
      <c r="CN28" s="1007">
        <f t="shared" si="139"/>
        <v>0.125</v>
      </c>
      <c r="CO28" s="935">
        <f t="shared" si="24"/>
        <v>437116.31127291318</v>
      </c>
      <c r="CP28" s="935">
        <f t="shared" si="170"/>
        <v>30000</v>
      </c>
      <c r="CQ28" s="935">
        <f t="shared" si="25"/>
        <v>407116.31127291318</v>
      </c>
      <c r="CR28" s="745">
        <f t="shared" si="141"/>
        <v>1</v>
      </c>
      <c r="CS28" s="935">
        <f t="shared" si="26"/>
        <v>407116.31127291318</v>
      </c>
      <c r="CT28" s="1007">
        <f t="shared" si="68"/>
        <v>0.875</v>
      </c>
      <c r="CU28" s="935">
        <f t="shared" si="69"/>
        <v>3059814.1789103923</v>
      </c>
      <c r="CV28" s="1008">
        <f t="shared" si="110"/>
        <v>23722.706761007681</v>
      </c>
      <c r="CW28" s="1008">
        <f t="shared" si="70"/>
        <v>27502.474875597669</v>
      </c>
      <c r="CX28" s="1008">
        <f t="shared" si="71"/>
        <v>35527.03710048685</v>
      </c>
      <c r="CY28" s="1008">
        <f t="shared" si="72"/>
        <v>60587.988053181267</v>
      </c>
      <c r="CZ28" s="1119">
        <f t="shared" si="122"/>
        <v>248558.43141597047</v>
      </c>
      <c r="DA28" s="1119">
        <f t="shared" si="123"/>
        <v>98353.36051366452</v>
      </c>
      <c r="DB28" s="1119">
        <f t="shared" si="124"/>
        <v>71039.239301235197</v>
      </c>
      <c r="DC28" s="1119">
        <f t="shared" si="125"/>
        <v>54064.131585904252</v>
      </c>
      <c r="DD28" s="1028">
        <f t="shared" si="126"/>
        <v>0.38600416767793055</v>
      </c>
      <c r="DE28" s="1028">
        <f t="shared" si="142"/>
        <v>0</v>
      </c>
      <c r="DF28" s="1009" t="s">
        <v>270</v>
      </c>
      <c r="DG28" s="1009" t="s">
        <v>271</v>
      </c>
      <c r="DH28" s="966">
        <f t="shared" si="111"/>
        <v>45658</v>
      </c>
      <c r="DI28" s="912">
        <f t="shared" si="73"/>
        <v>14</v>
      </c>
      <c r="DJ28" s="939"/>
      <c r="DK28" s="913">
        <f t="shared" si="74"/>
        <v>45723</v>
      </c>
      <c r="DL28" s="912">
        <f t="shared" si="75"/>
        <v>16</v>
      </c>
      <c r="DM28" s="750" t="s">
        <v>272</v>
      </c>
      <c r="DN28" s="750" t="s">
        <v>273</v>
      </c>
      <c r="DO28" s="751">
        <f t="shared" si="31"/>
        <v>39302.242527207476</v>
      </c>
      <c r="DP28" s="751">
        <f t="shared" si="32"/>
        <v>864649.33559856447</v>
      </c>
      <c r="DQ28" s="752">
        <f t="shared" si="127"/>
        <v>0.43232466779928225</v>
      </c>
      <c r="DR28" s="503"/>
      <c r="DS28" s="751">
        <f t="shared" si="128"/>
        <v>3074224.6067545544</v>
      </c>
      <c r="DT28" s="751">
        <f>'[4]INTERNAL PRICELIST'!N22</f>
        <v>2061900</v>
      </c>
      <c r="DU28" s="751">
        <f t="shared" si="33"/>
        <v>1012324.6067545544</v>
      </c>
      <c r="DV28" s="503"/>
      <c r="DW28" s="951">
        <f t="shared" si="129"/>
        <v>139737.48212520703</v>
      </c>
      <c r="DX28" s="503"/>
      <c r="DZ28" s="1010" t="s">
        <v>324</v>
      </c>
      <c r="EA28" s="1052" t="b">
        <f t="shared" si="35"/>
        <v>1</v>
      </c>
      <c r="EB28" s="1053" t="s">
        <v>326</v>
      </c>
      <c r="EC28" s="1053" t="s">
        <v>312</v>
      </c>
      <c r="ED28" s="503"/>
      <c r="EE28" s="1029"/>
      <c r="EF28" s="503"/>
      <c r="EG28" s="503"/>
      <c r="EH28" s="930"/>
      <c r="EI28" s="930"/>
      <c r="EJ28" s="1060"/>
      <c r="EK28" s="1060"/>
      <c r="EL28" s="1060"/>
      <c r="EM28" s="1060"/>
      <c r="EN28" s="1060"/>
      <c r="EO28" s="1062"/>
      <c r="EP28" s="503"/>
      <c r="EQ28" s="503"/>
      <c r="ER28" s="1017" t="s">
        <v>264</v>
      </c>
      <c r="ES28" s="1391" t="s">
        <v>264</v>
      </c>
      <c r="ET28" s="1018" t="b">
        <f t="shared" si="76"/>
        <v>1</v>
      </c>
      <c r="EU28" s="940"/>
      <c r="EV28" s="941"/>
      <c r="EW28" s="940"/>
      <c r="EX28" s="1019">
        <v>2874106.5421836311</v>
      </c>
      <c r="EY28" s="1019">
        <f t="shared" si="143"/>
        <v>431115.98132754466</v>
      </c>
      <c r="EZ28" s="1019">
        <f t="shared" si="144"/>
        <v>2442990.5608560862</v>
      </c>
      <c r="FA28" s="1019">
        <f t="shared" si="145"/>
        <v>287410.65421836311</v>
      </c>
      <c r="FB28" s="1019">
        <f t="shared" si="146"/>
        <v>2586695.887965268</v>
      </c>
      <c r="FC28" s="1019">
        <f t="shared" si="147"/>
        <v>143705.32710918179</v>
      </c>
      <c r="FD28" s="1020"/>
      <c r="FE28" s="1021"/>
      <c r="FF28" s="1022">
        <f t="shared" si="148"/>
        <v>2442990.5608560862</v>
      </c>
      <c r="FG28" s="1022">
        <f t="shared" si="149"/>
        <v>207654.19767276733</v>
      </c>
      <c r="FH28" s="1022">
        <f t="shared" si="161"/>
        <v>103827.09883638367</v>
      </c>
      <c r="FI28" s="1023">
        <f t="shared" si="150"/>
        <v>2586695.887965268</v>
      </c>
      <c r="FJ28" s="1023">
        <f t="shared" si="151"/>
        <v>219869.15047704781</v>
      </c>
      <c r="FK28" s="1023">
        <f t="shared" si="152"/>
        <v>109934.5752385239</v>
      </c>
      <c r="FL28" s="1019">
        <f t="shared" si="162"/>
        <v>12214.952804280474</v>
      </c>
      <c r="FM28" s="1019">
        <f t="shared" si="163"/>
        <v>6107.476402140237</v>
      </c>
      <c r="FN28" s="1019" t="str">
        <f t="shared" si="153"/>
        <v>VS</v>
      </c>
      <c r="FO28" s="1019">
        <f t="shared" si="159"/>
        <v>27537.409960060559</v>
      </c>
      <c r="FP28" s="1019">
        <f t="shared" si="164"/>
        <v>-21429.933557920322</v>
      </c>
      <c r="FQ28" s="1021"/>
      <c r="FR28" s="1021"/>
      <c r="FS28" s="1020"/>
      <c r="FT28" s="503"/>
      <c r="FU28" s="956"/>
      <c r="FV28" s="503"/>
      <c r="FW28" s="503"/>
      <c r="FX28" s="1040"/>
      <c r="FY28" s="503"/>
      <c r="FZ28" s="503"/>
      <c r="GA28" s="1011">
        <f>GA27-1</f>
        <v>8</v>
      </c>
      <c r="GB28" s="1036">
        <f t="shared" ref="GB28" si="179">EDATE(GC28,GA28)</f>
        <v>45870</v>
      </c>
      <c r="GC28" s="1037">
        <v>45627</v>
      </c>
      <c r="GD28" s="503"/>
      <c r="GE28" s="503"/>
      <c r="GF28" s="503"/>
      <c r="GG28" s="956"/>
      <c r="GH28" s="945"/>
      <c r="GI28" s="1024">
        <f t="shared" si="78"/>
        <v>3496930.4901833055</v>
      </c>
      <c r="GJ28" s="1025">
        <f t="shared" si="79"/>
        <v>0.125</v>
      </c>
      <c r="GK28" s="1024">
        <f t="shared" si="80"/>
        <v>437116.31127291318</v>
      </c>
      <c r="GL28" s="1024">
        <f t="shared" si="81"/>
        <v>30000</v>
      </c>
      <c r="GM28" s="1024">
        <f t="shared" si="82"/>
        <v>407116.31127291318</v>
      </c>
      <c r="GN28" s="1024">
        <f t="shared" si="83"/>
        <v>1</v>
      </c>
      <c r="GO28" s="1024">
        <f t="shared" si="84"/>
        <v>407116.31127291318</v>
      </c>
      <c r="GP28" s="1025">
        <f t="shared" si="85"/>
        <v>0.875</v>
      </c>
      <c r="GQ28" s="1024">
        <f t="shared" si="86"/>
        <v>3059814.1789103923</v>
      </c>
      <c r="GR28" s="1024">
        <f t="shared" si="87"/>
        <v>23722.706761007681</v>
      </c>
      <c r="GS28" s="1024">
        <f t="shared" si="88"/>
        <v>27502.474875597669</v>
      </c>
      <c r="GT28" s="1024">
        <f t="shared" si="89"/>
        <v>35527.03710048685</v>
      </c>
      <c r="GU28" s="1024">
        <f t="shared" si="90"/>
        <v>60587.988053181267</v>
      </c>
      <c r="GV28" s="945"/>
      <c r="GW28" s="1024">
        <f t="shared" si="91"/>
        <v>3496930.4901833055</v>
      </c>
      <c r="GX28" s="1025">
        <f t="shared" si="92"/>
        <v>0.125</v>
      </c>
      <c r="GY28" s="1024">
        <f t="shared" si="93"/>
        <v>437116.31127291318</v>
      </c>
      <c r="GZ28" s="1024">
        <f t="shared" si="94"/>
        <v>30000</v>
      </c>
      <c r="HA28" s="1024">
        <f t="shared" si="95"/>
        <v>407116.31127291318</v>
      </c>
      <c r="HB28" s="1026">
        <f t="shared" si="96"/>
        <v>25</v>
      </c>
      <c r="HC28" s="1009">
        <f t="shared" si="97"/>
        <v>16284.652450916527</v>
      </c>
      <c r="HD28" s="1027">
        <f t="shared" si="98"/>
        <v>0.875</v>
      </c>
      <c r="HE28" s="1009">
        <f t="shared" si="99"/>
        <v>3059814.1789103923</v>
      </c>
      <c r="HF28" s="1008">
        <f t="shared" si="100"/>
        <v>23722.706761007681</v>
      </c>
      <c r="HG28" s="1008">
        <f t="shared" si="101"/>
        <v>27502.474875597669</v>
      </c>
      <c r="HH28" s="1008">
        <f t="shared" si="102"/>
        <v>35527.03710048685</v>
      </c>
      <c r="HI28" s="1008">
        <f t="shared" si="103"/>
        <v>60587.988053181267</v>
      </c>
      <c r="HJ28" s="945"/>
      <c r="HK28" s="1009">
        <f t="shared" si="104"/>
        <v>-390831.65882199665</v>
      </c>
      <c r="HL28" s="503"/>
      <c r="HM28" s="503"/>
      <c r="HN28" s="503"/>
      <c r="HO28" s="503"/>
      <c r="HP28" s="503"/>
      <c r="HQ28" s="503"/>
      <c r="HR28" s="956">
        <f t="shared" si="105"/>
        <v>0</v>
      </c>
      <c r="HS28" s="503"/>
      <c r="HT28" s="503"/>
      <c r="HU28" s="956"/>
      <c r="HV28" s="503"/>
      <c r="HW28" s="956"/>
      <c r="HX28" s="956"/>
      <c r="HY28" s="503"/>
      <c r="HZ28" s="503"/>
      <c r="IA28" s="503"/>
      <c r="ID28" s="1394"/>
    </row>
    <row r="29" spans="1:239" s="1051" customFormat="1" ht="14.25" hidden="1" customHeight="1">
      <c r="A29" s="1018">
        <f t="shared" si="155"/>
        <v>23</v>
      </c>
      <c r="B29" s="716" t="s">
        <v>264</v>
      </c>
      <c r="C29" s="741">
        <f t="shared" si="172"/>
        <v>11</v>
      </c>
      <c r="D29" s="716" t="s">
        <v>256</v>
      </c>
      <c r="E29" s="743" t="str">
        <f t="shared" si="36"/>
        <v>3rd Floor</v>
      </c>
      <c r="F29" s="1048"/>
      <c r="G29" s="745" t="s">
        <v>327</v>
      </c>
      <c r="H29" s="745" t="s">
        <v>328</v>
      </c>
      <c r="I29" s="745" t="s">
        <v>267</v>
      </c>
      <c r="J29" s="1005">
        <v>22</v>
      </c>
      <c r="K29" s="1049"/>
      <c r="L29" s="1006" t="s">
        <v>268</v>
      </c>
      <c r="M29" s="745" t="s">
        <v>79</v>
      </c>
      <c r="N29" s="1050">
        <v>95909.091</v>
      </c>
      <c r="O29" s="934">
        <f t="shared" si="132"/>
        <v>2110000.0019999999</v>
      </c>
      <c r="P29" s="934">
        <f t="shared" si="156"/>
        <v>22400</v>
      </c>
      <c r="Q29" s="934">
        <f t="shared" si="119"/>
        <v>50000</v>
      </c>
      <c r="R29" s="934"/>
      <c r="S29" s="934"/>
      <c r="T29" s="934"/>
      <c r="U29" s="934"/>
      <c r="V29" s="934"/>
      <c r="W29" s="934"/>
      <c r="X29" s="934"/>
      <c r="Y29" s="934"/>
      <c r="Z29" s="934">
        <f t="shared" si="133"/>
        <v>75000</v>
      </c>
      <c r="AA29" s="934"/>
      <c r="AB29" s="934"/>
      <c r="AC29" s="934"/>
      <c r="AD29" s="934"/>
      <c r="AE29" s="934">
        <f t="shared" si="14"/>
        <v>147400</v>
      </c>
      <c r="AF29" s="1005">
        <f t="shared" si="15"/>
        <v>2257400.0019999999</v>
      </c>
      <c r="AG29" s="1005">
        <f t="shared" si="37"/>
        <v>56435.000050000002</v>
      </c>
      <c r="AH29" s="1005">
        <f t="shared" si="38"/>
        <v>2313835.0020499998</v>
      </c>
      <c r="AI29" s="1005">
        <f t="shared" si="39"/>
        <v>57845.875051249997</v>
      </c>
      <c r="AJ29" s="1005">
        <f t="shared" si="40"/>
        <v>2371680.87710125</v>
      </c>
      <c r="AK29" s="1005">
        <f t="shared" si="41"/>
        <v>118584.04385506251</v>
      </c>
      <c r="AL29" s="1005">
        <f t="shared" si="157"/>
        <v>2490264.9209563127</v>
      </c>
      <c r="AM29" s="934">
        <f t="shared" si="43"/>
        <v>24902.649209563126</v>
      </c>
      <c r="AN29" s="934">
        <f t="shared" si="44"/>
        <v>27537.409960060559</v>
      </c>
      <c r="AO29" s="934"/>
      <c r="AP29" s="934">
        <f t="shared" si="134"/>
        <v>109934.5752385239</v>
      </c>
      <c r="AQ29" s="1005">
        <f t="shared" si="45"/>
        <v>2652639.5553644602</v>
      </c>
      <c r="AR29" s="1005">
        <f t="shared" si="46"/>
        <v>119368.7799914007</v>
      </c>
      <c r="AS29" s="1147">
        <f t="shared" si="47"/>
        <v>2772008.3353558611</v>
      </c>
      <c r="AT29" s="1148">
        <f t="shared" si="135"/>
        <v>2000000</v>
      </c>
      <c r="AU29" s="1148">
        <f t="shared" si="16"/>
        <v>35091.287970720958</v>
      </c>
      <c r="AV29" s="1148">
        <f t="shared" si="136"/>
        <v>772008.33535586111</v>
      </c>
      <c r="AW29" s="1148">
        <f t="shared" si="17"/>
        <v>92641.000242703332</v>
      </c>
      <c r="AX29" s="1148">
        <f t="shared" si="18"/>
        <v>864649.33559856447</v>
      </c>
      <c r="AY29" s="1147">
        <f t="shared" si="48"/>
        <v>2864649.3355985642</v>
      </c>
      <c r="AZ29" s="934">
        <f t="shared" si="49"/>
        <v>35808.116694982054</v>
      </c>
      <c r="BA29" s="716" t="s">
        <v>269</v>
      </c>
      <c r="BB29" s="716">
        <f t="shared" si="19"/>
        <v>2900457.4522935464</v>
      </c>
      <c r="BC29" s="716" t="s">
        <v>269</v>
      </c>
      <c r="BD29" s="716">
        <f t="shared" si="50"/>
        <v>108767.15446100799</v>
      </c>
      <c r="BE29" s="716">
        <f t="shared" si="51"/>
        <v>33600</v>
      </c>
      <c r="BF29" s="716">
        <f t="shared" si="52"/>
        <v>3042824.6067545544</v>
      </c>
      <c r="BG29" s="716"/>
      <c r="BH29" s="716">
        <f t="shared" si="53"/>
        <v>3042824.6067545544</v>
      </c>
      <c r="BI29" s="716"/>
      <c r="BJ29" s="716">
        <f t="shared" si="54"/>
        <v>3042824.6067545544</v>
      </c>
      <c r="BK29" s="716"/>
      <c r="BL29" s="716">
        <f t="shared" si="55"/>
        <v>3042824.6067545544</v>
      </c>
      <c r="BM29" s="716"/>
      <c r="BN29" s="716">
        <f t="shared" si="20"/>
        <v>3042824.6067545544</v>
      </c>
      <c r="BO29" s="716"/>
      <c r="BP29" s="716">
        <f t="shared" si="56"/>
        <v>3042824.6067545544</v>
      </c>
      <c r="BQ29" s="716"/>
      <c r="BR29" s="716">
        <f t="shared" si="57"/>
        <v>3042824.6067545544</v>
      </c>
      <c r="BS29" s="716"/>
      <c r="BT29" s="716">
        <f t="shared" si="58"/>
        <v>3042824.6067545544</v>
      </c>
      <c r="BU29" s="716"/>
      <c r="BV29" s="716">
        <f t="shared" si="21"/>
        <v>3042824.6067545544</v>
      </c>
      <c r="BW29" s="716"/>
      <c r="BX29" s="716">
        <f t="shared" si="167"/>
        <v>31400</v>
      </c>
      <c r="BY29" s="716">
        <f t="shared" si="60"/>
        <v>3074224.6067545544</v>
      </c>
      <c r="BZ29" s="716"/>
      <c r="CA29" s="716">
        <f t="shared" si="61"/>
        <v>3074224.6067545544</v>
      </c>
      <c r="CB29" s="1135">
        <f t="shared" si="121"/>
        <v>3074224.6067545544</v>
      </c>
      <c r="CC29" s="1164">
        <f t="shared" si="109"/>
        <v>3074224.6067545544</v>
      </c>
      <c r="CD29" s="1164"/>
      <c r="CE29" s="1164">
        <f t="shared" si="63"/>
        <v>0</v>
      </c>
      <c r="CF29" s="1164">
        <f t="shared" si="115"/>
        <v>0</v>
      </c>
      <c r="CG29" s="1164">
        <f t="shared" si="116"/>
        <v>0</v>
      </c>
      <c r="CH29" s="1154">
        <f t="shared" si="158"/>
        <v>3074224.6067545544</v>
      </c>
      <c r="CI29" s="935">
        <f t="shared" si="137"/>
        <v>3074224.6067545544</v>
      </c>
      <c r="CJ29" s="935">
        <f t="shared" si="64"/>
        <v>0</v>
      </c>
      <c r="CK29" s="935">
        <f t="shared" si="65"/>
        <v>315108.0221923418</v>
      </c>
      <c r="CL29" s="935">
        <f t="shared" si="66"/>
        <v>107597.86123640942</v>
      </c>
      <c r="CM29" s="1006">
        <f t="shared" si="138"/>
        <v>3496930.4901833055</v>
      </c>
      <c r="CN29" s="1007">
        <f t="shared" si="139"/>
        <v>0.125</v>
      </c>
      <c r="CO29" s="935">
        <f t="shared" si="24"/>
        <v>437116.31127291318</v>
      </c>
      <c r="CP29" s="935">
        <f t="shared" si="170"/>
        <v>30000</v>
      </c>
      <c r="CQ29" s="935">
        <f t="shared" si="25"/>
        <v>407116.31127291318</v>
      </c>
      <c r="CR29" s="745">
        <f t="shared" si="141"/>
        <v>1</v>
      </c>
      <c r="CS29" s="935">
        <f t="shared" si="26"/>
        <v>407116.31127291318</v>
      </c>
      <c r="CT29" s="1007">
        <f t="shared" si="68"/>
        <v>0.875</v>
      </c>
      <c r="CU29" s="935">
        <f t="shared" si="69"/>
        <v>3059814.1789103923</v>
      </c>
      <c r="CV29" s="1008">
        <f t="shared" si="110"/>
        <v>23722.706761007681</v>
      </c>
      <c r="CW29" s="1008">
        <f t="shared" si="70"/>
        <v>27502.474875597669</v>
      </c>
      <c r="CX29" s="1008">
        <f t="shared" si="71"/>
        <v>35527.03710048685</v>
      </c>
      <c r="CY29" s="1008">
        <f t="shared" si="72"/>
        <v>60587.988053181267</v>
      </c>
      <c r="CZ29" s="1119">
        <f t="shared" si="122"/>
        <v>248558.43141597047</v>
      </c>
      <c r="DA29" s="1119">
        <f t="shared" si="123"/>
        <v>98353.36051366452</v>
      </c>
      <c r="DB29" s="1119">
        <f t="shared" si="124"/>
        <v>71039.239301235197</v>
      </c>
      <c r="DC29" s="1119">
        <f t="shared" si="125"/>
        <v>54064.131585904252</v>
      </c>
      <c r="DD29" s="1028">
        <f t="shared" si="126"/>
        <v>0.38600416767793055</v>
      </c>
      <c r="DE29" s="1028">
        <f t="shared" si="142"/>
        <v>0</v>
      </c>
      <c r="DF29" s="1009" t="s">
        <v>270</v>
      </c>
      <c r="DG29" s="1009" t="s">
        <v>271</v>
      </c>
      <c r="DH29" s="966">
        <f t="shared" si="111"/>
        <v>45658</v>
      </c>
      <c r="DI29" s="912">
        <f t="shared" si="73"/>
        <v>14</v>
      </c>
      <c r="DJ29" s="939"/>
      <c r="DK29" s="913">
        <f t="shared" si="74"/>
        <v>45723</v>
      </c>
      <c r="DL29" s="912">
        <f t="shared" si="75"/>
        <v>16</v>
      </c>
      <c r="DM29" s="750" t="s">
        <v>272</v>
      </c>
      <c r="DN29" s="750" t="s">
        <v>273</v>
      </c>
      <c r="DO29" s="751">
        <f t="shared" si="31"/>
        <v>39302.242527207476</v>
      </c>
      <c r="DP29" s="751">
        <f t="shared" si="32"/>
        <v>864649.33559856447</v>
      </c>
      <c r="DQ29" s="752">
        <f t="shared" si="127"/>
        <v>0.43232466779928225</v>
      </c>
      <c r="DR29" s="503"/>
      <c r="DS29" s="751">
        <f t="shared" si="128"/>
        <v>3074224.6067545544</v>
      </c>
      <c r="DT29" s="751">
        <f>'[4]INTERNAL PRICELIST'!N23</f>
        <v>2063804</v>
      </c>
      <c r="DU29" s="751">
        <f t="shared" si="33"/>
        <v>1010420.6067545544</v>
      </c>
      <c r="DV29" s="503"/>
      <c r="DW29" s="951">
        <f t="shared" si="129"/>
        <v>139737.48212520703</v>
      </c>
      <c r="DX29" s="503"/>
      <c r="DZ29" s="1010" t="s">
        <v>327</v>
      </c>
      <c r="EA29" s="1052" t="b">
        <f t="shared" si="35"/>
        <v>1</v>
      </c>
      <c r="EB29" s="1053" t="s">
        <v>329</v>
      </c>
      <c r="EC29" s="1053" t="s">
        <v>312</v>
      </c>
      <c r="ED29" s="503"/>
      <c r="EE29" s="1029"/>
      <c r="EF29" s="503"/>
      <c r="EG29" s="503"/>
      <c r="EH29" s="930"/>
      <c r="EI29" s="930"/>
      <c r="EJ29" s="1060"/>
      <c r="EK29" s="1060"/>
      <c r="EL29" s="1060"/>
      <c r="EM29" s="1060"/>
      <c r="EN29" s="1066"/>
      <c r="EO29" s="1062"/>
      <c r="EP29" s="503"/>
      <c r="EQ29" s="503"/>
      <c r="ER29" s="1017" t="s">
        <v>264</v>
      </c>
      <c r="ES29" s="1391" t="s">
        <v>264</v>
      </c>
      <c r="ET29" s="1018" t="b">
        <f t="shared" si="76"/>
        <v>1</v>
      </c>
      <c r="EU29" s="940"/>
      <c r="EV29" s="941"/>
      <c r="EW29" s="940"/>
      <c r="EX29" s="1019">
        <v>2874106.5421836311</v>
      </c>
      <c r="EY29" s="1019">
        <f t="shared" si="143"/>
        <v>431115.98132754466</v>
      </c>
      <c r="EZ29" s="1019">
        <f t="shared" si="144"/>
        <v>2442990.5608560862</v>
      </c>
      <c r="FA29" s="1019">
        <f t="shared" si="145"/>
        <v>287410.65421836311</v>
      </c>
      <c r="FB29" s="1019">
        <f t="shared" si="146"/>
        <v>2586695.887965268</v>
      </c>
      <c r="FC29" s="1019">
        <f t="shared" si="147"/>
        <v>143705.32710918179</v>
      </c>
      <c r="FD29" s="1020"/>
      <c r="FE29" s="1021"/>
      <c r="FF29" s="1022">
        <f t="shared" si="148"/>
        <v>2442990.5608560862</v>
      </c>
      <c r="FG29" s="1022">
        <f t="shared" si="149"/>
        <v>207654.19767276733</v>
      </c>
      <c r="FH29" s="1022">
        <f t="shared" si="161"/>
        <v>103827.09883638367</v>
      </c>
      <c r="FI29" s="1023">
        <f t="shared" si="150"/>
        <v>2586695.887965268</v>
      </c>
      <c r="FJ29" s="1023">
        <f t="shared" si="151"/>
        <v>219869.15047704781</v>
      </c>
      <c r="FK29" s="1023">
        <f t="shared" si="152"/>
        <v>109934.5752385239</v>
      </c>
      <c r="FL29" s="1019">
        <f t="shared" si="162"/>
        <v>12214.952804280474</v>
      </c>
      <c r="FM29" s="1019">
        <f t="shared" si="163"/>
        <v>6107.476402140237</v>
      </c>
      <c r="FN29" s="1019" t="str">
        <f t="shared" si="153"/>
        <v>VS</v>
      </c>
      <c r="FO29" s="1019">
        <f t="shared" si="159"/>
        <v>27537.409960060559</v>
      </c>
      <c r="FP29" s="1019">
        <f t="shared" si="164"/>
        <v>-21429.933557920322</v>
      </c>
      <c r="FQ29" s="1021"/>
      <c r="FR29" s="1021"/>
      <c r="FS29" s="1020"/>
      <c r="FT29" s="503"/>
      <c r="FU29" s="956"/>
      <c r="FV29" s="503"/>
      <c r="FW29" s="503"/>
      <c r="FX29" s="1040"/>
      <c r="FY29" s="503"/>
      <c r="FZ29" s="503"/>
      <c r="GA29" s="1011">
        <f>GA28-1</f>
        <v>7</v>
      </c>
      <c r="GB29" s="1036">
        <f t="shared" ref="GB29" si="180">EDATE(GC29,GA29)</f>
        <v>45870</v>
      </c>
      <c r="GC29" s="1037">
        <v>45658</v>
      </c>
      <c r="GD29" s="503"/>
      <c r="GE29" s="503"/>
      <c r="GF29" s="503"/>
      <c r="GG29" s="956"/>
      <c r="GH29" s="945"/>
      <c r="GI29" s="1024">
        <f t="shared" si="78"/>
        <v>3496930.4901833055</v>
      </c>
      <c r="GJ29" s="1025">
        <f t="shared" si="79"/>
        <v>0.125</v>
      </c>
      <c r="GK29" s="1024">
        <f t="shared" si="80"/>
        <v>437116.31127291318</v>
      </c>
      <c r="GL29" s="1024">
        <f t="shared" si="81"/>
        <v>30000</v>
      </c>
      <c r="GM29" s="1024">
        <f t="shared" si="82"/>
        <v>407116.31127291318</v>
      </c>
      <c r="GN29" s="1024">
        <f t="shared" si="83"/>
        <v>1</v>
      </c>
      <c r="GO29" s="1024">
        <f t="shared" si="84"/>
        <v>407116.31127291318</v>
      </c>
      <c r="GP29" s="1025">
        <f t="shared" si="85"/>
        <v>0.875</v>
      </c>
      <c r="GQ29" s="1024">
        <f t="shared" si="86"/>
        <v>3059814.1789103923</v>
      </c>
      <c r="GR29" s="1024">
        <f t="shared" si="87"/>
        <v>23722.706761007681</v>
      </c>
      <c r="GS29" s="1024">
        <f t="shared" si="88"/>
        <v>27502.474875597669</v>
      </c>
      <c r="GT29" s="1024">
        <f t="shared" si="89"/>
        <v>35527.03710048685</v>
      </c>
      <c r="GU29" s="1024">
        <f t="shared" si="90"/>
        <v>60587.988053181267</v>
      </c>
      <c r="GV29" s="945"/>
      <c r="GW29" s="1024">
        <f t="shared" si="91"/>
        <v>3496930.4901833055</v>
      </c>
      <c r="GX29" s="1025">
        <f t="shared" si="92"/>
        <v>0.125</v>
      </c>
      <c r="GY29" s="1024">
        <f t="shared" si="93"/>
        <v>437116.31127291318</v>
      </c>
      <c r="GZ29" s="1024">
        <f t="shared" si="94"/>
        <v>30000</v>
      </c>
      <c r="HA29" s="1024">
        <f t="shared" si="95"/>
        <v>407116.31127291318</v>
      </c>
      <c r="HB29" s="1026">
        <f t="shared" si="96"/>
        <v>25</v>
      </c>
      <c r="HC29" s="1009">
        <f t="shared" si="97"/>
        <v>16284.652450916527</v>
      </c>
      <c r="HD29" s="1027">
        <f t="shared" si="98"/>
        <v>0.875</v>
      </c>
      <c r="HE29" s="1009">
        <f t="shared" si="99"/>
        <v>3059814.1789103923</v>
      </c>
      <c r="HF29" s="1008">
        <f t="shared" si="100"/>
        <v>23722.706761007681</v>
      </c>
      <c r="HG29" s="1008">
        <f t="shared" si="101"/>
        <v>27502.474875597669</v>
      </c>
      <c r="HH29" s="1008">
        <f t="shared" si="102"/>
        <v>35527.03710048685</v>
      </c>
      <c r="HI29" s="1008">
        <f t="shared" si="103"/>
        <v>60587.988053181267</v>
      </c>
      <c r="HJ29" s="945"/>
      <c r="HK29" s="1009">
        <f t="shared" si="104"/>
        <v>-390831.65882199665</v>
      </c>
      <c r="HL29" s="503"/>
      <c r="HM29" s="503"/>
      <c r="HN29" s="503"/>
      <c r="HO29" s="503"/>
      <c r="HP29" s="503"/>
      <c r="HQ29" s="503"/>
      <c r="HR29" s="956">
        <f t="shared" si="105"/>
        <v>0</v>
      </c>
      <c r="HS29" s="503"/>
      <c r="HT29" s="503"/>
      <c r="HU29" s="956"/>
      <c r="HV29" s="503"/>
      <c r="HW29" s="956"/>
      <c r="HX29" s="956"/>
      <c r="HY29" s="503"/>
      <c r="HZ29" s="503"/>
      <c r="IA29" s="503"/>
      <c r="ID29" s="1394"/>
    </row>
    <row r="30" spans="1:239" s="1051" customFormat="1" ht="14.25" hidden="1" customHeight="1">
      <c r="A30" s="1018">
        <f t="shared" si="155"/>
        <v>24</v>
      </c>
      <c r="B30" s="716" t="s">
        <v>264</v>
      </c>
      <c r="C30" s="741">
        <f t="shared" si="172"/>
        <v>12</v>
      </c>
      <c r="D30" s="716" t="s">
        <v>256</v>
      </c>
      <c r="E30" s="743" t="str">
        <f t="shared" si="36"/>
        <v>3rd Floor</v>
      </c>
      <c r="F30" s="1048"/>
      <c r="G30" s="745" t="s">
        <v>330</v>
      </c>
      <c r="H30" s="745" t="s">
        <v>331</v>
      </c>
      <c r="I30" s="745" t="s">
        <v>267</v>
      </c>
      <c r="J30" s="1005">
        <v>22</v>
      </c>
      <c r="K30" s="1049"/>
      <c r="L30" s="1006" t="s">
        <v>268</v>
      </c>
      <c r="M30" s="745" t="s">
        <v>79</v>
      </c>
      <c r="N30" s="1050">
        <v>95909.091</v>
      </c>
      <c r="O30" s="934">
        <f t="shared" si="132"/>
        <v>2110000.0019999999</v>
      </c>
      <c r="P30" s="934">
        <f t="shared" si="156"/>
        <v>22400</v>
      </c>
      <c r="Q30" s="934">
        <f t="shared" si="119"/>
        <v>50000</v>
      </c>
      <c r="R30" s="934"/>
      <c r="S30" s="934"/>
      <c r="T30" s="934"/>
      <c r="U30" s="934"/>
      <c r="V30" s="749"/>
      <c r="W30" s="934"/>
      <c r="X30" s="934"/>
      <c r="Y30" s="934"/>
      <c r="Z30" s="934">
        <f t="shared" si="133"/>
        <v>75000</v>
      </c>
      <c r="AA30" s="934"/>
      <c r="AB30" s="934"/>
      <c r="AC30" s="934"/>
      <c r="AD30" s="934"/>
      <c r="AE30" s="934">
        <f t="shared" si="14"/>
        <v>147400</v>
      </c>
      <c r="AF30" s="1005">
        <f t="shared" si="15"/>
        <v>2257400.0019999999</v>
      </c>
      <c r="AG30" s="1005">
        <f t="shared" si="37"/>
        <v>56435.000050000002</v>
      </c>
      <c r="AH30" s="1005">
        <f t="shared" si="38"/>
        <v>2313835.0020499998</v>
      </c>
      <c r="AI30" s="1005">
        <f t="shared" si="39"/>
        <v>57845.875051249997</v>
      </c>
      <c r="AJ30" s="1005">
        <f t="shared" si="40"/>
        <v>2371680.87710125</v>
      </c>
      <c r="AK30" s="1005">
        <f t="shared" si="41"/>
        <v>118584.04385506251</v>
      </c>
      <c r="AL30" s="1005">
        <f t="shared" si="157"/>
        <v>2490264.9209563127</v>
      </c>
      <c r="AM30" s="934">
        <f t="shared" si="43"/>
        <v>24902.649209563126</v>
      </c>
      <c r="AN30" s="934">
        <f t="shared" si="44"/>
        <v>27537.409960060559</v>
      </c>
      <c r="AO30" s="934"/>
      <c r="AP30" s="934">
        <f t="shared" si="134"/>
        <v>109934.5752385239</v>
      </c>
      <c r="AQ30" s="1005">
        <f t="shared" si="45"/>
        <v>2652639.5553644602</v>
      </c>
      <c r="AR30" s="1005">
        <f t="shared" si="46"/>
        <v>119368.7799914007</v>
      </c>
      <c r="AS30" s="1147">
        <f t="shared" si="47"/>
        <v>2772008.3353558611</v>
      </c>
      <c r="AT30" s="1148">
        <f t="shared" si="135"/>
        <v>2000000</v>
      </c>
      <c r="AU30" s="1148">
        <f t="shared" si="16"/>
        <v>35091.287970720958</v>
      </c>
      <c r="AV30" s="1148">
        <f t="shared" si="136"/>
        <v>772008.33535586111</v>
      </c>
      <c r="AW30" s="1148">
        <f t="shared" si="17"/>
        <v>92641.000242703332</v>
      </c>
      <c r="AX30" s="1148">
        <f t="shared" si="18"/>
        <v>864649.33559856447</v>
      </c>
      <c r="AY30" s="1147">
        <f t="shared" si="48"/>
        <v>2864649.3355985642</v>
      </c>
      <c r="AZ30" s="934">
        <f t="shared" si="49"/>
        <v>35808.116694982054</v>
      </c>
      <c r="BA30" s="716" t="s">
        <v>269</v>
      </c>
      <c r="BB30" s="716">
        <f t="shared" si="19"/>
        <v>2900457.4522935464</v>
      </c>
      <c r="BC30" s="716" t="s">
        <v>269</v>
      </c>
      <c r="BD30" s="716">
        <f t="shared" si="50"/>
        <v>108767.15446100799</v>
      </c>
      <c r="BE30" s="716">
        <f t="shared" si="51"/>
        <v>33600</v>
      </c>
      <c r="BF30" s="716">
        <f t="shared" si="52"/>
        <v>3042824.6067545544</v>
      </c>
      <c r="BG30" s="716"/>
      <c r="BH30" s="716">
        <f t="shared" si="53"/>
        <v>3042824.6067545544</v>
      </c>
      <c r="BI30" s="716"/>
      <c r="BJ30" s="716">
        <f t="shared" si="54"/>
        <v>3042824.6067545544</v>
      </c>
      <c r="BK30" s="716"/>
      <c r="BL30" s="716">
        <f t="shared" si="55"/>
        <v>3042824.6067545544</v>
      </c>
      <c r="BM30" s="716"/>
      <c r="BN30" s="716">
        <f t="shared" si="20"/>
        <v>3042824.6067545544</v>
      </c>
      <c r="BO30" s="716"/>
      <c r="BP30" s="716">
        <f t="shared" si="56"/>
        <v>3042824.6067545544</v>
      </c>
      <c r="BQ30" s="716"/>
      <c r="BR30" s="716">
        <f t="shared" si="57"/>
        <v>3042824.6067545544</v>
      </c>
      <c r="BS30" s="716"/>
      <c r="BT30" s="716">
        <f t="shared" si="58"/>
        <v>3042824.6067545544</v>
      </c>
      <c r="BU30" s="716"/>
      <c r="BV30" s="716">
        <f t="shared" si="21"/>
        <v>3042824.6067545544</v>
      </c>
      <c r="BW30" s="716"/>
      <c r="BX30" s="716">
        <f t="shared" si="167"/>
        <v>31400</v>
      </c>
      <c r="BY30" s="716">
        <f t="shared" si="60"/>
        <v>3074224.6067545544</v>
      </c>
      <c r="BZ30" s="716"/>
      <c r="CA30" s="716">
        <f t="shared" si="61"/>
        <v>3074224.6067545544</v>
      </c>
      <c r="CB30" s="1135">
        <f t="shared" si="121"/>
        <v>3074224.6067545544</v>
      </c>
      <c r="CC30" s="1164">
        <f t="shared" si="109"/>
        <v>3074224.6067545544</v>
      </c>
      <c r="CD30" s="1164"/>
      <c r="CE30" s="1164">
        <f t="shared" si="63"/>
        <v>0</v>
      </c>
      <c r="CF30" s="1164">
        <f t="shared" si="115"/>
        <v>0</v>
      </c>
      <c r="CG30" s="1164">
        <f t="shared" si="116"/>
        <v>0</v>
      </c>
      <c r="CH30" s="1154">
        <f t="shared" si="158"/>
        <v>3074224.6067545544</v>
      </c>
      <c r="CI30" s="935">
        <f t="shared" si="137"/>
        <v>3074224.6067545544</v>
      </c>
      <c r="CJ30" s="935">
        <f t="shared" si="64"/>
        <v>0</v>
      </c>
      <c r="CK30" s="935">
        <f t="shared" si="65"/>
        <v>315108.0221923418</v>
      </c>
      <c r="CL30" s="935">
        <f t="shared" si="66"/>
        <v>107597.86123640942</v>
      </c>
      <c r="CM30" s="1006">
        <f t="shared" si="138"/>
        <v>3496930.4901833055</v>
      </c>
      <c r="CN30" s="1007">
        <f t="shared" si="139"/>
        <v>0.125</v>
      </c>
      <c r="CO30" s="935">
        <f t="shared" si="24"/>
        <v>437116.31127291318</v>
      </c>
      <c r="CP30" s="935">
        <f t="shared" si="170"/>
        <v>30000</v>
      </c>
      <c r="CQ30" s="935">
        <f t="shared" si="25"/>
        <v>407116.31127291318</v>
      </c>
      <c r="CR30" s="745">
        <f t="shared" si="141"/>
        <v>1</v>
      </c>
      <c r="CS30" s="935">
        <f t="shared" si="26"/>
        <v>407116.31127291318</v>
      </c>
      <c r="CT30" s="1007">
        <f t="shared" si="68"/>
        <v>0.875</v>
      </c>
      <c r="CU30" s="935">
        <f t="shared" si="69"/>
        <v>3059814.1789103923</v>
      </c>
      <c r="CV30" s="1008">
        <f t="shared" si="110"/>
        <v>23722.706761007681</v>
      </c>
      <c r="CW30" s="1008">
        <f t="shared" si="70"/>
        <v>27502.474875597669</v>
      </c>
      <c r="CX30" s="1008">
        <f t="shared" si="71"/>
        <v>35527.03710048685</v>
      </c>
      <c r="CY30" s="1008">
        <f t="shared" si="72"/>
        <v>60587.988053181267</v>
      </c>
      <c r="CZ30" s="1119">
        <f t="shared" si="122"/>
        <v>248558.43141597047</v>
      </c>
      <c r="DA30" s="1119">
        <f t="shared" si="123"/>
        <v>98353.36051366452</v>
      </c>
      <c r="DB30" s="1119">
        <f t="shared" si="124"/>
        <v>71039.239301235197</v>
      </c>
      <c r="DC30" s="1119">
        <f t="shared" si="125"/>
        <v>54064.131585904252</v>
      </c>
      <c r="DD30" s="1028">
        <f t="shared" si="126"/>
        <v>0.38600416767793055</v>
      </c>
      <c r="DE30" s="1028">
        <f t="shared" si="142"/>
        <v>0</v>
      </c>
      <c r="DF30" s="1009" t="s">
        <v>270</v>
      </c>
      <c r="DG30" s="1009" t="s">
        <v>271</v>
      </c>
      <c r="DH30" s="966">
        <f t="shared" si="111"/>
        <v>45658</v>
      </c>
      <c r="DI30" s="912">
        <f t="shared" si="73"/>
        <v>14</v>
      </c>
      <c r="DJ30" s="939"/>
      <c r="DK30" s="913">
        <f t="shared" si="74"/>
        <v>45723</v>
      </c>
      <c r="DL30" s="912">
        <f t="shared" si="75"/>
        <v>16</v>
      </c>
      <c r="DM30" s="750" t="s">
        <v>272</v>
      </c>
      <c r="DN30" s="750" t="s">
        <v>273</v>
      </c>
      <c r="DO30" s="751">
        <f t="shared" si="31"/>
        <v>39302.242527207476</v>
      </c>
      <c r="DP30" s="751">
        <f t="shared" si="32"/>
        <v>864649.33559856447</v>
      </c>
      <c r="DQ30" s="752">
        <f t="shared" si="127"/>
        <v>0.43232466779928225</v>
      </c>
      <c r="DR30" s="503"/>
      <c r="DS30" s="751">
        <f t="shared" si="128"/>
        <v>3074224.6067545544</v>
      </c>
      <c r="DT30" s="751">
        <f>'[4]INTERNAL PRICELIST'!N24</f>
        <v>2061900</v>
      </c>
      <c r="DU30" s="751">
        <f t="shared" si="33"/>
        <v>1012324.6067545544</v>
      </c>
      <c r="DV30" s="503"/>
      <c r="DW30" s="951">
        <f t="shared" si="129"/>
        <v>139737.48212520703</v>
      </c>
      <c r="DX30" s="503"/>
      <c r="DZ30" s="1010" t="s">
        <v>330</v>
      </c>
      <c r="EA30" s="1052" t="b">
        <f t="shared" si="35"/>
        <v>1</v>
      </c>
      <c r="EB30" s="1053" t="s">
        <v>332</v>
      </c>
      <c r="EC30" s="1053" t="s">
        <v>312</v>
      </c>
      <c r="ED30" s="503"/>
      <c r="EE30" s="1029"/>
      <c r="EF30" s="503"/>
      <c r="EG30" s="503"/>
      <c r="EH30" s="930"/>
      <c r="EI30" s="930"/>
      <c r="EJ30" s="1064" t="s">
        <v>333</v>
      </c>
      <c r="EK30" s="1060"/>
      <c r="EL30" s="1060"/>
      <c r="EM30" s="1060"/>
      <c r="EN30" s="1060"/>
      <c r="EO30" s="1062"/>
      <c r="EP30" s="503"/>
      <c r="EQ30" s="503"/>
      <c r="ER30" s="1017" t="s">
        <v>264</v>
      </c>
      <c r="ES30" s="1391" t="s">
        <v>264</v>
      </c>
      <c r="ET30" s="1018" t="b">
        <f t="shared" si="76"/>
        <v>1</v>
      </c>
      <c r="EU30" s="940"/>
      <c r="EV30" s="941"/>
      <c r="EW30" s="940"/>
      <c r="EX30" s="1019">
        <v>2874106.5421836311</v>
      </c>
      <c r="EY30" s="1019">
        <f t="shared" si="143"/>
        <v>431115.98132754466</v>
      </c>
      <c r="EZ30" s="1019">
        <f t="shared" si="144"/>
        <v>2442990.5608560862</v>
      </c>
      <c r="FA30" s="1019">
        <f t="shared" si="145"/>
        <v>287410.65421836311</v>
      </c>
      <c r="FB30" s="1019">
        <f t="shared" si="146"/>
        <v>2586695.887965268</v>
      </c>
      <c r="FC30" s="1019">
        <f t="shared" si="147"/>
        <v>143705.32710918179</v>
      </c>
      <c r="FD30" s="1020"/>
      <c r="FE30" s="1021"/>
      <c r="FF30" s="1022">
        <f t="shared" si="148"/>
        <v>2442990.5608560862</v>
      </c>
      <c r="FG30" s="1022">
        <f t="shared" si="149"/>
        <v>207654.19767276733</v>
      </c>
      <c r="FH30" s="1022">
        <f t="shared" si="161"/>
        <v>103827.09883638367</v>
      </c>
      <c r="FI30" s="1023">
        <f t="shared" si="150"/>
        <v>2586695.887965268</v>
      </c>
      <c r="FJ30" s="1023">
        <f t="shared" si="151"/>
        <v>219869.15047704781</v>
      </c>
      <c r="FK30" s="1023">
        <f t="shared" si="152"/>
        <v>109934.5752385239</v>
      </c>
      <c r="FL30" s="1019">
        <f t="shared" si="162"/>
        <v>12214.952804280474</v>
      </c>
      <c r="FM30" s="1019">
        <f t="shared" si="163"/>
        <v>6107.476402140237</v>
      </c>
      <c r="FN30" s="1019" t="str">
        <f t="shared" si="153"/>
        <v>VS</v>
      </c>
      <c r="FO30" s="1019">
        <f t="shared" si="159"/>
        <v>27537.409960060559</v>
      </c>
      <c r="FP30" s="1019">
        <f t="shared" si="164"/>
        <v>-21429.933557920322</v>
      </c>
      <c r="FQ30" s="1021"/>
      <c r="FR30" s="1021"/>
      <c r="FS30" s="1020"/>
      <c r="FT30" s="503"/>
      <c r="FU30" s="956"/>
      <c r="FV30" s="503"/>
      <c r="FW30" s="503"/>
      <c r="FX30" s="1040"/>
      <c r="FY30" s="503"/>
      <c r="FZ30" s="503"/>
      <c r="GA30" s="1011">
        <v>6</v>
      </c>
      <c r="GB30" s="1036">
        <f t="shared" ref="GB30" si="181">EDATE(GC30,GA30)</f>
        <v>45870</v>
      </c>
      <c r="GC30" s="1037">
        <v>45689</v>
      </c>
      <c r="GD30" s="1186" t="s">
        <v>334</v>
      </c>
      <c r="GE30" s="1187"/>
      <c r="GF30" s="1187"/>
      <c r="GG30" s="956"/>
      <c r="GH30" s="945"/>
      <c r="GI30" s="1024">
        <f t="shared" si="78"/>
        <v>3496930.4901833055</v>
      </c>
      <c r="GJ30" s="1025">
        <f t="shared" si="79"/>
        <v>0.125</v>
      </c>
      <c r="GK30" s="1024">
        <f t="shared" si="80"/>
        <v>437116.31127291318</v>
      </c>
      <c r="GL30" s="1024">
        <f t="shared" si="81"/>
        <v>30000</v>
      </c>
      <c r="GM30" s="1024">
        <f t="shared" si="82"/>
        <v>407116.31127291318</v>
      </c>
      <c r="GN30" s="1024">
        <f t="shared" si="83"/>
        <v>1</v>
      </c>
      <c r="GO30" s="1024">
        <f t="shared" si="84"/>
        <v>407116.31127291318</v>
      </c>
      <c r="GP30" s="1025">
        <f t="shared" si="85"/>
        <v>0.875</v>
      </c>
      <c r="GQ30" s="1024">
        <f t="shared" si="86"/>
        <v>3059814.1789103923</v>
      </c>
      <c r="GR30" s="1024">
        <f t="shared" si="87"/>
        <v>23722.706761007681</v>
      </c>
      <c r="GS30" s="1024">
        <f t="shared" si="88"/>
        <v>27502.474875597669</v>
      </c>
      <c r="GT30" s="1024">
        <f t="shared" si="89"/>
        <v>35527.03710048685</v>
      </c>
      <c r="GU30" s="1024">
        <f t="shared" si="90"/>
        <v>60587.988053181267</v>
      </c>
      <c r="GV30" s="945"/>
      <c r="GW30" s="1024">
        <f t="shared" si="91"/>
        <v>3496930.4901833055</v>
      </c>
      <c r="GX30" s="1025">
        <f t="shared" si="92"/>
        <v>0.125</v>
      </c>
      <c r="GY30" s="1024">
        <f t="shared" si="93"/>
        <v>437116.31127291318</v>
      </c>
      <c r="GZ30" s="1024">
        <f t="shared" si="94"/>
        <v>30000</v>
      </c>
      <c r="HA30" s="1024">
        <f t="shared" si="95"/>
        <v>407116.31127291318</v>
      </c>
      <c r="HB30" s="1026">
        <f t="shared" si="96"/>
        <v>25</v>
      </c>
      <c r="HC30" s="1009">
        <f t="shared" si="97"/>
        <v>16284.652450916527</v>
      </c>
      <c r="HD30" s="1027">
        <f t="shared" si="98"/>
        <v>0.875</v>
      </c>
      <c r="HE30" s="1009">
        <f t="shared" si="99"/>
        <v>3059814.1789103923</v>
      </c>
      <c r="HF30" s="1008">
        <f t="shared" si="100"/>
        <v>23722.706761007681</v>
      </c>
      <c r="HG30" s="1008">
        <f t="shared" si="101"/>
        <v>27502.474875597669</v>
      </c>
      <c r="HH30" s="1008">
        <f t="shared" si="102"/>
        <v>35527.03710048685</v>
      </c>
      <c r="HI30" s="1008">
        <f t="shared" si="103"/>
        <v>60587.988053181267</v>
      </c>
      <c r="HJ30" s="945"/>
      <c r="HK30" s="1009">
        <f t="shared" si="104"/>
        <v>-390831.65882199665</v>
      </c>
      <c r="HL30" s="503"/>
      <c r="HM30" s="503"/>
      <c r="HN30" s="503"/>
      <c r="HO30" s="503"/>
      <c r="HP30" s="503"/>
      <c r="HQ30" s="503"/>
      <c r="HR30" s="956">
        <f t="shared" si="105"/>
        <v>0</v>
      </c>
      <c r="HS30" s="503"/>
      <c r="HT30" s="503"/>
      <c r="HU30" s="956"/>
      <c r="HV30" s="503"/>
      <c r="HW30" s="956"/>
      <c r="HX30" s="956"/>
      <c r="HY30" s="503"/>
      <c r="HZ30" s="503"/>
      <c r="IA30" s="503"/>
      <c r="ID30" s="1394"/>
    </row>
    <row r="31" spans="1:239" ht="14.25" hidden="1" customHeight="1">
      <c r="A31" s="1018">
        <f t="shared" si="155"/>
        <v>25</v>
      </c>
      <c r="B31" s="716"/>
      <c r="C31" s="741">
        <f t="shared" si="172"/>
        <v>13</v>
      </c>
      <c r="D31" s="716" t="s">
        <v>256</v>
      </c>
      <c r="E31" s="743" t="str">
        <f>D31</f>
        <v>3rd Floor</v>
      </c>
      <c r="F31" s="1048"/>
      <c r="G31" s="745" t="s">
        <v>335</v>
      </c>
      <c r="H31" s="745" t="s">
        <v>336</v>
      </c>
      <c r="I31" s="745" t="s">
        <v>267</v>
      </c>
      <c r="J31" s="1005">
        <v>22</v>
      </c>
      <c r="K31" s="1049"/>
      <c r="L31" s="1006" t="s">
        <v>268</v>
      </c>
      <c r="M31" s="745" t="s">
        <v>79</v>
      </c>
      <c r="N31" s="1050">
        <v>95909.091</v>
      </c>
      <c r="O31" s="934">
        <f t="shared" si="132"/>
        <v>2110000.0019999999</v>
      </c>
      <c r="P31" s="934">
        <f t="shared" si="156"/>
        <v>22400</v>
      </c>
      <c r="Q31" s="934">
        <f t="shared" si="119"/>
        <v>50000</v>
      </c>
      <c r="R31" s="934"/>
      <c r="S31" s="934"/>
      <c r="T31" s="934"/>
      <c r="U31" s="934"/>
      <c r="V31" s="934"/>
      <c r="W31" s="749"/>
      <c r="X31" s="934"/>
      <c r="Y31" s="934"/>
      <c r="Z31" s="934">
        <f t="shared" si="133"/>
        <v>75000</v>
      </c>
      <c r="AA31" s="934"/>
      <c r="AB31" s="934"/>
      <c r="AC31" s="934"/>
      <c r="AD31" s="934"/>
      <c r="AE31" s="934">
        <f t="shared" si="14"/>
        <v>147400</v>
      </c>
      <c r="AF31" s="1005">
        <f t="shared" si="15"/>
        <v>2257400.0019999999</v>
      </c>
      <c r="AG31" s="1005">
        <f t="shared" si="37"/>
        <v>56435.000050000002</v>
      </c>
      <c r="AH31" s="1005">
        <f t="shared" si="38"/>
        <v>2313835.0020499998</v>
      </c>
      <c r="AI31" s="1005">
        <f t="shared" si="39"/>
        <v>57845.875051249997</v>
      </c>
      <c r="AJ31" s="1005">
        <f t="shared" si="40"/>
        <v>2371680.87710125</v>
      </c>
      <c r="AK31" s="1005">
        <f t="shared" si="41"/>
        <v>118584.04385506251</v>
      </c>
      <c r="AL31" s="1005">
        <f t="shared" si="157"/>
        <v>2490264.9209563127</v>
      </c>
      <c r="AM31" s="934">
        <f t="shared" si="43"/>
        <v>24902.649209563126</v>
      </c>
      <c r="AN31" s="934">
        <f t="shared" si="44"/>
        <v>27537.409960060559</v>
      </c>
      <c r="AO31" s="934"/>
      <c r="AP31" s="934">
        <f t="shared" si="134"/>
        <v>109934.5752385239</v>
      </c>
      <c r="AQ31" s="1005">
        <f t="shared" si="45"/>
        <v>2652639.5553644602</v>
      </c>
      <c r="AR31" s="1005">
        <f t="shared" si="46"/>
        <v>119368.7799914007</v>
      </c>
      <c r="AS31" s="1147">
        <f t="shared" si="47"/>
        <v>2772008.3353558611</v>
      </c>
      <c r="AT31" s="1148">
        <f t="shared" si="135"/>
        <v>2000000</v>
      </c>
      <c r="AU31" s="1148">
        <f t="shared" si="16"/>
        <v>35091.287970720958</v>
      </c>
      <c r="AV31" s="1148">
        <f t="shared" si="136"/>
        <v>772008.33535586111</v>
      </c>
      <c r="AW31" s="1148">
        <f t="shared" si="17"/>
        <v>92641.000242703332</v>
      </c>
      <c r="AX31" s="1148">
        <f t="shared" si="18"/>
        <v>864649.33559856447</v>
      </c>
      <c r="AY31" s="1147">
        <f t="shared" si="48"/>
        <v>2864649.3355985642</v>
      </c>
      <c r="AZ31" s="934">
        <f t="shared" si="49"/>
        <v>35808.116694982054</v>
      </c>
      <c r="BA31" s="716" t="s">
        <v>269</v>
      </c>
      <c r="BB31" s="716">
        <f t="shared" si="19"/>
        <v>2900457.4522935464</v>
      </c>
      <c r="BC31" s="716" t="s">
        <v>269</v>
      </c>
      <c r="BD31" s="716">
        <f t="shared" si="50"/>
        <v>108767.15446100799</v>
      </c>
      <c r="BE31" s="716">
        <f t="shared" si="51"/>
        <v>33600</v>
      </c>
      <c r="BF31" s="716">
        <f t="shared" si="52"/>
        <v>3042824.6067545544</v>
      </c>
      <c r="BG31" s="716"/>
      <c r="BH31" s="716">
        <f t="shared" si="53"/>
        <v>3042824.6067545544</v>
      </c>
      <c r="BI31" s="716"/>
      <c r="BJ31" s="716">
        <f t="shared" si="54"/>
        <v>3042824.6067545544</v>
      </c>
      <c r="BK31" s="716"/>
      <c r="BL31" s="716">
        <f t="shared" si="55"/>
        <v>3042824.6067545544</v>
      </c>
      <c r="BM31" s="716"/>
      <c r="BN31" s="716">
        <f t="shared" si="20"/>
        <v>3042824.6067545544</v>
      </c>
      <c r="BO31" s="716"/>
      <c r="BP31" s="716">
        <f t="shared" si="56"/>
        <v>3042824.6067545544</v>
      </c>
      <c r="BQ31" s="716"/>
      <c r="BR31" s="716">
        <f t="shared" si="57"/>
        <v>3042824.6067545544</v>
      </c>
      <c r="BS31" s="716"/>
      <c r="BT31" s="716">
        <f t="shared" si="58"/>
        <v>3042824.6067545544</v>
      </c>
      <c r="BU31" s="716"/>
      <c r="BV31" s="716">
        <f t="shared" si="21"/>
        <v>3042824.6067545544</v>
      </c>
      <c r="BW31" s="716"/>
      <c r="BX31" s="716">
        <f t="shared" si="167"/>
        <v>31400</v>
      </c>
      <c r="BY31" s="716">
        <f t="shared" si="60"/>
        <v>3074224.6067545544</v>
      </c>
      <c r="BZ31" s="716"/>
      <c r="CA31" s="716">
        <f t="shared" si="61"/>
        <v>3074224.6067545544</v>
      </c>
      <c r="CB31" s="1135">
        <f t="shared" si="121"/>
        <v>3074224.6067545544</v>
      </c>
      <c r="CC31" s="1164">
        <f t="shared" si="109"/>
        <v>3074224.6067545544</v>
      </c>
      <c r="CD31" s="1164"/>
      <c r="CE31" s="1164">
        <f t="shared" si="63"/>
        <v>0</v>
      </c>
      <c r="CF31" s="1164">
        <f t="shared" si="115"/>
        <v>0</v>
      </c>
      <c r="CG31" s="1164">
        <f t="shared" si="116"/>
        <v>0</v>
      </c>
      <c r="CH31" s="1154">
        <f t="shared" si="158"/>
        <v>3074224.6067545544</v>
      </c>
      <c r="CI31" s="935">
        <f t="shared" si="137"/>
        <v>3074224.6067545544</v>
      </c>
      <c r="CJ31" s="935">
        <f t="shared" si="64"/>
        <v>0</v>
      </c>
      <c r="CK31" s="935">
        <f t="shared" si="65"/>
        <v>315108.0221923418</v>
      </c>
      <c r="CL31" s="935">
        <f t="shared" si="66"/>
        <v>107597.86123640942</v>
      </c>
      <c r="CM31" s="1006">
        <f t="shared" si="138"/>
        <v>3496930.4901833055</v>
      </c>
      <c r="CN31" s="1007">
        <f t="shared" si="139"/>
        <v>0.125</v>
      </c>
      <c r="CO31" s="935">
        <f t="shared" si="24"/>
        <v>437116.31127291318</v>
      </c>
      <c r="CP31" s="935">
        <f t="shared" si="170"/>
        <v>30000</v>
      </c>
      <c r="CQ31" s="935">
        <f t="shared" si="25"/>
        <v>407116.31127291318</v>
      </c>
      <c r="CR31" s="745">
        <f t="shared" si="141"/>
        <v>1</v>
      </c>
      <c r="CS31" s="935">
        <f t="shared" si="26"/>
        <v>407116.31127291318</v>
      </c>
      <c r="CT31" s="1007">
        <f t="shared" si="68"/>
        <v>0.875</v>
      </c>
      <c r="CU31" s="935">
        <f t="shared" si="69"/>
        <v>3059814.1789103923</v>
      </c>
      <c r="CV31" s="1008">
        <f t="shared" si="110"/>
        <v>23722.706761007681</v>
      </c>
      <c r="CW31" s="1008">
        <f t="shared" si="70"/>
        <v>27502.474875597669</v>
      </c>
      <c r="CX31" s="1008">
        <f t="shared" si="71"/>
        <v>35527.03710048685</v>
      </c>
      <c r="CY31" s="1008">
        <f t="shared" si="72"/>
        <v>60587.988053181267</v>
      </c>
      <c r="CZ31" s="1119">
        <f t="shared" si="122"/>
        <v>248558.43141597047</v>
      </c>
      <c r="DA31" s="1119">
        <f t="shared" si="123"/>
        <v>98353.36051366452</v>
      </c>
      <c r="DB31" s="1119">
        <f t="shared" si="124"/>
        <v>71039.239301235197</v>
      </c>
      <c r="DC31" s="1119">
        <f t="shared" si="125"/>
        <v>54064.131585904252</v>
      </c>
      <c r="DD31" s="1028">
        <f t="shared" si="126"/>
        <v>0.38600416767793055</v>
      </c>
      <c r="DE31" s="1028">
        <f t="shared" si="142"/>
        <v>0</v>
      </c>
      <c r="DF31" s="1009" t="s">
        <v>270</v>
      </c>
      <c r="DG31" s="1009" t="s">
        <v>271</v>
      </c>
      <c r="DH31" s="966">
        <f t="shared" si="111"/>
        <v>45658</v>
      </c>
      <c r="DI31" s="912">
        <f t="shared" si="73"/>
        <v>14</v>
      </c>
      <c r="DK31" s="913">
        <f t="shared" si="74"/>
        <v>45723</v>
      </c>
      <c r="DL31" s="912">
        <f t="shared" si="75"/>
        <v>16</v>
      </c>
      <c r="DM31" s="750" t="s">
        <v>272</v>
      </c>
      <c r="DN31" s="750" t="s">
        <v>273</v>
      </c>
      <c r="DO31" s="751">
        <f t="shared" si="31"/>
        <v>39302.242527207476</v>
      </c>
      <c r="DP31" s="751">
        <f t="shared" si="32"/>
        <v>864649.33559856447</v>
      </c>
      <c r="DQ31" s="752">
        <f t="shared" si="127"/>
        <v>0.43232466779928225</v>
      </c>
      <c r="DS31" s="751">
        <f t="shared" si="128"/>
        <v>3074224.6067545544</v>
      </c>
      <c r="DT31" s="751">
        <f>'[4]INTERNAL PRICELIST'!N25</f>
        <v>2061900</v>
      </c>
      <c r="DU31" s="751">
        <f t="shared" si="33"/>
        <v>1012324.6067545544</v>
      </c>
      <c r="DW31" s="951">
        <f t="shared" si="129"/>
        <v>139737.48212520703</v>
      </c>
      <c r="DZ31" s="1010" t="s">
        <v>335</v>
      </c>
      <c r="EA31" s="1011" t="b">
        <f t="shared" si="35"/>
        <v>1</v>
      </c>
      <c r="EB31" s="1011"/>
      <c r="EC31" s="1011"/>
      <c r="EE31" s="1067"/>
      <c r="EF31" s="1068"/>
      <c r="EG31" s="1068"/>
      <c r="EJ31" s="1069">
        <f>EL9</f>
        <v>0</v>
      </c>
      <c r="EK31" s="1060">
        <f>EK9</f>
        <v>0</v>
      </c>
      <c r="EL31" s="1060"/>
      <c r="EM31" s="1060"/>
      <c r="EN31" s="1060"/>
      <c r="EO31" s="1062"/>
      <c r="ER31" s="1017" t="s">
        <v>264</v>
      </c>
      <c r="ES31" s="1391" t="s">
        <v>264</v>
      </c>
      <c r="ET31" s="1018" t="b">
        <f t="shared" si="76"/>
        <v>1</v>
      </c>
      <c r="EX31" s="1019">
        <v>2874106.5421836311</v>
      </c>
      <c r="EY31" s="1019">
        <f t="shared" si="143"/>
        <v>431115.98132754466</v>
      </c>
      <c r="EZ31" s="1019">
        <f t="shared" si="144"/>
        <v>2442990.5608560862</v>
      </c>
      <c r="FA31" s="1019">
        <f t="shared" si="145"/>
        <v>287410.65421836311</v>
      </c>
      <c r="FB31" s="1019">
        <f t="shared" si="146"/>
        <v>2586695.887965268</v>
      </c>
      <c r="FC31" s="1019">
        <f t="shared" si="147"/>
        <v>143705.32710918179</v>
      </c>
      <c r="FD31" s="1020"/>
      <c r="FE31" s="1021"/>
      <c r="FF31" s="1022">
        <f t="shared" si="148"/>
        <v>2442990.5608560862</v>
      </c>
      <c r="FG31" s="1022">
        <f t="shared" si="149"/>
        <v>207654.19767276733</v>
      </c>
      <c r="FH31" s="1022">
        <f t="shared" si="161"/>
        <v>103827.09883638367</v>
      </c>
      <c r="FI31" s="1023">
        <f t="shared" si="150"/>
        <v>2586695.887965268</v>
      </c>
      <c r="FJ31" s="1023">
        <f t="shared" si="151"/>
        <v>219869.15047704781</v>
      </c>
      <c r="FK31" s="1023">
        <f t="shared" si="152"/>
        <v>109934.5752385239</v>
      </c>
      <c r="FL31" s="1019">
        <f t="shared" si="162"/>
        <v>12214.952804280474</v>
      </c>
      <c r="FM31" s="1019">
        <f t="shared" si="163"/>
        <v>6107.476402140237</v>
      </c>
      <c r="FN31" s="1019" t="str">
        <f t="shared" si="153"/>
        <v>VS</v>
      </c>
      <c r="FO31" s="1019">
        <f t="shared" si="159"/>
        <v>27537.409960060559</v>
      </c>
      <c r="FP31" s="1019">
        <f t="shared" si="164"/>
        <v>-21429.933557920322</v>
      </c>
      <c r="FQ31" s="1021"/>
      <c r="FR31" s="1021"/>
      <c r="FS31" s="1020"/>
      <c r="FT31" s="503"/>
      <c r="FU31" s="956"/>
      <c r="FV31" s="503"/>
      <c r="FW31" s="1070"/>
      <c r="FX31" s="1071"/>
      <c r="GA31" s="1011">
        <f>GA30-1</f>
        <v>5</v>
      </c>
      <c r="GB31" s="1036">
        <f t="shared" ref="GB31" si="182">EDATE(GC31,GA31)</f>
        <v>45870</v>
      </c>
      <c r="GC31" s="1037">
        <v>45717</v>
      </c>
      <c r="GG31" s="956"/>
      <c r="GI31" s="1024">
        <f t="shared" si="78"/>
        <v>3496930.4901833055</v>
      </c>
      <c r="GJ31" s="1025">
        <f t="shared" si="79"/>
        <v>0.125</v>
      </c>
      <c r="GK31" s="1024">
        <f t="shared" si="80"/>
        <v>437116.31127291318</v>
      </c>
      <c r="GL31" s="1024">
        <f t="shared" si="81"/>
        <v>30000</v>
      </c>
      <c r="GM31" s="1024">
        <f t="shared" si="82"/>
        <v>407116.31127291318</v>
      </c>
      <c r="GN31" s="1024">
        <f t="shared" si="83"/>
        <v>1</v>
      </c>
      <c r="GO31" s="1024">
        <f t="shared" si="84"/>
        <v>407116.31127291318</v>
      </c>
      <c r="GP31" s="1025">
        <f t="shared" si="85"/>
        <v>0.875</v>
      </c>
      <c r="GQ31" s="1024">
        <f t="shared" si="86"/>
        <v>3059814.1789103923</v>
      </c>
      <c r="GR31" s="1024">
        <f t="shared" si="87"/>
        <v>23722.706761007681</v>
      </c>
      <c r="GS31" s="1024">
        <f t="shared" si="88"/>
        <v>27502.474875597669</v>
      </c>
      <c r="GT31" s="1024">
        <f t="shared" si="89"/>
        <v>35527.03710048685</v>
      </c>
      <c r="GU31" s="1024">
        <f t="shared" si="90"/>
        <v>60587.988053181267</v>
      </c>
      <c r="GW31" s="1024">
        <f t="shared" si="91"/>
        <v>3496930.4901833055</v>
      </c>
      <c r="GX31" s="1025">
        <f t="shared" si="92"/>
        <v>0.125</v>
      </c>
      <c r="GY31" s="1024">
        <f t="shared" si="93"/>
        <v>437116.31127291318</v>
      </c>
      <c r="GZ31" s="1024">
        <f t="shared" si="94"/>
        <v>30000</v>
      </c>
      <c r="HA31" s="1024">
        <f t="shared" si="95"/>
        <v>407116.31127291318</v>
      </c>
      <c r="HB31" s="1026">
        <f t="shared" si="96"/>
        <v>25</v>
      </c>
      <c r="HC31" s="1009">
        <f t="shared" si="97"/>
        <v>16284.652450916527</v>
      </c>
      <c r="HD31" s="1027">
        <f t="shared" si="98"/>
        <v>0.875</v>
      </c>
      <c r="HE31" s="1009">
        <f t="shared" si="99"/>
        <v>3059814.1789103923</v>
      </c>
      <c r="HF31" s="1008">
        <f t="shared" si="100"/>
        <v>23722.706761007681</v>
      </c>
      <c r="HG31" s="1008">
        <f t="shared" si="101"/>
        <v>27502.474875597669</v>
      </c>
      <c r="HH31" s="1008">
        <f t="shared" si="102"/>
        <v>35527.03710048685</v>
      </c>
      <c r="HI31" s="1008">
        <f t="shared" si="103"/>
        <v>60587.988053181267</v>
      </c>
      <c r="HK31" s="1009">
        <f t="shared" si="104"/>
        <v>-390831.65882199665</v>
      </c>
      <c r="HR31" s="956">
        <f t="shared" si="105"/>
        <v>0</v>
      </c>
      <c r="HU31" s="956"/>
      <c r="HW31" s="956"/>
      <c r="HX31" s="956"/>
    </row>
    <row r="32" spans="1:239" s="1051" customFormat="1" ht="14.25" hidden="1" customHeight="1">
      <c r="A32" s="1018">
        <f t="shared" si="155"/>
        <v>26</v>
      </c>
      <c r="B32" s="716" t="s">
        <v>264</v>
      </c>
      <c r="C32" s="741">
        <f t="shared" si="172"/>
        <v>14</v>
      </c>
      <c r="D32" s="716" t="s">
        <v>256</v>
      </c>
      <c r="E32" s="743" t="str">
        <f t="shared" si="36"/>
        <v>3rd Floor</v>
      </c>
      <c r="F32" s="1048"/>
      <c r="G32" s="745" t="s">
        <v>337</v>
      </c>
      <c r="H32" s="745" t="s">
        <v>338</v>
      </c>
      <c r="I32" s="745" t="s">
        <v>267</v>
      </c>
      <c r="J32" s="1005">
        <v>22</v>
      </c>
      <c r="K32" s="1049"/>
      <c r="L32" s="1006" t="s">
        <v>268</v>
      </c>
      <c r="M32" s="745" t="s">
        <v>79</v>
      </c>
      <c r="N32" s="1050">
        <v>95909.091</v>
      </c>
      <c r="O32" s="934">
        <f t="shared" si="132"/>
        <v>2110000.0019999999</v>
      </c>
      <c r="P32" s="934">
        <f t="shared" si="156"/>
        <v>22400</v>
      </c>
      <c r="Q32" s="934">
        <f t="shared" si="119"/>
        <v>50000</v>
      </c>
      <c r="R32" s="934"/>
      <c r="S32" s="934"/>
      <c r="T32" s="934"/>
      <c r="U32" s="934"/>
      <c r="V32" s="934"/>
      <c r="W32" s="749"/>
      <c r="X32" s="934"/>
      <c r="Y32" s="934"/>
      <c r="Z32" s="934">
        <f t="shared" si="133"/>
        <v>75000</v>
      </c>
      <c r="AA32" s="934"/>
      <c r="AB32" s="934"/>
      <c r="AC32" s="934"/>
      <c r="AD32" s="934"/>
      <c r="AE32" s="934">
        <f t="shared" si="14"/>
        <v>147400</v>
      </c>
      <c r="AF32" s="1005">
        <f t="shared" si="15"/>
        <v>2257400.0019999999</v>
      </c>
      <c r="AG32" s="1005">
        <f t="shared" si="37"/>
        <v>56435.000050000002</v>
      </c>
      <c r="AH32" s="1005">
        <f t="shared" si="38"/>
        <v>2313835.0020499998</v>
      </c>
      <c r="AI32" s="1005">
        <f t="shared" si="39"/>
        <v>57845.875051249997</v>
      </c>
      <c r="AJ32" s="1005">
        <f t="shared" si="40"/>
        <v>2371680.87710125</v>
      </c>
      <c r="AK32" s="1005">
        <f t="shared" si="41"/>
        <v>118584.04385506251</v>
      </c>
      <c r="AL32" s="1005">
        <f t="shared" si="157"/>
        <v>2490264.9209563127</v>
      </c>
      <c r="AM32" s="934">
        <f t="shared" si="43"/>
        <v>24902.649209563126</v>
      </c>
      <c r="AN32" s="934">
        <f t="shared" si="44"/>
        <v>27537.409960060559</v>
      </c>
      <c r="AO32" s="934"/>
      <c r="AP32" s="934">
        <f t="shared" si="134"/>
        <v>109934.5752385239</v>
      </c>
      <c r="AQ32" s="1005">
        <f t="shared" si="45"/>
        <v>2652639.5553644602</v>
      </c>
      <c r="AR32" s="1005">
        <f t="shared" si="46"/>
        <v>119368.7799914007</v>
      </c>
      <c r="AS32" s="1147">
        <f t="shared" si="47"/>
        <v>2772008.3353558611</v>
      </c>
      <c r="AT32" s="1148">
        <f t="shared" si="135"/>
        <v>2000000</v>
      </c>
      <c r="AU32" s="1148">
        <f t="shared" si="16"/>
        <v>35091.287970720958</v>
      </c>
      <c r="AV32" s="1148">
        <f t="shared" si="136"/>
        <v>772008.33535586111</v>
      </c>
      <c r="AW32" s="1148">
        <f t="shared" si="17"/>
        <v>92641.000242703332</v>
      </c>
      <c r="AX32" s="1148">
        <f t="shared" si="18"/>
        <v>864649.33559856447</v>
      </c>
      <c r="AY32" s="1147">
        <f t="shared" si="48"/>
        <v>2864649.3355985642</v>
      </c>
      <c r="AZ32" s="934">
        <f t="shared" si="49"/>
        <v>35808.116694982054</v>
      </c>
      <c r="BA32" s="716" t="s">
        <v>269</v>
      </c>
      <c r="BB32" s="716">
        <f t="shared" si="19"/>
        <v>2900457.4522935464</v>
      </c>
      <c r="BC32" s="716" t="s">
        <v>269</v>
      </c>
      <c r="BD32" s="716">
        <f t="shared" si="50"/>
        <v>108767.15446100799</v>
      </c>
      <c r="BE32" s="716">
        <f t="shared" si="51"/>
        <v>33600</v>
      </c>
      <c r="BF32" s="716">
        <f t="shared" si="52"/>
        <v>3042824.6067545544</v>
      </c>
      <c r="BG32" s="716"/>
      <c r="BH32" s="716">
        <f t="shared" si="53"/>
        <v>3042824.6067545544</v>
      </c>
      <c r="BI32" s="716"/>
      <c r="BJ32" s="716">
        <f t="shared" si="54"/>
        <v>3042824.6067545544</v>
      </c>
      <c r="BK32" s="716"/>
      <c r="BL32" s="716">
        <f t="shared" si="55"/>
        <v>3042824.6067545544</v>
      </c>
      <c r="BM32" s="716"/>
      <c r="BN32" s="716">
        <f t="shared" si="20"/>
        <v>3042824.6067545544</v>
      </c>
      <c r="BO32" s="716"/>
      <c r="BP32" s="716">
        <f t="shared" si="56"/>
        <v>3042824.6067545544</v>
      </c>
      <c r="BQ32" s="716"/>
      <c r="BR32" s="716">
        <f t="shared" si="57"/>
        <v>3042824.6067545544</v>
      </c>
      <c r="BS32" s="716"/>
      <c r="BT32" s="716">
        <f t="shared" si="58"/>
        <v>3042824.6067545544</v>
      </c>
      <c r="BU32" s="716"/>
      <c r="BV32" s="716">
        <f t="shared" si="21"/>
        <v>3042824.6067545544</v>
      </c>
      <c r="BW32" s="716"/>
      <c r="BX32" s="716">
        <f t="shared" si="167"/>
        <v>31400</v>
      </c>
      <c r="BY32" s="716">
        <f t="shared" si="60"/>
        <v>3074224.6067545544</v>
      </c>
      <c r="BZ32" s="716"/>
      <c r="CA32" s="716">
        <f t="shared" si="61"/>
        <v>3074224.6067545544</v>
      </c>
      <c r="CB32" s="1135">
        <f t="shared" si="121"/>
        <v>3074224.6067545544</v>
      </c>
      <c r="CC32" s="1164">
        <f t="shared" si="109"/>
        <v>3074224.6067545544</v>
      </c>
      <c r="CD32" s="1164"/>
      <c r="CE32" s="1164">
        <f t="shared" si="63"/>
        <v>0</v>
      </c>
      <c r="CF32" s="1164">
        <f t="shared" si="115"/>
        <v>0</v>
      </c>
      <c r="CG32" s="1164">
        <f t="shared" si="116"/>
        <v>0</v>
      </c>
      <c r="CH32" s="1154">
        <f t="shared" si="158"/>
        <v>3074224.6067545544</v>
      </c>
      <c r="CI32" s="935">
        <f t="shared" si="137"/>
        <v>3074224.6067545544</v>
      </c>
      <c r="CJ32" s="935">
        <f t="shared" si="64"/>
        <v>0</v>
      </c>
      <c r="CK32" s="935">
        <f t="shared" si="65"/>
        <v>315108.0221923418</v>
      </c>
      <c r="CL32" s="935">
        <f t="shared" si="66"/>
        <v>107597.86123640942</v>
      </c>
      <c r="CM32" s="1006">
        <f t="shared" si="138"/>
        <v>3496930.4901833055</v>
      </c>
      <c r="CN32" s="1007">
        <f t="shared" si="139"/>
        <v>0.125</v>
      </c>
      <c r="CO32" s="935">
        <f t="shared" si="24"/>
        <v>437116.31127291318</v>
      </c>
      <c r="CP32" s="935">
        <f t="shared" si="170"/>
        <v>30000</v>
      </c>
      <c r="CQ32" s="935">
        <f t="shared" si="25"/>
        <v>407116.31127291318</v>
      </c>
      <c r="CR32" s="745">
        <f t="shared" si="141"/>
        <v>1</v>
      </c>
      <c r="CS32" s="935">
        <f t="shared" si="26"/>
        <v>407116.31127291318</v>
      </c>
      <c r="CT32" s="1007">
        <f t="shared" si="68"/>
        <v>0.875</v>
      </c>
      <c r="CU32" s="935">
        <f t="shared" si="69"/>
        <v>3059814.1789103923</v>
      </c>
      <c r="CV32" s="1008">
        <f t="shared" si="110"/>
        <v>23722.706761007681</v>
      </c>
      <c r="CW32" s="1008">
        <f t="shared" si="70"/>
        <v>27502.474875597669</v>
      </c>
      <c r="CX32" s="1008">
        <f t="shared" si="71"/>
        <v>35527.03710048685</v>
      </c>
      <c r="CY32" s="1008">
        <f t="shared" si="72"/>
        <v>60587.988053181267</v>
      </c>
      <c r="CZ32" s="1119">
        <f t="shared" si="122"/>
        <v>248558.43141597047</v>
      </c>
      <c r="DA32" s="1119">
        <f t="shared" si="123"/>
        <v>98353.36051366452</v>
      </c>
      <c r="DB32" s="1119">
        <f t="shared" si="124"/>
        <v>71039.239301235197</v>
      </c>
      <c r="DC32" s="1119">
        <f t="shared" si="125"/>
        <v>54064.131585904252</v>
      </c>
      <c r="DD32" s="1028">
        <f t="shared" si="126"/>
        <v>0.38600416767793055</v>
      </c>
      <c r="DE32" s="1028">
        <f t="shared" si="142"/>
        <v>0</v>
      </c>
      <c r="DF32" s="1009" t="s">
        <v>270</v>
      </c>
      <c r="DG32" s="1009" t="s">
        <v>271</v>
      </c>
      <c r="DH32" s="966">
        <f t="shared" si="111"/>
        <v>45658</v>
      </c>
      <c r="DI32" s="912">
        <f t="shared" si="73"/>
        <v>14</v>
      </c>
      <c r="DJ32" s="939"/>
      <c r="DK32" s="913">
        <f t="shared" si="74"/>
        <v>45723</v>
      </c>
      <c r="DL32" s="912">
        <f t="shared" si="75"/>
        <v>16</v>
      </c>
      <c r="DM32" s="750" t="s">
        <v>272</v>
      </c>
      <c r="DN32" s="750" t="s">
        <v>273</v>
      </c>
      <c r="DO32" s="751">
        <f t="shared" si="31"/>
        <v>39302.242527207476</v>
      </c>
      <c r="DP32" s="751">
        <f t="shared" si="32"/>
        <v>864649.33559856447</v>
      </c>
      <c r="DQ32" s="752">
        <f t="shared" si="127"/>
        <v>0.43232466779928225</v>
      </c>
      <c r="DR32" s="503"/>
      <c r="DS32" s="751">
        <f t="shared" si="128"/>
        <v>3074224.6067545544</v>
      </c>
      <c r="DT32" s="751">
        <f>'[4]INTERNAL PRICELIST'!N26</f>
        <v>2061900</v>
      </c>
      <c r="DU32" s="751">
        <f t="shared" si="33"/>
        <v>1012324.6067545544</v>
      </c>
      <c r="DV32" s="503"/>
      <c r="DW32" s="951">
        <f t="shared" si="129"/>
        <v>139737.48212520703</v>
      </c>
      <c r="DX32" s="503"/>
      <c r="DZ32" s="1010" t="s">
        <v>337</v>
      </c>
      <c r="EA32" s="1052" t="b">
        <f t="shared" si="35"/>
        <v>1</v>
      </c>
      <c r="EB32" s="1053" t="s">
        <v>339</v>
      </c>
      <c r="EC32" s="1053" t="s">
        <v>312</v>
      </c>
      <c r="ED32" s="503"/>
      <c r="EE32" s="1029"/>
      <c r="EF32" s="503"/>
      <c r="EG32" s="503"/>
      <c r="EH32" s="930"/>
      <c r="EI32" s="930"/>
      <c r="EJ32" s="1069">
        <f>EL10</f>
        <v>0</v>
      </c>
      <c r="EK32" s="1060">
        <f t="shared" ref="EK32:EK33" si="183">EK10</f>
        <v>0</v>
      </c>
      <c r="EL32" s="1060"/>
      <c r="EM32" s="1060"/>
      <c r="EN32" s="1060"/>
      <c r="EO32" s="1062"/>
      <c r="EP32" s="503"/>
      <c r="EQ32" s="503"/>
      <c r="ER32" s="1017" t="s">
        <v>264</v>
      </c>
      <c r="ES32" s="1391" t="s">
        <v>264</v>
      </c>
      <c r="ET32" s="1018" t="b">
        <f t="shared" si="76"/>
        <v>1</v>
      </c>
      <c r="EU32" s="940"/>
      <c r="EV32" s="941"/>
      <c r="EW32" s="940"/>
      <c r="EX32" s="1019">
        <v>2874106.5421836311</v>
      </c>
      <c r="EY32" s="1019">
        <f t="shared" si="143"/>
        <v>431115.98132754466</v>
      </c>
      <c r="EZ32" s="1019">
        <f t="shared" si="144"/>
        <v>2442990.5608560862</v>
      </c>
      <c r="FA32" s="1019">
        <f t="shared" si="145"/>
        <v>287410.65421836311</v>
      </c>
      <c r="FB32" s="1019">
        <f t="shared" si="146"/>
        <v>2586695.887965268</v>
      </c>
      <c r="FC32" s="1019">
        <f t="shared" si="147"/>
        <v>143705.32710918179</v>
      </c>
      <c r="FD32" s="1020"/>
      <c r="FE32" s="1021"/>
      <c r="FF32" s="1022">
        <f t="shared" si="148"/>
        <v>2442990.5608560862</v>
      </c>
      <c r="FG32" s="1022">
        <f t="shared" si="149"/>
        <v>207654.19767276733</v>
      </c>
      <c r="FH32" s="1022">
        <f t="shared" si="161"/>
        <v>103827.09883638367</v>
      </c>
      <c r="FI32" s="1023">
        <f t="shared" si="150"/>
        <v>2586695.887965268</v>
      </c>
      <c r="FJ32" s="1023">
        <f t="shared" si="151"/>
        <v>219869.15047704781</v>
      </c>
      <c r="FK32" s="1023">
        <f t="shared" si="152"/>
        <v>109934.5752385239</v>
      </c>
      <c r="FL32" s="1019">
        <f t="shared" si="162"/>
        <v>12214.952804280474</v>
      </c>
      <c r="FM32" s="1019">
        <f t="shared" si="163"/>
        <v>6107.476402140237</v>
      </c>
      <c r="FN32" s="1019" t="str">
        <f t="shared" si="153"/>
        <v>VS</v>
      </c>
      <c r="FO32" s="1019">
        <f t="shared" si="159"/>
        <v>27537.409960060559</v>
      </c>
      <c r="FP32" s="1019">
        <f t="shared" si="164"/>
        <v>-21429.933557920322</v>
      </c>
      <c r="FQ32" s="1021"/>
      <c r="FR32" s="1021"/>
      <c r="FS32" s="1020"/>
      <c r="FT32" s="503"/>
      <c r="FU32" s="956"/>
      <c r="FV32" s="503"/>
      <c r="FW32" s="503"/>
      <c r="FX32" s="1040"/>
      <c r="FY32" s="503"/>
      <c r="FZ32" s="503"/>
      <c r="GA32" s="1011">
        <f>GA31-1</f>
        <v>4</v>
      </c>
      <c r="GB32" s="1036">
        <f t="shared" ref="GB32" si="184">EDATE(GC32,GA32)</f>
        <v>45870</v>
      </c>
      <c r="GC32" s="1037">
        <v>45748</v>
      </c>
      <c r="GD32" s="503"/>
      <c r="GE32" s="1011" t="s">
        <v>340</v>
      </c>
      <c r="GF32" s="1185"/>
      <c r="GG32" s="956"/>
      <c r="GH32" s="945"/>
      <c r="GI32" s="1024">
        <f t="shared" si="78"/>
        <v>3496930.4901833055</v>
      </c>
      <c r="GJ32" s="1025">
        <f t="shared" si="79"/>
        <v>0.125</v>
      </c>
      <c r="GK32" s="1024">
        <f t="shared" si="80"/>
        <v>437116.31127291318</v>
      </c>
      <c r="GL32" s="1024">
        <f t="shared" si="81"/>
        <v>30000</v>
      </c>
      <c r="GM32" s="1024">
        <f t="shared" si="82"/>
        <v>407116.31127291318</v>
      </c>
      <c r="GN32" s="1024">
        <f t="shared" si="83"/>
        <v>1</v>
      </c>
      <c r="GO32" s="1024">
        <f t="shared" si="84"/>
        <v>407116.31127291318</v>
      </c>
      <c r="GP32" s="1025">
        <f t="shared" si="85"/>
        <v>0.875</v>
      </c>
      <c r="GQ32" s="1024">
        <f t="shared" si="86"/>
        <v>3059814.1789103923</v>
      </c>
      <c r="GR32" s="1024">
        <f t="shared" si="87"/>
        <v>23722.706761007681</v>
      </c>
      <c r="GS32" s="1024">
        <f t="shared" si="88"/>
        <v>27502.474875597669</v>
      </c>
      <c r="GT32" s="1024">
        <f t="shared" si="89"/>
        <v>35527.03710048685</v>
      </c>
      <c r="GU32" s="1024">
        <f t="shared" si="90"/>
        <v>60587.988053181267</v>
      </c>
      <c r="GV32" s="945"/>
      <c r="GW32" s="1024">
        <f t="shared" si="91"/>
        <v>3496930.4901833055</v>
      </c>
      <c r="GX32" s="1025">
        <f t="shared" si="92"/>
        <v>0.125</v>
      </c>
      <c r="GY32" s="1024">
        <f t="shared" si="93"/>
        <v>437116.31127291318</v>
      </c>
      <c r="GZ32" s="1024">
        <f t="shared" si="94"/>
        <v>30000</v>
      </c>
      <c r="HA32" s="1024">
        <f t="shared" si="95"/>
        <v>407116.31127291318</v>
      </c>
      <c r="HB32" s="1026">
        <f t="shared" si="96"/>
        <v>25</v>
      </c>
      <c r="HC32" s="1009">
        <f t="shared" si="97"/>
        <v>16284.652450916527</v>
      </c>
      <c r="HD32" s="1027">
        <f t="shared" si="98"/>
        <v>0.875</v>
      </c>
      <c r="HE32" s="1009">
        <f t="shared" si="99"/>
        <v>3059814.1789103923</v>
      </c>
      <c r="HF32" s="1008">
        <f t="shared" si="100"/>
        <v>23722.706761007681</v>
      </c>
      <c r="HG32" s="1008">
        <f t="shared" si="101"/>
        <v>27502.474875597669</v>
      </c>
      <c r="HH32" s="1008">
        <f t="shared" si="102"/>
        <v>35527.03710048685</v>
      </c>
      <c r="HI32" s="1008">
        <f t="shared" si="103"/>
        <v>60587.988053181267</v>
      </c>
      <c r="HJ32" s="945"/>
      <c r="HK32" s="1009">
        <f t="shared" si="104"/>
        <v>-390831.65882199665</v>
      </c>
      <c r="HL32" s="503"/>
      <c r="HM32" s="503"/>
      <c r="HN32" s="503"/>
      <c r="HO32" s="503"/>
      <c r="HP32" s="503"/>
      <c r="HQ32" s="503"/>
      <c r="HR32" s="956">
        <f t="shared" si="105"/>
        <v>0</v>
      </c>
      <c r="HS32" s="503"/>
      <c r="HT32" s="503"/>
      <c r="HU32" s="956"/>
      <c r="HV32" s="503"/>
      <c r="HW32" s="956"/>
      <c r="HX32" s="956"/>
      <c r="HY32" s="503"/>
      <c r="HZ32" s="503"/>
      <c r="IA32" s="503"/>
      <c r="ID32" s="1394"/>
    </row>
    <row r="33" spans="1:238" ht="14.25" hidden="1" customHeight="1">
      <c r="A33" s="1018">
        <f t="shared" si="155"/>
        <v>27</v>
      </c>
      <c r="B33" s="716"/>
      <c r="C33" s="741">
        <f t="shared" si="172"/>
        <v>15</v>
      </c>
      <c r="D33" s="716" t="s">
        <v>256</v>
      </c>
      <c r="E33" s="743" t="str">
        <f t="shared" si="36"/>
        <v>3rd Floor</v>
      </c>
      <c r="F33" s="1048"/>
      <c r="G33" s="745" t="s">
        <v>341</v>
      </c>
      <c r="H33" s="745" t="s">
        <v>342</v>
      </c>
      <c r="I33" s="745" t="s">
        <v>267</v>
      </c>
      <c r="J33" s="1005">
        <v>22</v>
      </c>
      <c r="K33" s="1049"/>
      <c r="L33" s="1006" t="s">
        <v>268</v>
      </c>
      <c r="M33" s="745" t="s">
        <v>79</v>
      </c>
      <c r="N33" s="1050">
        <v>95909.091</v>
      </c>
      <c r="O33" s="934">
        <f t="shared" si="132"/>
        <v>2110000.0019999999</v>
      </c>
      <c r="P33" s="934">
        <f t="shared" si="156"/>
        <v>22400</v>
      </c>
      <c r="Q33" s="934">
        <f t="shared" si="119"/>
        <v>50000</v>
      </c>
      <c r="R33" s="934"/>
      <c r="S33" s="934"/>
      <c r="T33" s="934"/>
      <c r="U33" s="934"/>
      <c r="V33" s="934"/>
      <c r="W33" s="749"/>
      <c r="X33" s="934"/>
      <c r="Y33" s="934"/>
      <c r="Z33" s="934">
        <f t="shared" si="133"/>
        <v>75000</v>
      </c>
      <c r="AA33" s="934"/>
      <c r="AB33" s="934"/>
      <c r="AC33" s="934"/>
      <c r="AD33" s="934"/>
      <c r="AE33" s="934">
        <f t="shared" si="14"/>
        <v>147400</v>
      </c>
      <c r="AF33" s="1005">
        <f t="shared" si="15"/>
        <v>2257400.0019999999</v>
      </c>
      <c r="AG33" s="1005">
        <f t="shared" si="37"/>
        <v>56435.000050000002</v>
      </c>
      <c r="AH33" s="1005">
        <f t="shared" si="38"/>
        <v>2313835.0020499998</v>
      </c>
      <c r="AI33" s="1005">
        <f t="shared" si="39"/>
        <v>57845.875051249997</v>
      </c>
      <c r="AJ33" s="1005">
        <f t="shared" si="40"/>
        <v>2371680.87710125</v>
      </c>
      <c r="AK33" s="1005">
        <f t="shared" si="41"/>
        <v>118584.04385506251</v>
      </c>
      <c r="AL33" s="1005">
        <f t="shared" si="157"/>
        <v>2490264.9209563127</v>
      </c>
      <c r="AM33" s="934">
        <f t="shared" si="43"/>
        <v>24902.649209563126</v>
      </c>
      <c r="AN33" s="934">
        <f t="shared" si="44"/>
        <v>27537.409960060559</v>
      </c>
      <c r="AO33" s="934"/>
      <c r="AP33" s="934">
        <f t="shared" si="134"/>
        <v>109934.5752385239</v>
      </c>
      <c r="AQ33" s="1005">
        <f t="shared" si="45"/>
        <v>2652639.5553644602</v>
      </c>
      <c r="AR33" s="1005">
        <f t="shared" si="46"/>
        <v>119368.7799914007</v>
      </c>
      <c r="AS33" s="1147">
        <f t="shared" si="47"/>
        <v>2772008.3353558611</v>
      </c>
      <c r="AT33" s="1148">
        <f t="shared" si="135"/>
        <v>2000000</v>
      </c>
      <c r="AU33" s="1148">
        <f t="shared" si="16"/>
        <v>35091.287970720958</v>
      </c>
      <c r="AV33" s="1148">
        <f t="shared" si="136"/>
        <v>772008.33535586111</v>
      </c>
      <c r="AW33" s="1148">
        <f t="shared" si="17"/>
        <v>92641.000242703332</v>
      </c>
      <c r="AX33" s="1148">
        <f t="shared" si="18"/>
        <v>864649.33559856447</v>
      </c>
      <c r="AY33" s="1147">
        <f t="shared" si="48"/>
        <v>2864649.3355985642</v>
      </c>
      <c r="AZ33" s="934">
        <f t="shared" si="49"/>
        <v>35808.116694982054</v>
      </c>
      <c r="BA33" s="716" t="s">
        <v>269</v>
      </c>
      <c r="BB33" s="716">
        <f t="shared" si="19"/>
        <v>2900457.4522935464</v>
      </c>
      <c r="BC33" s="716" t="s">
        <v>269</v>
      </c>
      <c r="BD33" s="716">
        <f t="shared" si="50"/>
        <v>108767.15446100799</v>
      </c>
      <c r="BE33" s="716">
        <f t="shared" si="51"/>
        <v>33600</v>
      </c>
      <c r="BF33" s="716">
        <f t="shared" si="52"/>
        <v>3042824.6067545544</v>
      </c>
      <c r="BG33" s="716"/>
      <c r="BH33" s="716">
        <f t="shared" si="53"/>
        <v>3042824.6067545544</v>
      </c>
      <c r="BI33" s="716"/>
      <c r="BJ33" s="716">
        <f t="shared" si="54"/>
        <v>3042824.6067545544</v>
      </c>
      <c r="BK33" s="716"/>
      <c r="BL33" s="716">
        <f t="shared" si="55"/>
        <v>3042824.6067545544</v>
      </c>
      <c r="BM33" s="716"/>
      <c r="BN33" s="716">
        <f t="shared" si="20"/>
        <v>3042824.6067545544</v>
      </c>
      <c r="BO33" s="716"/>
      <c r="BP33" s="716">
        <f t="shared" si="56"/>
        <v>3042824.6067545544</v>
      </c>
      <c r="BQ33" s="716"/>
      <c r="BR33" s="716">
        <f t="shared" si="57"/>
        <v>3042824.6067545544</v>
      </c>
      <c r="BS33" s="716"/>
      <c r="BT33" s="716">
        <f t="shared" si="58"/>
        <v>3042824.6067545544</v>
      </c>
      <c r="BU33" s="716"/>
      <c r="BV33" s="716">
        <f t="shared" si="21"/>
        <v>3042824.6067545544</v>
      </c>
      <c r="BW33" s="716"/>
      <c r="BX33" s="716">
        <f t="shared" si="167"/>
        <v>31400</v>
      </c>
      <c r="BY33" s="716">
        <f t="shared" si="60"/>
        <v>3074224.6067545544</v>
      </c>
      <c r="BZ33" s="716"/>
      <c r="CA33" s="716">
        <f t="shared" si="61"/>
        <v>3074224.6067545544</v>
      </c>
      <c r="CB33" s="1135">
        <f t="shared" si="121"/>
        <v>3074224.6067545544</v>
      </c>
      <c r="CC33" s="1164">
        <f t="shared" si="109"/>
        <v>3074224.6067545544</v>
      </c>
      <c r="CD33" s="1164"/>
      <c r="CE33" s="1164">
        <f t="shared" si="63"/>
        <v>0</v>
      </c>
      <c r="CF33" s="1164">
        <f t="shared" si="115"/>
        <v>0</v>
      </c>
      <c r="CG33" s="1164">
        <f t="shared" si="116"/>
        <v>0</v>
      </c>
      <c r="CH33" s="1154">
        <f t="shared" si="158"/>
        <v>3074224.6067545544</v>
      </c>
      <c r="CI33" s="935">
        <f t="shared" si="137"/>
        <v>3074224.6067545544</v>
      </c>
      <c r="CJ33" s="935">
        <f t="shared" si="64"/>
        <v>0</v>
      </c>
      <c r="CK33" s="935">
        <f t="shared" si="65"/>
        <v>315108.0221923418</v>
      </c>
      <c r="CL33" s="935">
        <f t="shared" si="66"/>
        <v>107597.86123640942</v>
      </c>
      <c r="CM33" s="1006">
        <f t="shared" si="138"/>
        <v>3496930.4901833055</v>
      </c>
      <c r="CN33" s="1007">
        <f t="shared" si="139"/>
        <v>0.125</v>
      </c>
      <c r="CO33" s="935">
        <f t="shared" si="24"/>
        <v>437116.31127291318</v>
      </c>
      <c r="CP33" s="935">
        <f t="shared" si="170"/>
        <v>30000</v>
      </c>
      <c r="CQ33" s="935">
        <f t="shared" si="25"/>
        <v>407116.31127291318</v>
      </c>
      <c r="CR33" s="745">
        <f t="shared" si="141"/>
        <v>1</v>
      </c>
      <c r="CS33" s="935">
        <f t="shared" si="26"/>
        <v>407116.31127291318</v>
      </c>
      <c r="CT33" s="1007">
        <f t="shared" si="68"/>
        <v>0.875</v>
      </c>
      <c r="CU33" s="935">
        <f t="shared" si="69"/>
        <v>3059814.1789103923</v>
      </c>
      <c r="CV33" s="1008">
        <f t="shared" si="110"/>
        <v>23722.706761007681</v>
      </c>
      <c r="CW33" s="1008">
        <f t="shared" si="70"/>
        <v>27502.474875597669</v>
      </c>
      <c r="CX33" s="1008">
        <f t="shared" si="71"/>
        <v>35527.03710048685</v>
      </c>
      <c r="CY33" s="1008">
        <f t="shared" si="72"/>
        <v>60587.988053181267</v>
      </c>
      <c r="CZ33" s="1119">
        <f t="shared" si="122"/>
        <v>248558.43141597047</v>
      </c>
      <c r="DA33" s="1119">
        <f t="shared" si="123"/>
        <v>98353.36051366452</v>
      </c>
      <c r="DB33" s="1119">
        <f t="shared" si="124"/>
        <v>71039.239301235197</v>
      </c>
      <c r="DC33" s="1119">
        <f t="shared" si="125"/>
        <v>54064.131585904252</v>
      </c>
      <c r="DD33" s="1028">
        <f t="shared" si="126"/>
        <v>0.38600416767793055</v>
      </c>
      <c r="DE33" s="1028">
        <f t="shared" si="142"/>
        <v>0</v>
      </c>
      <c r="DF33" s="1009" t="s">
        <v>270</v>
      </c>
      <c r="DG33" s="1009" t="s">
        <v>271</v>
      </c>
      <c r="DH33" s="966">
        <f t="shared" si="111"/>
        <v>45658</v>
      </c>
      <c r="DI33" s="912">
        <f t="shared" si="73"/>
        <v>14</v>
      </c>
      <c r="DK33" s="913">
        <f t="shared" si="74"/>
        <v>45723</v>
      </c>
      <c r="DL33" s="912">
        <f t="shared" si="75"/>
        <v>16</v>
      </c>
      <c r="DM33" s="750" t="s">
        <v>272</v>
      </c>
      <c r="DN33" s="750" t="s">
        <v>273</v>
      </c>
      <c r="DO33" s="751">
        <f t="shared" si="31"/>
        <v>39302.242527207476</v>
      </c>
      <c r="DP33" s="751">
        <f t="shared" si="32"/>
        <v>864649.33559856447</v>
      </c>
      <c r="DQ33" s="752">
        <f t="shared" si="127"/>
        <v>0.43232466779928225</v>
      </c>
      <c r="DS33" s="751">
        <f t="shared" si="128"/>
        <v>3074224.6067545544</v>
      </c>
      <c r="DT33" s="751">
        <f>'[4]INTERNAL PRICELIST'!N27</f>
        <v>2061900</v>
      </c>
      <c r="DU33" s="751">
        <f t="shared" si="33"/>
        <v>1012324.6067545544</v>
      </c>
      <c r="DW33" s="951">
        <f t="shared" si="129"/>
        <v>139737.48212520703</v>
      </c>
      <c r="DZ33" s="1010" t="s">
        <v>341</v>
      </c>
      <c r="EA33" s="1011" t="b">
        <f t="shared" si="35"/>
        <v>1</v>
      </c>
      <c r="EB33" s="1011"/>
      <c r="EC33" s="1011"/>
      <c r="EE33" s="1029"/>
      <c r="EJ33" s="1069">
        <f>EL11</f>
        <v>0</v>
      </c>
      <c r="EK33" s="1060">
        <f t="shared" si="183"/>
        <v>0</v>
      </c>
      <c r="EL33" s="1060"/>
      <c r="EM33" s="1060"/>
      <c r="EN33" s="1060"/>
      <c r="EO33" s="1062"/>
      <c r="ER33" s="1017" t="s">
        <v>264</v>
      </c>
      <c r="ES33" s="1391" t="s">
        <v>264</v>
      </c>
      <c r="ET33" s="1018" t="b">
        <f t="shared" si="76"/>
        <v>1</v>
      </c>
      <c r="EX33" s="1019">
        <v>2874106.5421836311</v>
      </c>
      <c r="EY33" s="1019">
        <f t="shared" si="143"/>
        <v>431115.98132754466</v>
      </c>
      <c r="EZ33" s="1019">
        <f t="shared" si="144"/>
        <v>2442990.5608560862</v>
      </c>
      <c r="FA33" s="1019">
        <f t="shared" si="145"/>
        <v>287410.65421836311</v>
      </c>
      <c r="FB33" s="1019">
        <f t="shared" si="146"/>
        <v>2586695.887965268</v>
      </c>
      <c r="FC33" s="1019">
        <f t="shared" si="147"/>
        <v>143705.32710918179</v>
      </c>
      <c r="FD33" s="1020"/>
      <c r="FE33" s="1021"/>
      <c r="FF33" s="1022">
        <f t="shared" si="148"/>
        <v>2442990.5608560862</v>
      </c>
      <c r="FG33" s="1022">
        <f t="shared" si="149"/>
        <v>207654.19767276733</v>
      </c>
      <c r="FH33" s="1022">
        <f t="shared" si="161"/>
        <v>103827.09883638367</v>
      </c>
      <c r="FI33" s="1023">
        <f t="shared" si="150"/>
        <v>2586695.887965268</v>
      </c>
      <c r="FJ33" s="1023">
        <f t="shared" si="151"/>
        <v>219869.15047704781</v>
      </c>
      <c r="FK33" s="1023">
        <f t="shared" si="152"/>
        <v>109934.5752385239</v>
      </c>
      <c r="FL33" s="1019">
        <f t="shared" si="162"/>
        <v>12214.952804280474</v>
      </c>
      <c r="FM33" s="1019">
        <f t="shared" si="163"/>
        <v>6107.476402140237</v>
      </c>
      <c r="FN33" s="1019" t="str">
        <f t="shared" si="153"/>
        <v>VS</v>
      </c>
      <c r="FO33" s="1019">
        <f t="shared" si="159"/>
        <v>27537.409960060559</v>
      </c>
      <c r="FP33" s="1019">
        <f t="shared" si="164"/>
        <v>-21429.933557920322</v>
      </c>
      <c r="FQ33" s="1021"/>
      <c r="FR33" s="1021"/>
      <c r="FS33" s="1020"/>
      <c r="FT33" s="503"/>
      <c r="FU33" s="956"/>
      <c r="FV33" s="503"/>
      <c r="FX33" s="1040"/>
      <c r="GA33" s="1011">
        <f t="shared" ref="GA33:GA34" si="185">GA32-1</f>
        <v>3</v>
      </c>
      <c r="GB33" s="1036">
        <f t="shared" ref="GB33:GB34" si="186">EDATE(GC33,GA33)</f>
        <v>45870</v>
      </c>
      <c r="GC33" s="1037">
        <v>45778</v>
      </c>
      <c r="GE33" s="1011" t="s">
        <v>343</v>
      </c>
      <c r="GF33" s="1185"/>
      <c r="GG33" s="956"/>
      <c r="GI33" s="1024">
        <f t="shared" si="78"/>
        <v>3496930.4901833055</v>
      </c>
      <c r="GJ33" s="1025">
        <f t="shared" si="79"/>
        <v>0.125</v>
      </c>
      <c r="GK33" s="1024">
        <f t="shared" si="80"/>
        <v>437116.31127291318</v>
      </c>
      <c r="GL33" s="1024">
        <f t="shared" si="81"/>
        <v>30000</v>
      </c>
      <c r="GM33" s="1024">
        <f t="shared" si="82"/>
        <v>407116.31127291318</v>
      </c>
      <c r="GN33" s="1024">
        <f t="shared" si="83"/>
        <v>1</v>
      </c>
      <c r="GO33" s="1024">
        <f t="shared" si="84"/>
        <v>407116.31127291318</v>
      </c>
      <c r="GP33" s="1025">
        <f t="shared" si="85"/>
        <v>0.875</v>
      </c>
      <c r="GQ33" s="1024">
        <f t="shared" si="86"/>
        <v>3059814.1789103923</v>
      </c>
      <c r="GR33" s="1024">
        <f t="shared" si="87"/>
        <v>23722.706761007681</v>
      </c>
      <c r="GS33" s="1024">
        <f t="shared" si="88"/>
        <v>27502.474875597669</v>
      </c>
      <c r="GT33" s="1024">
        <f t="shared" si="89"/>
        <v>35527.03710048685</v>
      </c>
      <c r="GU33" s="1024">
        <f t="shared" si="90"/>
        <v>60587.988053181267</v>
      </c>
      <c r="GW33" s="1024">
        <f t="shared" si="91"/>
        <v>3496930.4901833055</v>
      </c>
      <c r="GX33" s="1025">
        <f t="shared" si="92"/>
        <v>0.125</v>
      </c>
      <c r="GY33" s="1024">
        <f t="shared" si="93"/>
        <v>437116.31127291318</v>
      </c>
      <c r="GZ33" s="1024">
        <f t="shared" si="94"/>
        <v>30000</v>
      </c>
      <c r="HA33" s="1024">
        <f t="shared" si="95"/>
        <v>407116.31127291318</v>
      </c>
      <c r="HB33" s="1026">
        <f t="shared" si="96"/>
        <v>25</v>
      </c>
      <c r="HC33" s="1009">
        <f t="shared" si="97"/>
        <v>16284.652450916527</v>
      </c>
      <c r="HD33" s="1027">
        <f t="shared" si="98"/>
        <v>0.875</v>
      </c>
      <c r="HE33" s="1009">
        <f t="shared" si="99"/>
        <v>3059814.1789103923</v>
      </c>
      <c r="HF33" s="1008">
        <f t="shared" si="100"/>
        <v>23722.706761007681</v>
      </c>
      <c r="HG33" s="1008">
        <f t="shared" si="101"/>
        <v>27502.474875597669</v>
      </c>
      <c r="HH33" s="1008">
        <f t="shared" si="102"/>
        <v>35527.03710048685</v>
      </c>
      <c r="HI33" s="1008">
        <f t="shared" si="103"/>
        <v>60587.988053181267</v>
      </c>
      <c r="HK33" s="1009">
        <f t="shared" si="104"/>
        <v>-390831.65882199665</v>
      </c>
      <c r="HR33" s="956">
        <f t="shared" si="105"/>
        <v>0</v>
      </c>
      <c r="HU33" s="956"/>
      <c r="HW33" s="956"/>
      <c r="HX33" s="956"/>
    </row>
    <row r="34" spans="1:238" s="1051" customFormat="1" ht="14.25" hidden="1" customHeight="1">
      <c r="A34" s="1018">
        <f t="shared" si="155"/>
        <v>28</v>
      </c>
      <c r="B34" s="716" t="s">
        <v>264</v>
      </c>
      <c r="C34" s="741">
        <f t="shared" si="172"/>
        <v>16</v>
      </c>
      <c r="D34" s="716" t="s">
        <v>256</v>
      </c>
      <c r="E34" s="743" t="str">
        <f t="shared" si="36"/>
        <v>3rd Floor</v>
      </c>
      <c r="F34" s="1048"/>
      <c r="G34" s="745" t="s">
        <v>344</v>
      </c>
      <c r="H34" s="745" t="s">
        <v>345</v>
      </c>
      <c r="I34" s="745" t="s">
        <v>267</v>
      </c>
      <c r="J34" s="1005">
        <v>22</v>
      </c>
      <c r="K34" s="1049"/>
      <c r="L34" s="1006" t="s">
        <v>268</v>
      </c>
      <c r="M34" s="745" t="s">
        <v>79</v>
      </c>
      <c r="N34" s="1050">
        <v>95909.091</v>
      </c>
      <c r="O34" s="934">
        <f t="shared" si="132"/>
        <v>2110000.0019999999</v>
      </c>
      <c r="P34" s="934">
        <f t="shared" si="156"/>
        <v>22400</v>
      </c>
      <c r="Q34" s="934">
        <f t="shared" si="119"/>
        <v>50000</v>
      </c>
      <c r="R34" s="934"/>
      <c r="S34" s="934"/>
      <c r="T34" s="934"/>
      <c r="U34" s="934"/>
      <c r="V34" s="934"/>
      <c r="W34" s="749"/>
      <c r="X34" s="934"/>
      <c r="Y34" s="934"/>
      <c r="Z34" s="934">
        <f t="shared" si="133"/>
        <v>75000</v>
      </c>
      <c r="AA34" s="934"/>
      <c r="AB34" s="934"/>
      <c r="AC34" s="934"/>
      <c r="AD34" s="934"/>
      <c r="AE34" s="934">
        <f t="shared" si="14"/>
        <v>147400</v>
      </c>
      <c r="AF34" s="1005">
        <f t="shared" si="15"/>
        <v>2257400.0019999999</v>
      </c>
      <c r="AG34" s="1005">
        <f t="shared" si="37"/>
        <v>56435.000050000002</v>
      </c>
      <c r="AH34" s="1005">
        <f t="shared" si="38"/>
        <v>2313835.0020499998</v>
      </c>
      <c r="AI34" s="1005">
        <f t="shared" si="39"/>
        <v>57845.875051249997</v>
      </c>
      <c r="AJ34" s="1005">
        <f t="shared" si="40"/>
        <v>2371680.87710125</v>
      </c>
      <c r="AK34" s="1005">
        <f t="shared" si="41"/>
        <v>118584.04385506251</v>
      </c>
      <c r="AL34" s="1005">
        <f t="shared" si="157"/>
        <v>2490264.9209563127</v>
      </c>
      <c r="AM34" s="934">
        <f t="shared" si="43"/>
        <v>24902.649209563126</v>
      </c>
      <c r="AN34" s="934">
        <f t="shared" si="44"/>
        <v>27537.409960060559</v>
      </c>
      <c r="AO34" s="934"/>
      <c r="AP34" s="934">
        <f t="shared" si="134"/>
        <v>109934.5752385239</v>
      </c>
      <c r="AQ34" s="1005">
        <f t="shared" si="45"/>
        <v>2652639.5553644602</v>
      </c>
      <c r="AR34" s="1005">
        <f t="shared" si="46"/>
        <v>119368.7799914007</v>
      </c>
      <c r="AS34" s="1147">
        <f t="shared" si="47"/>
        <v>2772008.3353558611</v>
      </c>
      <c r="AT34" s="1148">
        <f t="shared" si="135"/>
        <v>2000000</v>
      </c>
      <c r="AU34" s="1148">
        <f t="shared" si="16"/>
        <v>35091.287970720958</v>
      </c>
      <c r="AV34" s="1148">
        <f t="shared" si="136"/>
        <v>772008.33535586111</v>
      </c>
      <c r="AW34" s="1148">
        <f t="shared" si="17"/>
        <v>92641.000242703332</v>
      </c>
      <c r="AX34" s="1148">
        <f t="shared" si="18"/>
        <v>864649.33559856447</v>
      </c>
      <c r="AY34" s="1147">
        <f t="shared" si="48"/>
        <v>2864649.3355985642</v>
      </c>
      <c r="AZ34" s="934">
        <f t="shared" si="49"/>
        <v>35808.116694982054</v>
      </c>
      <c r="BA34" s="716" t="s">
        <v>269</v>
      </c>
      <c r="BB34" s="716">
        <f t="shared" si="19"/>
        <v>2900457.4522935464</v>
      </c>
      <c r="BC34" s="716" t="s">
        <v>269</v>
      </c>
      <c r="BD34" s="716">
        <f t="shared" si="50"/>
        <v>108767.15446100799</v>
      </c>
      <c r="BE34" s="716">
        <f t="shared" si="51"/>
        <v>33600</v>
      </c>
      <c r="BF34" s="716">
        <f t="shared" si="52"/>
        <v>3042824.6067545544</v>
      </c>
      <c r="BG34" s="716"/>
      <c r="BH34" s="716">
        <f t="shared" si="53"/>
        <v>3042824.6067545544</v>
      </c>
      <c r="BI34" s="716"/>
      <c r="BJ34" s="716">
        <f t="shared" si="54"/>
        <v>3042824.6067545544</v>
      </c>
      <c r="BK34" s="716"/>
      <c r="BL34" s="716">
        <f t="shared" si="55"/>
        <v>3042824.6067545544</v>
      </c>
      <c r="BM34" s="716"/>
      <c r="BN34" s="716">
        <f t="shared" si="20"/>
        <v>3042824.6067545544</v>
      </c>
      <c r="BO34" s="716"/>
      <c r="BP34" s="716">
        <f t="shared" si="56"/>
        <v>3042824.6067545544</v>
      </c>
      <c r="BQ34" s="716"/>
      <c r="BR34" s="716">
        <f t="shared" si="57"/>
        <v>3042824.6067545544</v>
      </c>
      <c r="BS34" s="716"/>
      <c r="BT34" s="716">
        <f t="shared" si="58"/>
        <v>3042824.6067545544</v>
      </c>
      <c r="BU34" s="716"/>
      <c r="BV34" s="716">
        <f t="shared" si="21"/>
        <v>3042824.6067545544</v>
      </c>
      <c r="BW34" s="716"/>
      <c r="BX34" s="716">
        <f t="shared" si="167"/>
        <v>31400</v>
      </c>
      <c r="BY34" s="716">
        <f t="shared" si="60"/>
        <v>3074224.6067545544</v>
      </c>
      <c r="BZ34" s="716"/>
      <c r="CA34" s="716">
        <f t="shared" si="61"/>
        <v>3074224.6067545544</v>
      </c>
      <c r="CB34" s="1135">
        <f t="shared" si="121"/>
        <v>3074224.6067545544</v>
      </c>
      <c r="CC34" s="1164">
        <f t="shared" si="109"/>
        <v>3074224.6067545544</v>
      </c>
      <c r="CD34" s="1164"/>
      <c r="CE34" s="1164">
        <f t="shared" si="63"/>
        <v>0</v>
      </c>
      <c r="CF34" s="1164">
        <f t="shared" si="115"/>
        <v>0</v>
      </c>
      <c r="CG34" s="1164">
        <f t="shared" si="116"/>
        <v>0</v>
      </c>
      <c r="CH34" s="1154">
        <f t="shared" si="158"/>
        <v>3074224.6067545544</v>
      </c>
      <c r="CI34" s="935">
        <f t="shared" si="137"/>
        <v>3074224.6067545544</v>
      </c>
      <c r="CJ34" s="935">
        <f t="shared" si="64"/>
        <v>0</v>
      </c>
      <c r="CK34" s="935">
        <f t="shared" si="65"/>
        <v>315108.0221923418</v>
      </c>
      <c r="CL34" s="935">
        <f t="shared" si="66"/>
        <v>107597.86123640942</v>
      </c>
      <c r="CM34" s="1006">
        <f t="shared" si="138"/>
        <v>3496930.4901833055</v>
      </c>
      <c r="CN34" s="1007">
        <f t="shared" si="139"/>
        <v>0.125</v>
      </c>
      <c r="CO34" s="935">
        <f t="shared" si="24"/>
        <v>437116.31127291318</v>
      </c>
      <c r="CP34" s="935">
        <f t="shared" si="170"/>
        <v>30000</v>
      </c>
      <c r="CQ34" s="935">
        <f t="shared" si="25"/>
        <v>407116.31127291318</v>
      </c>
      <c r="CR34" s="745">
        <f t="shared" si="141"/>
        <v>1</v>
      </c>
      <c r="CS34" s="935">
        <f t="shared" si="26"/>
        <v>407116.31127291318</v>
      </c>
      <c r="CT34" s="1007">
        <f t="shared" si="68"/>
        <v>0.875</v>
      </c>
      <c r="CU34" s="935">
        <f t="shared" si="69"/>
        <v>3059814.1789103923</v>
      </c>
      <c r="CV34" s="1008">
        <f t="shared" si="110"/>
        <v>23722.706761007681</v>
      </c>
      <c r="CW34" s="1008">
        <f t="shared" si="70"/>
        <v>27502.474875597669</v>
      </c>
      <c r="CX34" s="1008">
        <f t="shared" si="71"/>
        <v>35527.03710048685</v>
      </c>
      <c r="CY34" s="1008">
        <f t="shared" si="72"/>
        <v>60587.988053181267</v>
      </c>
      <c r="CZ34" s="1119">
        <f t="shared" si="122"/>
        <v>248558.43141597047</v>
      </c>
      <c r="DA34" s="1119">
        <f t="shared" si="123"/>
        <v>98353.36051366452</v>
      </c>
      <c r="DB34" s="1119">
        <f t="shared" si="124"/>
        <v>71039.239301235197</v>
      </c>
      <c r="DC34" s="1119">
        <f t="shared" si="125"/>
        <v>54064.131585904252</v>
      </c>
      <c r="DD34" s="1028">
        <f t="shared" si="126"/>
        <v>0.38600416767793055</v>
      </c>
      <c r="DE34" s="1028">
        <f t="shared" si="142"/>
        <v>0</v>
      </c>
      <c r="DF34" s="1009" t="s">
        <v>270</v>
      </c>
      <c r="DG34" s="1009" t="s">
        <v>271</v>
      </c>
      <c r="DH34" s="966">
        <f t="shared" si="111"/>
        <v>45658</v>
      </c>
      <c r="DI34" s="912">
        <f t="shared" si="73"/>
        <v>14</v>
      </c>
      <c r="DJ34" s="939"/>
      <c r="DK34" s="913">
        <f t="shared" si="74"/>
        <v>45723</v>
      </c>
      <c r="DL34" s="912">
        <f t="shared" si="75"/>
        <v>16</v>
      </c>
      <c r="DM34" s="750" t="s">
        <v>272</v>
      </c>
      <c r="DN34" s="750" t="s">
        <v>273</v>
      </c>
      <c r="DO34" s="751">
        <f t="shared" si="31"/>
        <v>39302.242527207476</v>
      </c>
      <c r="DP34" s="751">
        <f t="shared" si="32"/>
        <v>864649.33559856447</v>
      </c>
      <c r="DQ34" s="752">
        <f t="shared" si="127"/>
        <v>0.43232466779928225</v>
      </c>
      <c r="DR34" s="503"/>
      <c r="DS34" s="751">
        <f t="shared" si="128"/>
        <v>3074224.6067545544</v>
      </c>
      <c r="DT34" s="751">
        <f>'[4]INTERNAL PRICELIST'!N28</f>
        <v>2061900</v>
      </c>
      <c r="DU34" s="751">
        <f t="shared" si="33"/>
        <v>1012324.6067545544</v>
      </c>
      <c r="DV34" s="503"/>
      <c r="DW34" s="951">
        <f t="shared" si="129"/>
        <v>139737.48212520703</v>
      </c>
      <c r="DX34" s="503"/>
      <c r="DZ34" s="1010" t="s">
        <v>344</v>
      </c>
      <c r="EA34" s="1052" t="b">
        <f t="shared" si="35"/>
        <v>1</v>
      </c>
      <c r="EB34" s="1053" t="s">
        <v>346</v>
      </c>
      <c r="EC34" s="1053" t="s">
        <v>312</v>
      </c>
      <c r="ED34" s="503"/>
      <c r="EE34" s="1029"/>
      <c r="EF34" s="503"/>
      <c r="EG34" s="503"/>
      <c r="EH34" s="930"/>
      <c r="EI34" s="930"/>
      <c r="EJ34" s="1069">
        <f>SUM(EJ31:EJ33)</f>
        <v>0</v>
      </c>
      <c r="EK34" s="1060"/>
      <c r="EL34" s="1060"/>
      <c r="EM34" s="1060"/>
      <c r="EN34" s="1060"/>
      <c r="EO34" s="1062"/>
      <c r="EP34" s="503"/>
      <c r="EQ34" s="503"/>
      <c r="ER34" s="1017" t="s">
        <v>264</v>
      </c>
      <c r="ES34" s="1391" t="s">
        <v>264</v>
      </c>
      <c r="ET34" s="1018" t="b">
        <f t="shared" si="76"/>
        <v>1</v>
      </c>
      <c r="EU34" s="940"/>
      <c r="EV34" s="941"/>
      <c r="EW34" s="940"/>
      <c r="EX34" s="1019">
        <v>2874106.5421836311</v>
      </c>
      <c r="EY34" s="1019">
        <f t="shared" si="143"/>
        <v>431115.98132754466</v>
      </c>
      <c r="EZ34" s="1019">
        <f t="shared" si="144"/>
        <v>2442990.5608560862</v>
      </c>
      <c r="FA34" s="1019">
        <f t="shared" si="145"/>
        <v>287410.65421836311</v>
      </c>
      <c r="FB34" s="1019">
        <f t="shared" si="146"/>
        <v>2586695.887965268</v>
      </c>
      <c r="FC34" s="1019">
        <f t="shared" si="147"/>
        <v>143705.32710918179</v>
      </c>
      <c r="FD34" s="1020"/>
      <c r="FE34" s="1021"/>
      <c r="FF34" s="1022">
        <f t="shared" si="148"/>
        <v>2442990.5608560862</v>
      </c>
      <c r="FG34" s="1022">
        <f t="shared" si="149"/>
        <v>207654.19767276733</v>
      </c>
      <c r="FH34" s="1022">
        <f t="shared" si="161"/>
        <v>103827.09883638367</v>
      </c>
      <c r="FI34" s="1023">
        <f t="shared" si="150"/>
        <v>2586695.887965268</v>
      </c>
      <c r="FJ34" s="1023">
        <f t="shared" si="151"/>
        <v>219869.15047704781</v>
      </c>
      <c r="FK34" s="1023">
        <f t="shared" si="152"/>
        <v>109934.5752385239</v>
      </c>
      <c r="FL34" s="1019">
        <f t="shared" si="162"/>
        <v>12214.952804280474</v>
      </c>
      <c r="FM34" s="1019">
        <f t="shared" si="163"/>
        <v>6107.476402140237</v>
      </c>
      <c r="FN34" s="1019" t="str">
        <f t="shared" si="153"/>
        <v>VS</v>
      </c>
      <c r="FO34" s="1019">
        <f t="shared" si="159"/>
        <v>27537.409960060559</v>
      </c>
      <c r="FP34" s="1019">
        <f t="shared" si="164"/>
        <v>-21429.933557920322</v>
      </c>
      <c r="FQ34" s="1021"/>
      <c r="FR34" s="1021"/>
      <c r="FS34" s="1020"/>
      <c r="FT34" s="503"/>
      <c r="FU34" s="956"/>
      <c r="FV34" s="503"/>
      <c r="FW34" s="503"/>
      <c r="FX34" s="1040"/>
      <c r="FY34" s="503"/>
      <c r="FZ34" s="503"/>
      <c r="GA34" s="1011">
        <f t="shared" si="185"/>
        <v>2</v>
      </c>
      <c r="GB34" s="1036">
        <f t="shared" si="186"/>
        <v>45870</v>
      </c>
      <c r="GC34" s="1037">
        <v>45809</v>
      </c>
      <c r="GD34" s="503"/>
      <c r="GE34" s="1011" t="s">
        <v>347</v>
      </c>
      <c r="GF34" s="1185"/>
      <c r="GG34" s="956"/>
      <c r="GH34" s="945"/>
      <c r="GI34" s="1024">
        <f t="shared" si="78"/>
        <v>3496930.4901833055</v>
      </c>
      <c r="GJ34" s="1025">
        <f t="shared" si="79"/>
        <v>0.125</v>
      </c>
      <c r="GK34" s="1024">
        <f t="shared" si="80"/>
        <v>437116.31127291318</v>
      </c>
      <c r="GL34" s="1024">
        <f t="shared" si="81"/>
        <v>30000</v>
      </c>
      <c r="GM34" s="1024">
        <f t="shared" si="82"/>
        <v>407116.31127291318</v>
      </c>
      <c r="GN34" s="1024">
        <f t="shared" si="83"/>
        <v>1</v>
      </c>
      <c r="GO34" s="1024">
        <f t="shared" si="84"/>
        <v>407116.31127291318</v>
      </c>
      <c r="GP34" s="1025">
        <f t="shared" si="85"/>
        <v>0.875</v>
      </c>
      <c r="GQ34" s="1024">
        <f t="shared" si="86"/>
        <v>3059814.1789103923</v>
      </c>
      <c r="GR34" s="1024">
        <f t="shared" si="87"/>
        <v>23722.706761007681</v>
      </c>
      <c r="GS34" s="1024">
        <f t="shared" si="88"/>
        <v>27502.474875597669</v>
      </c>
      <c r="GT34" s="1024">
        <f t="shared" si="89"/>
        <v>35527.03710048685</v>
      </c>
      <c r="GU34" s="1024">
        <f t="shared" si="90"/>
        <v>60587.988053181267</v>
      </c>
      <c r="GV34" s="945"/>
      <c r="GW34" s="1024">
        <f t="shared" si="91"/>
        <v>3496930.4901833055</v>
      </c>
      <c r="GX34" s="1025">
        <f t="shared" si="92"/>
        <v>0.125</v>
      </c>
      <c r="GY34" s="1024">
        <f t="shared" si="93"/>
        <v>437116.31127291318</v>
      </c>
      <c r="GZ34" s="1024">
        <f t="shared" si="94"/>
        <v>30000</v>
      </c>
      <c r="HA34" s="1024">
        <f t="shared" si="95"/>
        <v>407116.31127291318</v>
      </c>
      <c r="HB34" s="1026">
        <f t="shared" si="96"/>
        <v>25</v>
      </c>
      <c r="HC34" s="1009">
        <f t="shared" si="97"/>
        <v>16284.652450916527</v>
      </c>
      <c r="HD34" s="1027">
        <f t="shared" si="98"/>
        <v>0.875</v>
      </c>
      <c r="HE34" s="1009">
        <f t="shared" si="99"/>
        <v>3059814.1789103923</v>
      </c>
      <c r="HF34" s="1008">
        <f t="shared" si="100"/>
        <v>23722.706761007681</v>
      </c>
      <c r="HG34" s="1008">
        <f t="shared" si="101"/>
        <v>27502.474875597669</v>
      </c>
      <c r="HH34" s="1008">
        <f t="shared" si="102"/>
        <v>35527.03710048685</v>
      </c>
      <c r="HI34" s="1008">
        <f t="shared" si="103"/>
        <v>60587.988053181267</v>
      </c>
      <c r="HJ34" s="945"/>
      <c r="HK34" s="1009">
        <f t="shared" si="104"/>
        <v>-390831.65882199665</v>
      </c>
      <c r="HL34" s="503"/>
      <c r="HM34" s="503"/>
      <c r="HN34" s="503"/>
      <c r="HO34" s="503"/>
      <c r="HP34" s="503"/>
      <c r="HQ34" s="503"/>
      <c r="HR34" s="956">
        <f t="shared" si="105"/>
        <v>0</v>
      </c>
      <c r="HS34" s="503"/>
      <c r="HT34" s="503"/>
      <c r="HU34" s="956"/>
      <c r="HV34" s="503"/>
      <c r="HW34" s="956"/>
      <c r="HX34" s="956"/>
      <c r="HY34" s="503"/>
      <c r="HZ34" s="503"/>
      <c r="IA34" s="503"/>
      <c r="ID34" s="1394"/>
    </row>
    <row r="35" spans="1:238" s="1051" customFormat="1" ht="14.25" hidden="1" customHeight="1">
      <c r="A35" s="1018">
        <f t="shared" si="155"/>
        <v>29</v>
      </c>
      <c r="B35" s="716" t="s">
        <v>264</v>
      </c>
      <c r="C35" s="741">
        <f t="shared" si="172"/>
        <v>17</v>
      </c>
      <c r="D35" s="716" t="s">
        <v>256</v>
      </c>
      <c r="E35" s="743" t="str">
        <f t="shared" si="36"/>
        <v>3rd Floor</v>
      </c>
      <c r="F35" s="1048"/>
      <c r="G35" s="745" t="s">
        <v>348</v>
      </c>
      <c r="H35" s="745" t="s">
        <v>349</v>
      </c>
      <c r="I35" s="745" t="s">
        <v>267</v>
      </c>
      <c r="J35" s="1005">
        <v>22</v>
      </c>
      <c r="K35" s="1049"/>
      <c r="L35" s="1006" t="s">
        <v>268</v>
      </c>
      <c r="M35" s="745" t="s">
        <v>79</v>
      </c>
      <c r="N35" s="1050">
        <v>95909.091</v>
      </c>
      <c r="O35" s="934">
        <f t="shared" si="132"/>
        <v>2110000.0019999999</v>
      </c>
      <c r="P35" s="934">
        <f t="shared" si="156"/>
        <v>22400</v>
      </c>
      <c r="Q35" s="934">
        <f t="shared" si="119"/>
        <v>50000</v>
      </c>
      <c r="R35" s="934"/>
      <c r="S35" s="934"/>
      <c r="T35" s="934"/>
      <c r="U35" s="934"/>
      <c r="V35" s="934"/>
      <c r="W35" s="934"/>
      <c r="X35" s="934"/>
      <c r="Y35" s="934"/>
      <c r="Z35" s="934">
        <f t="shared" si="133"/>
        <v>75000</v>
      </c>
      <c r="AA35" s="934"/>
      <c r="AB35" s="934"/>
      <c r="AC35" s="934"/>
      <c r="AD35" s="934"/>
      <c r="AE35" s="934">
        <f t="shared" si="14"/>
        <v>147400</v>
      </c>
      <c r="AF35" s="1005">
        <f t="shared" si="15"/>
        <v>2257400.0019999999</v>
      </c>
      <c r="AG35" s="1005">
        <f t="shared" si="37"/>
        <v>56435.000050000002</v>
      </c>
      <c r="AH35" s="1005">
        <f t="shared" si="38"/>
        <v>2313835.0020499998</v>
      </c>
      <c r="AI35" s="1005">
        <f t="shared" si="39"/>
        <v>57845.875051249997</v>
      </c>
      <c r="AJ35" s="1005">
        <f t="shared" si="40"/>
        <v>2371680.87710125</v>
      </c>
      <c r="AK35" s="1005">
        <f t="shared" si="41"/>
        <v>118584.04385506251</v>
      </c>
      <c r="AL35" s="1005">
        <f t="shared" si="157"/>
        <v>2490264.9209563127</v>
      </c>
      <c r="AM35" s="934">
        <f t="shared" si="43"/>
        <v>24902.649209563126</v>
      </c>
      <c r="AN35" s="934">
        <f t="shared" si="44"/>
        <v>27537.409960060559</v>
      </c>
      <c r="AO35" s="934"/>
      <c r="AP35" s="934">
        <f t="shared" si="134"/>
        <v>109934.5752385239</v>
      </c>
      <c r="AQ35" s="1005">
        <f t="shared" si="45"/>
        <v>2652639.5553644602</v>
      </c>
      <c r="AR35" s="1005">
        <f t="shared" si="46"/>
        <v>119368.7799914007</v>
      </c>
      <c r="AS35" s="1147">
        <f t="shared" si="47"/>
        <v>2772008.3353558611</v>
      </c>
      <c r="AT35" s="1148">
        <f t="shared" si="135"/>
        <v>2000000</v>
      </c>
      <c r="AU35" s="1148">
        <f t="shared" si="16"/>
        <v>35091.287970720958</v>
      </c>
      <c r="AV35" s="1148">
        <f t="shared" si="136"/>
        <v>772008.33535586111</v>
      </c>
      <c r="AW35" s="1148">
        <f t="shared" si="17"/>
        <v>92641.000242703332</v>
      </c>
      <c r="AX35" s="1148">
        <f t="shared" si="18"/>
        <v>864649.33559856447</v>
      </c>
      <c r="AY35" s="1147">
        <f t="shared" si="48"/>
        <v>2864649.3355985642</v>
      </c>
      <c r="AZ35" s="934">
        <f t="shared" si="49"/>
        <v>35808.116694982054</v>
      </c>
      <c r="BA35" s="716" t="s">
        <v>269</v>
      </c>
      <c r="BB35" s="716">
        <f t="shared" si="19"/>
        <v>2900457.4522935464</v>
      </c>
      <c r="BC35" s="716" t="s">
        <v>269</v>
      </c>
      <c r="BD35" s="716">
        <f t="shared" si="50"/>
        <v>108767.15446100799</v>
      </c>
      <c r="BE35" s="716">
        <f t="shared" si="51"/>
        <v>33600</v>
      </c>
      <c r="BF35" s="716">
        <f t="shared" si="52"/>
        <v>3042824.6067545544</v>
      </c>
      <c r="BG35" s="716"/>
      <c r="BH35" s="716">
        <f t="shared" si="53"/>
        <v>3042824.6067545544</v>
      </c>
      <c r="BI35" s="716"/>
      <c r="BJ35" s="716">
        <f t="shared" si="54"/>
        <v>3042824.6067545544</v>
      </c>
      <c r="BK35" s="716"/>
      <c r="BL35" s="716">
        <f t="shared" si="55"/>
        <v>3042824.6067545544</v>
      </c>
      <c r="BM35" s="716"/>
      <c r="BN35" s="716">
        <f t="shared" si="20"/>
        <v>3042824.6067545544</v>
      </c>
      <c r="BO35" s="716"/>
      <c r="BP35" s="716">
        <f t="shared" si="56"/>
        <v>3042824.6067545544</v>
      </c>
      <c r="BQ35" s="716"/>
      <c r="BR35" s="716">
        <f t="shared" si="57"/>
        <v>3042824.6067545544</v>
      </c>
      <c r="BS35" s="716"/>
      <c r="BT35" s="716">
        <f t="shared" si="58"/>
        <v>3042824.6067545544</v>
      </c>
      <c r="BU35" s="716"/>
      <c r="BV35" s="716">
        <f t="shared" si="21"/>
        <v>3042824.6067545544</v>
      </c>
      <c r="BW35" s="716"/>
      <c r="BX35" s="716">
        <f t="shared" si="167"/>
        <v>31400</v>
      </c>
      <c r="BY35" s="716">
        <f t="shared" si="60"/>
        <v>3074224.6067545544</v>
      </c>
      <c r="BZ35" s="716"/>
      <c r="CA35" s="716">
        <f t="shared" si="61"/>
        <v>3074224.6067545544</v>
      </c>
      <c r="CB35" s="1135">
        <f t="shared" si="121"/>
        <v>3074224.6067545544</v>
      </c>
      <c r="CC35" s="1164">
        <f t="shared" si="109"/>
        <v>3074224.6067545544</v>
      </c>
      <c r="CD35" s="1164"/>
      <c r="CE35" s="1164">
        <f t="shared" si="63"/>
        <v>0</v>
      </c>
      <c r="CF35" s="1164">
        <f t="shared" si="115"/>
        <v>0</v>
      </c>
      <c r="CG35" s="1164">
        <f t="shared" si="116"/>
        <v>0</v>
      </c>
      <c r="CH35" s="1154">
        <f t="shared" si="158"/>
        <v>3074224.6067545544</v>
      </c>
      <c r="CI35" s="935">
        <f t="shared" si="137"/>
        <v>3074224.6067545544</v>
      </c>
      <c r="CJ35" s="935">
        <f t="shared" si="64"/>
        <v>0</v>
      </c>
      <c r="CK35" s="935">
        <f t="shared" si="65"/>
        <v>315108.0221923418</v>
      </c>
      <c r="CL35" s="935">
        <f t="shared" si="66"/>
        <v>107597.86123640942</v>
      </c>
      <c r="CM35" s="1006">
        <f t="shared" si="138"/>
        <v>3496930.4901833055</v>
      </c>
      <c r="CN35" s="1007">
        <f t="shared" si="139"/>
        <v>0.125</v>
      </c>
      <c r="CO35" s="935">
        <f t="shared" si="24"/>
        <v>437116.31127291318</v>
      </c>
      <c r="CP35" s="935">
        <f t="shared" si="170"/>
        <v>30000</v>
      </c>
      <c r="CQ35" s="935">
        <f t="shared" si="25"/>
        <v>407116.31127291318</v>
      </c>
      <c r="CR35" s="745">
        <f t="shared" si="141"/>
        <v>1</v>
      </c>
      <c r="CS35" s="935">
        <f t="shared" si="26"/>
        <v>407116.31127291318</v>
      </c>
      <c r="CT35" s="1007">
        <f t="shared" si="68"/>
        <v>0.875</v>
      </c>
      <c r="CU35" s="935">
        <f t="shared" si="69"/>
        <v>3059814.1789103923</v>
      </c>
      <c r="CV35" s="1008">
        <f t="shared" si="110"/>
        <v>23722.706761007681</v>
      </c>
      <c r="CW35" s="1008">
        <f t="shared" si="70"/>
        <v>27502.474875597669</v>
      </c>
      <c r="CX35" s="1008">
        <f t="shared" si="71"/>
        <v>35527.03710048685</v>
      </c>
      <c r="CY35" s="1008">
        <f t="shared" si="72"/>
        <v>60587.988053181267</v>
      </c>
      <c r="CZ35" s="1119">
        <f t="shared" si="122"/>
        <v>248558.43141597047</v>
      </c>
      <c r="DA35" s="1119">
        <f t="shared" si="123"/>
        <v>98353.36051366452</v>
      </c>
      <c r="DB35" s="1119">
        <f t="shared" si="124"/>
        <v>71039.239301235197</v>
      </c>
      <c r="DC35" s="1119">
        <f t="shared" si="125"/>
        <v>54064.131585904252</v>
      </c>
      <c r="DD35" s="1028">
        <f t="shared" si="126"/>
        <v>0.38600416767793055</v>
      </c>
      <c r="DE35" s="1028">
        <f t="shared" si="142"/>
        <v>0</v>
      </c>
      <c r="DF35" s="1009" t="s">
        <v>270</v>
      </c>
      <c r="DG35" s="1009" t="s">
        <v>271</v>
      </c>
      <c r="DH35" s="966">
        <f t="shared" si="111"/>
        <v>45658</v>
      </c>
      <c r="DI35" s="912">
        <f t="shared" si="73"/>
        <v>14</v>
      </c>
      <c r="DJ35" s="939"/>
      <c r="DK35" s="913">
        <f t="shared" si="74"/>
        <v>45723</v>
      </c>
      <c r="DL35" s="912">
        <f t="shared" si="75"/>
        <v>16</v>
      </c>
      <c r="DM35" s="750" t="s">
        <v>272</v>
      </c>
      <c r="DN35" s="750" t="s">
        <v>273</v>
      </c>
      <c r="DO35" s="751">
        <f t="shared" si="31"/>
        <v>39302.242527207476</v>
      </c>
      <c r="DP35" s="751">
        <f t="shared" si="32"/>
        <v>864649.33559856447</v>
      </c>
      <c r="DQ35" s="752">
        <f t="shared" si="127"/>
        <v>0.43232466779928225</v>
      </c>
      <c r="DR35" s="503"/>
      <c r="DS35" s="751">
        <f t="shared" si="128"/>
        <v>3074224.6067545544</v>
      </c>
      <c r="DT35" s="751">
        <f>'[4]INTERNAL PRICELIST'!N29</f>
        <v>2061900</v>
      </c>
      <c r="DU35" s="751">
        <f t="shared" si="33"/>
        <v>1012324.6067545544</v>
      </c>
      <c r="DV35" s="503"/>
      <c r="DW35" s="951">
        <f t="shared" si="129"/>
        <v>139737.48212520703</v>
      </c>
      <c r="DX35" s="503"/>
      <c r="DZ35" s="1010" t="s">
        <v>348</v>
      </c>
      <c r="EA35" s="1052" t="b">
        <f t="shared" si="35"/>
        <v>1</v>
      </c>
      <c r="EB35" s="1053" t="s">
        <v>350</v>
      </c>
      <c r="EC35" s="1053" t="s">
        <v>312</v>
      </c>
      <c r="ED35" s="503"/>
      <c r="EE35" s="1029"/>
      <c r="EF35" s="503"/>
      <c r="EG35" s="503"/>
      <c r="EH35" s="930"/>
      <c r="EI35" s="930"/>
      <c r="EJ35" s="1060"/>
      <c r="EK35" s="1060"/>
      <c r="EL35" s="1060"/>
      <c r="EM35" s="1060"/>
      <c r="EN35" s="1060"/>
      <c r="EO35" s="1062"/>
      <c r="EP35" s="503"/>
      <c r="EQ35" s="503"/>
      <c r="ER35" s="1017" t="s">
        <v>264</v>
      </c>
      <c r="ES35" s="1391" t="s">
        <v>264</v>
      </c>
      <c r="ET35" s="1018" t="b">
        <f t="shared" si="76"/>
        <v>1</v>
      </c>
      <c r="EU35" s="940"/>
      <c r="EV35" s="941"/>
      <c r="EW35" s="940"/>
      <c r="EX35" s="1019">
        <v>2874106.5421836311</v>
      </c>
      <c r="EY35" s="1019">
        <f t="shared" si="143"/>
        <v>431115.98132754466</v>
      </c>
      <c r="EZ35" s="1019">
        <f t="shared" si="144"/>
        <v>2442990.5608560862</v>
      </c>
      <c r="FA35" s="1019">
        <f t="shared" si="145"/>
        <v>287410.65421836311</v>
      </c>
      <c r="FB35" s="1019">
        <f t="shared" si="146"/>
        <v>2586695.887965268</v>
      </c>
      <c r="FC35" s="1019">
        <f t="shared" si="147"/>
        <v>143705.32710918179</v>
      </c>
      <c r="FD35" s="1020"/>
      <c r="FE35" s="1021"/>
      <c r="FF35" s="1022">
        <f t="shared" si="148"/>
        <v>2442990.5608560862</v>
      </c>
      <c r="FG35" s="1022">
        <f t="shared" si="149"/>
        <v>207654.19767276733</v>
      </c>
      <c r="FH35" s="1022">
        <f t="shared" si="161"/>
        <v>103827.09883638367</v>
      </c>
      <c r="FI35" s="1023">
        <f t="shared" si="150"/>
        <v>2586695.887965268</v>
      </c>
      <c r="FJ35" s="1023">
        <f t="shared" si="151"/>
        <v>219869.15047704781</v>
      </c>
      <c r="FK35" s="1023">
        <f t="shared" si="152"/>
        <v>109934.5752385239</v>
      </c>
      <c r="FL35" s="1019">
        <f t="shared" si="162"/>
        <v>12214.952804280474</v>
      </c>
      <c r="FM35" s="1019">
        <f t="shared" si="163"/>
        <v>6107.476402140237</v>
      </c>
      <c r="FN35" s="1019" t="str">
        <f t="shared" si="153"/>
        <v>VS</v>
      </c>
      <c r="FO35" s="1019">
        <f t="shared" si="159"/>
        <v>27537.409960060559</v>
      </c>
      <c r="FP35" s="1019">
        <f t="shared" si="164"/>
        <v>-21429.933557920322</v>
      </c>
      <c r="FQ35" s="1021"/>
      <c r="FR35" s="1021"/>
      <c r="FS35" s="1020"/>
      <c r="FT35" s="503"/>
      <c r="FU35" s="956"/>
      <c r="FV35" s="503"/>
      <c r="FW35" s="503"/>
      <c r="FX35" s="1040"/>
      <c r="FY35" s="503"/>
      <c r="FZ35" s="503"/>
      <c r="GA35" s="1011">
        <f>DATEDIF(GC35,GB35,"m")</f>
        <v>4</v>
      </c>
      <c r="GB35" s="1036">
        <f>DATE(2025,11,20)</f>
        <v>45981</v>
      </c>
      <c r="GC35" s="1037">
        <v>45839</v>
      </c>
      <c r="GD35" s="503"/>
      <c r="GE35" s="1011" t="s">
        <v>351</v>
      </c>
      <c r="GF35" s="1185"/>
      <c r="GG35" s="956"/>
      <c r="GH35" s="945"/>
      <c r="GI35" s="1024">
        <f t="shared" si="78"/>
        <v>3496930.4901833055</v>
      </c>
      <c r="GJ35" s="1025">
        <f t="shared" si="79"/>
        <v>0.125</v>
      </c>
      <c r="GK35" s="1024">
        <f t="shared" si="80"/>
        <v>437116.31127291318</v>
      </c>
      <c r="GL35" s="1024">
        <f t="shared" si="81"/>
        <v>30000</v>
      </c>
      <c r="GM35" s="1024">
        <f t="shared" si="82"/>
        <v>407116.31127291318</v>
      </c>
      <c r="GN35" s="1024">
        <f t="shared" si="83"/>
        <v>1</v>
      </c>
      <c r="GO35" s="1024">
        <f t="shared" si="84"/>
        <v>407116.31127291318</v>
      </c>
      <c r="GP35" s="1025">
        <f t="shared" si="85"/>
        <v>0.875</v>
      </c>
      <c r="GQ35" s="1024">
        <f t="shared" si="86"/>
        <v>3059814.1789103923</v>
      </c>
      <c r="GR35" s="1024">
        <f t="shared" si="87"/>
        <v>23722.706761007681</v>
      </c>
      <c r="GS35" s="1024">
        <f t="shared" si="88"/>
        <v>27502.474875597669</v>
      </c>
      <c r="GT35" s="1024">
        <f t="shared" si="89"/>
        <v>35527.03710048685</v>
      </c>
      <c r="GU35" s="1024">
        <f t="shared" si="90"/>
        <v>60587.988053181267</v>
      </c>
      <c r="GV35" s="945"/>
      <c r="GW35" s="1024">
        <f t="shared" si="91"/>
        <v>3496930.4901833055</v>
      </c>
      <c r="GX35" s="1025">
        <f t="shared" si="92"/>
        <v>0.125</v>
      </c>
      <c r="GY35" s="1024">
        <f t="shared" si="93"/>
        <v>437116.31127291318</v>
      </c>
      <c r="GZ35" s="1024">
        <f t="shared" si="94"/>
        <v>30000</v>
      </c>
      <c r="HA35" s="1024">
        <f t="shared" si="95"/>
        <v>407116.31127291318</v>
      </c>
      <c r="HB35" s="1026">
        <f t="shared" si="96"/>
        <v>25</v>
      </c>
      <c r="HC35" s="1009">
        <f t="shared" si="97"/>
        <v>16284.652450916527</v>
      </c>
      <c r="HD35" s="1027">
        <f t="shared" si="98"/>
        <v>0.875</v>
      </c>
      <c r="HE35" s="1009">
        <f t="shared" si="99"/>
        <v>3059814.1789103923</v>
      </c>
      <c r="HF35" s="1008">
        <f t="shared" si="100"/>
        <v>23722.706761007681</v>
      </c>
      <c r="HG35" s="1008">
        <f t="shared" si="101"/>
        <v>27502.474875597669</v>
      </c>
      <c r="HH35" s="1008">
        <f t="shared" si="102"/>
        <v>35527.03710048685</v>
      </c>
      <c r="HI35" s="1008">
        <f t="shared" si="103"/>
        <v>60587.988053181267</v>
      </c>
      <c r="HJ35" s="945"/>
      <c r="HK35" s="1009">
        <f t="shared" si="104"/>
        <v>-390831.65882199665</v>
      </c>
      <c r="HL35" s="503"/>
      <c r="HM35" s="503"/>
      <c r="HN35" s="503"/>
      <c r="HO35" s="503"/>
      <c r="HP35" s="503"/>
      <c r="HQ35" s="503"/>
      <c r="HR35" s="956">
        <f t="shared" si="105"/>
        <v>0</v>
      </c>
      <c r="HS35" s="503"/>
      <c r="HT35" s="503"/>
      <c r="HU35" s="956"/>
      <c r="HV35" s="503"/>
      <c r="HW35" s="956"/>
      <c r="HX35" s="956"/>
      <c r="HY35" s="503"/>
      <c r="HZ35" s="503"/>
      <c r="IA35" s="503"/>
      <c r="ID35" s="1394"/>
    </row>
    <row r="36" spans="1:238" ht="14.25" hidden="1" customHeight="1">
      <c r="A36" s="1018">
        <f t="shared" si="155"/>
        <v>30</v>
      </c>
      <c r="B36" s="716"/>
      <c r="C36" s="741">
        <f t="shared" si="172"/>
        <v>18</v>
      </c>
      <c r="D36" s="716" t="s">
        <v>256</v>
      </c>
      <c r="E36" s="743" t="str">
        <f t="shared" si="36"/>
        <v>3rd Floor</v>
      </c>
      <c r="F36" s="1048"/>
      <c r="G36" s="745" t="s">
        <v>352</v>
      </c>
      <c r="H36" s="745" t="s">
        <v>353</v>
      </c>
      <c r="I36" s="745" t="s">
        <v>267</v>
      </c>
      <c r="J36" s="1005">
        <v>22</v>
      </c>
      <c r="K36" s="1049"/>
      <c r="L36" s="1006" t="s">
        <v>268</v>
      </c>
      <c r="M36" s="745" t="s">
        <v>65</v>
      </c>
      <c r="N36" s="1050">
        <v>95909.091</v>
      </c>
      <c r="O36" s="934">
        <f t="shared" si="132"/>
        <v>2110000.0019999999</v>
      </c>
      <c r="P36" s="934">
        <f t="shared" si="156"/>
        <v>22400</v>
      </c>
      <c r="Q36" s="934">
        <f t="shared" si="119"/>
        <v>50000</v>
      </c>
      <c r="R36" s="934"/>
      <c r="S36" s="934"/>
      <c r="T36" s="934"/>
      <c r="U36" s="934"/>
      <c r="V36" s="749">
        <f t="shared" ref="V36:V37" si="187">J36*$V$5</f>
        <v>55000</v>
      </c>
      <c r="W36" s="749"/>
      <c r="X36" s="934"/>
      <c r="Y36" s="934"/>
      <c r="Z36" s="934">
        <f t="shared" si="133"/>
        <v>75000</v>
      </c>
      <c r="AA36" s="934"/>
      <c r="AB36" s="934"/>
      <c r="AC36" s="934"/>
      <c r="AD36" s="934"/>
      <c r="AE36" s="934">
        <f t="shared" si="14"/>
        <v>202400</v>
      </c>
      <c r="AF36" s="1005">
        <f t="shared" si="15"/>
        <v>2312400.0019999999</v>
      </c>
      <c r="AG36" s="1005">
        <f t="shared" si="37"/>
        <v>57810.000050000002</v>
      </c>
      <c r="AH36" s="1005">
        <f t="shared" si="38"/>
        <v>2370210.0020499998</v>
      </c>
      <c r="AI36" s="1005">
        <f t="shared" si="39"/>
        <v>59255.250051249997</v>
      </c>
      <c r="AJ36" s="1005">
        <f t="shared" si="40"/>
        <v>2429465.25210125</v>
      </c>
      <c r="AK36" s="1005">
        <f t="shared" si="41"/>
        <v>121473.26260506251</v>
      </c>
      <c r="AL36" s="1005">
        <f t="shared" si="157"/>
        <v>2550938.5147063127</v>
      </c>
      <c r="AM36" s="934">
        <f t="shared" si="43"/>
        <v>25509.385147063127</v>
      </c>
      <c r="AN36" s="934">
        <f t="shared" si="44"/>
        <v>27537.409960060559</v>
      </c>
      <c r="AO36" s="934"/>
      <c r="AP36" s="934">
        <f t="shared" si="134"/>
        <v>115067.59339020263</v>
      </c>
      <c r="AQ36" s="1005">
        <f t="shared" si="45"/>
        <v>2719052.9032036387</v>
      </c>
      <c r="AR36" s="1005">
        <f t="shared" si="46"/>
        <v>122357.38064416374</v>
      </c>
      <c r="AS36" s="1147">
        <f t="shared" si="47"/>
        <v>2841410.2838478023</v>
      </c>
      <c r="AT36" s="1148">
        <f t="shared" si="135"/>
        <v>2000000</v>
      </c>
      <c r="AU36" s="1148">
        <f t="shared" si="16"/>
        <v>38245.921993081924</v>
      </c>
      <c r="AV36" s="1148">
        <f t="shared" si="136"/>
        <v>841410.28384780232</v>
      </c>
      <c r="AW36" s="1148">
        <f t="shared" si="17"/>
        <v>100969.23406173628</v>
      </c>
      <c r="AX36" s="1148">
        <f t="shared" si="18"/>
        <v>942379.51790953858</v>
      </c>
      <c r="AY36" s="1147">
        <f t="shared" si="48"/>
        <v>2942379.5179095385</v>
      </c>
      <c r="AZ36" s="934">
        <f t="shared" si="49"/>
        <v>36779.743973869234</v>
      </c>
      <c r="BA36" s="716" t="s">
        <v>269</v>
      </c>
      <c r="BB36" s="716">
        <f t="shared" si="19"/>
        <v>2979159.2618834078</v>
      </c>
      <c r="BC36" s="716" t="s">
        <v>269</v>
      </c>
      <c r="BD36" s="716">
        <f t="shared" si="50"/>
        <v>111718.47232062778</v>
      </c>
      <c r="BE36" s="716">
        <f t="shared" si="51"/>
        <v>33600</v>
      </c>
      <c r="BF36" s="716">
        <f t="shared" si="52"/>
        <v>3124477.7342040357</v>
      </c>
      <c r="BG36" s="716"/>
      <c r="BH36" s="716">
        <f t="shared" si="53"/>
        <v>3124477.7342040357</v>
      </c>
      <c r="BI36" s="716"/>
      <c r="BJ36" s="716">
        <f t="shared" si="54"/>
        <v>3124477.7342040357</v>
      </c>
      <c r="BK36" s="716"/>
      <c r="BL36" s="716">
        <f t="shared" si="55"/>
        <v>3124477.7342040357</v>
      </c>
      <c r="BM36" s="716"/>
      <c r="BN36" s="716">
        <f t="shared" si="20"/>
        <v>3124477.7342040357</v>
      </c>
      <c r="BO36" s="716"/>
      <c r="BP36" s="716">
        <f t="shared" si="56"/>
        <v>3124477.7342040357</v>
      </c>
      <c r="BQ36" s="716"/>
      <c r="BR36" s="716">
        <f t="shared" si="57"/>
        <v>3124477.7342040357</v>
      </c>
      <c r="BS36" s="716"/>
      <c r="BT36" s="716">
        <f t="shared" si="58"/>
        <v>3124477.7342040357</v>
      </c>
      <c r="BU36" s="716"/>
      <c r="BV36" s="716">
        <f t="shared" si="21"/>
        <v>3124477.7342040357</v>
      </c>
      <c r="BW36" s="716"/>
      <c r="BX36" s="716">
        <f t="shared" si="167"/>
        <v>31400</v>
      </c>
      <c r="BY36" s="716">
        <f t="shared" si="60"/>
        <v>3155877.7342040357</v>
      </c>
      <c r="BZ36" s="716"/>
      <c r="CA36" s="716">
        <f t="shared" si="61"/>
        <v>3155877.7342040357</v>
      </c>
      <c r="CB36" s="1135">
        <f t="shared" si="121"/>
        <v>3155877.7342040357</v>
      </c>
      <c r="CC36" s="1164">
        <f t="shared" si="109"/>
        <v>3155877.7342040357</v>
      </c>
      <c r="CD36" s="1164"/>
      <c r="CE36" s="1164">
        <f t="shared" si="63"/>
        <v>0</v>
      </c>
      <c r="CF36" s="1164">
        <f t="shared" si="115"/>
        <v>0</v>
      </c>
      <c r="CG36" s="1164">
        <f t="shared" si="116"/>
        <v>0</v>
      </c>
      <c r="CH36" s="1154">
        <f t="shared" si="158"/>
        <v>3155877.7342040357</v>
      </c>
      <c r="CI36" s="935">
        <f t="shared" si="137"/>
        <v>3155877.7342040357</v>
      </c>
      <c r="CJ36" s="935">
        <f t="shared" si="64"/>
        <v>0</v>
      </c>
      <c r="CK36" s="935">
        <f t="shared" si="65"/>
        <v>323477.46775591362</v>
      </c>
      <c r="CL36" s="935">
        <f t="shared" si="66"/>
        <v>110455.72069714127</v>
      </c>
      <c r="CM36" s="1006">
        <f t="shared" si="138"/>
        <v>3589810.9226570907</v>
      </c>
      <c r="CN36" s="1007">
        <f t="shared" si="139"/>
        <v>0.125</v>
      </c>
      <c r="CO36" s="935">
        <f t="shared" si="24"/>
        <v>448726.36533213634</v>
      </c>
      <c r="CP36" s="935">
        <f t="shared" ref="CP36" si="188">$CP$5</f>
        <v>30000</v>
      </c>
      <c r="CQ36" s="935">
        <f t="shared" si="25"/>
        <v>418726.36533213634</v>
      </c>
      <c r="CR36" s="745">
        <f t="shared" si="141"/>
        <v>1</v>
      </c>
      <c r="CS36" s="935">
        <f t="shared" si="26"/>
        <v>418726.36533213634</v>
      </c>
      <c r="CT36" s="1007">
        <f t="shared" si="68"/>
        <v>0.875</v>
      </c>
      <c r="CU36" s="935">
        <f t="shared" si="69"/>
        <v>3141084.5573249543</v>
      </c>
      <c r="CV36" s="1008">
        <f t="shared" si="110"/>
        <v>24352.79513982921</v>
      </c>
      <c r="CW36" s="1008">
        <f t="shared" si="70"/>
        <v>28232.956012616498</v>
      </c>
      <c r="CX36" s="1008">
        <f t="shared" si="71"/>
        <v>36470.655104810539</v>
      </c>
      <c r="CY36" s="1008">
        <f t="shared" si="72"/>
        <v>62197.238951617357</v>
      </c>
      <c r="CZ36" s="1119">
        <f t="shared" si="122"/>
        <v>255160.28257364413</v>
      </c>
      <c r="DA36" s="1119">
        <f t="shared" si="123"/>
        <v>100965.68085729262</v>
      </c>
      <c r="DB36" s="1119">
        <f t="shared" si="124"/>
        <v>72926.081286636385</v>
      </c>
      <c r="DC36" s="1119">
        <f t="shared" si="125"/>
        <v>55500.105202513136</v>
      </c>
      <c r="DD36" s="1028">
        <f t="shared" si="126"/>
        <v>0.42070514192390118</v>
      </c>
      <c r="DE36" s="1028">
        <f t="shared" si="142"/>
        <v>0</v>
      </c>
      <c r="DF36" s="1009" t="s">
        <v>270</v>
      </c>
      <c r="DG36" s="1009" t="s">
        <v>271</v>
      </c>
      <c r="DH36" s="966">
        <f t="shared" si="111"/>
        <v>45658</v>
      </c>
      <c r="DI36" s="912">
        <f t="shared" si="73"/>
        <v>14</v>
      </c>
      <c r="DK36" s="913">
        <f t="shared" si="74"/>
        <v>45723</v>
      </c>
      <c r="DL36" s="912">
        <f t="shared" si="75"/>
        <v>16</v>
      </c>
      <c r="DM36" s="750" t="s">
        <v>272</v>
      </c>
      <c r="DN36" s="750" t="s">
        <v>273</v>
      </c>
      <c r="DO36" s="751">
        <f t="shared" si="31"/>
        <v>42835.432632251752</v>
      </c>
      <c r="DP36" s="751">
        <f t="shared" si="32"/>
        <v>942379.51790953858</v>
      </c>
      <c r="DQ36" s="752">
        <f t="shared" si="127"/>
        <v>0.47118975895476928</v>
      </c>
      <c r="DS36" s="751">
        <f t="shared" si="128"/>
        <v>3155877.7342040357</v>
      </c>
      <c r="DT36" s="751">
        <f>'[4]INTERNAL PRICELIST'!N30</f>
        <v>2061900</v>
      </c>
      <c r="DU36" s="751">
        <f t="shared" si="33"/>
        <v>1093977.7342040357</v>
      </c>
      <c r="DW36" s="951">
        <f t="shared" si="129"/>
        <v>143448.98791836525</v>
      </c>
      <c r="DZ36" s="1010" t="s">
        <v>352</v>
      </c>
      <c r="EA36" s="1011" t="b">
        <f t="shared" si="35"/>
        <v>1</v>
      </c>
      <c r="EB36" s="1011"/>
      <c r="EC36" s="1011"/>
      <c r="EE36" s="1029"/>
      <c r="ER36" s="1017" t="s">
        <v>264</v>
      </c>
      <c r="ES36" s="1391" t="s">
        <v>264</v>
      </c>
      <c r="ET36" s="1018" t="b">
        <f t="shared" si="76"/>
        <v>1</v>
      </c>
      <c r="EX36" s="1019">
        <v>3008303.0951686958</v>
      </c>
      <c r="EY36" s="1019">
        <f t="shared" si="143"/>
        <v>451245.46427530434</v>
      </c>
      <c r="EZ36" s="1019">
        <f t="shared" si="144"/>
        <v>2557057.6308933916</v>
      </c>
      <c r="FA36" s="1019">
        <f t="shared" si="145"/>
        <v>300830.3095168696</v>
      </c>
      <c r="FB36" s="1019">
        <f t="shared" si="146"/>
        <v>2707472.7856518263</v>
      </c>
      <c r="FC36" s="1019">
        <f t="shared" si="147"/>
        <v>150415.15475843474</v>
      </c>
      <c r="FD36" s="1020"/>
      <c r="FE36" s="1021"/>
      <c r="FF36" s="1022">
        <f t="shared" si="148"/>
        <v>2557057.6308933916</v>
      </c>
      <c r="FG36" s="1022">
        <f t="shared" si="149"/>
        <v>217349.89862593831</v>
      </c>
      <c r="FH36" s="1022">
        <f t="shared" si="161"/>
        <v>108674.94931296915</v>
      </c>
      <c r="FI36" s="1023">
        <f t="shared" si="150"/>
        <v>2707472.7856518263</v>
      </c>
      <c r="FJ36" s="1023">
        <f t="shared" si="151"/>
        <v>230135.18678040526</v>
      </c>
      <c r="FK36" s="1023">
        <f t="shared" si="152"/>
        <v>115067.59339020263</v>
      </c>
      <c r="FL36" s="1019">
        <f t="shared" si="162"/>
        <v>12785.288154466951</v>
      </c>
      <c r="FM36" s="1019">
        <f t="shared" si="163"/>
        <v>6392.6440772334754</v>
      </c>
      <c r="FN36" s="1019" t="str">
        <f t="shared" si="153"/>
        <v>VS</v>
      </c>
      <c r="FO36" s="1019">
        <f t="shared" si="159"/>
        <v>27537.409960060559</v>
      </c>
      <c r="FP36" s="1019">
        <f t="shared" si="164"/>
        <v>-21144.765882827083</v>
      </c>
      <c r="FQ36" s="1021"/>
      <c r="FR36" s="1021"/>
      <c r="FS36" s="1020"/>
      <c r="FT36" s="503"/>
      <c r="FU36" s="956"/>
      <c r="FV36" s="503"/>
      <c r="FX36" s="1040"/>
      <c r="GA36" s="1011">
        <f t="shared" ref="GA36" si="189">GA35-1</f>
        <v>3</v>
      </c>
      <c r="GB36" s="1036">
        <f t="shared" ref="GB36" si="190">EDATE(GC36,GA36)</f>
        <v>45962</v>
      </c>
      <c r="GC36" s="1037">
        <v>45870</v>
      </c>
      <c r="GE36" s="1011" t="s">
        <v>354</v>
      </c>
      <c r="GF36" s="1185"/>
      <c r="GG36" s="956"/>
      <c r="GI36" s="1024">
        <f t="shared" si="78"/>
        <v>3589810.9226570907</v>
      </c>
      <c r="GJ36" s="1025">
        <f t="shared" si="79"/>
        <v>0.125</v>
      </c>
      <c r="GK36" s="1024">
        <f t="shared" si="80"/>
        <v>448726.36533213634</v>
      </c>
      <c r="GL36" s="1024">
        <f t="shared" si="81"/>
        <v>30000</v>
      </c>
      <c r="GM36" s="1024">
        <f t="shared" si="82"/>
        <v>418726.36533213634</v>
      </c>
      <c r="GN36" s="1024">
        <f t="shared" si="83"/>
        <v>1</v>
      </c>
      <c r="GO36" s="1024">
        <f t="shared" si="84"/>
        <v>418726.36533213634</v>
      </c>
      <c r="GP36" s="1025">
        <f t="shared" si="85"/>
        <v>0.875</v>
      </c>
      <c r="GQ36" s="1024">
        <f t="shared" si="86"/>
        <v>3141084.5573249543</v>
      </c>
      <c r="GR36" s="1024">
        <f t="shared" si="87"/>
        <v>24352.79513982921</v>
      </c>
      <c r="GS36" s="1024">
        <f t="shared" si="88"/>
        <v>28232.956012616498</v>
      </c>
      <c r="GT36" s="1024">
        <f t="shared" si="89"/>
        <v>36470.655104810539</v>
      </c>
      <c r="GU36" s="1024">
        <f t="shared" si="90"/>
        <v>62197.238951617357</v>
      </c>
      <c r="GW36" s="1024">
        <f t="shared" si="91"/>
        <v>3589810.9226570907</v>
      </c>
      <c r="GX36" s="1025">
        <f t="shared" si="92"/>
        <v>0.125</v>
      </c>
      <c r="GY36" s="1024">
        <f t="shared" si="93"/>
        <v>448726.36533213634</v>
      </c>
      <c r="GZ36" s="1024">
        <f t="shared" si="94"/>
        <v>30000</v>
      </c>
      <c r="HA36" s="1024">
        <f t="shared" si="95"/>
        <v>418726.36533213634</v>
      </c>
      <c r="HB36" s="1026">
        <f t="shared" si="96"/>
        <v>25</v>
      </c>
      <c r="HC36" s="1009">
        <f t="shared" si="97"/>
        <v>16749.054613285454</v>
      </c>
      <c r="HD36" s="1027">
        <f t="shared" si="98"/>
        <v>0.875</v>
      </c>
      <c r="HE36" s="1009">
        <f t="shared" si="99"/>
        <v>3141084.5573249543</v>
      </c>
      <c r="HF36" s="1008">
        <f t="shared" si="100"/>
        <v>24352.79513982921</v>
      </c>
      <c r="HG36" s="1008">
        <f t="shared" si="101"/>
        <v>28232.956012616498</v>
      </c>
      <c r="HH36" s="1008">
        <f t="shared" si="102"/>
        <v>36470.655104810539</v>
      </c>
      <c r="HI36" s="1008">
        <f t="shared" si="103"/>
        <v>62197.238951617357</v>
      </c>
      <c r="HK36" s="1009">
        <f t="shared" si="104"/>
        <v>-401977.31071885087</v>
      </c>
      <c r="HR36" s="956">
        <f t="shared" si="105"/>
        <v>0</v>
      </c>
      <c r="HU36" s="956"/>
      <c r="HW36" s="956"/>
      <c r="HX36" s="956"/>
    </row>
    <row r="37" spans="1:238" s="1051" customFormat="1" ht="14.25" hidden="1" customHeight="1">
      <c r="A37" s="1018">
        <f t="shared" si="155"/>
        <v>31</v>
      </c>
      <c r="B37" s="716" t="s">
        <v>264</v>
      </c>
      <c r="C37" s="741">
        <v>1</v>
      </c>
      <c r="D37" s="716" t="s">
        <v>259</v>
      </c>
      <c r="E37" s="743" t="str">
        <f t="shared" si="36"/>
        <v>4th Floor</v>
      </c>
      <c r="F37" s="1048"/>
      <c r="G37" s="745" t="s">
        <v>355</v>
      </c>
      <c r="H37" s="745" t="s">
        <v>266</v>
      </c>
      <c r="I37" s="745" t="s">
        <v>267</v>
      </c>
      <c r="J37" s="1005">
        <v>22</v>
      </c>
      <c r="K37" s="1049"/>
      <c r="L37" s="1006" t="s">
        <v>73</v>
      </c>
      <c r="M37" s="745" t="s">
        <v>65</v>
      </c>
      <c r="N37" s="1050">
        <v>95909.091</v>
      </c>
      <c r="O37" s="934">
        <f t="shared" si="132"/>
        <v>2110000.0019999999</v>
      </c>
      <c r="P37" s="934">
        <f t="shared" si="156"/>
        <v>22400</v>
      </c>
      <c r="Q37" s="934">
        <f t="shared" si="119"/>
        <v>50000</v>
      </c>
      <c r="R37" s="934"/>
      <c r="S37" s="934"/>
      <c r="T37" s="934"/>
      <c r="U37" s="934"/>
      <c r="V37" s="749">
        <f t="shared" si="187"/>
        <v>55000</v>
      </c>
      <c r="W37" s="749"/>
      <c r="X37" s="934"/>
      <c r="Y37" s="934"/>
      <c r="Z37" s="934">
        <f t="shared" si="133"/>
        <v>75000</v>
      </c>
      <c r="AA37" s="934"/>
      <c r="AB37" s="934"/>
      <c r="AC37" s="934"/>
      <c r="AD37" s="934"/>
      <c r="AE37" s="934">
        <f t="shared" si="14"/>
        <v>202400</v>
      </c>
      <c r="AF37" s="1005">
        <f t="shared" si="15"/>
        <v>2312400.0019999999</v>
      </c>
      <c r="AG37" s="1005">
        <f t="shared" si="37"/>
        <v>57810.000050000002</v>
      </c>
      <c r="AH37" s="1005">
        <f t="shared" si="38"/>
        <v>2370210.0020499998</v>
      </c>
      <c r="AI37" s="1005">
        <f t="shared" si="39"/>
        <v>59255.250051249997</v>
      </c>
      <c r="AJ37" s="1005">
        <f t="shared" si="40"/>
        <v>2429465.25210125</v>
      </c>
      <c r="AK37" s="1005">
        <f t="shared" si="41"/>
        <v>121473.26260506251</v>
      </c>
      <c r="AL37" s="1005">
        <f t="shared" si="157"/>
        <v>2550938.5147063127</v>
      </c>
      <c r="AM37" s="934">
        <f t="shared" si="43"/>
        <v>25509.385147063127</v>
      </c>
      <c r="AN37" s="934">
        <f t="shared" si="44"/>
        <v>27537.409960060559</v>
      </c>
      <c r="AO37" s="934"/>
      <c r="AP37" s="934">
        <f t="shared" si="134"/>
        <v>115067.59339020263</v>
      </c>
      <c r="AQ37" s="1005">
        <f t="shared" si="45"/>
        <v>2719052.9032036387</v>
      </c>
      <c r="AR37" s="1005">
        <f t="shared" si="46"/>
        <v>122357.38064416374</v>
      </c>
      <c r="AS37" s="1147">
        <f t="shared" si="47"/>
        <v>2841410.2838478023</v>
      </c>
      <c r="AT37" s="1148">
        <f t="shared" si="135"/>
        <v>2000000</v>
      </c>
      <c r="AU37" s="1148">
        <f t="shared" si="16"/>
        <v>38245.921993081924</v>
      </c>
      <c r="AV37" s="1148">
        <f t="shared" si="136"/>
        <v>841410.28384780232</v>
      </c>
      <c r="AW37" s="1148">
        <f t="shared" si="17"/>
        <v>100969.23406173628</v>
      </c>
      <c r="AX37" s="1148">
        <f t="shared" si="18"/>
        <v>942379.51790953858</v>
      </c>
      <c r="AY37" s="1147">
        <f t="shared" si="48"/>
        <v>2942379.5179095385</v>
      </c>
      <c r="AZ37" s="934">
        <f t="shared" si="49"/>
        <v>36779.743973869234</v>
      </c>
      <c r="BA37" s="716" t="s">
        <v>269</v>
      </c>
      <c r="BB37" s="716">
        <f t="shared" si="19"/>
        <v>2979159.2618834078</v>
      </c>
      <c r="BC37" s="716" t="s">
        <v>269</v>
      </c>
      <c r="BD37" s="716">
        <f t="shared" si="50"/>
        <v>111718.47232062778</v>
      </c>
      <c r="BE37" s="716">
        <f t="shared" si="51"/>
        <v>33600</v>
      </c>
      <c r="BF37" s="716">
        <f t="shared" si="52"/>
        <v>3124477.7342040357</v>
      </c>
      <c r="BG37" s="716"/>
      <c r="BH37" s="716">
        <f t="shared" si="53"/>
        <v>3124477.7342040357</v>
      </c>
      <c r="BI37" s="716"/>
      <c r="BJ37" s="716">
        <f t="shared" si="54"/>
        <v>3124477.7342040357</v>
      </c>
      <c r="BK37" s="716"/>
      <c r="BL37" s="716">
        <f t="shared" si="55"/>
        <v>3124477.7342040357</v>
      </c>
      <c r="BM37" s="716"/>
      <c r="BN37" s="716">
        <f t="shared" si="20"/>
        <v>3124477.7342040357</v>
      </c>
      <c r="BO37" s="716"/>
      <c r="BP37" s="716">
        <f t="shared" si="56"/>
        <v>3124477.7342040357</v>
      </c>
      <c r="BQ37" s="716"/>
      <c r="BR37" s="716">
        <f t="shared" si="57"/>
        <v>3124477.7342040357</v>
      </c>
      <c r="BS37" s="716"/>
      <c r="BT37" s="716">
        <f t="shared" si="58"/>
        <v>3124477.7342040357</v>
      </c>
      <c r="BU37" s="716"/>
      <c r="BV37" s="716">
        <f t="shared" si="21"/>
        <v>3124477.7342040357</v>
      </c>
      <c r="BW37" s="716"/>
      <c r="BX37" s="716">
        <f t="shared" si="167"/>
        <v>31400</v>
      </c>
      <c r="BY37" s="716">
        <f t="shared" si="60"/>
        <v>3155877.7342040357</v>
      </c>
      <c r="BZ37" s="716"/>
      <c r="CA37" s="716">
        <f t="shared" si="61"/>
        <v>3155877.7342040357</v>
      </c>
      <c r="CB37" s="1135">
        <f t="shared" si="121"/>
        <v>3155877.7342040357</v>
      </c>
      <c r="CC37" s="1164">
        <f t="shared" si="109"/>
        <v>3155877.7342040357</v>
      </c>
      <c r="CD37" s="1164"/>
      <c r="CE37" s="1164">
        <f t="shared" si="63"/>
        <v>0</v>
      </c>
      <c r="CF37" s="1164">
        <f t="shared" si="115"/>
        <v>0</v>
      </c>
      <c r="CG37" s="1164">
        <f t="shared" si="116"/>
        <v>0</v>
      </c>
      <c r="CH37" s="1154">
        <f t="shared" si="158"/>
        <v>3155877.7342040357</v>
      </c>
      <c r="CI37" s="935">
        <f>CH37</f>
        <v>3155877.7342040357</v>
      </c>
      <c r="CJ37" s="935">
        <f t="shared" si="64"/>
        <v>0</v>
      </c>
      <c r="CK37" s="935">
        <f t="shared" si="65"/>
        <v>323477.46775591362</v>
      </c>
      <c r="CL37" s="935">
        <f t="shared" si="66"/>
        <v>110455.72069714127</v>
      </c>
      <c r="CM37" s="1006">
        <f t="shared" si="138"/>
        <v>3589810.9226570907</v>
      </c>
      <c r="CN37" s="1007">
        <f t="shared" si="139"/>
        <v>0.125</v>
      </c>
      <c r="CO37" s="935">
        <f t="shared" si="24"/>
        <v>448726.36533213634</v>
      </c>
      <c r="CP37" s="935">
        <f t="shared" si="170"/>
        <v>30000</v>
      </c>
      <c r="CQ37" s="935">
        <f t="shared" si="25"/>
        <v>418726.36533213634</v>
      </c>
      <c r="CR37" s="745">
        <f t="shared" si="141"/>
        <v>1</v>
      </c>
      <c r="CS37" s="935">
        <f t="shared" si="26"/>
        <v>418726.36533213634</v>
      </c>
      <c r="CT37" s="1007">
        <f t="shared" si="68"/>
        <v>0.875</v>
      </c>
      <c r="CU37" s="935">
        <f t="shared" si="69"/>
        <v>3141084.5573249543</v>
      </c>
      <c r="CV37" s="1008">
        <f t="shared" si="110"/>
        <v>24352.79513982921</v>
      </c>
      <c r="CW37" s="1008">
        <f t="shared" si="70"/>
        <v>28232.956012616498</v>
      </c>
      <c r="CX37" s="1008">
        <f t="shared" si="71"/>
        <v>36470.655104810539</v>
      </c>
      <c r="CY37" s="1008">
        <f t="shared" si="72"/>
        <v>62197.238951617357</v>
      </c>
      <c r="CZ37" s="1119">
        <f t="shared" si="122"/>
        <v>255160.28257364413</v>
      </c>
      <c r="DA37" s="1119">
        <f t="shared" si="123"/>
        <v>100965.68085729262</v>
      </c>
      <c r="DB37" s="1119">
        <f t="shared" si="124"/>
        <v>72926.081286636385</v>
      </c>
      <c r="DC37" s="1119">
        <f t="shared" si="125"/>
        <v>55500.105202513136</v>
      </c>
      <c r="DD37" s="1028">
        <f t="shared" si="126"/>
        <v>0.42070514192390118</v>
      </c>
      <c r="DE37" s="1028">
        <f t="shared" si="142"/>
        <v>0</v>
      </c>
      <c r="DF37" s="1009" t="s">
        <v>270</v>
      </c>
      <c r="DG37" s="1009" t="s">
        <v>271</v>
      </c>
      <c r="DH37" s="966">
        <f t="shared" si="111"/>
        <v>45658</v>
      </c>
      <c r="DI37" s="912">
        <f t="shared" si="73"/>
        <v>14</v>
      </c>
      <c r="DJ37" s="939"/>
      <c r="DK37" s="913">
        <f t="shared" si="74"/>
        <v>45723</v>
      </c>
      <c r="DL37" s="912">
        <f t="shared" si="75"/>
        <v>16</v>
      </c>
      <c r="DM37" s="750" t="s">
        <v>272</v>
      </c>
      <c r="DN37" s="750" t="s">
        <v>273</v>
      </c>
      <c r="DO37" s="751">
        <f t="shared" si="31"/>
        <v>42835.432632251752</v>
      </c>
      <c r="DP37" s="751">
        <f t="shared" si="32"/>
        <v>942379.51790953858</v>
      </c>
      <c r="DQ37" s="752">
        <f t="shared" si="127"/>
        <v>0.47118975895476928</v>
      </c>
      <c r="DR37" s="503"/>
      <c r="DS37" s="751">
        <f t="shared" si="128"/>
        <v>3155877.7342040357</v>
      </c>
      <c r="DT37" s="751">
        <f>'[4]INTERNAL PRICELIST'!N31</f>
        <v>2063804</v>
      </c>
      <c r="DU37" s="751">
        <f t="shared" si="33"/>
        <v>1092073.7342040357</v>
      </c>
      <c r="DV37" s="503"/>
      <c r="DW37" s="951">
        <f t="shared" si="129"/>
        <v>143448.98791836525</v>
      </c>
      <c r="DX37" s="503"/>
      <c r="DZ37" s="1010" t="s">
        <v>355</v>
      </c>
      <c r="EA37" s="1052" t="b">
        <f t="shared" si="35"/>
        <v>1</v>
      </c>
      <c r="EB37" s="1053" t="s">
        <v>356</v>
      </c>
      <c r="EC37" s="1053" t="s">
        <v>357</v>
      </c>
      <c r="ED37" s="503"/>
      <c r="EE37" s="1029"/>
      <c r="EF37" s="503"/>
      <c r="EG37" s="503"/>
      <c r="EH37" s="930"/>
      <c r="EI37" s="930"/>
      <c r="EJ37" s="503"/>
      <c r="EK37" s="503"/>
      <c r="EL37" s="503"/>
      <c r="EM37" s="503"/>
      <c r="EN37" s="503"/>
      <c r="EO37" s="503"/>
      <c r="EP37" s="503"/>
      <c r="EQ37" s="503"/>
      <c r="ER37" s="1017" t="s">
        <v>264</v>
      </c>
      <c r="ES37" s="1391" t="s">
        <v>264</v>
      </c>
      <c r="ET37" s="1018" t="b">
        <f t="shared" si="76"/>
        <v>1</v>
      </c>
      <c r="EU37" s="940"/>
      <c r="EV37" s="941"/>
      <c r="EW37" s="940"/>
      <c r="EX37" s="1019">
        <v>3008303.0951686958</v>
      </c>
      <c r="EY37" s="1019">
        <f t="shared" si="143"/>
        <v>451245.46427530434</v>
      </c>
      <c r="EZ37" s="1019">
        <f t="shared" si="144"/>
        <v>2557057.6308933916</v>
      </c>
      <c r="FA37" s="1019">
        <f t="shared" si="145"/>
        <v>300830.3095168696</v>
      </c>
      <c r="FB37" s="1019">
        <f t="shared" si="146"/>
        <v>2707472.7856518263</v>
      </c>
      <c r="FC37" s="1019">
        <f t="shared" si="147"/>
        <v>150415.15475843474</v>
      </c>
      <c r="FD37" s="1020"/>
      <c r="FE37" s="1021"/>
      <c r="FF37" s="1022">
        <f t="shared" si="148"/>
        <v>2557057.6308933916</v>
      </c>
      <c r="FG37" s="1022">
        <f t="shared" si="149"/>
        <v>217349.89862593831</v>
      </c>
      <c r="FH37" s="1022">
        <f t="shared" si="161"/>
        <v>108674.94931296915</v>
      </c>
      <c r="FI37" s="1023">
        <f t="shared" si="150"/>
        <v>2707472.7856518263</v>
      </c>
      <c r="FJ37" s="1023">
        <f t="shared" si="151"/>
        <v>230135.18678040526</v>
      </c>
      <c r="FK37" s="1023">
        <f t="shared" si="152"/>
        <v>115067.59339020263</v>
      </c>
      <c r="FL37" s="1019">
        <f t="shared" si="162"/>
        <v>12785.288154466951</v>
      </c>
      <c r="FM37" s="1019">
        <f t="shared" si="163"/>
        <v>6392.6440772334754</v>
      </c>
      <c r="FN37" s="1019" t="str">
        <f t="shared" si="153"/>
        <v>VS</v>
      </c>
      <c r="FO37" s="1019">
        <f t="shared" si="159"/>
        <v>27537.409960060559</v>
      </c>
      <c r="FP37" s="1019">
        <f t="shared" si="164"/>
        <v>-21144.765882827083</v>
      </c>
      <c r="FQ37" s="1021"/>
      <c r="FR37" s="1021"/>
      <c r="FS37" s="1020"/>
      <c r="FT37" s="503"/>
      <c r="FU37" s="956"/>
      <c r="FV37" s="503"/>
      <c r="FW37" s="503"/>
      <c r="FX37" s="1040"/>
      <c r="FY37" s="503"/>
      <c r="FZ37" s="503"/>
      <c r="GA37" s="503"/>
      <c r="GB37" s="1059"/>
      <c r="GE37" s="1011" t="s">
        <v>358</v>
      </c>
      <c r="GF37" s="1185"/>
      <c r="GG37" s="956"/>
      <c r="GH37" s="945"/>
      <c r="GI37" s="1024">
        <f t="shared" si="78"/>
        <v>3589810.9226570907</v>
      </c>
      <c r="GJ37" s="1025">
        <f t="shared" si="79"/>
        <v>0.125</v>
      </c>
      <c r="GK37" s="1024">
        <f t="shared" si="80"/>
        <v>448726.36533213634</v>
      </c>
      <c r="GL37" s="1024">
        <f t="shared" si="81"/>
        <v>30000</v>
      </c>
      <c r="GM37" s="1024">
        <f t="shared" si="82"/>
        <v>418726.36533213634</v>
      </c>
      <c r="GN37" s="1024">
        <f t="shared" si="83"/>
        <v>1</v>
      </c>
      <c r="GO37" s="1024">
        <f t="shared" si="84"/>
        <v>418726.36533213634</v>
      </c>
      <c r="GP37" s="1025">
        <f t="shared" si="85"/>
        <v>0.875</v>
      </c>
      <c r="GQ37" s="1024">
        <f t="shared" si="86"/>
        <v>3141084.5573249543</v>
      </c>
      <c r="GR37" s="1024">
        <f t="shared" si="87"/>
        <v>24352.79513982921</v>
      </c>
      <c r="GS37" s="1024">
        <f t="shared" si="88"/>
        <v>28232.956012616498</v>
      </c>
      <c r="GT37" s="1024">
        <f t="shared" si="89"/>
        <v>36470.655104810539</v>
      </c>
      <c r="GU37" s="1024">
        <f t="shared" si="90"/>
        <v>62197.238951617357</v>
      </c>
      <c r="GV37" s="945"/>
      <c r="GW37" s="1024">
        <f t="shared" si="91"/>
        <v>3589810.9226570907</v>
      </c>
      <c r="GX37" s="1025">
        <f t="shared" si="92"/>
        <v>0.125</v>
      </c>
      <c r="GY37" s="1024">
        <f t="shared" si="93"/>
        <v>448726.36533213634</v>
      </c>
      <c r="GZ37" s="1024">
        <f t="shared" si="94"/>
        <v>30000</v>
      </c>
      <c r="HA37" s="1024">
        <f t="shared" si="95"/>
        <v>418726.36533213634</v>
      </c>
      <c r="HB37" s="1026">
        <f t="shared" si="96"/>
        <v>25</v>
      </c>
      <c r="HC37" s="1009">
        <f t="shared" si="97"/>
        <v>16749.054613285454</v>
      </c>
      <c r="HD37" s="1027">
        <f t="shared" si="98"/>
        <v>0.875</v>
      </c>
      <c r="HE37" s="1009">
        <f t="shared" si="99"/>
        <v>3141084.5573249543</v>
      </c>
      <c r="HF37" s="1008">
        <f t="shared" si="100"/>
        <v>24352.79513982921</v>
      </c>
      <c r="HG37" s="1008">
        <f t="shared" si="101"/>
        <v>28232.956012616498</v>
      </c>
      <c r="HH37" s="1008">
        <f t="shared" si="102"/>
        <v>36470.655104810539</v>
      </c>
      <c r="HI37" s="1008">
        <f t="shared" si="103"/>
        <v>62197.238951617357</v>
      </c>
      <c r="HJ37" s="945"/>
      <c r="HK37" s="1009">
        <f t="shared" si="104"/>
        <v>-401977.31071885087</v>
      </c>
      <c r="HL37" s="503"/>
      <c r="HM37" s="503"/>
      <c r="HN37" s="503"/>
      <c r="HO37" s="503"/>
      <c r="HP37" s="503"/>
      <c r="HQ37" s="503"/>
      <c r="HR37" s="956">
        <f t="shared" si="105"/>
        <v>0</v>
      </c>
      <c r="HS37" s="503"/>
      <c r="HT37" s="503"/>
      <c r="HU37" s="956"/>
      <c r="HV37" s="503"/>
      <c r="HW37" s="956"/>
      <c r="HX37" s="956"/>
      <c r="HY37" s="503"/>
      <c r="HZ37" s="503"/>
      <c r="IA37" s="503"/>
      <c r="ID37" s="1394"/>
    </row>
    <row r="38" spans="1:238" s="1051" customFormat="1" ht="14.25" customHeight="1">
      <c r="A38" s="1018">
        <f t="shared" si="155"/>
        <v>32</v>
      </c>
      <c r="B38" s="716" t="s">
        <v>264</v>
      </c>
      <c r="C38" s="741">
        <f>C37+1</f>
        <v>2</v>
      </c>
      <c r="D38" s="716" t="s">
        <v>259</v>
      </c>
      <c r="E38" s="743" t="str">
        <f t="shared" si="36"/>
        <v>4th Floor</v>
      </c>
      <c r="F38" s="1048"/>
      <c r="G38" s="745" t="s">
        <v>359</v>
      </c>
      <c r="H38" s="745" t="s">
        <v>278</v>
      </c>
      <c r="I38" s="745" t="s">
        <v>267</v>
      </c>
      <c r="J38" s="1005">
        <v>22</v>
      </c>
      <c r="K38" s="1049"/>
      <c r="L38" s="1006" t="s">
        <v>73</v>
      </c>
      <c r="M38" s="745" t="s">
        <v>240</v>
      </c>
      <c r="N38" s="1050">
        <v>95909.091</v>
      </c>
      <c r="O38" s="934">
        <f t="shared" si="132"/>
        <v>2110000.0019999999</v>
      </c>
      <c r="P38" s="934">
        <f t="shared" si="156"/>
        <v>22400</v>
      </c>
      <c r="Q38" s="934">
        <f t="shared" si="119"/>
        <v>50000</v>
      </c>
      <c r="R38" s="934"/>
      <c r="S38" s="934"/>
      <c r="T38" s="934"/>
      <c r="U38" s="934"/>
      <c r="V38" s="934"/>
      <c r="W38" s="749">
        <f t="shared" ref="W38:W41" si="191">J38*$W$5</f>
        <v>22000</v>
      </c>
      <c r="X38" s="934"/>
      <c r="Y38" s="934"/>
      <c r="Z38" s="934">
        <f t="shared" si="133"/>
        <v>75000</v>
      </c>
      <c r="AA38" s="934"/>
      <c r="AB38" s="934"/>
      <c r="AC38" s="934"/>
      <c r="AD38" s="934"/>
      <c r="AE38" s="934">
        <f t="shared" si="14"/>
        <v>169400</v>
      </c>
      <c r="AF38" s="1005">
        <f t="shared" si="15"/>
        <v>2279400.0019999999</v>
      </c>
      <c r="AG38" s="1005">
        <f t="shared" si="37"/>
        <v>56985.000050000002</v>
      </c>
      <c r="AH38" s="1005">
        <f t="shared" si="38"/>
        <v>2336385.0020499998</v>
      </c>
      <c r="AI38" s="1005">
        <f t="shared" si="39"/>
        <v>58409.625051249997</v>
      </c>
      <c r="AJ38" s="1005">
        <f t="shared" si="40"/>
        <v>2394794.62710125</v>
      </c>
      <c r="AK38" s="1005">
        <f t="shared" si="41"/>
        <v>119739.73135506251</v>
      </c>
      <c r="AL38" s="1005">
        <f t="shared" si="157"/>
        <v>2514534.3584563127</v>
      </c>
      <c r="AM38" s="934">
        <f t="shared" si="43"/>
        <v>25145.343584563128</v>
      </c>
      <c r="AN38" s="934">
        <f t="shared" si="44"/>
        <v>27537.409960060559</v>
      </c>
      <c r="AO38" s="934"/>
      <c r="AP38" s="934">
        <f t="shared" si="134"/>
        <v>111106.84003559267</v>
      </c>
      <c r="AQ38" s="1005">
        <f t="shared" si="45"/>
        <v>2678323.9520365288</v>
      </c>
      <c r="AR38" s="1005">
        <f t="shared" si="46"/>
        <v>120524.5778416438</v>
      </c>
      <c r="AS38" s="1147">
        <f t="shared" si="47"/>
        <v>2798848.5298781726</v>
      </c>
      <c r="AT38" s="1148">
        <f t="shared" si="135"/>
        <v>2000000</v>
      </c>
      <c r="AU38" s="1148">
        <f t="shared" si="16"/>
        <v>36311.296812644207</v>
      </c>
      <c r="AV38" s="1148">
        <f t="shared" si="136"/>
        <v>798848.52987817256</v>
      </c>
      <c r="AW38" s="1148">
        <f t="shared" si="17"/>
        <v>95861.823585380698</v>
      </c>
      <c r="AX38" s="1148">
        <f t="shared" si="18"/>
        <v>894710.35346355324</v>
      </c>
      <c r="AY38" s="1147">
        <f t="shared" si="48"/>
        <v>2894710.3534635534</v>
      </c>
      <c r="AZ38" s="934">
        <f t="shared" si="49"/>
        <v>36183.879418294418</v>
      </c>
      <c r="BA38" s="716" t="s">
        <v>269</v>
      </c>
      <c r="BB38" s="716">
        <f t="shared" si="19"/>
        <v>2930894.2328818478</v>
      </c>
      <c r="BC38" s="716" t="s">
        <v>269</v>
      </c>
      <c r="BD38" s="716">
        <f t="shared" si="50"/>
        <v>109908.53373306929</v>
      </c>
      <c r="BE38" s="716">
        <f t="shared" si="51"/>
        <v>33600</v>
      </c>
      <c r="BF38" s="716">
        <f t="shared" si="52"/>
        <v>3074402.7666149172</v>
      </c>
      <c r="BG38" s="716"/>
      <c r="BH38" s="716">
        <f t="shared" si="53"/>
        <v>3074402.7666149172</v>
      </c>
      <c r="BI38" s="716"/>
      <c r="BJ38" s="716">
        <f t="shared" si="54"/>
        <v>3074402.7666149172</v>
      </c>
      <c r="BK38" s="716">
        <v>5092.7923200000005</v>
      </c>
      <c r="BL38" s="716">
        <f t="shared" si="55"/>
        <v>3079495.5589349172</v>
      </c>
      <c r="BM38" s="716"/>
      <c r="BN38" s="716">
        <f t="shared" si="20"/>
        <v>3079495.5589349172</v>
      </c>
      <c r="BO38" s="716"/>
      <c r="BP38" s="716">
        <f t="shared" si="56"/>
        <v>3079495.5589349172</v>
      </c>
      <c r="BQ38" s="716"/>
      <c r="BR38" s="716">
        <f t="shared" si="57"/>
        <v>3079495.5589349172</v>
      </c>
      <c r="BS38" s="716"/>
      <c r="BT38" s="716">
        <f t="shared" si="58"/>
        <v>3079495.5589349172</v>
      </c>
      <c r="BU38" s="716">
        <f>$BU$5/24</f>
        <v>546.00000000000011</v>
      </c>
      <c r="BV38" s="716">
        <f t="shared" si="21"/>
        <v>3080041.5589349172</v>
      </c>
      <c r="BW38" s="716"/>
      <c r="BX38" s="716">
        <f t="shared" si="167"/>
        <v>31400</v>
      </c>
      <c r="BY38" s="716">
        <f t="shared" si="60"/>
        <v>3111441.5589349172</v>
      </c>
      <c r="BZ38" s="716">
        <f>$BZ$5/20</f>
        <v>33654.337039807535</v>
      </c>
      <c r="CA38" s="716">
        <f t="shared" si="61"/>
        <v>3145095.8959747246</v>
      </c>
      <c r="CB38" s="1135">
        <f>CA38</f>
        <v>3145095.8959747246</v>
      </c>
      <c r="CC38" s="1164">
        <f t="shared" si="109"/>
        <v>3145095.8959747246</v>
      </c>
      <c r="CD38" s="1164"/>
      <c r="CE38" s="1164">
        <f t="shared" si="63"/>
        <v>0</v>
      </c>
      <c r="CF38" s="1164">
        <f t="shared" si="115"/>
        <v>0</v>
      </c>
      <c r="CG38" s="1164">
        <f t="shared" si="116"/>
        <v>0</v>
      </c>
      <c r="CH38" s="1154">
        <f t="shared" si="158"/>
        <v>3145095.8959747246</v>
      </c>
      <c r="CI38" s="935">
        <f t="shared" si="137"/>
        <v>3145095.8959747246</v>
      </c>
      <c r="CJ38" s="935">
        <f t="shared" si="64"/>
        <v>0</v>
      </c>
      <c r="CK38" s="935">
        <f t="shared" si="65"/>
        <v>322372.32933740923</v>
      </c>
      <c r="CL38" s="935">
        <f t="shared" si="66"/>
        <v>110078.35635911537</v>
      </c>
      <c r="CM38" s="1006">
        <f t="shared" si="138"/>
        <v>3577546.5816712491</v>
      </c>
      <c r="CN38" s="1007">
        <f t="shared" si="139"/>
        <v>0.125</v>
      </c>
      <c r="CO38" s="935">
        <f t="shared" si="24"/>
        <v>447193.32270890614</v>
      </c>
      <c r="CP38" s="935">
        <f t="shared" si="170"/>
        <v>30000</v>
      </c>
      <c r="CQ38" s="935">
        <f t="shared" si="25"/>
        <v>417193.32270890614</v>
      </c>
      <c r="CR38" s="745">
        <v>1</v>
      </c>
      <c r="CS38" s="935">
        <f t="shared" si="26"/>
        <v>417193.32270890614</v>
      </c>
      <c r="CT38" s="1007">
        <f t="shared" si="68"/>
        <v>0.875</v>
      </c>
      <c r="CU38" s="935">
        <f t="shared" si="69"/>
        <v>3130353.258962343</v>
      </c>
      <c r="CV38" s="1008">
        <f t="shared" si="110"/>
        <v>24269.595497845799</v>
      </c>
      <c r="CW38" s="1008">
        <f t="shared" si="70"/>
        <v>28136.500069103826</v>
      </c>
      <c r="CX38" s="1008">
        <f t="shared" si="71"/>
        <v>36346.055631518131</v>
      </c>
      <c r="CY38" s="1008">
        <f t="shared" si="72"/>
        <v>61984.746382143559</v>
      </c>
      <c r="CZ38" s="1119">
        <f t="shared" si="122"/>
        <v>254288.54509806409</v>
      </c>
      <c r="DA38" s="1119">
        <f t="shared" si="123"/>
        <v>100620.73858468265</v>
      </c>
      <c r="DB38" s="1119">
        <f t="shared" si="124"/>
        <v>72676.934368614733</v>
      </c>
      <c r="DC38" s="1119">
        <f t="shared" si="125"/>
        <v>55310.492927766958</v>
      </c>
      <c r="DD38" s="1028">
        <f t="shared" si="126"/>
        <v>0.39942426493908628</v>
      </c>
      <c r="DE38" s="1028">
        <f t="shared" si="142"/>
        <v>0</v>
      </c>
      <c r="DF38" s="1009" t="s">
        <v>270</v>
      </c>
      <c r="DG38" s="1009" t="s">
        <v>271</v>
      </c>
      <c r="DH38" s="966">
        <f t="shared" si="111"/>
        <v>45658</v>
      </c>
      <c r="DI38" s="912">
        <f t="shared" si="73"/>
        <v>14</v>
      </c>
      <c r="DJ38" s="939"/>
      <c r="DK38" s="913">
        <f t="shared" si="74"/>
        <v>45723</v>
      </c>
      <c r="DL38" s="912">
        <f t="shared" si="75"/>
        <v>16</v>
      </c>
      <c r="DM38" s="750" t="s">
        <v>272</v>
      </c>
      <c r="DN38" s="750" t="s">
        <v>273</v>
      </c>
      <c r="DO38" s="751">
        <f t="shared" si="31"/>
        <v>40668.652430161514</v>
      </c>
      <c r="DP38" s="751">
        <f t="shared" si="32"/>
        <v>894710.35346355324</v>
      </c>
      <c r="DQ38" s="752">
        <f t="shared" si="127"/>
        <v>0.4473551767317766</v>
      </c>
      <c r="DR38" s="503"/>
      <c r="DS38" s="751">
        <f t="shared" si="128"/>
        <v>3145095.8959747246</v>
      </c>
      <c r="DT38" s="751">
        <f>'[4]INTERNAL PRICELIST'!N32</f>
        <v>2061900</v>
      </c>
      <c r="DU38" s="751">
        <f t="shared" si="33"/>
        <v>1083195.8959747246</v>
      </c>
      <c r="DV38" s="503"/>
      <c r="DW38" s="951">
        <f t="shared" si="129"/>
        <v>142958.90436248749</v>
      </c>
      <c r="DX38" s="503"/>
      <c r="DZ38" s="1010" t="s">
        <v>359</v>
      </c>
      <c r="EA38" s="1052" t="b">
        <f t="shared" si="35"/>
        <v>1</v>
      </c>
      <c r="EB38" s="1053" t="s">
        <v>360</v>
      </c>
      <c r="EC38" s="1053" t="s">
        <v>357</v>
      </c>
      <c r="ED38" s="503"/>
      <c r="EE38" s="1029"/>
      <c r="EF38" s="503"/>
      <c r="EG38" s="503"/>
      <c r="EH38" s="930"/>
      <c r="EI38" s="930"/>
      <c r="EJ38" s="503"/>
      <c r="EK38" s="503"/>
      <c r="EL38" s="503"/>
      <c r="EM38" s="503"/>
      <c r="EN38" s="503"/>
      <c r="EO38" s="503"/>
      <c r="EP38" s="503"/>
      <c r="EQ38" s="503"/>
      <c r="ER38" s="1017" t="s">
        <v>243</v>
      </c>
      <c r="ES38" s="1391" t="s">
        <v>243</v>
      </c>
      <c r="ET38" s="1018" t="b">
        <f t="shared" si="76"/>
        <v>1</v>
      </c>
      <c r="EU38" s="940"/>
      <c r="EV38" s="941"/>
      <c r="EW38" s="940"/>
      <c r="EX38" s="1019">
        <v>2904753.9878586316</v>
      </c>
      <c r="EY38" s="1019">
        <f t="shared" si="143"/>
        <v>435713.09817879472</v>
      </c>
      <c r="EZ38" s="1019">
        <f t="shared" si="144"/>
        <v>2469040.889679837</v>
      </c>
      <c r="FA38" s="1019">
        <f t="shared" si="145"/>
        <v>290475.39878586319</v>
      </c>
      <c r="FB38" s="1019">
        <f t="shared" si="146"/>
        <v>2614278.5890727686</v>
      </c>
      <c r="FC38" s="1019">
        <f t="shared" si="147"/>
        <v>145237.69939293154</v>
      </c>
      <c r="FD38" s="1020"/>
      <c r="FE38" s="1021"/>
      <c r="FF38" s="1022">
        <f t="shared" si="148"/>
        <v>2469040.889679837</v>
      </c>
      <c r="FG38" s="1022">
        <f t="shared" si="149"/>
        <v>209868.47562278615</v>
      </c>
      <c r="FH38" s="1022">
        <f t="shared" si="161"/>
        <v>104934.23781139308</v>
      </c>
      <c r="FI38" s="1023">
        <f t="shared" si="150"/>
        <v>2614278.5890727686</v>
      </c>
      <c r="FJ38" s="1023">
        <f t="shared" si="151"/>
        <v>222213.68007118534</v>
      </c>
      <c r="FK38" s="1023">
        <f t="shared" si="152"/>
        <v>111106.84003559267</v>
      </c>
      <c r="FL38" s="1019">
        <f t="shared" si="162"/>
        <v>12345.204448399192</v>
      </c>
      <c r="FM38" s="1019">
        <f t="shared" si="163"/>
        <v>6172.6022241995961</v>
      </c>
      <c r="FN38" s="1019" t="str">
        <f t="shared" si="153"/>
        <v>VS</v>
      </c>
      <c r="FO38" s="1019">
        <f t="shared" si="159"/>
        <v>27537.409960060559</v>
      </c>
      <c r="FP38" s="1019">
        <f t="shared" si="164"/>
        <v>-21364.807735860963</v>
      </c>
      <c r="FQ38" s="1021"/>
      <c r="FR38" s="1021"/>
      <c r="FS38" s="1020"/>
      <c r="FT38" s="503"/>
      <c r="FU38" s="956"/>
      <c r="FV38" s="503"/>
      <c r="FW38" s="503"/>
      <c r="FX38" s="1040"/>
      <c r="FY38" s="503"/>
      <c r="FZ38" s="503"/>
      <c r="GA38" s="503"/>
      <c r="GB38" s="1059"/>
      <c r="GE38" s="1011" t="s">
        <v>361</v>
      </c>
      <c r="GF38" s="1185"/>
      <c r="GG38" s="956"/>
      <c r="GH38" s="945"/>
      <c r="GI38" s="1024">
        <f t="shared" si="78"/>
        <v>3577546.5816712491</v>
      </c>
      <c r="GJ38" s="1025">
        <f t="shared" si="79"/>
        <v>0.125</v>
      </c>
      <c r="GK38" s="1024">
        <f t="shared" si="80"/>
        <v>447193.32270890614</v>
      </c>
      <c r="GL38" s="1024">
        <f t="shared" si="81"/>
        <v>30000</v>
      </c>
      <c r="GM38" s="1024">
        <f t="shared" si="82"/>
        <v>417193.32270890614</v>
      </c>
      <c r="GN38" s="1024">
        <f t="shared" si="83"/>
        <v>1</v>
      </c>
      <c r="GO38" s="1024">
        <f t="shared" si="84"/>
        <v>417193.32270890614</v>
      </c>
      <c r="GP38" s="1025">
        <f t="shared" si="85"/>
        <v>0.875</v>
      </c>
      <c r="GQ38" s="1024">
        <f t="shared" si="86"/>
        <v>3130353.258962343</v>
      </c>
      <c r="GR38" s="1024">
        <f t="shared" si="87"/>
        <v>24269.595497845799</v>
      </c>
      <c r="GS38" s="1024">
        <f t="shared" si="88"/>
        <v>28136.500069103826</v>
      </c>
      <c r="GT38" s="1024">
        <f t="shared" si="89"/>
        <v>36346.055631518131</v>
      </c>
      <c r="GU38" s="1024">
        <f t="shared" si="90"/>
        <v>61984.746382143559</v>
      </c>
      <c r="GV38" s="945"/>
      <c r="GW38" s="1024">
        <f t="shared" si="91"/>
        <v>3577546.5816712491</v>
      </c>
      <c r="GX38" s="1025">
        <f t="shared" si="92"/>
        <v>0.125</v>
      </c>
      <c r="GY38" s="1024">
        <f t="shared" si="93"/>
        <v>447193.32270890614</v>
      </c>
      <c r="GZ38" s="1024">
        <f t="shared" si="94"/>
        <v>30000</v>
      </c>
      <c r="HA38" s="1024">
        <f t="shared" si="95"/>
        <v>417193.32270890614</v>
      </c>
      <c r="HB38" s="1026">
        <f t="shared" si="96"/>
        <v>25</v>
      </c>
      <c r="HC38" s="1009">
        <f t="shared" si="97"/>
        <v>16687.732908356247</v>
      </c>
      <c r="HD38" s="1027">
        <f t="shared" si="98"/>
        <v>0.875</v>
      </c>
      <c r="HE38" s="1009">
        <f t="shared" si="99"/>
        <v>3130353.258962343</v>
      </c>
      <c r="HF38" s="1008">
        <f t="shared" si="100"/>
        <v>24269.595497845799</v>
      </c>
      <c r="HG38" s="1008">
        <f t="shared" si="101"/>
        <v>28136.500069103826</v>
      </c>
      <c r="HH38" s="1008">
        <f t="shared" si="102"/>
        <v>36346.055631518131</v>
      </c>
      <c r="HI38" s="1008">
        <f t="shared" si="103"/>
        <v>61984.746382143559</v>
      </c>
      <c r="HJ38" s="945"/>
      <c r="HK38" s="1009">
        <f t="shared" si="104"/>
        <v>-400505.5898005499</v>
      </c>
      <c r="HL38" s="503"/>
      <c r="HM38" s="503"/>
      <c r="HN38" s="503"/>
      <c r="HO38" s="503"/>
      <c r="HP38" s="503"/>
      <c r="HQ38" s="503"/>
      <c r="HR38" s="956">
        <f t="shared" si="105"/>
        <v>0</v>
      </c>
      <c r="HS38" s="503"/>
      <c r="HT38" s="503"/>
      <c r="HU38" s="956"/>
      <c r="HV38" s="503"/>
      <c r="HW38" s="956"/>
      <c r="HX38" s="956"/>
      <c r="HY38" s="503"/>
      <c r="HZ38" s="503"/>
      <c r="IA38" s="503"/>
      <c r="ID38" s="1394"/>
    </row>
    <row r="39" spans="1:238" s="1051" customFormat="1" ht="14.25" hidden="1" customHeight="1">
      <c r="A39" s="1018">
        <f t="shared" si="155"/>
        <v>33</v>
      </c>
      <c r="B39" s="716" t="s">
        <v>264</v>
      </c>
      <c r="C39" s="741">
        <f t="shared" ref="C39:C54" si="192">C38+1</f>
        <v>3</v>
      </c>
      <c r="D39" s="716" t="s">
        <v>259</v>
      </c>
      <c r="E39" s="743" t="str">
        <f t="shared" si="36"/>
        <v>4th Floor</v>
      </c>
      <c r="F39" s="1048"/>
      <c r="G39" s="745" t="s">
        <v>362</v>
      </c>
      <c r="H39" s="745" t="s">
        <v>283</v>
      </c>
      <c r="I39" s="745" t="s">
        <v>267</v>
      </c>
      <c r="J39" s="1005">
        <v>22</v>
      </c>
      <c r="K39" s="1049"/>
      <c r="L39" s="1006" t="s">
        <v>73</v>
      </c>
      <c r="M39" s="745" t="s">
        <v>240</v>
      </c>
      <c r="N39" s="1050">
        <v>95909.091</v>
      </c>
      <c r="O39" s="934">
        <f t="shared" si="132"/>
        <v>2110000.0019999999</v>
      </c>
      <c r="P39" s="934">
        <f t="shared" si="156"/>
        <v>22400</v>
      </c>
      <c r="Q39" s="934">
        <f t="shared" si="119"/>
        <v>50000</v>
      </c>
      <c r="R39" s="934"/>
      <c r="S39" s="934"/>
      <c r="T39" s="934"/>
      <c r="U39" s="934"/>
      <c r="V39" s="934"/>
      <c r="W39" s="749">
        <f t="shared" si="191"/>
        <v>22000</v>
      </c>
      <c r="X39" s="934"/>
      <c r="Y39" s="934"/>
      <c r="Z39" s="934">
        <f t="shared" si="133"/>
        <v>75000</v>
      </c>
      <c r="AA39" s="934"/>
      <c r="AB39" s="934"/>
      <c r="AC39" s="934"/>
      <c r="AD39" s="934"/>
      <c r="AE39" s="934">
        <f t="shared" si="14"/>
        <v>169400</v>
      </c>
      <c r="AF39" s="1005">
        <f t="shared" si="15"/>
        <v>2279400.0019999999</v>
      </c>
      <c r="AG39" s="1005">
        <f t="shared" si="37"/>
        <v>56985.000050000002</v>
      </c>
      <c r="AH39" s="1005">
        <f t="shared" si="38"/>
        <v>2336385.0020499998</v>
      </c>
      <c r="AI39" s="1005">
        <f t="shared" si="39"/>
        <v>58409.625051249997</v>
      </c>
      <c r="AJ39" s="1005">
        <f t="shared" si="40"/>
        <v>2394794.62710125</v>
      </c>
      <c r="AK39" s="1005">
        <f t="shared" si="41"/>
        <v>119739.73135506251</v>
      </c>
      <c r="AL39" s="1005">
        <f t="shared" si="157"/>
        <v>2514534.3584563127</v>
      </c>
      <c r="AM39" s="934">
        <f t="shared" si="43"/>
        <v>25145.343584563128</v>
      </c>
      <c r="AN39" s="934">
        <f t="shared" si="44"/>
        <v>27537.409960060559</v>
      </c>
      <c r="AO39" s="934"/>
      <c r="AP39" s="934">
        <f t="shared" si="134"/>
        <v>111106.84003559267</v>
      </c>
      <c r="AQ39" s="1005">
        <f t="shared" si="45"/>
        <v>2678323.9520365288</v>
      </c>
      <c r="AR39" s="1005">
        <f t="shared" si="46"/>
        <v>120524.5778416438</v>
      </c>
      <c r="AS39" s="1147">
        <f t="shared" si="47"/>
        <v>2798848.5298781726</v>
      </c>
      <c r="AT39" s="1148">
        <f t="shared" si="135"/>
        <v>2000000</v>
      </c>
      <c r="AU39" s="1148">
        <f t="shared" ref="AU39:AU70" si="193">AV39/J39</f>
        <v>36311.296812644207</v>
      </c>
      <c r="AV39" s="1148">
        <f t="shared" si="136"/>
        <v>798848.52987817256</v>
      </c>
      <c r="AW39" s="1148">
        <f t="shared" si="17"/>
        <v>95861.823585380698</v>
      </c>
      <c r="AX39" s="1148">
        <f t="shared" si="18"/>
        <v>894710.35346355324</v>
      </c>
      <c r="AY39" s="1147">
        <f t="shared" si="48"/>
        <v>2894710.3534635534</v>
      </c>
      <c r="AZ39" s="934">
        <f t="shared" si="49"/>
        <v>36183.879418294418</v>
      </c>
      <c r="BA39" s="716" t="s">
        <v>269</v>
      </c>
      <c r="BB39" s="716">
        <f t="shared" ref="BB39:BB70" si="194">SUM(AY39:BA39)</f>
        <v>2930894.2328818478</v>
      </c>
      <c r="BC39" s="716" t="s">
        <v>269</v>
      </c>
      <c r="BD39" s="716">
        <f t="shared" si="50"/>
        <v>109908.53373306929</v>
      </c>
      <c r="BE39" s="716">
        <f t="shared" si="51"/>
        <v>33600</v>
      </c>
      <c r="BF39" s="716">
        <f t="shared" si="52"/>
        <v>3074402.7666149172</v>
      </c>
      <c r="BG39" s="716"/>
      <c r="BH39" s="716">
        <f t="shared" si="53"/>
        <v>3074402.7666149172</v>
      </c>
      <c r="BI39" s="716"/>
      <c r="BJ39" s="716">
        <f t="shared" si="54"/>
        <v>3074402.7666149172</v>
      </c>
      <c r="BK39" s="716"/>
      <c r="BL39" s="716">
        <f t="shared" si="55"/>
        <v>3074402.7666149172</v>
      </c>
      <c r="BM39" s="716"/>
      <c r="BN39" s="716">
        <f t="shared" si="20"/>
        <v>3074402.7666149172</v>
      </c>
      <c r="BO39" s="716"/>
      <c r="BP39" s="716">
        <f t="shared" si="56"/>
        <v>3074402.7666149172</v>
      </c>
      <c r="BQ39" s="716"/>
      <c r="BR39" s="716">
        <f t="shared" si="57"/>
        <v>3074402.7666149172</v>
      </c>
      <c r="BS39" s="716"/>
      <c r="BT39" s="716">
        <f t="shared" si="58"/>
        <v>3074402.7666149172</v>
      </c>
      <c r="BU39" s="716"/>
      <c r="BV39" s="716">
        <f t="shared" si="21"/>
        <v>3074402.7666149172</v>
      </c>
      <c r="BW39" s="716"/>
      <c r="BX39" s="716">
        <f t="shared" si="167"/>
        <v>31400</v>
      </c>
      <c r="BY39" s="716">
        <f t="shared" si="60"/>
        <v>3105802.7666149172</v>
      </c>
      <c r="BZ39" s="716"/>
      <c r="CA39" s="716">
        <f t="shared" si="61"/>
        <v>3105802.7666149172</v>
      </c>
      <c r="CB39" s="1135">
        <f t="shared" si="121"/>
        <v>3105802.7666149172</v>
      </c>
      <c r="CC39" s="1164">
        <f t="shared" si="109"/>
        <v>3105802.7666149172</v>
      </c>
      <c r="CD39" s="1164"/>
      <c r="CE39" s="1164">
        <f t="shared" si="63"/>
        <v>0</v>
      </c>
      <c r="CF39" s="1164">
        <f t="shared" si="115"/>
        <v>0</v>
      </c>
      <c r="CG39" s="1164">
        <f t="shared" si="116"/>
        <v>0</v>
      </c>
      <c r="CH39" s="1154">
        <f t="shared" si="158"/>
        <v>3105802.7666149172</v>
      </c>
      <c r="CI39" s="935">
        <f t="shared" si="137"/>
        <v>3105802.7666149172</v>
      </c>
      <c r="CJ39" s="935">
        <f t="shared" si="64"/>
        <v>0</v>
      </c>
      <c r="CK39" s="935">
        <f t="shared" si="65"/>
        <v>318344.78357802902</v>
      </c>
      <c r="CL39" s="935">
        <f t="shared" si="66"/>
        <v>108703.09683152211</v>
      </c>
      <c r="CM39" s="1006">
        <f t="shared" si="138"/>
        <v>3532850.6470244681</v>
      </c>
      <c r="CN39" s="1007">
        <f t="shared" si="139"/>
        <v>0.125</v>
      </c>
      <c r="CO39" s="935">
        <f t="shared" si="24"/>
        <v>441606.33087805851</v>
      </c>
      <c r="CP39" s="935">
        <f t="shared" si="170"/>
        <v>30000</v>
      </c>
      <c r="CQ39" s="935">
        <f t="shared" si="25"/>
        <v>411606.33087805851</v>
      </c>
      <c r="CR39" s="745">
        <f t="shared" si="141"/>
        <v>1</v>
      </c>
      <c r="CS39" s="935">
        <f t="shared" si="26"/>
        <v>411606.33087805851</v>
      </c>
      <c r="CT39" s="1007">
        <f t="shared" si="68"/>
        <v>0.875</v>
      </c>
      <c r="CU39" s="935">
        <f t="shared" si="69"/>
        <v>3091244.3161464096</v>
      </c>
      <c r="CV39" s="1008">
        <f t="shared" si="110"/>
        <v>23966.384280462073</v>
      </c>
      <c r="CW39" s="1008">
        <f t="shared" si="70"/>
        <v>27784.977834642708</v>
      </c>
      <c r="CX39" s="1008">
        <f t="shared" si="71"/>
        <v>35891.967644097516</v>
      </c>
      <c r="CY39" s="1008">
        <f t="shared" si="72"/>
        <v>61210.342440742083</v>
      </c>
      <c r="CZ39" s="1119">
        <f t="shared" si="122"/>
        <v>251111.60136479235</v>
      </c>
      <c r="DA39" s="1119">
        <f t="shared" si="123"/>
        <v>99363.63742520845</v>
      </c>
      <c r="DB39" s="1119">
        <f t="shared" si="124"/>
        <v>71768.948005694881</v>
      </c>
      <c r="DC39" s="1119">
        <f t="shared" si="125"/>
        <v>54619.473504051763</v>
      </c>
      <c r="DD39" s="1028">
        <f t="shared" si="126"/>
        <v>0.39942426493908628</v>
      </c>
      <c r="DE39" s="1028">
        <f t="shared" si="142"/>
        <v>0</v>
      </c>
      <c r="DF39" s="1009" t="s">
        <v>270</v>
      </c>
      <c r="DG39" s="1009" t="s">
        <v>271</v>
      </c>
      <c r="DH39" s="966">
        <f t="shared" si="111"/>
        <v>45658</v>
      </c>
      <c r="DI39" s="912">
        <f t="shared" si="73"/>
        <v>14</v>
      </c>
      <c r="DJ39" s="939"/>
      <c r="DK39" s="913">
        <f t="shared" si="74"/>
        <v>45723</v>
      </c>
      <c r="DL39" s="912">
        <f t="shared" si="75"/>
        <v>16</v>
      </c>
      <c r="DM39" s="750" t="s">
        <v>272</v>
      </c>
      <c r="DN39" s="750" t="s">
        <v>273</v>
      </c>
      <c r="DO39" s="751">
        <f t="shared" si="31"/>
        <v>40668.652430161514</v>
      </c>
      <c r="DP39" s="751">
        <f t="shared" si="32"/>
        <v>894710.35346355324</v>
      </c>
      <c r="DQ39" s="752">
        <f t="shared" si="127"/>
        <v>0.4473551767317766</v>
      </c>
      <c r="DR39" s="503"/>
      <c r="DS39" s="751">
        <f t="shared" si="128"/>
        <v>3105802.7666149172</v>
      </c>
      <c r="DT39" s="751">
        <f>'[4]INTERNAL PRICELIST'!N33</f>
        <v>2061900</v>
      </c>
      <c r="DU39" s="751">
        <f t="shared" si="33"/>
        <v>1043902.7666149172</v>
      </c>
      <c r="DV39" s="503"/>
      <c r="DW39" s="951">
        <f t="shared" si="129"/>
        <v>141172.85302795077</v>
      </c>
      <c r="DX39" s="503"/>
      <c r="DZ39" s="1010" t="s">
        <v>362</v>
      </c>
      <c r="EA39" s="1052" t="b">
        <f t="shared" si="35"/>
        <v>1</v>
      </c>
      <c r="EB39" s="1053" t="s">
        <v>363</v>
      </c>
      <c r="EC39" s="1053" t="s">
        <v>357</v>
      </c>
      <c r="ED39" s="503"/>
      <c r="EE39" s="1029"/>
      <c r="EF39" s="503"/>
      <c r="EG39" s="503"/>
      <c r="EH39" s="930"/>
      <c r="EI39" s="930"/>
      <c r="EJ39" s="503"/>
      <c r="EK39" s="503"/>
      <c r="EL39" s="503"/>
      <c r="EM39" s="503"/>
      <c r="EN39" s="503"/>
      <c r="EO39" s="503"/>
      <c r="EP39" s="503"/>
      <c r="EQ39" s="503"/>
      <c r="ER39" s="1017" t="s">
        <v>264</v>
      </c>
      <c r="ES39" s="1391" t="s">
        <v>264</v>
      </c>
      <c r="ET39" s="1018" t="b">
        <f t="shared" si="76"/>
        <v>1</v>
      </c>
      <c r="EU39" s="940"/>
      <c r="EV39" s="941"/>
      <c r="EW39" s="940"/>
      <c r="EX39" s="1019">
        <v>2904753.9878586316</v>
      </c>
      <c r="EY39" s="1019">
        <f t="shared" si="143"/>
        <v>435713.09817879472</v>
      </c>
      <c r="EZ39" s="1019">
        <f t="shared" si="144"/>
        <v>2469040.889679837</v>
      </c>
      <c r="FA39" s="1019">
        <f t="shared" si="145"/>
        <v>290475.39878586319</v>
      </c>
      <c r="FB39" s="1019">
        <f t="shared" si="146"/>
        <v>2614278.5890727686</v>
      </c>
      <c r="FC39" s="1019">
        <f t="shared" si="147"/>
        <v>145237.69939293154</v>
      </c>
      <c r="FD39" s="1020"/>
      <c r="FE39" s="1021"/>
      <c r="FF39" s="1022">
        <f t="shared" si="148"/>
        <v>2469040.889679837</v>
      </c>
      <c r="FG39" s="1022">
        <f t="shared" si="149"/>
        <v>209868.47562278615</v>
      </c>
      <c r="FH39" s="1022">
        <f t="shared" si="161"/>
        <v>104934.23781139308</v>
      </c>
      <c r="FI39" s="1023">
        <f t="shared" si="150"/>
        <v>2614278.5890727686</v>
      </c>
      <c r="FJ39" s="1023">
        <f t="shared" si="151"/>
        <v>222213.68007118534</v>
      </c>
      <c r="FK39" s="1023">
        <f t="shared" si="152"/>
        <v>111106.84003559267</v>
      </c>
      <c r="FL39" s="1019">
        <f t="shared" si="162"/>
        <v>12345.204448399192</v>
      </c>
      <c r="FM39" s="1019">
        <f t="shared" si="163"/>
        <v>6172.6022241995961</v>
      </c>
      <c r="FN39" s="1019" t="str">
        <f t="shared" si="153"/>
        <v>VS</v>
      </c>
      <c r="FO39" s="1019">
        <f t="shared" si="159"/>
        <v>27537.409960060559</v>
      </c>
      <c r="FP39" s="1019">
        <f t="shared" si="164"/>
        <v>-21364.807735860963</v>
      </c>
      <c r="FQ39" s="1021"/>
      <c r="FR39" s="1021"/>
      <c r="FS39" s="1020"/>
      <c r="FT39" s="503"/>
      <c r="FU39" s="956"/>
      <c r="FV39" s="503"/>
      <c r="FW39" s="503"/>
      <c r="FX39" s="1040"/>
      <c r="FY39" s="503"/>
      <c r="FZ39" s="503"/>
      <c r="GA39" s="503"/>
      <c r="GB39" s="1059"/>
      <c r="GE39" s="1011" t="s">
        <v>364</v>
      </c>
      <c r="GF39" s="1185"/>
      <c r="GG39" s="956"/>
      <c r="GH39" s="945"/>
      <c r="GI39" s="1024">
        <f t="shared" si="78"/>
        <v>3532850.6470244681</v>
      </c>
      <c r="GJ39" s="1025">
        <f t="shared" si="79"/>
        <v>0.125</v>
      </c>
      <c r="GK39" s="1024">
        <f t="shared" si="80"/>
        <v>441606.33087805851</v>
      </c>
      <c r="GL39" s="1024">
        <f t="shared" si="81"/>
        <v>30000</v>
      </c>
      <c r="GM39" s="1024">
        <f t="shared" si="82"/>
        <v>411606.33087805851</v>
      </c>
      <c r="GN39" s="1024">
        <f t="shared" si="83"/>
        <v>1</v>
      </c>
      <c r="GO39" s="1024">
        <f t="shared" si="84"/>
        <v>411606.33087805851</v>
      </c>
      <c r="GP39" s="1025">
        <f t="shared" si="85"/>
        <v>0.875</v>
      </c>
      <c r="GQ39" s="1024">
        <f t="shared" si="86"/>
        <v>3091244.3161464096</v>
      </c>
      <c r="GR39" s="1024">
        <f t="shared" si="87"/>
        <v>23966.384280462073</v>
      </c>
      <c r="GS39" s="1024">
        <f t="shared" si="88"/>
        <v>27784.977834642708</v>
      </c>
      <c r="GT39" s="1024">
        <f t="shared" si="89"/>
        <v>35891.967644097516</v>
      </c>
      <c r="GU39" s="1024">
        <f t="shared" si="90"/>
        <v>61210.342440742083</v>
      </c>
      <c r="GV39" s="945"/>
      <c r="GW39" s="1024">
        <f t="shared" si="91"/>
        <v>3532850.6470244681</v>
      </c>
      <c r="GX39" s="1025">
        <f t="shared" si="92"/>
        <v>0.125</v>
      </c>
      <c r="GY39" s="1024">
        <f t="shared" si="93"/>
        <v>441606.33087805851</v>
      </c>
      <c r="GZ39" s="1024">
        <f t="shared" si="94"/>
        <v>30000</v>
      </c>
      <c r="HA39" s="1024">
        <f t="shared" si="95"/>
        <v>411606.33087805851</v>
      </c>
      <c r="HB39" s="1026">
        <f t="shared" si="96"/>
        <v>25</v>
      </c>
      <c r="HC39" s="1009">
        <f t="shared" si="97"/>
        <v>16464.253235122342</v>
      </c>
      <c r="HD39" s="1027">
        <f t="shared" si="98"/>
        <v>0.875</v>
      </c>
      <c r="HE39" s="1009">
        <f t="shared" si="99"/>
        <v>3091244.3161464096</v>
      </c>
      <c r="HF39" s="1008">
        <f t="shared" si="100"/>
        <v>23966.384280462073</v>
      </c>
      <c r="HG39" s="1008">
        <f t="shared" si="101"/>
        <v>27784.977834642708</v>
      </c>
      <c r="HH39" s="1008">
        <f t="shared" si="102"/>
        <v>35891.967644097516</v>
      </c>
      <c r="HI39" s="1008">
        <f t="shared" si="103"/>
        <v>61210.342440742083</v>
      </c>
      <c r="HJ39" s="945"/>
      <c r="HK39" s="1009">
        <f t="shared" si="104"/>
        <v>-395142.07764293614</v>
      </c>
      <c r="HL39" s="503"/>
      <c r="HM39" s="503"/>
      <c r="HN39" s="503"/>
      <c r="HO39" s="503"/>
      <c r="HP39" s="503"/>
      <c r="HQ39" s="503"/>
      <c r="HR39" s="956">
        <f t="shared" si="105"/>
        <v>0</v>
      </c>
      <c r="HS39" s="503"/>
      <c r="HT39" s="503"/>
      <c r="HU39" s="956"/>
      <c r="HV39" s="503"/>
      <c r="HW39" s="956"/>
      <c r="HX39" s="956"/>
      <c r="HY39" s="503"/>
      <c r="HZ39" s="503"/>
      <c r="IA39" s="503"/>
      <c r="ID39" s="1394"/>
    </row>
    <row r="40" spans="1:238" ht="14.25" hidden="1" customHeight="1">
      <c r="A40" s="1018">
        <f t="shared" si="155"/>
        <v>34</v>
      </c>
      <c r="B40" s="716"/>
      <c r="C40" s="741">
        <f t="shared" si="192"/>
        <v>4</v>
      </c>
      <c r="D40" s="716" t="s">
        <v>259</v>
      </c>
      <c r="E40" s="743" t="str">
        <f t="shared" si="36"/>
        <v>4th Floor</v>
      </c>
      <c r="F40" s="1048"/>
      <c r="G40" s="745" t="s">
        <v>365</v>
      </c>
      <c r="H40" s="745" t="s">
        <v>288</v>
      </c>
      <c r="I40" s="745" t="s">
        <v>267</v>
      </c>
      <c r="J40" s="1005">
        <v>22</v>
      </c>
      <c r="K40" s="1049"/>
      <c r="L40" s="1006" t="s">
        <v>73</v>
      </c>
      <c r="M40" s="745" t="s">
        <v>240</v>
      </c>
      <c r="N40" s="1050">
        <v>95909.091</v>
      </c>
      <c r="O40" s="934">
        <f t="shared" si="132"/>
        <v>2110000.0019999999</v>
      </c>
      <c r="P40" s="934">
        <f t="shared" si="156"/>
        <v>22400</v>
      </c>
      <c r="Q40" s="934">
        <f t="shared" si="119"/>
        <v>50000</v>
      </c>
      <c r="R40" s="934"/>
      <c r="S40" s="934"/>
      <c r="T40" s="934"/>
      <c r="U40" s="934"/>
      <c r="V40" s="934"/>
      <c r="W40" s="749">
        <f t="shared" si="191"/>
        <v>22000</v>
      </c>
      <c r="X40" s="934"/>
      <c r="Y40" s="934"/>
      <c r="Z40" s="934">
        <f t="shared" si="133"/>
        <v>75000</v>
      </c>
      <c r="AA40" s="934"/>
      <c r="AB40" s="934"/>
      <c r="AC40" s="934"/>
      <c r="AD40" s="934"/>
      <c r="AE40" s="934">
        <f t="shared" si="14"/>
        <v>169400</v>
      </c>
      <c r="AF40" s="1005">
        <f t="shared" si="15"/>
        <v>2279400.0019999999</v>
      </c>
      <c r="AG40" s="1005">
        <f t="shared" si="37"/>
        <v>56985.000050000002</v>
      </c>
      <c r="AH40" s="1005">
        <f t="shared" si="38"/>
        <v>2336385.0020499998</v>
      </c>
      <c r="AI40" s="1005">
        <f t="shared" si="39"/>
        <v>58409.625051249997</v>
      </c>
      <c r="AJ40" s="1005">
        <f t="shared" si="40"/>
        <v>2394794.62710125</v>
      </c>
      <c r="AK40" s="1005">
        <f t="shared" si="41"/>
        <v>119739.73135506251</v>
      </c>
      <c r="AL40" s="1005">
        <f t="shared" si="157"/>
        <v>2514534.3584563127</v>
      </c>
      <c r="AM40" s="934">
        <f t="shared" si="43"/>
        <v>25145.343584563128</v>
      </c>
      <c r="AN40" s="934">
        <f t="shared" si="44"/>
        <v>27537.409960060559</v>
      </c>
      <c r="AO40" s="934"/>
      <c r="AP40" s="934">
        <f t="shared" si="134"/>
        <v>111106.84003559267</v>
      </c>
      <c r="AQ40" s="1005">
        <f t="shared" si="45"/>
        <v>2678323.9520365288</v>
      </c>
      <c r="AR40" s="1005">
        <f t="shared" si="46"/>
        <v>120524.5778416438</v>
      </c>
      <c r="AS40" s="1147">
        <f t="shared" si="47"/>
        <v>2798848.5298781726</v>
      </c>
      <c r="AT40" s="1148">
        <f t="shared" si="135"/>
        <v>2000000</v>
      </c>
      <c r="AU40" s="1148">
        <f t="shared" si="193"/>
        <v>36311.296812644207</v>
      </c>
      <c r="AV40" s="1148">
        <f t="shared" si="136"/>
        <v>798848.52987817256</v>
      </c>
      <c r="AW40" s="1148">
        <f t="shared" si="17"/>
        <v>95861.823585380698</v>
      </c>
      <c r="AX40" s="1148">
        <f t="shared" si="18"/>
        <v>894710.35346355324</v>
      </c>
      <c r="AY40" s="1147">
        <f t="shared" si="48"/>
        <v>2894710.3534635534</v>
      </c>
      <c r="AZ40" s="934">
        <f t="shared" si="49"/>
        <v>36183.879418294418</v>
      </c>
      <c r="BA40" s="716" t="s">
        <v>269</v>
      </c>
      <c r="BB40" s="716">
        <f t="shared" si="194"/>
        <v>2930894.2328818478</v>
      </c>
      <c r="BC40" s="716" t="s">
        <v>269</v>
      </c>
      <c r="BD40" s="716">
        <f t="shared" si="50"/>
        <v>109908.53373306929</v>
      </c>
      <c r="BE40" s="716">
        <f t="shared" si="51"/>
        <v>33600</v>
      </c>
      <c r="BF40" s="716">
        <f t="shared" si="52"/>
        <v>3074402.7666149172</v>
      </c>
      <c r="BG40" s="716"/>
      <c r="BH40" s="716">
        <f t="shared" si="53"/>
        <v>3074402.7666149172</v>
      </c>
      <c r="BI40" s="716"/>
      <c r="BJ40" s="716">
        <f t="shared" si="54"/>
        <v>3074402.7666149172</v>
      </c>
      <c r="BK40" s="716"/>
      <c r="BL40" s="716">
        <f t="shared" si="55"/>
        <v>3074402.7666149172</v>
      </c>
      <c r="BM40" s="716"/>
      <c r="BN40" s="716">
        <f t="shared" si="20"/>
        <v>3074402.7666149172</v>
      </c>
      <c r="BO40" s="716"/>
      <c r="BP40" s="716">
        <f t="shared" si="56"/>
        <v>3074402.7666149172</v>
      </c>
      <c r="BQ40" s="716"/>
      <c r="BR40" s="716">
        <f t="shared" si="57"/>
        <v>3074402.7666149172</v>
      </c>
      <c r="BS40" s="716"/>
      <c r="BT40" s="716">
        <f t="shared" si="58"/>
        <v>3074402.7666149172</v>
      </c>
      <c r="BU40" s="716"/>
      <c r="BV40" s="716">
        <f t="shared" si="21"/>
        <v>3074402.7666149172</v>
      </c>
      <c r="BW40" s="716"/>
      <c r="BX40" s="716">
        <f t="shared" si="167"/>
        <v>31400</v>
      </c>
      <c r="BY40" s="716">
        <f t="shared" si="60"/>
        <v>3105802.7666149172</v>
      </c>
      <c r="BZ40" s="716"/>
      <c r="CA40" s="716">
        <f t="shared" si="61"/>
        <v>3105802.7666149172</v>
      </c>
      <c r="CB40" s="1135">
        <f t="shared" si="121"/>
        <v>3105802.7666149172</v>
      </c>
      <c r="CC40" s="1164">
        <f t="shared" si="109"/>
        <v>3105802.7666149172</v>
      </c>
      <c r="CD40" s="1164"/>
      <c r="CE40" s="1164">
        <f t="shared" si="63"/>
        <v>0</v>
      </c>
      <c r="CF40" s="1164">
        <f t="shared" si="115"/>
        <v>0</v>
      </c>
      <c r="CG40" s="1164">
        <f t="shared" si="116"/>
        <v>0</v>
      </c>
      <c r="CH40" s="1154">
        <f t="shared" si="158"/>
        <v>3105802.7666149172</v>
      </c>
      <c r="CI40" s="935">
        <f t="shared" si="137"/>
        <v>3105802.7666149172</v>
      </c>
      <c r="CJ40" s="935">
        <f t="shared" si="64"/>
        <v>0</v>
      </c>
      <c r="CK40" s="935">
        <f t="shared" si="65"/>
        <v>318344.78357802902</v>
      </c>
      <c r="CL40" s="935">
        <f t="shared" si="66"/>
        <v>108703.09683152211</v>
      </c>
      <c r="CM40" s="1006">
        <f t="shared" si="138"/>
        <v>3532850.6470244681</v>
      </c>
      <c r="CN40" s="1007">
        <f t="shared" si="139"/>
        <v>0.125</v>
      </c>
      <c r="CO40" s="935">
        <f t="shared" si="24"/>
        <v>441606.33087805851</v>
      </c>
      <c r="CP40" s="935">
        <f t="shared" si="170"/>
        <v>30000</v>
      </c>
      <c r="CQ40" s="935">
        <f t="shared" si="25"/>
        <v>411606.33087805851</v>
      </c>
      <c r="CR40" s="745">
        <f t="shared" si="141"/>
        <v>1</v>
      </c>
      <c r="CS40" s="935">
        <f t="shared" si="26"/>
        <v>411606.33087805851</v>
      </c>
      <c r="CT40" s="1007">
        <f t="shared" si="68"/>
        <v>0.875</v>
      </c>
      <c r="CU40" s="935">
        <f t="shared" si="69"/>
        <v>3091244.3161464096</v>
      </c>
      <c r="CV40" s="1008">
        <f t="shared" si="110"/>
        <v>23966.384280462073</v>
      </c>
      <c r="CW40" s="1008">
        <f t="shared" si="70"/>
        <v>27784.977834642708</v>
      </c>
      <c r="CX40" s="1008">
        <f t="shared" si="71"/>
        <v>35891.967644097516</v>
      </c>
      <c r="CY40" s="1008">
        <f t="shared" si="72"/>
        <v>61210.342440742083</v>
      </c>
      <c r="CZ40" s="1119">
        <f t="shared" si="122"/>
        <v>251111.60136479235</v>
      </c>
      <c r="DA40" s="1119">
        <f t="shared" si="123"/>
        <v>99363.63742520845</v>
      </c>
      <c r="DB40" s="1119">
        <f t="shared" si="124"/>
        <v>71768.948005694881</v>
      </c>
      <c r="DC40" s="1119">
        <f t="shared" si="125"/>
        <v>54619.473504051763</v>
      </c>
      <c r="DD40" s="1028">
        <f t="shared" si="126"/>
        <v>0.39942426493908628</v>
      </c>
      <c r="DE40" s="1028">
        <f t="shared" si="142"/>
        <v>0</v>
      </c>
      <c r="DF40" s="1009" t="s">
        <v>270</v>
      </c>
      <c r="DG40" s="1009" t="s">
        <v>271</v>
      </c>
      <c r="DH40" s="966">
        <f t="shared" si="111"/>
        <v>45658</v>
      </c>
      <c r="DI40" s="912">
        <f t="shared" si="73"/>
        <v>14</v>
      </c>
      <c r="DK40" s="913">
        <f t="shared" si="74"/>
        <v>45723</v>
      </c>
      <c r="DL40" s="912">
        <f t="shared" si="75"/>
        <v>16</v>
      </c>
      <c r="DM40" s="750" t="s">
        <v>272</v>
      </c>
      <c r="DN40" s="750" t="s">
        <v>273</v>
      </c>
      <c r="DO40" s="751">
        <f t="shared" si="31"/>
        <v>40668.652430161514</v>
      </c>
      <c r="DP40" s="751">
        <f t="shared" si="32"/>
        <v>894710.35346355324</v>
      </c>
      <c r="DQ40" s="752">
        <f t="shared" si="127"/>
        <v>0.4473551767317766</v>
      </c>
      <c r="DS40" s="751">
        <f t="shared" si="128"/>
        <v>3105802.7666149172</v>
      </c>
      <c r="DT40" s="751">
        <f>'[4]INTERNAL PRICELIST'!N34</f>
        <v>2061900</v>
      </c>
      <c r="DU40" s="751">
        <f t="shared" si="33"/>
        <v>1043902.7666149172</v>
      </c>
      <c r="DW40" s="951">
        <f t="shared" si="129"/>
        <v>141172.85302795077</v>
      </c>
      <c r="DZ40" s="1010" t="s">
        <v>365</v>
      </c>
      <c r="EA40" s="1011" t="b">
        <f t="shared" si="35"/>
        <v>1</v>
      </c>
      <c r="EB40" s="1011"/>
      <c r="EC40" s="1011"/>
      <c r="EE40" s="1029"/>
      <c r="ER40" s="1017" t="s">
        <v>264</v>
      </c>
      <c r="ES40" s="1391" t="s">
        <v>264</v>
      </c>
      <c r="ET40" s="1018" t="b">
        <f t="shared" si="76"/>
        <v>1</v>
      </c>
      <c r="EX40" s="1019">
        <v>2904753.9878586316</v>
      </c>
      <c r="EY40" s="1019">
        <f t="shared" si="143"/>
        <v>435713.09817879472</v>
      </c>
      <c r="EZ40" s="1019">
        <f t="shared" si="144"/>
        <v>2469040.889679837</v>
      </c>
      <c r="FA40" s="1019">
        <f t="shared" si="145"/>
        <v>290475.39878586319</v>
      </c>
      <c r="FB40" s="1019">
        <f t="shared" si="146"/>
        <v>2614278.5890727686</v>
      </c>
      <c r="FC40" s="1019">
        <f t="shared" si="147"/>
        <v>145237.69939293154</v>
      </c>
      <c r="FD40" s="1020"/>
      <c r="FE40" s="1021"/>
      <c r="FF40" s="1022">
        <f t="shared" si="148"/>
        <v>2469040.889679837</v>
      </c>
      <c r="FG40" s="1022">
        <f t="shared" si="149"/>
        <v>209868.47562278615</v>
      </c>
      <c r="FH40" s="1022">
        <f t="shared" si="161"/>
        <v>104934.23781139308</v>
      </c>
      <c r="FI40" s="1023">
        <f t="shared" si="150"/>
        <v>2614278.5890727686</v>
      </c>
      <c r="FJ40" s="1023">
        <f t="shared" si="151"/>
        <v>222213.68007118534</v>
      </c>
      <c r="FK40" s="1023">
        <f t="shared" si="152"/>
        <v>111106.84003559267</v>
      </c>
      <c r="FL40" s="1019">
        <f t="shared" si="162"/>
        <v>12345.204448399192</v>
      </c>
      <c r="FM40" s="1019">
        <f t="shared" si="163"/>
        <v>6172.6022241995961</v>
      </c>
      <c r="FN40" s="1019" t="str">
        <f t="shared" si="153"/>
        <v>VS</v>
      </c>
      <c r="FO40" s="1019">
        <f t="shared" si="159"/>
        <v>27537.409960060559</v>
      </c>
      <c r="FP40" s="1019">
        <f t="shared" si="164"/>
        <v>-21364.807735860963</v>
      </c>
      <c r="FQ40" s="1021"/>
      <c r="FR40" s="1021"/>
      <c r="FS40" s="1020"/>
      <c r="FT40" s="503"/>
      <c r="FU40" s="956"/>
      <c r="FV40" s="503"/>
      <c r="FX40" s="1040"/>
      <c r="GA40" s="1070"/>
      <c r="GB40" s="1059"/>
      <c r="GE40" s="1011" t="s">
        <v>366</v>
      </c>
      <c r="GF40" s="1185"/>
      <c r="GG40" s="956"/>
      <c r="GI40" s="1024">
        <f t="shared" si="78"/>
        <v>3532850.6470244681</v>
      </c>
      <c r="GJ40" s="1025">
        <f t="shared" si="79"/>
        <v>0.125</v>
      </c>
      <c r="GK40" s="1024">
        <f t="shared" si="80"/>
        <v>441606.33087805851</v>
      </c>
      <c r="GL40" s="1024">
        <f t="shared" si="81"/>
        <v>30000</v>
      </c>
      <c r="GM40" s="1024">
        <f t="shared" si="82"/>
        <v>411606.33087805851</v>
      </c>
      <c r="GN40" s="1024">
        <f t="shared" si="83"/>
        <v>1</v>
      </c>
      <c r="GO40" s="1024">
        <f t="shared" si="84"/>
        <v>411606.33087805851</v>
      </c>
      <c r="GP40" s="1025">
        <f t="shared" si="85"/>
        <v>0.875</v>
      </c>
      <c r="GQ40" s="1024">
        <f t="shared" si="86"/>
        <v>3091244.3161464096</v>
      </c>
      <c r="GR40" s="1024">
        <f t="shared" si="87"/>
        <v>23966.384280462073</v>
      </c>
      <c r="GS40" s="1024">
        <f t="shared" si="88"/>
        <v>27784.977834642708</v>
      </c>
      <c r="GT40" s="1024">
        <f t="shared" si="89"/>
        <v>35891.967644097516</v>
      </c>
      <c r="GU40" s="1024">
        <f t="shared" si="90"/>
        <v>61210.342440742083</v>
      </c>
      <c r="GW40" s="1024">
        <f t="shared" si="91"/>
        <v>3532850.6470244681</v>
      </c>
      <c r="GX40" s="1025">
        <f t="shared" si="92"/>
        <v>0.125</v>
      </c>
      <c r="GY40" s="1024">
        <f t="shared" si="93"/>
        <v>441606.33087805851</v>
      </c>
      <c r="GZ40" s="1024">
        <f t="shared" si="94"/>
        <v>30000</v>
      </c>
      <c r="HA40" s="1024">
        <f t="shared" si="95"/>
        <v>411606.33087805851</v>
      </c>
      <c r="HB40" s="1026">
        <f t="shared" si="96"/>
        <v>25</v>
      </c>
      <c r="HC40" s="1009">
        <f t="shared" si="97"/>
        <v>16464.253235122342</v>
      </c>
      <c r="HD40" s="1027">
        <f t="shared" si="98"/>
        <v>0.875</v>
      </c>
      <c r="HE40" s="1009">
        <f t="shared" si="99"/>
        <v>3091244.3161464096</v>
      </c>
      <c r="HF40" s="1008">
        <f t="shared" si="100"/>
        <v>23966.384280462073</v>
      </c>
      <c r="HG40" s="1008">
        <f t="shared" si="101"/>
        <v>27784.977834642708</v>
      </c>
      <c r="HH40" s="1008">
        <f t="shared" si="102"/>
        <v>35891.967644097516</v>
      </c>
      <c r="HI40" s="1008">
        <f t="shared" si="103"/>
        <v>61210.342440742083</v>
      </c>
      <c r="HK40" s="1009">
        <f t="shared" si="104"/>
        <v>-395142.07764293614</v>
      </c>
      <c r="HR40" s="956">
        <f t="shared" si="105"/>
        <v>0</v>
      </c>
      <c r="HU40" s="956"/>
      <c r="HW40" s="956"/>
      <c r="HX40" s="956"/>
    </row>
    <row r="41" spans="1:238" ht="14.25" hidden="1" customHeight="1">
      <c r="A41" s="1018">
        <f t="shared" si="155"/>
        <v>35</v>
      </c>
      <c r="B41" s="716"/>
      <c r="C41" s="741">
        <f t="shared" si="192"/>
        <v>5</v>
      </c>
      <c r="D41" s="716" t="s">
        <v>259</v>
      </c>
      <c r="E41" s="743" t="str">
        <f t="shared" si="36"/>
        <v>4th Floor</v>
      </c>
      <c r="F41" s="1048"/>
      <c r="G41" s="745" t="s">
        <v>367</v>
      </c>
      <c r="H41" s="745" t="s">
        <v>292</v>
      </c>
      <c r="I41" s="745" t="s">
        <v>267</v>
      </c>
      <c r="J41" s="1005">
        <v>22</v>
      </c>
      <c r="K41" s="1049"/>
      <c r="L41" s="1006" t="s">
        <v>73</v>
      </c>
      <c r="M41" s="745" t="s">
        <v>240</v>
      </c>
      <c r="N41" s="1050">
        <v>95909.091</v>
      </c>
      <c r="O41" s="934">
        <f t="shared" si="132"/>
        <v>2110000.0019999999</v>
      </c>
      <c r="P41" s="934">
        <f t="shared" si="156"/>
        <v>22400</v>
      </c>
      <c r="Q41" s="934">
        <f t="shared" si="119"/>
        <v>50000</v>
      </c>
      <c r="R41" s="934"/>
      <c r="S41" s="934"/>
      <c r="T41" s="934"/>
      <c r="U41" s="934"/>
      <c r="V41" s="934"/>
      <c r="W41" s="749">
        <f t="shared" si="191"/>
        <v>22000</v>
      </c>
      <c r="X41" s="934"/>
      <c r="Y41" s="934"/>
      <c r="Z41" s="934">
        <f t="shared" si="133"/>
        <v>75000</v>
      </c>
      <c r="AA41" s="934"/>
      <c r="AB41" s="934"/>
      <c r="AC41" s="934"/>
      <c r="AD41" s="934"/>
      <c r="AE41" s="934">
        <f t="shared" si="14"/>
        <v>169400</v>
      </c>
      <c r="AF41" s="1005">
        <f t="shared" si="15"/>
        <v>2279400.0019999999</v>
      </c>
      <c r="AG41" s="1005">
        <f t="shared" si="37"/>
        <v>56985.000050000002</v>
      </c>
      <c r="AH41" s="1005">
        <f t="shared" si="38"/>
        <v>2336385.0020499998</v>
      </c>
      <c r="AI41" s="1005">
        <f t="shared" si="39"/>
        <v>58409.625051249997</v>
      </c>
      <c r="AJ41" s="1005">
        <f t="shared" si="40"/>
        <v>2394794.62710125</v>
      </c>
      <c r="AK41" s="1005">
        <f t="shared" si="41"/>
        <v>119739.73135506251</v>
      </c>
      <c r="AL41" s="1005">
        <f t="shared" si="157"/>
        <v>2514534.3584563127</v>
      </c>
      <c r="AM41" s="934">
        <f t="shared" si="43"/>
        <v>25145.343584563128</v>
      </c>
      <c r="AN41" s="934">
        <f t="shared" si="44"/>
        <v>27537.409960060559</v>
      </c>
      <c r="AO41" s="934"/>
      <c r="AP41" s="934">
        <f t="shared" si="134"/>
        <v>111106.84003559267</v>
      </c>
      <c r="AQ41" s="1005">
        <f t="shared" si="45"/>
        <v>2678323.9520365288</v>
      </c>
      <c r="AR41" s="1005">
        <f t="shared" si="46"/>
        <v>120524.5778416438</v>
      </c>
      <c r="AS41" s="1147">
        <f t="shared" si="47"/>
        <v>2798848.5298781726</v>
      </c>
      <c r="AT41" s="1148">
        <f t="shared" si="135"/>
        <v>2000000</v>
      </c>
      <c r="AU41" s="1148">
        <f t="shared" si="193"/>
        <v>36311.296812644207</v>
      </c>
      <c r="AV41" s="1148">
        <f t="shared" si="136"/>
        <v>798848.52987817256</v>
      </c>
      <c r="AW41" s="1148">
        <f t="shared" si="17"/>
        <v>95861.823585380698</v>
      </c>
      <c r="AX41" s="1148">
        <f t="shared" si="18"/>
        <v>894710.35346355324</v>
      </c>
      <c r="AY41" s="1147">
        <f t="shared" si="48"/>
        <v>2894710.3534635534</v>
      </c>
      <c r="AZ41" s="934">
        <f t="shared" si="49"/>
        <v>36183.879418294418</v>
      </c>
      <c r="BA41" s="716" t="s">
        <v>269</v>
      </c>
      <c r="BB41" s="716">
        <f t="shared" si="194"/>
        <v>2930894.2328818478</v>
      </c>
      <c r="BC41" s="716" t="s">
        <v>269</v>
      </c>
      <c r="BD41" s="716">
        <f t="shared" si="50"/>
        <v>109908.53373306929</v>
      </c>
      <c r="BE41" s="716">
        <f t="shared" si="51"/>
        <v>33600</v>
      </c>
      <c r="BF41" s="716">
        <f t="shared" si="52"/>
        <v>3074402.7666149172</v>
      </c>
      <c r="BG41" s="716"/>
      <c r="BH41" s="716">
        <f t="shared" si="53"/>
        <v>3074402.7666149172</v>
      </c>
      <c r="BI41" s="716"/>
      <c r="BJ41" s="716">
        <f t="shared" si="54"/>
        <v>3074402.7666149172</v>
      </c>
      <c r="BK41" s="716"/>
      <c r="BL41" s="716">
        <f t="shared" si="55"/>
        <v>3074402.7666149172</v>
      </c>
      <c r="BM41" s="716"/>
      <c r="BN41" s="716">
        <f t="shared" si="20"/>
        <v>3074402.7666149172</v>
      </c>
      <c r="BO41" s="716"/>
      <c r="BP41" s="716">
        <f t="shared" si="56"/>
        <v>3074402.7666149172</v>
      </c>
      <c r="BQ41" s="716"/>
      <c r="BR41" s="716">
        <f t="shared" si="57"/>
        <v>3074402.7666149172</v>
      </c>
      <c r="BS41" s="716"/>
      <c r="BT41" s="716">
        <f t="shared" si="58"/>
        <v>3074402.7666149172</v>
      </c>
      <c r="BU41" s="716"/>
      <c r="BV41" s="716">
        <f t="shared" si="21"/>
        <v>3074402.7666149172</v>
      </c>
      <c r="BW41" s="716"/>
      <c r="BX41" s="716">
        <f t="shared" si="167"/>
        <v>31400</v>
      </c>
      <c r="BY41" s="716">
        <f t="shared" si="60"/>
        <v>3105802.7666149172</v>
      </c>
      <c r="BZ41" s="716"/>
      <c r="CA41" s="716">
        <f t="shared" si="61"/>
        <v>3105802.7666149172</v>
      </c>
      <c r="CB41" s="1135">
        <f t="shared" si="121"/>
        <v>3105802.7666149172</v>
      </c>
      <c r="CC41" s="1164">
        <f t="shared" si="109"/>
        <v>3105802.7666149172</v>
      </c>
      <c r="CD41" s="1164"/>
      <c r="CE41" s="1164">
        <f t="shared" si="63"/>
        <v>0</v>
      </c>
      <c r="CF41" s="1164">
        <f t="shared" si="115"/>
        <v>0</v>
      </c>
      <c r="CG41" s="1164">
        <f t="shared" si="116"/>
        <v>0</v>
      </c>
      <c r="CH41" s="1154">
        <f t="shared" si="158"/>
        <v>3105802.7666149172</v>
      </c>
      <c r="CI41" s="935">
        <f t="shared" si="137"/>
        <v>3105802.7666149172</v>
      </c>
      <c r="CJ41" s="935">
        <f t="shared" si="64"/>
        <v>0</v>
      </c>
      <c r="CK41" s="935">
        <f t="shared" si="65"/>
        <v>318344.78357802902</v>
      </c>
      <c r="CL41" s="935">
        <f t="shared" si="66"/>
        <v>108703.09683152211</v>
      </c>
      <c r="CM41" s="1006">
        <f t="shared" si="138"/>
        <v>3532850.6470244681</v>
      </c>
      <c r="CN41" s="1007">
        <f t="shared" si="139"/>
        <v>0.125</v>
      </c>
      <c r="CO41" s="935">
        <f t="shared" si="24"/>
        <v>441606.33087805851</v>
      </c>
      <c r="CP41" s="935">
        <f t="shared" si="170"/>
        <v>30000</v>
      </c>
      <c r="CQ41" s="935">
        <f t="shared" si="25"/>
        <v>411606.33087805851</v>
      </c>
      <c r="CR41" s="745">
        <f t="shared" si="141"/>
        <v>1</v>
      </c>
      <c r="CS41" s="935">
        <f t="shared" si="26"/>
        <v>411606.33087805851</v>
      </c>
      <c r="CT41" s="1007">
        <f t="shared" si="68"/>
        <v>0.875</v>
      </c>
      <c r="CU41" s="935">
        <f t="shared" si="69"/>
        <v>3091244.3161464096</v>
      </c>
      <c r="CV41" s="1008">
        <f t="shared" si="110"/>
        <v>23966.384280462073</v>
      </c>
      <c r="CW41" s="1008">
        <f t="shared" si="70"/>
        <v>27784.977834642708</v>
      </c>
      <c r="CX41" s="1008">
        <f t="shared" si="71"/>
        <v>35891.967644097516</v>
      </c>
      <c r="CY41" s="1008">
        <f t="shared" si="72"/>
        <v>61210.342440742083</v>
      </c>
      <c r="CZ41" s="1119">
        <f t="shared" si="122"/>
        <v>251111.60136479235</v>
      </c>
      <c r="DA41" s="1119">
        <f t="shared" si="123"/>
        <v>99363.63742520845</v>
      </c>
      <c r="DB41" s="1119">
        <f t="shared" si="124"/>
        <v>71768.948005694881</v>
      </c>
      <c r="DC41" s="1119">
        <f t="shared" si="125"/>
        <v>54619.473504051763</v>
      </c>
      <c r="DD41" s="1028">
        <f t="shared" si="126"/>
        <v>0.39942426493908628</v>
      </c>
      <c r="DE41" s="1028">
        <f t="shared" si="142"/>
        <v>0</v>
      </c>
      <c r="DF41" s="1009" t="s">
        <v>270</v>
      </c>
      <c r="DG41" s="1009" t="s">
        <v>271</v>
      </c>
      <c r="DH41" s="966">
        <f t="shared" si="111"/>
        <v>45658</v>
      </c>
      <c r="DI41" s="912">
        <f t="shared" si="73"/>
        <v>14</v>
      </c>
      <c r="DK41" s="913">
        <f t="shared" si="74"/>
        <v>45723</v>
      </c>
      <c r="DL41" s="912">
        <f t="shared" si="75"/>
        <v>16</v>
      </c>
      <c r="DM41" s="750" t="s">
        <v>272</v>
      </c>
      <c r="DN41" s="750" t="s">
        <v>273</v>
      </c>
      <c r="DO41" s="751">
        <f t="shared" si="31"/>
        <v>40668.652430161514</v>
      </c>
      <c r="DP41" s="751">
        <f t="shared" si="32"/>
        <v>894710.35346355324</v>
      </c>
      <c r="DQ41" s="752">
        <f t="shared" si="127"/>
        <v>0.4473551767317766</v>
      </c>
      <c r="DS41" s="751">
        <f t="shared" si="128"/>
        <v>3105802.7666149172</v>
      </c>
      <c r="DT41" s="751">
        <f>'[4]INTERNAL PRICELIST'!N35</f>
        <v>2061900</v>
      </c>
      <c r="DU41" s="751">
        <f t="shared" si="33"/>
        <v>1043902.7666149172</v>
      </c>
      <c r="DW41" s="951">
        <f t="shared" si="129"/>
        <v>141172.85302795077</v>
      </c>
      <c r="DZ41" s="1010" t="s">
        <v>367</v>
      </c>
      <c r="EA41" s="1011" t="b">
        <f t="shared" si="35"/>
        <v>1</v>
      </c>
      <c r="EB41" s="1011"/>
      <c r="EC41" s="1011"/>
      <c r="EE41" s="1029"/>
      <c r="ER41" s="1017" t="s">
        <v>264</v>
      </c>
      <c r="ES41" s="1391" t="s">
        <v>264</v>
      </c>
      <c r="ET41" s="1018" t="b">
        <f t="shared" si="76"/>
        <v>1</v>
      </c>
      <c r="EX41" s="1019">
        <v>2904753.9878586316</v>
      </c>
      <c r="EY41" s="1019">
        <f t="shared" si="143"/>
        <v>435713.09817879472</v>
      </c>
      <c r="EZ41" s="1019">
        <f t="shared" si="144"/>
        <v>2469040.889679837</v>
      </c>
      <c r="FA41" s="1019">
        <f t="shared" si="145"/>
        <v>290475.39878586319</v>
      </c>
      <c r="FB41" s="1019">
        <f t="shared" si="146"/>
        <v>2614278.5890727686</v>
      </c>
      <c r="FC41" s="1019">
        <f t="shared" si="147"/>
        <v>145237.69939293154</v>
      </c>
      <c r="FD41" s="1020"/>
      <c r="FE41" s="1021"/>
      <c r="FF41" s="1022">
        <f t="shared" si="148"/>
        <v>2469040.889679837</v>
      </c>
      <c r="FG41" s="1022">
        <f t="shared" si="149"/>
        <v>209868.47562278615</v>
      </c>
      <c r="FH41" s="1022">
        <f t="shared" si="161"/>
        <v>104934.23781139308</v>
      </c>
      <c r="FI41" s="1023">
        <f t="shared" si="150"/>
        <v>2614278.5890727686</v>
      </c>
      <c r="FJ41" s="1023">
        <f t="shared" si="151"/>
        <v>222213.68007118534</v>
      </c>
      <c r="FK41" s="1023">
        <f t="shared" si="152"/>
        <v>111106.84003559267</v>
      </c>
      <c r="FL41" s="1019">
        <f t="shared" si="162"/>
        <v>12345.204448399192</v>
      </c>
      <c r="FM41" s="1019">
        <f t="shared" si="163"/>
        <v>6172.6022241995961</v>
      </c>
      <c r="FN41" s="1019" t="str">
        <f t="shared" si="153"/>
        <v>VS</v>
      </c>
      <c r="FO41" s="1019">
        <f t="shared" si="159"/>
        <v>27537.409960060559</v>
      </c>
      <c r="FP41" s="1019">
        <f t="shared" si="164"/>
        <v>-21364.807735860963</v>
      </c>
      <c r="FQ41" s="1021"/>
      <c r="FR41" s="1021"/>
      <c r="FS41" s="1020"/>
      <c r="FT41" s="503"/>
      <c r="FU41" s="956"/>
      <c r="FV41" s="503"/>
      <c r="FX41" s="1040"/>
      <c r="GB41" s="1059"/>
      <c r="GE41" s="1011" t="s">
        <v>368</v>
      </c>
      <c r="GF41" s="1185"/>
      <c r="GG41" s="956"/>
      <c r="GI41" s="1024">
        <f t="shared" si="78"/>
        <v>3532850.6470244681</v>
      </c>
      <c r="GJ41" s="1025">
        <f t="shared" si="79"/>
        <v>0.125</v>
      </c>
      <c r="GK41" s="1024">
        <f t="shared" si="80"/>
        <v>441606.33087805851</v>
      </c>
      <c r="GL41" s="1024">
        <f t="shared" si="81"/>
        <v>30000</v>
      </c>
      <c r="GM41" s="1024">
        <f t="shared" si="82"/>
        <v>411606.33087805851</v>
      </c>
      <c r="GN41" s="1024">
        <f t="shared" si="83"/>
        <v>1</v>
      </c>
      <c r="GO41" s="1024">
        <f t="shared" si="84"/>
        <v>411606.33087805851</v>
      </c>
      <c r="GP41" s="1025">
        <f t="shared" si="85"/>
        <v>0.875</v>
      </c>
      <c r="GQ41" s="1024">
        <f t="shared" si="86"/>
        <v>3091244.3161464096</v>
      </c>
      <c r="GR41" s="1024">
        <f t="shared" si="87"/>
        <v>23966.384280462073</v>
      </c>
      <c r="GS41" s="1024">
        <f t="shared" si="88"/>
        <v>27784.977834642708</v>
      </c>
      <c r="GT41" s="1024">
        <f t="shared" si="89"/>
        <v>35891.967644097516</v>
      </c>
      <c r="GU41" s="1024">
        <f t="shared" si="90"/>
        <v>61210.342440742083</v>
      </c>
      <c r="GW41" s="1024">
        <f t="shared" si="91"/>
        <v>3532850.6470244681</v>
      </c>
      <c r="GX41" s="1025">
        <f t="shared" si="92"/>
        <v>0.125</v>
      </c>
      <c r="GY41" s="1024">
        <f t="shared" si="93"/>
        <v>441606.33087805851</v>
      </c>
      <c r="GZ41" s="1024">
        <f t="shared" si="94"/>
        <v>30000</v>
      </c>
      <c r="HA41" s="1024">
        <f t="shared" si="95"/>
        <v>411606.33087805851</v>
      </c>
      <c r="HB41" s="1026">
        <f t="shared" si="96"/>
        <v>25</v>
      </c>
      <c r="HC41" s="1009">
        <f t="shared" si="97"/>
        <v>16464.253235122342</v>
      </c>
      <c r="HD41" s="1027">
        <f t="shared" si="98"/>
        <v>0.875</v>
      </c>
      <c r="HE41" s="1009">
        <f t="shared" si="99"/>
        <v>3091244.3161464096</v>
      </c>
      <c r="HF41" s="1008">
        <f t="shared" si="100"/>
        <v>23966.384280462073</v>
      </c>
      <c r="HG41" s="1008">
        <f t="shared" si="101"/>
        <v>27784.977834642708</v>
      </c>
      <c r="HH41" s="1008">
        <f t="shared" si="102"/>
        <v>35891.967644097516</v>
      </c>
      <c r="HI41" s="1008">
        <f t="shared" si="103"/>
        <v>61210.342440742083</v>
      </c>
      <c r="HK41" s="1009">
        <f t="shared" si="104"/>
        <v>-395142.07764293614</v>
      </c>
      <c r="HR41" s="956">
        <f t="shared" si="105"/>
        <v>0</v>
      </c>
      <c r="HU41" s="956"/>
      <c r="HW41" s="956"/>
      <c r="HX41" s="956"/>
    </row>
    <row r="42" spans="1:238" s="1051" customFormat="1" ht="14.25" hidden="1" customHeight="1">
      <c r="A42" s="1018">
        <f t="shared" si="155"/>
        <v>36</v>
      </c>
      <c r="B42" s="716" t="s">
        <v>264</v>
      </c>
      <c r="C42" s="741">
        <f t="shared" si="192"/>
        <v>6</v>
      </c>
      <c r="D42" s="716" t="s">
        <v>259</v>
      </c>
      <c r="E42" s="743" t="str">
        <f t="shared" si="36"/>
        <v>4th Floor</v>
      </c>
      <c r="F42" s="1048"/>
      <c r="G42" s="745" t="s">
        <v>369</v>
      </c>
      <c r="H42" s="745" t="s">
        <v>296</v>
      </c>
      <c r="I42" s="745" t="s">
        <v>267</v>
      </c>
      <c r="J42" s="1005">
        <v>22</v>
      </c>
      <c r="K42" s="1049"/>
      <c r="L42" s="1006" t="s">
        <v>73</v>
      </c>
      <c r="M42" s="745" t="s">
        <v>79</v>
      </c>
      <c r="N42" s="1050">
        <v>95909.091</v>
      </c>
      <c r="O42" s="934">
        <f t="shared" si="132"/>
        <v>2110000.0019999999</v>
      </c>
      <c r="P42" s="934">
        <f t="shared" si="156"/>
        <v>22400</v>
      </c>
      <c r="Q42" s="934">
        <f t="shared" si="119"/>
        <v>50000</v>
      </c>
      <c r="R42" s="934"/>
      <c r="S42" s="934"/>
      <c r="T42" s="934"/>
      <c r="U42" s="934"/>
      <c r="V42" s="934"/>
      <c r="W42" s="934"/>
      <c r="X42" s="934"/>
      <c r="Y42" s="934"/>
      <c r="Z42" s="934">
        <f t="shared" si="133"/>
        <v>75000</v>
      </c>
      <c r="AA42" s="934"/>
      <c r="AB42" s="934"/>
      <c r="AC42" s="934"/>
      <c r="AD42" s="934"/>
      <c r="AE42" s="934">
        <f t="shared" si="14"/>
        <v>147400</v>
      </c>
      <c r="AF42" s="1005">
        <f t="shared" si="15"/>
        <v>2257400.0019999999</v>
      </c>
      <c r="AG42" s="1005">
        <f t="shared" si="37"/>
        <v>56435.000050000002</v>
      </c>
      <c r="AH42" s="1005">
        <f t="shared" si="38"/>
        <v>2313835.0020499998</v>
      </c>
      <c r="AI42" s="1005">
        <f t="shared" si="39"/>
        <v>57845.875051249997</v>
      </c>
      <c r="AJ42" s="1005">
        <f t="shared" si="40"/>
        <v>2371680.87710125</v>
      </c>
      <c r="AK42" s="1005">
        <f t="shared" si="41"/>
        <v>118584.04385506251</v>
      </c>
      <c r="AL42" s="1005">
        <f t="shared" si="157"/>
        <v>2490264.9209563127</v>
      </c>
      <c r="AM42" s="934">
        <f t="shared" si="43"/>
        <v>24902.649209563126</v>
      </c>
      <c r="AN42" s="934">
        <f t="shared" si="44"/>
        <v>27537.409960060559</v>
      </c>
      <c r="AO42" s="934"/>
      <c r="AP42" s="934">
        <f t="shared" si="134"/>
        <v>109934.5752385239</v>
      </c>
      <c r="AQ42" s="1005">
        <f t="shared" si="45"/>
        <v>2652639.5553644602</v>
      </c>
      <c r="AR42" s="1005">
        <f t="shared" si="46"/>
        <v>119368.7799914007</v>
      </c>
      <c r="AS42" s="1147">
        <f t="shared" si="47"/>
        <v>2772008.3353558611</v>
      </c>
      <c r="AT42" s="1148">
        <f t="shared" si="135"/>
        <v>2000000</v>
      </c>
      <c r="AU42" s="1148">
        <f t="shared" si="193"/>
        <v>35091.287970720958</v>
      </c>
      <c r="AV42" s="1148">
        <f t="shared" si="136"/>
        <v>772008.33535586111</v>
      </c>
      <c r="AW42" s="1148">
        <f t="shared" si="17"/>
        <v>92641.000242703332</v>
      </c>
      <c r="AX42" s="1148">
        <f t="shared" si="18"/>
        <v>864649.33559856447</v>
      </c>
      <c r="AY42" s="1147">
        <f t="shared" si="48"/>
        <v>2864649.3355985642</v>
      </c>
      <c r="AZ42" s="934">
        <f t="shared" si="49"/>
        <v>35808.116694982054</v>
      </c>
      <c r="BA42" s="716" t="s">
        <v>269</v>
      </c>
      <c r="BB42" s="716">
        <f t="shared" si="194"/>
        <v>2900457.4522935464</v>
      </c>
      <c r="BC42" s="716" t="s">
        <v>269</v>
      </c>
      <c r="BD42" s="716">
        <f t="shared" si="50"/>
        <v>108767.15446100799</v>
      </c>
      <c r="BE42" s="716">
        <f t="shared" si="51"/>
        <v>33600</v>
      </c>
      <c r="BF42" s="716">
        <f t="shared" si="52"/>
        <v>3042824.6067545544</v>
      </c>
      <c r="BG42" s="716"/>
      <c r="BH42" s="716">
        <f t="shared" si="53"/>
        <v>3042824.6067545544</v>
      </c>
      <c r="BI42" s="716"/>
      <c r="BJ42" s="716">
        <f t="shared" si="54"/>
        <v>3042824.6067545544</v>
      </c>
      <c r="BK42" s="716"/>
      <c r="BL42" s="716">
        <f t="shared" si="55"/>
        <v>3042824.6067545544</v>
      </c>
      <c r="BM42" s="716"/>
      <c r="BN42" s="716">
        <f t="shared" si="20"/>
        <v>3042824.6067545544</v>
      </c>
      <c r="BO42" s="716"/>
      <c r="BP42" s="716">
        <f t="shared" si="56"/>
        <v>3042824.6067545544</v>
      </c>
      <c r="BQ42" s="716"/>
      <c r="BR42" s="716">
        <f t="shared" si="57"/>
        <v>3042824.6067545544</v>
      </c>
      <c r="BS42" s="716"/>
      <c r="BT42" s="716">
        <f t="shared" si="58"/>
        <v>3042824.6067545544</v>
      </c>
      <c r="BU42" s="716"/>
      <c r="BV42" s="716">
        <f t="shared" si="21"/>
        <v>3042824.6067545544</v>
      </c>
      <c r="BW42" s="716"/>
      <c r="BX42" s="716">
        <f t="shared" si="167"/>
        <v>31400</v>
      </c>
      <c r="BY42" s="716">
        <f t="shared" si="60"/>
        <v>3074224.6067545544</v>
      </c>
      <c r="BZ42" s="716"/>
      <c r="CA42" s="716">
        <f t="shared" si="61"/>
        <v>3074224.6067545544</v>
      </c>
      <c r="CB42" s="1135">
        <f t="shared" si="121"/>
        <v>3074224.6067545544</v>
      </c>
      <c r="CC42" s="1164">
        <f t="shared" si="109"/>
        <v>3074224.6067545544</v>
      </c>
      <c r="CD42" s="1164"/>
      <c r="CE42" s="1164">
        <f t="shared" si="63"/>
        <v>0</v>
      </c>
      <c r="CF42" s="1164">
        <f t="shared" si="115"/>
        <v>0</v>
      </c>
      <c r="CG42" s="1164">
        <f t="shared" si="116"/>
        <v>0</v>
      </c>
      <c r="CH42" s="1154">
        <f t="shared" si="158"/>
        <v>3074224.6067545544</v>
      </c>
      <c r="CI42" s="935">
        <f t="shared" si="137"/>
        <v>3074224.6067545544</v>
      </c>
      <c r="CJ42" s="935">
        <f t="shared" si="64"/>
        <v>0</v>
      </c>
      <c r="CK42" s="935">
        <f t="shared" si="65"/>
        <v>315108.0221923418</v>
      </c>
      <c r="CL42" s="935">
        <f t="shared" si="66"/>
        <v>107597.86123640942</v>
      </c>
      <c r="CM42" s="1006">
        <f t="shared" si="138"/>
        <v>3496930.4901833055</v>
      </c>
      <c r="CN42" s="1007">
        <f t="shared" si="139"/>
        <v>0.125</v>
      </c>
      <c r="CO42" s="935">
        <f t="shared" si="24"/>
        <v>437116.31127291318</v>
      </c>
      <c r="CP42" s="935">
        <f t="shared" si="170"/>
        <v>30000</v>
      </c>
      <c r="CQ42" s="935">
        <f t="shared" si="25"/>
        <v>407116.31127291318</v>
      </c>
      <c r="CR42" s="745">
        <f t="shared" si="141"/>
        <v>1</v>
      </c>
      <c r="CS42" s="935">
        <f t="shared" si="26"/>
        <v>407116.31127291318</v>
      </c>
      <c r="CT42" s="1007">
        <f t="shared" si="68"/>
        <v>0.875</v>
      </c>
      <c r="CU42" s="935">
        <f t="shared" si="69"/>
        <v>3059814.1789103923</v>
      </c>
      <c r="CV42" s="1008">
        <f t="shared" si="110"/>
        <v>23722.706761007681</v>
      </c>
      <c r="CW42" s="1008">
        <f t="shared" si="70"/>
        <v>27502.474875597669</v>
      </c>
      <c r="CX42" s="1008">
        <f t="shared" si="71"/>
        <v>35527.03710048685</v>
      </c>
      <c r="CY42" s="1008">
        <f t="shared" si="72"/>
        <v>60587.988053181267</v>
      </c>
      <c r="CZ42" s="1119">
        <f t="shared" si="122"/>
        <v>248558.43141597047</v>
      </c>
      <c r="DA42" s="1119">
        <f t="shared" si="123"/>
        <v>98353.36051366452</v>
      </c>
      <c r="DB42" s="1119">
        <f t="shared" si="124"/>
        <v>71039.239301235197</v>
      </c>
      <c r="DC42" s="1119">
        <f t="shared" si="125"/>
        <v>54064.131585904252</v>
      </c>
      <c r="DD42" s="1028">
        <f t="shared" si="126"/>
        <v>0.38600416767793055</v>
      </c>
      <c r="DE42" s="1028">
        <f t="shared" si="142"/>
        <v>0</v>
      </c>
      <c r="DF42" s="1009" t="s">
        <v>270</v>
      </c>
      <c r="DG42" s="1009" t="s">
        <v>271</v>
      </c>
      <c r="DH42" s="966">
        <f t="shared" si="111"/>
        <v>45658</v>
      </c>
      <c r="DI42" s="912">
        <f t="shared" si="73"/>
        <v>14</v>
      </c>
      <c r="DJ42" s="939"/>
      <c r="DK42" s="913">
        <f t="shared" si="74"/>
        <v>45723</v>
      </c>
      <c r="DL42" s="912">
        <f t="shared" si="75"/>
        <v>16</v>
      </c>
      <c r="DM42" s="750" t="s">
        <v>272</v>
      </c>
      <c r="DN42" s="750" t="s">
        <v>273</v>
      </c>
      <c r="DO42" s="751">
        <f t="shared" si="31"/>
        <v>39302.242527207476</v>
      </c>
      <c r="DP42" s="751">
        <f t="shared" si="32"/>
        <v>864649.33559856447</v>
      </c>
      <c r="DQ42" s="752">
        <f t="shared" si="127"/>
        <v>0.43232466779928225</v>
      </c>
      <c r="DR42" s="503"/>
      <c r="DS42" s="751">
        <f t="shared" si="128"/>
        <v>3074224.6067545544</v>
      </c>
      <c r="DT42" s="751">
        <f>'[4]INTERNAL PRICELIST'!N36</f>
        <v>2061900</v>
      </c>
      <c r="DU42" s="751">
        <f t="shared" si="33"/>
        <v>1012324.6067545544</v>
      </c>
      <c r="DV42" s="503"/>
      <c r="DW42" s="951">
        <f t="shared" si="129"/>
        <v>139737.48212520703</v>
      </c>
      <c r="DX42" s="503"/>
      <c r="DZ42" s="1010" t="s">
        <v>369</v>
      </c>
      <c r="EA42" s="1052" t="b">
        <f t="shared" si="35"/>
        <v>1</v>
      </c>
      <c r="EB42" s="1053" t="s">
        <v>370</v>
      </c>
      <c r="EC42" s="1053" t="s">
        <v>357</v>
      </c>
      <c r="ED42" s="503"/>
      <c r="EE42" s="1029"/>
      <c r="EF42" s="503"/>
      <c r="EG42" s="503"/>
      <c r="EH42" s="930"/>
      <c r="EI42" s="930"/>
      <c r="EJ42" s="503"/>
      <c r="EK42" s="503"/>
      <c r="EL42" s="503"/>
      <c r="EM42" s="503"/>
      <c r="EN42" s="503"/>
      <c r="EO42" s="503"/>
      <c r="EP42" s="503"/>
      <c r="EQ42" s="503"/>
      <c r="ER42" s="1017" t="s">
        <v>264</v>
      </c>
      <c r="ES42" s="1391" t="s">
        <v>264</v>
      </c>
      <c r="ET42" s="1018" t="b">
        <f t="shared" si="76"/>
        <v>1</v>
      </c>
      <c r="EU42" s="940"/>
      <c r="EV42" s="941"/>
      <c r="EW42" s="940"/>
      <c r="EX42" s="1019">
        <v>2874106.5421836311</v>
      </c>
      <c r="EY42" s="1019">
        <f t="shared" si="143"/>
        <v>431115.98132754466</v>
      </c>
      <c r="EZ42" s="1019">
        <f t="shared" si="144"/>
        <v>2442990.5608560862</v>
      </c>
      <c r="FA42" s="1019">
        <f t="shared" si="145"/>
        <v>287410.65421836311</v>
      </c>
      <c r="FB42" s="1019">
        <f t="shared" si="146"/>
        <v>2586695.887965268</v>
      </c>
      <c r="FC42" s="1019">
        <f t="shared" si="147"/>
        <v>143705.32710918179</v>
      </c>
      <c r="FD42" s="1020"/>
      <c r="FE42" s="1021"/>
      <c r="FF42" s="1022">
        <f t="shared" si="148"/>
        <v>2442990.5608560862</v>
      </c>
      <c r="FG42" s="1022">
        <f t="shared" si="149"/>
        <v>207654.19767276733</v>
      </c>
      <c r="FH42" s="1022">
        <f t="shared" si="161"/>
        <v>103827.09883638367</v>
      </c>
      <c r="FI42" s="1023">
        <f t="shared" si="150"/>
        <v>2586695.887965268</v>
      </c>
      <c r="FJ42" s="1023">
        <f t="shared" si="151"/>
        <v>219869.15047704781</v>
      </c>
      <c r="FK42" s="1023">
        <f t="shared" si="152"/>
        <v>109934.5752385239</v>
      </c>
      <c r="FL42" s="1019">
        <f t="shared" si="162"/>
        <v>12214.952804280474</v>
      </c>
      <c r="FM42" s="1019">
        <f t="shared" si="163"/>
        <v>6107.476402140237</v>
      </c>
      <c r="FN42" s="1019" t="str">
        <f t="shared" si="153"/>
        <v>VS</v>
      </c>
      <c r="FO42" s="1019">
        <f t="shared" si="159"/>
        <v>27537.409960060559</v>
      </c>
      <c r="FP42" s="1019">
        <f t="shared" si="164"/>
        <v>-21429.933557920322</v>
      </c>
      <c r="FQ42" s="1021"/>
      <c r="FR42" s="1021"/>
      <c r="FS42" s="1020"/>
      <c r="FT42" s="503"/>
      <c r="FU42" s="956"/>
      <c r="FV42" s="503"/>
      <c r="FW42" s="503"/>
      <c r="FX42" s="1040"/>
      <c r="FY42" s="503"/>
      <c r="FZ42" s="503"/>
      <c r="GA42" s="503"/>
      <c r="GB42" s="1059"/>
      <c r="GE42" s="1011" t="s">
        <v>371</v>
      </c>
      <c r="GF42" s="1185"/>
      <c r="GG42" s="956"/>
      <c r="GH42" s="945"/>
      <c r="GI42" s="1024">
        <f t="shared" si="78"/>
        <v>3496930.4901833055</v>
      </c>
      <c r="GJ42" s="1025">
        <f t="shared" si="79"/>
        <v>0.125</v>
      </c>
      <c r="GK42" s="1024">
        <f t="shared" si="80"/>
        <v>437116.31127291318</v>
      </c>
      <c r="GL42" s="1024">
        <f t="shared" si="81"/>
        <v>30000</v>
      </c>
      <c r="GM42" s="1024">
        <f t="shared" si="82"/>
        <v>407116.31127291318</v>
      </c>
      <c r="GN42" s="1024">
        <f t="shared" si="83"/>
        <v>1</v>
      </c>
      <c r="GO42" s="1024">
        <f t="shared" si="84"/>
        <v>407116.31127291318</v>
      </c>
      <c r="GP42" s="1025">
        <f t="shared" si="85"/>
        <v>0.875</v>
      </c>
      <c r="GQ42" s="1024">
        <f t="shared" si="86"/>
        <v>3059814.1789103923</v>
      </c>
      <c r="GR42" s="1024">
        <f t="shared" si="87"/>
        <v>23722.706761007681</v>
      </c>
      <c r="GS42" s="1024">
        <f t="shared" si="88"/>
        <v>27502.474875597669</v>
      </c>
      <c r="GT42" s="1024">
        <f t="shared" si="89"/>
        <v>35527.03710048685</v>
      </c>
      <c r="GU42" s="1024">
        <f t="shared" si="90"/>
        <v>60587.988053181267</v>
      </c>
      <c r="GV42" s="945"/>
      <c r="GW42" s="1024">
        <f t="shared" si="91"/>
        <v>3496930.4901833055</v>
      </c>
      <c r="GX42" s="1025">
        <f t="shared" si="92"/>
        <v>0.125</v>
      </c>
      <c r="GY42" s="1024">
        <f t="shared" si="93"/>
        <v>437116.31127291318</v>
      </c>
      <c r="GZ42" s="1024">
        <f t="shared" si="94"/>
        <v>30000</v>
      </c>
      <c r="HA42" s="1024">
        <f t="shared" si="95"/>
        <v>407116.31127291318</v>
      </c>
      <c r="HB42" s="1026">
        <f t="shared" si="96"/>
        <v>25</v>
      </c>
      <c r="HC42" s="1009">
        <f t="shared" si="97"/>
        <v>16284.652450916527</v>
      </c>
      <c r="HD42" s="1027">
        <f t="shared" si="98"/>
        <v>0.875</v>
      </c>
      <c r="HE42" s="1009">
        <f t="shared" si="99"/>
        <v>3059814.1789103923</v>
      </c>
      <c r="HF42" s="1008">
        <f t="shared" si="100"/>
        <v>23722.706761007681</v>
      </c>
      <c r="HG42" s="1008">
        <f t="shared" si="101"/>
        <v>27502.474875597669</v>
      </c>
      <c r="HH42" s="1008">
        <f t="shared" si="102"/>
        <v>35527.03710048685</v>
      </c>
      <c r="HI42" s="1008">
        <f t="shared" si="103"/>
        <v>60587.988053181267</v>
      </c>
      <c r="HJ42" s="945"/>
      <c r="HK42" s="1009">
        <f t="shared" si="104"/>
        <v>-390831.65882199665</v>
      </c>
      <c r="HL42" s="503"/>
      <c r="HM42" s="503"/>
      <c r="HN42" s="503"/>
      <c r="HO42" s="503"/>
      <c r="HP42" s="503"/>
      <c r="HQ42" s="503"/>
      <c r="HR42" s="956">
        <f t="shared" si="105"/>
        <v>0</v>
      </c>
      <c r="HS42" s="503"/>
      <c r="HT42" s="503"/>
      <c r="HU42" s="956"/>
      <c r="HV42" s="503"/>
      <c r="HW42" s="956"/>
      <c r="HX42" s="956"/>
      <c r="HY42" s="503"/>
      <c r="HZ42" s="503"/>
      <c r="IA42" s="503"/>
      <c r="ID42" s="1394"/>
    </row>
    <row r="43" spans="1:238" s="1051" customFormat="1" ht="14.25" hidden="1" customHeight="1">
      <c r="A43" s="1018">
        <f t="shared" si="155"/>
        <v>37</v>
      </c>
      <c r="B43" s="716" t="s">
        <v>264</v>
      </c>
      <c r="C43" s="741">
        <f t="shared" si="192"/>
        <v>7</v>
      </c>
      <c r="D43" s="716" t="s">
        <v>259</v>
      </c>
      <c r="E43" s="743" t="str">
        <f>D43</f>
        <v>4th Floor</v>
      </c>
      <c r="F43" s="1048"/>
      <c r="G43" s="745" t="s">
        <v>372</v>
      </c>
      <c r="H43" s="745" t="s">
        <v>310</v>
      </c>
      <c r="I43" s="745" t="s">
        <v>267</v>
      </c>
      <c r="J43" s="1005">
        <v>22</v>
      </c>
      <c r="K43" s="1049"/>
      <c r="L43" s="1006" t="s">
        <v>73</v>
      </c>
      <c r="M43" s="745" t="s">
        <v>240</v>
      </c>
      <c r="N43" s="1050">
        <v>95909.091</v>
      </c>
      <c r="O43" s="934">
        <f t="shared" si="132"/>
        <v>2110000.0019999999</v>
      </c>
      <c r="P43" s="934">
        <f t="shared" si="156"/>
        <v>22400</v>
      </c>
      <c r="Q43" s="934">
        <f t="shared" si="119"/>
        <v>50000</v>
      </c>
      <c r="R43" s="934"/>
      <c r="S43" s="934"/>
      <c r="T43" s="934"/>
      <c r="U43" s="934"/>
      <c r="V43" s="934"/>
      <c r="W43" s="749">
        <f>J43*$W$5</f>
        <v>22000</v>
      </c>
      <c r="X43" s="934"/>
      <c r="Y43" s="934"/>
      <c r="Z43" s="934">
        <f t="shared" si="133"/>
        <v>75000</v>
      </c>
      <c r="AA43" s="934"/>
      <c r="AB43" s="934"/>
      <c r="AC43" s="934"/>
      <c r="AD43" s="934"/>
      <c r="AE43" s="934">
        <f t="shared" si="14"/>
        <v>169400</v>
      </c>
      <c r="AF43" s="1005">
        <f t="shared" si="15"/>
        <v>2279400.0019999999</v>
      </c>
      <c r="AG43" s="1005">
        <f t="shared" si="37"/>
        <v>56985.000050000002</v>
      </c>
      <c r="AH43" s="1005">
        <f t="shared" si="38"/>
        <v>2336385.0020499998</v>
      </c>
      <c r="AI43" s="1005">
        <f t="shared" si="39"/>
        <v>58409.625051249997</v>
      </c>
      <c r="AJ43" s="1005">
        <f t="shared" si="40"/>
        <v>2394794.62710125</v>
      </c>
      <c r="AK43" s="1005">
        <f t="shared" si="41"/>
        <v>119739.73135506251</v>
      </c>
      <c r="AL43" s="1005">
        <f t="shared" si="157"/>
        <v>2514534.3584563127</v>
      </c>
      <c r="AM43" s="934">
        <f t="shared" si="43"/>
        <v>25145.343584563128</v>
      </c>
      <c r="AN43" s="934">
        <f t="shared" si="44"/>
        <v>27537.409960060559</v>
      </c>
      <c r="AO43" s="934"/>
      <c r="AP43" s="934">
        <f t="shared" si="134"/>
        <v>111106.84003559267</v>
      </c>
      <c r="AQ43" s="1005">
        <f t="shared" si="45"/>
        <v>2678323.9520365288</v>
      </c>
      <c r="AR43" s="1005">
        <f t="shared" si="46"/>
        <v>120524.5778416438</v>
      </c>
      <c r="AS43" s="1147">
        <f t="shared" si="47"/>
        <v>2798848.5298781726</v>
      </c>
      <c r="AT43" s="1148">
        <f t="shared" si="135"/>
        <v>2000000</v>
      </c>
      <c r="AU43" s="1148">
        <f t="shared" si="193"/>
        <v>36311.296812644207</v>
      </c>
      <c r="AV43" s="1148">
        <f t="shared" si="136"/>
        <v>798848.52987817256</v>
      </c>
      <c r="AW43" s="1148">
        <f t="shared" si="17"/>
        <v>95861.823585380698</v>
      </c>
      <c r="AX43" s="1148">
        <f t="shared" si="18"/>
        <v>894710.35346355324</v>
      </c>
      <c r="AY43" s="1147">
        <f t="shared" si="48"/>
        <v>2894710.3534635534</v>
      </c>
      <c r="AZ43" s="934">
        <f t="shared" si="49"/>
        <v>36183.879418294418</v>
      </c>
      <c r="BA43" s="716" t="s">
        <v>269</v>
      </c>
      <c r="BB43" s="716">
        <f t="shared" si="194"/>
        <v>2930894.2328818478</v>
      </c>
      <c r="BC43" s="716" t="s">
        <v>269</v>
      </c>
      <c r="BD43" s="716">
        <f t="shared" si="50"/>
        <v>109908.53373306929</v>
      </c>
      <c r="BE43" s="716">
        <f t="shared" si="51"/>
        <v>33600</v>
      </c>
      <c r="BF43" s="716">
        <f t="shared" si="52"/>
        <v>3074402.7666149172</v>
      </c>
      <c r="BG43" s="716"/>
      <c r="BH43" s="716">
        <f t="shared" si="53"/>
        <v>3074402.7666149172</v>
      </c>
      <c r="BI43" s="716"/>
      <c r="BJ43" s="716">
        <f t="shared" si="54"/>
        <v>3074402.7666149172</v>
      </c>
      <c r="BK43" s="716"/>
      <c r="BL43" s="716">
        <f t="shared" si="55"/>
        <v>3074402.7666149172</v>
      </c>
      <c r="BM43" s="716"/>
      <c r="BN43" s="716">
        <f t="shared" si="20"/>
        <v>3074402.7666149172</v>
      </c>
      <c r="BO43" s="716"/>
      <c r="BP43" s="716">
        <f t="shared" si="56"/>
        <v>3074402.7666149172</v>
      </c>
      <c r="BQ43" s="716"/>
      <c r="BR43" s="716">
        <f t="shared" si="57"/>
        <v>3074402.7666149172</v>
      </c>
      <c r="BS43" s="716"/>
      <c r="BT43" s="716">
        <f t="shared" si="58"/>
        <v>3074402.7666149172</v>
      </c>
      <c r="BU43" s="716"/>
      <c r="BV43" s="716">
        <f t="shared" si="21"/>
        <v>3074402.7666149172</v>
      </c>
      <c r="BW43" s="716"/>
      <c r="BX43" s="716">
        <f t="shared" si="167"/>
        <v>31400</v>
      </c>
      <c r="BY43" s="716">
        <f t="shared" si="60"/>
        <v>3105802.7666149172</v>
      </c>
      <c r="BZ43" s="716"/>
      <c r="CA43" s="716">
        <f t="shared" si="61"/>
        <v>3105802.7666149172</v>
      </c>
      <c r="CB43" s="1135">
        <f t="shared" si="121"/>
        <v>3105802.7666149172</v>
      </c>
      <c r="CC43" s="1164">
        <f t="shared" si="109"/>
        <v>3105802.7666149172</v>
      </c>
      <c r="CD43" s="1164"/>
      <c r="CE43" s="1164">
        <f t="shared" si="63"/>
        <v>0</v>
      </c>
      <c r="CF43" s="1164">
        <f t="shared" si="115"/>
        <v>0</v>
      </c>
      <c r="CG43" s="1164">
        <f t="shared" si="116"/>
        <v>0</v>
      </c>
      <c r="CH43" s="1154">
        <f t="shared" si="158"/>
        <v>3105802.7666149172</v>
      </c>
      <c r="CI43" s="935">
        <f t="shared" si="137"/>
        <v>3105802.7666149172</v>
      </c>
      <c r="CJ43" s="935">
        <f t="shared" si="64"/>
        <v>0</v>
      </c>
      <c r="CK43" s="935">
        <f t="shared" si="65"/>
        <v>318344.78357802902</v>
      </c>
      <c r="CL43" s="935">
        <f t="shared" si="66"/>
        <v>108703.09683152211</v>
      </c>
      <c r="CM43" s="1006">
        <f t="shared" si="138"/>
        <v>3532850.6470244681</v>
      </c>
      <c r="CN43" s="1007">
        <f t="shared" si="139"/>
        <v>0.125</v>
      </c>
      <c r="CO43" s="935">
        <f t="shared" si="24"/>
        <v>441606.33087805851</v>
      </c>
      <c r="CP43" s="935">
        <f t="shared" si="170"/>
        <v>30000</v>
      </c>
      <c r="CQ43" s="935">
        <f t="shared" si="25"/>
        <v>411606.33087805851</v>
      </c>
      <c r="CR43" s="745">
        <f t="shared" si="141"/>
        <v>1</v>
      </c>
      <c r="CS43" s="935">
        <f t="shared" si="26"/>
        <v>411606.33087805851</v>
      </c>
      <c r="CT43" s="1007">
        <f t="shared" si="68"/>
        <v>0.875</v>
      </c>
      <c r="CU43" s="935">
        <f t="shared" si="69"/>
        <v>3091244.3161464096</v>
      </c>
      <c r="CV43" s="1008">
        <f t="shared" si="110"/>
        <v>23966.384280462073</v>
      </c>
      <c r="CW43" s="1008">
        <f t="shared" si="70"/>
        <v>27784.977834642708</v>
      </c>
      <c r="CX43" s="1008">
        <f t="shared" si="71"/>
        <v>35891.967644097516</v>
      </c>
      <c r="CY43" s="1008">
        <f t="shared" si="72"/>
        <v>61210.342440742083</v>
      </c>
      <c r="CZ43" s="1119">
        <f t="shared" si="122"/>
        <v>251111.60136479235</v>
      </c>
      <c r="DA43" s="1119">
        <f t="shared" si="123"/>
        <v>99363.63742520845</v>
      </c>
      <c r="DB43" s="1119">
        <f t="shared" si="124"/>
        <v>71768.948005694881</v>
      </c>
      <c r="DC43" s="1119">
        <f t="shared" si="125"/>
        <v>54619.473504051763</v>
      </c>
      <c r="DD43" s="1028">
        <f t="shared" si="126"/>
        <v>0.39942426493908628</v>
      </c>
      <c r="DE43" s="1028">
        <f t="shared" si="142"/>
        <v>0</v>
      </c>
      <c r="DF43" s="1009" t="s">
        <v>270</v>
      </c>
      <c r="DG43" s="1009" t="s">
        <v>271</v>
      </c>
      <c r="DH43" s="966">
        <f t="shared" si="111"/>
        <v>45658</v>
      </c>
      <c r="DI43" s="912">
        <f t="shared" si="73"/>
        <v>14</v>
      </c>
      <c r="DJ43" s="939"/>
      <c r="DK43" s="913">
        <f t="shared" si="74"/>
        <v>45723</v>
      </c>
      <c r="DL43" s="912">
        <f t="shared" si="75"/>
        <v>16</v>
      </c>
      <c r="DM43" s="750" t="s">
        <v>272</v>
      </c>
      <c r="DN43" s="750" t="s">
        <v>273</v>
      </c>
      <c r="DO43" s="751">
        <f t="shared" si="31"/>
        <v>40668.652430161514</v>
      </c>
      <c r="DP43" s="751">
        <f t="shared" si="32"/>
        <v>894710.35346355324</v>
      </c>
      <c r="DQ43" s="752">
        <f t="shared" si="127"/>
        <v>0.4473551767317766</v>
      </c>
      <c r="DR43" s="503"/>
      <c r="DS43" s="751">
        <f t="shared" si="128"/>
        <v>3105802.7666149172</v>
      </c>
      <c r="DT43" s="751">
        <f>'[4]INTERNAL PRICELIST'!N37</f>
        <v>2061900</v>
      </c>
      <c r="DU43" s="751">
        <f t="shared" si="33"/>
        <v>1043902.7666149172</v>
      </c>
      <c r="DV43" s="503"/>
      <c r="DW43" s="951">
        <f t="shared" si="129"/>
        <v>141172.85302795077</v>
      </c>
      <c r="DX43" s="503"/>
      <c r="DZ43" s="1010" t="s">
        <v>372</v>
      </c>
      <c r="EA43" s="1052" t="b">
        <f t="shared" si="35"/>
        <v>1</v>
      </c>
      <c r="EB43" s="1053" t="s">
        <v>373</v>
      </c>
      <c r="EC43" s="1053" t="s">
        <v>357</v>
      </c>
      <c r="ED43" s="503"/>
      <c r="EE43" s="1029"/>
      <c r="EF43" s="503"/>
      <c r="EG43" s="503"/>
      <c r="EH43" s="930"/>
      <c r="EI43" s="930"/>
      <c r="EJ43" s="503"/>
      <c r="EK43" s="503"/>
      <c r="EL43" s="503"/>
      <c r="EM43" s="503"/>
      <c r="EN43" s="503"/>
      <c r="EO43" s="503"/>
      <c r="EP43" s="503"/>
      <c r="EQ43" s="503"/>
      <c r="ER43" s="1017" t="s">
        <v>264</v>
      </c>
      <c r="ES43" s="1391" t="s">
        <v>264</v>
      </c>
      <c r="ET43" s="1018" t="b">
        <f t="shared" si="76"/>
        <v>1</v>
      </c>
      <c r="EU43" s="940"/>
      <c r="EV43" s="941"/>
      <c r="EW43" s="940"/>
      <c r="EX43" s="1019">
        <v>2904753.9878586316</v>
      </c>
      <c r="EY43" s="1019">
        <f t="shared" si="143"/>
        <v>435713.09817879472</v>
      </c>
      <c r="EZ43" s="1019">
        <f t="shared" si="144"/>
        <v>2469040.889679837</v>
      </c>
      <c r="FA43" s="1019">
        <f t="shared" si="145"/>
        <v>290475.39878586319</v>
      </c>
      <c r="FB43" s="1019">
        <f t="shared" si="146"/>
        <v>2614278.5890727686</v>
      </c>
      <c r="FC43" s="1019">
        <f t="shared" si="147"/>
        <v>145237.69939293154</v>
      </c>
      <c r="FD43" s="1020"/>
      <c r="FE43" s="1021"/>
      <c r="FF43" s="1022">
        <f t="shared" si="148"/>
        <v>2469040.889679837</v>
      </c>
      <c r="FG43" s="1022">
        <f t="shared" si="149"/>
        <v>209868.47562278615</v>
      </c>
      <c r="FH43" s="1022">
        <f t="shared" si="161"/>
        <v>104934.23781139308</v>
      </c>
      <c r="FI43" s="1023">
        <f t="shared" si="150"/>
        <v>2614278.5890727686</v>
      </c>
      <c r="FJ43" s="1023">
        <f t="shared" si="151"/>
        <v>222213.68007118534</v>
      </c>
      <c r="FK43" s="1023">
        <f t="shared" si="152"/>
        <v>111106.84003559267</v>
      </c>
      <c r="FL43" s="1019">
        <f t="shared" si="162"/>
        <v>12345.204448399192</v>
      </c>
      <c r="FM43" s="1019">
        <f t="shared" si="163"/>
        <v>6172.6022241995961</v>
      </c>
      <c r="FN43" s="1019" t="str">
        <f t="shared" si="153"/>
        <v>VS</v>
      </c>
      <c r="FO43" s="1019">
        <f t="shared" si="159"/>
        <v>27537.409960060559</v>
      </c>
      <c r="FP43" s="1019">
        <f t="shared" si="164"/>
        <v>-21364.807735860963</v>
      </c>
      <c r="FQ43" s="1021"/>
      <c r="FR43" s="1021"/>
      <c r="FS43" s="1020"/>
      <c r="FT43" s="503"/>
      <c r="FU43" s="956"/>
      <c r="FV43" s="503"/>
      <c r="FW43" s="503"/>
      <c r="FX43" s="1040"/>
      <c r="FY43" s="503"/>
      <c r="FZ43" s="503"/>
      <c r="GA43" s="503"/>
      <c r="GB43" s="1059"/>
      <c r="GE43" s="1011" t="s">
        <v>374</v>
      </c>
      <c r="GF43" s="1185"/>
      <c r="GG43" s="956"/>
      <c r="GH43" s="945"/>
      <c r="GI43" s="1024">
        <f t="shared" si="78"/>
        <v>3532850.6470244681</v>
      </c>
      <c r="GJ43" s="1025">
        <f t="shared" si="79"/>
        <v>0.125</v>
      </c>
      <c r="GK43" s="1024">
        <f t="shared" si="80"/>
        <v>441606.33087805851</v>
      </c>
      <c r="GL43" s="1024">
        <f t="shared" si="81"/>
        <v>30000</v>
      </c>
      <c r="GM43" s="1024">
        <f t="shared" si="82"/>
        <v>411606.33087805851</v>
      </c>
      <c r="GN43" s="1024">
        <f t="shared" si="83"/>
        <v>1</v>
      </c>
      <c r="GO43" s="1024">
        <f t="shared" si="84"/>
        <v>411606.33087805851</v>
      </c>
      <c r="GP43" s="1025">
        <f t="shared" si="85"/>
        <v>0.875</v>
      </c>
      <c r="GQ43" s="1024">
        <f t="shared" si="86"/>
        <v>3091244.3161464096</v>
      </c>
      <c r="GR43" s="1024">
        <f t="shared" si="87"/>
        <v>23966.384280462073</v>
      </c>
      <c r="GS43" s="1024">
        <f t="shared" si="88"/>
        <v>27784.977834642708</v>
      </c>
      <c r="GT43" s="1024">
        <f t="shared" si="89"/>
        <v>35891.967644097516</v>
      </c>
      <c r="GU43" s="1024">
        <f t="shared" si="90"/>
        <v>61210.342440742083</v>
      </c>
      <c r="GV43" s="945"/>
      <c r="GW43" s="1024">
        <f t="shared" si="91"/>
        <v>3532850.6470244681</v>
      </c>
      <c r="GX43" s="1025">
        <f t="shared" si="92"/>
        <v>0.125</v>
      </c>
      <c r="GY43" s="1024">
        <f t="shared" si="93"/>
        <v>441606.33087805851</v>
      </c>
      <c r="GZ43" s="1024">
        <f t="shared" si="94"/>
        <v>30000</v>
      </c>
      <c r="HA43" s="1024">
        <f t="shared" si="95"/>
        <v>411606.33087805851</v>
      </c>
      <c r="HB43" s="1026">
        <f t="shared" si="96"/>
        <v>25</v>
      </c>
      <c r="HC43" s="1009">
        <f t="shared" si="97"/>
        <v>16464.253235122342</v>
      </c>
      <c r="HD43" s="1027">
        <f t="shared" si="98"/>
        <v>0.875</v>
      </c>
      <c r="HE43" s="1009">
        <f t="shared" si="99"/>
        <v>3091244.3161464096</v>
      </c>
      <c r="HF43" s="1008">
        <f t="shared" si="100"/>
        <v>23966.384280462073</v>
      </c>
      <c r="HG43" s="1008">
        <f t="shared" si="101"/>
        <v>27784.977834642708</v>
      </c>
      <c r="HH43" s="1008">
        <f t="shared" si="102"/>
        <v>35891.967644097516</v>
      </c>
      <c r="HI43" s="1008">
        <f t="shared" si="103"/>
        <v>61210.342440742083</v>
      </c>
      <c r="HJ43" s="945"/>
      <c r="HK43" s="1009">
        <f t="shared" si="104"/>
        <v>-395142.07764293614</v>
      </c>
      <c r="HL43" s="503"/>
      <c r="HM43" s="503"/>
      <c r="HN43" s="503"/>
      <c r="HO43" s="503"/>
      <c r="HP43" s="503"/>
      <c r="HQ43" s="503"/>
      <c r="HR43" s="956">
        <f t="shared" si="105"/>
        <v>0</v>
      </c>
      <c r="HS43" s="503"/>
      <c r="HT43" s="503"/>
      <c r="HU43" s="956"/>
      <c r="HV43" s="503"/>
      <c r="HW43" s="956"/>
      <c r="HX43" s="956"/>
      <c r="HY43" s="503"/>
      <c r="HZ43" s="503"/>
      <c r="IA43" s="503"/>
      <c r="ID43" s="1394"/>
    </row>
    <row r="44" spans="1:238" s="1051" customFormat="1" ht="14.25" hidden="1" customHeight="1">
      <c r="A44" s="1018">
        <f t="shared" si="155"/>
        <v>38</v>
      </c>
      <c r="B44" s="716" t="s">
        <v>264</v>
      </c>
      <c r="C44" s="741">
        <f t="shared" si="192"/>
        <v>8</v>
      </c>
      <c r="D44" s="716" t="s">
        <v>259</v>
      </c>
      <c r="E44" s="743" t="str">
        <f t="shared" si="36"/>
        <v>4th Floor</v>
      </c>
      <c r="F44" s="1048"/>
      <c r="G44" s="745" t="s">
        <v>375</v>
      </c>
      <c r="H44" s="745" t="s">
        <v>316</v>
      </c>
      <c r="I44" s="745" t="s">
        <v>267</v>
      </c>
      <c r="J44" s="1005">
        <v>22</v>
      </c>
      <c r="K44" s="1049"/>
      <c r="L44" s="1006" t="s">
        <v>268</v>
      </c>
      <c r="M44" s="745" t="s">
        <v>65</v>
      </c>
      <c r="N44" s="1050">
        <v>95909.091</v>
      </c>
      <c r="O44" s="934">
        <f t="shared" si="132"/>
        <v>2110000.0019999999</v>
      </c>
      <c r="P44" s="934">
        <f t="shared" si="156"/>
        <v>22400</v>
      </c>
      <c r="Q44" s="934">
        <f t="shared" si="119"/>
        <v>50000</v>
      </c>
      <c r="R44" s="934"/>
      <c r="S44" s="934"/>
      <c r="T44" s="934"/>
      <c r="U44" s="934"/>
      <c r="V44" s="749">
        <f>J44*$V$5</f>
        <v>55000</v>
      </c>
      <c r="W44" s="934"/>
      <c r="X44" s="934"/>
      <c r="Y44" s="934"/>
      <c r="Z44" s="934">
        <f t="shared" si="133"/>
        <v>75000</v>
      </c>
      <c r="AA44" s="934"/>
      <c r="AB44" s="934"/>
      <c r="AC44" s="934"/>
      <c r="AD44" s="934"/>
      <c r="AE44" s="934">
        <f t="shared" si="14"/>
        <v>202400</v>
      </c>
      <c r="AF44" s="1005">
        <f t="shared" si="15"/>
        <v>2312400.0019999999</v>
      </c>
      <c r="AG44" s="1005">
        <f t="shared" si="37"/>
        <v>57810.000050000002</v>
      </c>
      <c r="AH44" s="1005">
        <f t="shared" si="38"/>
        <v>2370210.0020499998</v>
      </c>
      <c r="AI44" s="1005">
        <f t="shared" si="39"/>
        <v>59255.250051249997</v>
      </c>
      <c r="AJ44" s="1005">
        <f t="shared" si="40"/>
        <v>2429465.25210125</v>
      </c>
      <c r="AK44" s="1005">
        <f t="shared" si="41"/>
        <v>121473.26260506251</v>
      </c>
      <c r="AL44" s="1005">
        <f t="shared" si="157"/>
        <v>2550938.5147063127</v>
      </c>
      <c r="AM44" s="934">
        <f t="shared" si="43"/>
        <v>25509.385147063127</v>
      </c>
      <c r="AN44" s="934">
        <f t="shared" si="44"/>
        <v>27537.409960060559</v>
      </c>
      <c r="AO44" s="934"/>
      <c r="AP44" s="934">
        <f t="shared" si="134"/>
        <v>115067.59339020263</v>
      </c>
      <c r="AQ44" s="1005">
        <f t="shared" si="45"/>
        <v>2719052.9032036387</v>
      </c>
      <c r="AR44" s="1005">
        <f t="shared" si="46"/>
        <v>122357.38064416374</v>
      </c>
      <c r="AS44" s="1147">
        <f t="shared" si="47"/>
        <v>2841410.2838478023</v>
      </c>
      <c r="AT44" s="1148">
        <f t="shared" si="135"/>
        <v>2000000</v>
      </c>
      <c r="AU44" s="1148">
        <f t="shared" si="193"/>
        <v>38245.921993081924</v>
      </c>
      <c r="AV44" s="1148">
        <f t="shared" si="136"/>
        <v>841410.28384780232</v>
      </c>
      <c r="AW44" s="1148">
        <f t="shared" si="17"/>
        <v>100969.23406173628</v>
      </c>
      <c r="AX44" s="1148">
        <f t="shared" si="18"/>
        <v>942379.51790953858</v>
      </c>
      <c r="AY44" s="1147">
        <f t="shared" si="48"/>
        <v>2942379.5179095385</v>
      </c>
      <c r="AZ44" s="934">
        <f t="shared" si="49"/>
        <v>36779.743973869234</v>
      </c>
      <c r="BA44" s="716" t="s">
        <v>269</v>
      </c>
      <c r="BB44" s="716">
        <f t="shared" si="194"/>
        <v>2979159.2618834078</v>
      </c>
      <c r="BC44" s="716" t="s">
        <v>269</v>
      </c>
      <c r="BD44" s="716">
        <f t="shared" si="50"/>
        <v>111718.47232062778</v>
      </c>
      <c r="BE44" s="716">
        <f t="shared" si="51"/>
        <v>33600</v>
      </c>
      <c r="BF44" s="716">
        <f t="shared" si="52"/>
        <v>3124477.7342040357</v>
      </c>
      <c r="BG44" s="716"/>
      <c r="BH44" s="716">
        <f t="shared" si="53"/>
        <v>3124477.7342040357</v>
      </c>
      <c r="BI44" s="716"/>
      <c r="BJ44" s="716">
        <f t="shared" si="54"/>
        <v>3124477.7342040357</v>
      </c>
      <c r="BK44" s="716"/>
      <c r="BL44" s="716">
        <f t="shared" si="55"/>
        <v>3124477.7342040357</v>
      </c>
      <c r="BM44" s="716"/>
      <c r="BN44" s="716">
        <f t="shared" si="20"/>
        <v>3124477.7342040357</v>
      </c>
      <c r="BO44" s="716"/>
      <c r="BP44" s="716">
        <f t="shared" si="56"/>
        <v>3124477.7342040357</v>
      </c>
      <c r="BQ44" s="716"/>
      <c r="BR44" s="716">
        <f t="shared" si="57"/>
        <v>3124477.7342040357</v>
      </c>
      <c r="BS44" s="716"/>
      <c r="BT44" s="716">
        <f t="shared" si="58"/>
        <v>3124477.7342040357</v>
      </c>
      <c r="BU44" s="716"/>
      <c r="BV44" s="716">
        <f t="shared" si="21"/>
        <v>3124477.7342040357</v>
      </c>
      <c r="BW44" s="716"/>
      <c r="BX44" s="716">
        <f t="shared" si="167"/>
        <v>31400</v>
      </c>
      <c r="BY44" s="716">
        <f t="shared" si="60"/>
        <v>3155877.7342040357</v>
      </c>
      <c r="BZ44" s="716"/>
      <c r="CA44" s="716">
        <f t="shared" si="61"/>
        <v>3155877.7342040357</v>
      </c>
      <c r="CB44" s="1135">
        <f t="shared" si="121"/>
        <v>3155877.7342040357</v>
      </c>
      <c r="CC44" s="1164">
        <f t="shared" si="109"/>
        <v>3155877.7342040357</v>
      </c>
      <c r="CD44" s="1164"/>
      <c r="CE44" s="1164">
        <f t="shared" si="63"/>
        <v>0</v>
      </c>
      <c r="CF44" s="1164">
        <f t="shared" si="115"/>
        <v>0</v>
      </c>
      <c r="CG44" s="1164">
        <f t="shared" si="116"/>
        <v>0</v>
      </c>
      <c r="CH44" s="1154">
        <f t="shared" si="158"/>
        <v>3155877.7342040357</v>
      </c>
      <c r="CI44" s="935">
        <f t="shared" si="137"/>
        <v>3155877.7342040357</v>
      </c>
      <c r="CJ44" s="935">
        <f t="shared" si="64"/>
        <v>0</v>
      </c>
      <c r="CK44" s="935">
        <f t="shared" si="65"/>
        <v>323477.46775591362</v>
      </c>
      <c r="CL44" s="935">
        <f t="shared" si="66"/>
        <v>110455.72069714127</v>
      </c>
      <c r="CM44" s="1006">
        <f t="shared" si="138"/>
        <v>3589810.9226570907</v>
      </c>
      <c r="CN44" s="1007">
        <f t="shared" si="139"/>
        <v>0.125</v>
      </c>
      <c r="CO44" s="935">
        <f t="shared" si="24"/>
        <v>448726.36533213634</v>
      </c>
      <c r="CP44" s="935">
        <f t="shared" si="170"/>
        <v>30000</v>
      </c>
      <c r="CQ44" s="935">
        <f t="shared" si="25"/>
        <v>418726.36533213634</v>
      </c>
      <c r="CR44" s="745">
        <f t="shared" si="141"/>
        <v>1</v>
      </c>
      <c r="CS44" s="935">
        <f t="shared" si="26"/>
        <v>418726.36533213634</v>
      </c>
      <c r="CT44" s="1007">
        <f t="shared" si="68"/>
        <v>0.875</v>
      </c>
      <c r="CU44" s="935">
        <f t="shared" si="69"/>
        <v>3141084.5573249543</v>
      </c>
      <c r="CV44" s="1008">
        <f t="shared" si="110"/>
        <v>24352.79513982921</v>
      </c>
      <c r="CW44" s="1008">
        <f t="shared" si="70"/>
        <v>28232.956012616498</v>
      </c>
      <c r="CX44" s="1008">
        <f t="shared" si="71"/>
        <v>36470.655104810539</v>
      </c>
      <c r="CY44" s="1008">
        <f t="shared" si="72"/>
        <v>62197.238951617357</v>
      </c>
      <c r="CZ44" s="1119">
        <f t="shared" si="122"/>
        <v>255160.28257364413</v>
      </c>
      <c r="DA44" s="1119">
        <f t="shared" si="123"/>
        <v>100965.68085729262</v>
      </c>
      <c r="DB44" s="1119">
        <f t="shared" si="124"/>
        <v>72926.081286636385</v>
      </c>
      <c r="DC44" s="1119">
        <f t="shared" si="125"/>
        <v>55500.105202513136</v>
      </c>
      <c r="DD44" s="1028">
        <f t="shared" si="126"/>
        <v>0.42070514192390118</v>
      </c>
      <c r="DE44" s="1028">
        <f t="shared" si="142"/>
        <v>0</v>
      </c>
      <c r="DF44" s="1009" t="s">
        <v>270</v>
      </c>
      <c r="DG44" s="1009" t="s">
        <v>271</v>
      </c>
      <c r="DH44" s="966">
        <f t="shared" si="111"/>
        <v>45658</v>
      </c>
      <c r="DI44" s="912">
        <f t="shared" si="73"/>
        <v>14</v>
      </c>
      <c r="DJ44" s="939"/>
      <c r="DK44" s="913">
        <f t="shared" si="74"/>
        <v>45723</v>
      </c>
      <c r="DL44" s="912">
        <f t="shared" si="75"/>
        <v>16</v>
      </c>
      <c r="DM44" s="750" t="s">
        <v>272</v>
      </c>
      <c r="DN44" s="750" t="s">
        <v>273</v>
      </c>
      <c r="DO44" s="751">
        <f t="shared" si="31"/>
        <v>42835.432632251752</v>
      </c>
      <c r="DP44" s="751">
        <f t="shared" si="32"/>
        <v>942379.51790953858</v>
      </c>
      <c r="DQ44" s="752">
        <f t="shared" si="127"/>
        <v>0.47118975895476928</v>
      </c>
      <c r="DR44" s="503"/>
      <c r="DS44" s="751">
        <f t="shared" si="128"/>
        <v>3155877.7342040357</v>
      </c>
      <c r="DT44" s="751">
        <f>'[4]INTERNAL PRICELIST'!N38</f>
        <v>2061900</v>
      </c>
      <c r="DU44" s="751">
        <f t="shared" si="33"/>
        <v>1093977.7342040357</v>
      </c>
      <c r="DV44" s="503"/>
      <c r="DW44" s="951">
        <f t="shared" si="129"/>
        <v>143448.98791836525</v>
      </c>
      <c r="DX44" s="503"/>
      <c r="DZ44" s="1010" t="s">
        <v>375</v>
      </c>
      <c r="EA44" s="1052" t="b">
        <f t="shared" si="35"/>
        <v>1</v>
      </c>
      <c r="EB44" s="1053" t="s">
        <v>376</v>
      </c>
      <c r="EC44" s="1053" t="s">
        <v>357</v>
      </c>
      <c r="ED44" s="503"/>
      <c r="EE44" s="1029"/>
      <c r="EF44" s="503"/>
      <c r="EG44" s="503"/>
      <c r="EH44" s="930"/>
      <c r="EI44" s="930"/>
      <c r="EJ44" s="503"/>
      <c r="EK44" s="503"/>
      <c r="EL44" s="503"/>
      <c r="EM44" s="503"/>
      <c r="EN44" s="503"/>
      <c r="EO44" s="503"/>
      <c r="EP44" s="503"/>
      <c r="EQ44" s="503"/>
      <c r="ER44" s="1017" t="s">
        <v>264</v>
      </c>
      <c r="ES44" s="1391" t="s">
        <v>264</v>
      </c>
      <c r="ET44" s="1018" t="b">
        <f t="shared" si="76"/>
        <v>1</v>
      </c>
      <c r="EU44" s="940"/>
      <c r="EV44" s="941"/>
      <c r="EW44" s="940"/>
      <c r="EX44" s="1019">
        <v>3008303.0951686958</v>
      </c>
      <c r="EY44" s="1019">
        <f t="shared" si="143"/>
        <v>451245.46427530434</v>
      </c>
      <c r="EZ44" s="1019">
        <f t="shared" si="144"/>
        <v>2557057.6308933916</v>
      </c>
      <c r="FA44" s="1019">
        <f t="shared" si="145"/>
        <v>300830.3095168696</v>
      </c>
      <c r="FB44" s="1019">
        <f t="shared" si="146"/>
        <v>2707472.7856518263</v>
      </c>
      <c r="FC44" s="1019">
        <f t="shared" si="147"/>
        <v>150415.15475843474</v>
      </c>
      <c r="FD44" s="1020"/>
      <c r="FE44" s="1021"/>
      <c r="FF44" s="1022">
        <f t="shared" si="148"/>
        <v>2557057.6308933916</v>
      </c>
      <c r="FG44" s="1022">
        <f t="shared" si="149"/>
        <v>217349.89862593831</v>
      </c>
      <c r="FH44" s="1022">
        <f t="shared" si="161"/>
        <v>108674.94931296915</v>
      </c>
      <c r="FI44" s="1023">
        <f t="shared" si="150"/>
        <v>2707472.7856518263</v>
      </c>
      <c r="FJ44" s="1023">
        <f t="shared" si="151"/>
        <v>230135.18678040526</v>
      </c>
      <c r="FK44" s="1023">
        <f t="shared" si="152"/>
        <v>115067.59339020263</v>
      </c>
      <c r="FL44" s="1019">
        <f t="shared" si="162"/>
        <v>12785.288154466951</v>
      </c>
      <c r="FM44" s="1019">
        <f t="shared" si="163"/>
        <v>6392.6440772334754</v>
      </c>
      <c r="FN44" s="1019" t="str">
        <f t="shared" si="153"/>
        <v>VS</v>
      </c>
      <c r="FO44" s="1019">
        <f t="shared" si="159"/>
        <v>27537.409960060559</v>
      </c>
      <c r="FP44" s="1019">
        <f t="shared" si="164"/>
        <v>-21144.765882827083</v>
      </c>
      <c r="FQ44" s="1021"/>
      <c r="FR44" s="1021"/>
      <c r="FS44" s="1020"/>
      <c r="FT44" s="503"/>
      <c r="FU44" s="956"/>
      <c r="FV44" s="503"/>
      <c r="FW44" s="503"/>
      <c r="FX44" s="1040"/>
      <c r="FY44" s="503"/>
      <c r="FZ44" s="503"/>
      <c r="GA44" s="503"/>
      <c r="GB44" s="1059"/>
      <c r="GE44" s="1011" t="s">
        <v>377</v>
      </c>
      <c r="GF44" s="1185"/>
      <c r="GG44" s="956"/>
      <c r="GH44" s="945"/>
      <c r="GI44" s="1024">
        <f t="shared" si="78"/>
        <v>3589810.9226570907</v>
      </c>
      <c r="GJ44" s="1025">
        <f t="shared" si="79"/>
        <v>0.125</v>
      </c>
      <c r="GK44" s="1024">
        <f t="shared" si="80"/>
        <v>448726.36533213634</v>
      </c>
      <c r="GL44" s="1024">
        <f t="shared" si="81"/>
        <v>30000</v>
      </c>
      <c r="GM44" s="1024">
        <f t="shared" si="82"/>
        <v>418726.36533213634</v>
      </c>
      <c r="GN44" s="1024">
        <f t="shared" si="83"/>
        <v>1</v>
      </c>
      <c r="GO44" s="1024">
        <f t="shared" si="84"/>
        <v>418726.36533213634</v>
      </c>
      <c r="GP44" s="1025">
        <f t="shared" si="85"/>
        <v>0.875</v>
      </c>
      <c r="GQ44" s="1024">
        <f t="shared" si="86"/>
        <v>3141084.5573249543</v>
      </c>
      <c r="GR44" s="1024">
        <f t="shared" si="87"/>
        <v>24352.79513982921</v>
      </c>
      <c r="GS44" s="1024">
        <f t="shared" si="88"/>
        <v>28232.956012616498</v>
      </c>
      <c r="GT44" s="1024">
        <f t="shared" si="89"/>
        <v>36470.655104810539</v>
      </c>
      <c r="GU44" s="1024">
        <f t="shared" si="90"/>
        <v>62197.238951617357</v>
      </c>
      <c r="GV44" s="945"/>
      <c r="GW44" s="1024">
        <f t="shared" si="91"/>
        <v>3589810.9226570907</v>
      </c>
      <c r="GX44" s="1025">
        <f t="shared" si="92"/>
        <v>0.125</v>
      </c>
      <c r="GY44" s="1024">
        <f t="shared" si="93"/>
        <v>448726.36533213634</v>
      </c>
      <c r="GZ44" s="1024">
        <f t="shared" si="94"/>
        <v>30000</v>
      </c>
      <c r="HA44" s="1024">
        <f t="shared" si="95"/>
        <v>418726.36533213634</v>
      </c>
      <c r="HB44" s="1026">
        <f t="shared" si="96"/>
        <v>25</v>
      </c>
      <c r="HC44" s="1009">
        <f t="shared" si="97"/>
        <v>16749.054613285454</v>
      </c>
      <c r="HD44" s="1027">
        <f t="shared" si="98"/>
        <v>0.875</v>
      </c>
      <c r="HE44" s="1009">
        <f t="shared" si="99"/>
        <v>3141084.5573249543</v>
      </c>
      <c r="HF44" s="1008">
        <f t="shared" si="100"/>
        <v>24352.79513982921</v>
      </c>
      <c r="HG44" s="1008">
        <f t="shared" si="101"/>
        <v>28232.956012616498</v>
      </c>
      <c r="HH44" s="1008">
        <f t="shared" si="102"/>
        <v>36470.655104810539</v>
      </c>
      <c r="HI44" s="1008">
        <f t="shared" si="103"/>
        <v>62197.238951617357</v>
      </c>
      <c r="HJ44" s="945"/>
      <c r="HK44" s="1009">
        <f t="shared" si="104"/>
        <v>-401977.31071885087</v>
      </c>
      <c r="HL44" s="503"/>
      <c r="HM44" s="503"/>
      <c r="HN44" s="503"/>
      <c r="HO44" s="503"/>
      <c r="HP44" s="503"/>
      <c r="HQ44" s="503"/>
      <c r="HR44" s="956">
        <f t="shared" si="105"/>
        <v>0</v>
      </c>
      <c r="HS44" s="503"/>
      <c r="HT44" s="503"/>
      <c r="HU44" s="956"/>
      <c r="HV44" s="503"/>
      <c r="HW44" s="956"/>
      <c r="HX44" s="956"/>
      <c r="HY44" s="503"/>
      <c r="HZ44" s="503"/>
      <c r="IA44" s="503"/>
      <c r="ID44" s="1394"/>
    </row>
    <row r="45" spans="1:238" s="1051" customFormat="1" ht="14.25" hidden="1" customHeight="1">
      <c r="A45" s="1018">
        <f t="shared" si="155"/>
        <v>39</v>
      </c>
      <c r="B45" s="716" t="s">
        <v>264</v>
      </c>
      <c r="C45" s="741">
        <f t="shared" si="192"/>
        <v>9</v>
      </c>
      <c r="D45" s="716" t="s">
        <v>259</v>
      </c>
      <c r="E45" s="743" t="str">
        <f t="shared" si="36"/>
        <v>4th Floor</v>
      </c>
      <c r="F45" s="1048"/>
      <c r="G45" s="745" t="s">
        <v>378</v>
      </c>
      <c r="H45" s="745" t="s">
        <v>321</v>
      </c>
      <c r="I45" s="745" t="s">
        <v>267</v>
      </c>
      <c r="J45" s="1005">
        <v>22</v>
      </c>
      <c r="K45" s="1049"/>
      <c r="L45" s="1006" t="s">
        <v>268</v>
      </c>
      <c r="M45" s="745" t="s">
        <v>79</v>
      </c>
      <c r="N45" s="1050">
        <v>95909.091</v>
      </c>
      <c r="O45" s="934">
        <f t="shared" si="132"/>
        <v>2110000.0019999999</v>
      </c>
      <c r="P45" s="934">
        <f t="shared" si="156"/>
        <v>22400</v>
      </c>
      <c r="Q45" s="934">
        <f t="shared" si="119"/>
        <v>50000</v>
      </c>
      <c r="R45" s="934"/>
      <c r="S45" s="934"/>
      <c r="T45" s="934"/>
      <c r="U45" s="934"/>
      <c r="V45" s="934"/>
      <c r="W45" s="934"/>
      <c r="X45" s="934"/>
      <c r="Y45" s="934"/>
      <c r="Z45" s="934">
        <f t="shared" si="133"/>
        <v>75000</v>
      </c>
      <c r="AA45" s="934"/>
      <c r="AB45" s="934"/>
      <c r="AC45" s="934"/>
      <c r="AD45" s="934"/>
      <c r="AE45" s="934">
        <f t="shared" si="14"/>
        <v>147400</v>
      </c>
      <c r="AF45" s="1005">
        <f t="shared" si="15"/>
        <v>2257400.0019999999</v>
      </c>
      <c r="AG45" s="1005">
        <f t="shared" si="37"/>
        <v>56435.000050000002</v>
      </c>
      <c r="AH45" s="1005">
        <f t="shared" si="38"/>
        <v>2313835.0020499998</v>
      </c>
      <c r="AI45" s="1005">
        <f t="shared" si="39"/>
        <v>57845.875051249997</v>
      </c>
      <c r="AJ45" s="1005">
        <f t="shared" si="40"/>
        <v>2371680.87710125</v>
      </c>
      <c r="AK45" s="1005">
        <f t="shared" si="41"/>
        <v>118584.04385506251</v>
      </c>
      <c r="AL45" s="1005">
        <f t="shared" si="157"/>
        <v>2490264.9209563127</v>
      </c>
      <c r="AM45" s="934">
        <f t="shared" si="43"/>
        <v>24902.649209563126</v>
      </c>
      <c r="AN45" s="934">
        <f t="shared" si="44"/>
        <v>27537.409960060559</v>
      </c>
      <c r="AO45" s="934"/>
      <c r="AP45" s="934">
        <f t="shared" si="134"/>
        <v>109934.5752385239</v>
      </c>
      <c r="AQ45" s="1005">
        <f t="shared" si="45"/>
        <v>2652639.5553644602</v>
      </c>
      <c r="AR45" s="1005">
        <f t="shared" si="46"/>
        <v>119368.7799914007</v>
      </c>
      <c r="AS45" s="1147">
        <f t="shared" si="47"/>
        <v>2772008.3353558611</v>
      </c>
      <c r="AT45" s="1148">
        <f t="shared" si="135"/>
        <v>2000000</v>
      </c>
      <c r="AU45" s="1148">
        <f t="shared" si="193"/>
        <v>35091.287970720958</v>
      </c>
      <c r="AV45" s="1148">
        <f t="shared" si="136"/>
        <v>772008.33535586111</v>
      </c>
      <c r="AW45" s="1148">
        <f t="shared" si="17"/>
        <v>92641.000242703332</v>
      </c>
      <c r="AX45" s="1148">
        <f t="shared" si="18"/>
        <v>864649.33559856447</v>
      </c>
      <c r="AY45" s="1147">
        <f t="shared" si="48"/>
        <v>2864649.3355985642</v>
      </c>
      <c r="AZ45" s="934">
        <f t="shared" si="49"/>
        <v>35808.116694982054</v>
      </c>
      <c r="BA45" s="716" t="s">
        <v>269</v>
      </c>
      <c r="BB45" s="716">
        <f t="shared" si="194"/>
        <v>2900457.4522935464</v>
      </c>
      <c r="BC45" s="716" t="s">
        <v>269</v>
      </c>
      <c r="BD45" s="716">
        <f t="shared" si="50"/>
        <v>108767.15446100799</v>
      </c>
      <c r="BE45" s="716">
        <f t="shared" si="51"/>
        <v>33600</v>
      </c>
      <c r="BF45" s="716">
        <f t="shared" si="52"/>
        <v>3042824.6067545544</v>
      </c>
      <c r="BG45" s="716"/>
      <c r="BH45" s="716">
        <f t="shared" si="53"/>
        <v>3042824.6067545544</v>
      </c>
      <c r="BI45" s="716"/>
      <c r="BJ45" s="716">
        <f t="shared" si="54"/>
        <v>3042824.6067545544</v>
      </c>
      <c r="BK45" s="716"/>
      <c r="BL45" s="716">
        <f t="shared" si="55"/>
        <v>3042824.6067545544</v>
      </c>
      <c r="BM45" s="716"/>
      <c r="BN45" s="716">
        <f t="shared" si="20"/>
        <v>3042824.6067545544</v>
      </c>
      <c r="BO45" s="716"/>
      <c r="BP45" s="716">
        <f t="shared" si="56"/>
        <v>3042824.6067545544</v>
      </c>
      <c r="BQ45" s="716"/>
      <c r="BR45" s="716">
        <f t="shared" si="57"/>
        <v>3042824.6067545544</v>
      </c>
      <c r="BS45" s="716"/>
      <c r="BT45" s="716">
        <f t="shared" si="58"/>
        <v>3042824.6067545544</v>
      </c>
      <c r="BU45" s="716"/>
      <c r="BV45" s="716">
        <f t="shared" si="21"/>
        <v>3042824.6067545544</v>
      </c>
      <c r="BW45" s="716"/>
      <c r="BX45" s="716">
        <f t="shared" si="167"/>
        <v>31400</v>
      </c>
      <c r="BY45" s="716">
        <f t="shared" si="60"/>
        <v>3074224.6067545544</v>
      </c>
      <c r="BZ45" s="716"/>
      <c r="CA45" s="716">
        <f t="shared" si="61"/>
        <v>3074224.6067545544</v>
      </c>
      <c r="CB45" s="1135">
        <f t="shared" si="121"/>
        <v>3074224.6067545544</v>
      </c>
      <c r="CC45" s="1164">
        <f t="shared" si="109"/>
        <v>3074224.6067545544</v>
      </c>
      <c r="CD45" s="1164"/>
      <c r="CE45" s="1164">
        <f t="shared" si="63"/>
        <v>0</v>
      </c>
      <c r="CF45" s="1164">
        <f t="shared" si="115"/>
        <v>0</v>
      </c>
      <c r="CG45" s="1164">
        <f t="shared" si="116"/>
        <v>0</v>
      </c>
      <c r="CH45" s="1154">
        <f t="shared" si="158"/>
        <v>3074224.6067545544</v>
      </c>
      <c r="CI45" s="935">
        <f t="shared" si="137"/>
        <v>3074224.6067545544</v>
      </c>
      <c r="CJ45" s="935">
        <f t="shared" si="64"/>
        <v>0</v>
      </c>
      <c r="CK45" s="935">
        <f t="shared" si="65"/>
        <v>315108.0221923418</v>
      </c>
      <c r="CL45" s="935">
        <f t="shared" si="66"/>
        <v>107597.86123640942</v>
      </c>
      <c r="CM45" s="1006">
        <f t="shared" si="138"/>
        <v>3496930.4901833055</v>
      </c>
      <c r="CN45" s="1007">
        <f t="shared" si="139"/>
        <v>0.125</v>
      </c>
      <c r="CO45" s="935">
        <f t="shared" si="24"/>
        <v>437116.31127291318</v>
      </c>
      <c r="CP45" s="935">
        <f t="shared" si="170"/>
        <v>30000</v>
      </c>
      <c r="CQ45" s="935">
        <f t="shared" si="25"/>
        <v>407116.31127291318</v>
      </c>
      <c r="CR45" s="745">
        <f t="shared" si="141"/>
        <v>1</v>
      </c>
      <c r="CS45" s="935">
        <f t="shared" si="26"/>
        <v>407116.31127291318</v>
      </c>
      <c r="CT45" s="1007">
        <f t="shared" si="68"/>
        <v>0.875</v>
      </c>
      <c r="CU45" s="935">
        <f t="shared" si="69"/>
        <v>3059814.1789103923</v>
      </c>
      <c r="CV45" s="1008">
        <f t="shared" si="110"/>
        <v>23722.706761007681</v>
      </c>
      <c r="CW45" s="1008">
        <f t="shared" si="70"/>
        <v>27502.474875597669</v>
      </c>
      <c r="CX45" s="1008">
        <f t="shared" si="71"/>
        <v>35527.03710048685</v>
      </c>
      <c r="CY45" s="1008">
        <f t="shared" si="72"/>
        <v>60587.988053181267</v>
      </c>
      <c r="CZ45" s="1119">
        <f t="shared" si="122"/>
        <v>248558.43141597047</v>
      </c>
      <c r="DA45" s="1119">
        <f t="shared" si="123"/>
        <v>98353.36051366452</v>
      </c>
      <c r="DB45" s="1119">
        <f t="shared" si="124"/>
        <v>71039.239301235197</v>
      </c>
      <c r="DC45" s="1119">
        <f t="shared" si="125"/>
        <v>54064.131585904252</v>
      </c>
      <c r="DD45" s="1028">
        <f t="shared" si="126"/>
        <v>0.38600416767793055</v>
      </c>
      <c r="DE45" s="1028">
        <f t="shared" si="142"/>
        <v>0</v>
      </c>
      <c r="DF45" s="1009" t="s">
        <v>270</v>
      </c>
      <c r="DG45" s="1009" t="s">
        <v>271</v>
      </c>
      <c r="DH45" s="966">
        <f t="shared" si="111"/>
        <v>45658</v>
      </c>
      <c r="DI45" s="912">
        <f t="shared" si="73"/>
        <v>14</v>
      </c>
      <c r="DJ45" s="939"/>
      <c r="DK45" s="913">
        <f t="shared" si="74"/>
        <v>45723</v>
      </c>
      <c r="DL45" s="912">
        <f t="shared" si="75"/>
        <v>16</v>
      </c>
      <c r="DM45" s="750" t="s">
        <v>272</v>
      </c>
      <c r="DN45" s="750" t="s">
        <v>273</v>
      </c>
      <c r="DO45" s="751">
        <f t="shared" si="31"/>
        <v>39302.242527207476</v>
      </c>
      <c r="DP45" s="751">
        <f t="shared" si="32"/>
        <v>864649.33559856447</v>
      </c>
      <c r="DQ45" s="752">
        <f t="shared" si="127"/>
        <v>0.43232466779928225</v>
      </c>
      <c r="DR45" s="503"/>
      <c r="DS45" s="751">
        <f t="shared" si="128"/>
        <v>3074224.6067545544</v>
      </c>
      <c r="DT45" s="751">
        <f>'[4]INTERNAL PRICELIST'!N39</f>
        <v>2061900</v>
      </c>
      <c r="DU45" s="751">
        <f t="shared" si="33"/>
        <v>1012324.6067545544</v>
      </c>
      <c r="DV45" s="503"/>
      <c r="DW45" s="951">
        <f t="shared" si="129"/>
        <v>139737.48212520703</v>
      </c>
      <c r="DX45" s="503"/>
      <c r="DZ45" s="1010" t="s">
        <v>378</v>
      </c>
      <c r="EA45" s="1052" t="b">
        <f t="shared" si="35"/>
        <v>1</v>
      </c>
      <c r="EB45" s="1053" t="s">
        <v>379</v>
      </c>
      <c r="EC45" s="1053" t="s">
        <v>357</v>
      </c>
      <c r="ED45" s="503"/>
      <c r="EE45" s="1029"/>
      <c r="EF45" s="503"/>
      <c r="EG45" s="503"/>
      <c r="EH45" s="930"/>
      <c r="EI45" s="930"/>
      <c r="EJ45" s="503"/>
      <c r="EK45" s="503"/>
      <c r="EL45" s="503"/>
      <c r="EM45" s="503"/>
      <c r="EN45" s="503"/>
      <c r="EO45" s="503"/>
      <c r="EP45" s="503"/>
      <c r="EQ45" s="503"/>
      <c r="ER45" s="1017" t="s">
        <v>264</v>
      </c>
      <c r="ES45" s="1391" t="s">
        <v>264</v>
      </c>
      <c r="ET45" s="1018" t="b">
        <f t="shared" si="76"/>
        <v>1</v>
      </c>
      <c r="EU45" s="940"/>
      <c r="EV45" s="941"/>
      <c r="EW45" s="940"/>
      <c r="EX45" s="1019">
        <v>2874106.5421836311</v>
      </c>
      <c r="EY45" s="1019">
        <f t="shared" si="143"/>
        <v>431115.98132754466</v>
      </c>
      <c r="EZ45" s="1019">
        <f t="shared" si="144"/>
        <v>2442990.5608560862</v>
      </c>
      <c r="FA45" s="1019">
        <f t="shared" si="145"/>
        <v>287410.65421836311</v>
      </c>
      <c r="FB45" s="1019">
        <f t="shared" si="146"/>
        <v>2586695.887965268</v>
      </c>
      <c r="FC45" s="1019">
        <f t="shared" si="147"/>
        <v>143705.32710918179</v>
      </c>
      <c r="FD45" s="1020"/>
      <c r="FE45" s="1021"/>
      <c r="FF45" s="1022">
        <f t="shared" si="148"/>
        <v>2442990.5608560862</v>
      </c>
      <c r="FG45" s="1022">
        <f t="shared" si="149"/>
        <v>207654.19767276733</v>
      </c>
      <c r="FH45" s="1022">
        <f t="shared" si="161"/>
        <v>103827.09883638367</v>
      </c>
      <c r="FI45" s="1023">
        <f t="shared" si="150"/>
        <v>2586695.887965268</v>
      </c>
      <c r="FJ45" s="1023">
        <f t="shared" si="151"/>
        <v>219869.15047704781</v>
      </c>
      <c r="FK45" s="1023">
        <f t="shared" si="152"/>
        <v>109934.5752385239</v>
      </c>
      <c r="FL45" s="1019">
        <f t="shared" si="162"/>
        <v>12214.952804280474</v>
      </c>
      <c r="FM45" s="1019">
        <f t="shared" si="163"/>
        <v>6107.476402140237</v>
      </c>
      <c r="FN45" s="1019" t="str">
        <f t="shared" si="153"/>
        <v>VS</v>
      </c>
      <c r="FO45" s="1019">
        <f t="shared" si="159"/>
        <v>27537.409960060559</v>
      </c>
      <c r="FP45" s="1019">
        <f t="shared" si="164"/>
        <v>-21429.933557920322</v>
      </c>
      <c r="FQ45" s="1021"/>
      <c r="FR45" s="1021"/>
      <c r="FS45" s="1020"/>
      <c r="FT45" s="503"/>
      <c r="FU45" s="956"/>
      <c r="FV45" s="503"/>
      <c r="FW45" s="503"/>
      <c r="FX45" s="1040"/>
      <c r="FY45" s="503"/>
      <c r="FZ45" s="503"/>
      <c r="GA45" s="503"/>
      <c r="GB45" s="1059"/>
      <c r="GE45" s="1011" t="s">
        <v>380</v>
      </c>
      <c r="GF45" s="1185"/>
      <c r="GG45" s="956"/>
      <c r="GH45" s="945"/>
      <c r="GI45" s="1024">
        <f t="shared" si="78"/>
        <v>3496930.4901833055</v>
      </c>
      <c r="GJ45" s="1025">
        <f t="shared" si="79"/>
        <v>0.125</v>
      </c>
      <c r="GK45" s="1024">
        <f t="shared" si="80"/>
        <v>437116.31127291318</v>
      </c>
      <c r="GL45" s="1024">
        <f t="shared" si="81"/>
        <v>30000</v>
      </c>
      <c r="GM45" s="1024">
        <f t="shared" si="82"/>
        <v>407116.31127291318</v>
      </c>
      <c r="GN45" s="1024">
        <f t="shared" si="83"/>
        <v>1</v>
      </c>
      <c r="GO45" s="1024">
        <f t="shared" si="84"/>
        <v>407116.31127291318</v>
      </c>
      <c r="GP45" s="1025">
        <f t="shared" si="85"/>
        <v>0.875</v>
      </c>
      <c r="GQ45" s="1024">
        <f t="shared" si="86"/>
        <v>3059814.1789103923</v>
      </c>
      <c r="GR45" s="1024">
        <f t="shared" si="87"/>
        <v>23722.706761007681</v>
      </c>
      <c r="GS45" s="1024">
        <f t="shared" si="88"/>
        <v>27502.474875597669</v>
      </c>
      <c r="GT45" s="1024">
        <f t="shared" si="89"/>
        <v>35527.03710048685</v>
      </c>
      <c r="GU45" s="1024">
        <f t="shared" si="90"/>
        <v>60587.988053181267</v>
      </c>
      <c r="GV45" s="945"/>
      <c r="GW45" s="1024">
        <f t="shared" si="91"/>
        <v>3496930.4901833055</v>
      </c>
      <c r="GX45" s="1025">
        <f t="shared" si="92"/>
        <v>0.125</v>
      </c>
      <c r="GY45" s="1024">
        <f t="shared" si="93"/>
        <v>437116.31127291318</v>
      </c>
      <c r="GZ45" s="1024">
        <f t="shared" si="94"/>
        <v>30000</v>
      </c>
      <c r="HA45" s="1024">
        <f t="shared" si="95"/>
        <v>407116.31127291318</v>
      </c>
      <c r="HB45" s="1026">
        <f t="shared" si="96"/>
        <v>25</v>
      </c>
      <c r="HC45" s="1009">
        <f t="shared" si="97"/>
        <v>16284.652450916527</v>
      </c>
      <c r="HD45" s="1027">
        <f t="shared" si="98"/>
        <v>0.875</v>
      </c>
      <c r="HE45" s="1009">
        <f t="shared" si="99"/>
        <v>3059814.1789103923</v>
      </c>
      <c r="HF45" s="1008">
        <f t="shared" si="100"/>
        <v>23722.706761007681</v>
      </c>
      <c r="HG45" s="1008">
        <f t="shared" si="101"/>
        <v>27502.474875597669</v>
      </c>
      <c r="HH45" s="1008">
        <f t="shared" si="102"/>
        <v>35527.03710048685</v>
      </c>
      <c r="HI45" s="1008">
        <f t="shared" si="103"/>
        <v>60587.988053181267</v>
      </c>
      <c r="HJ45" s="945"/>
      <c r="HK45" s="1009">
        <f t="shared" si="104"/>
        <v>-390831.65882199665</v>
      </c>
      <c r="HL45" s="503"/>
      <c r="HM45" s="503"/>
      <c r="HN45" s="503"/>
      <c r="HO45" s="503"/>
      <c r="HP45" s="503"/>
      <c r="HQ45" s="503"/>
      <c r="HR45" s="956">
        <f t="shared" si="105"/>
        <v>0</v>
      </c>
      <c r="HS45" s="503"/>
      <c r="HT45" s="503"/>
      <c r="HU45" s="956"/>
      <c r="HV45" s="503"/>
      <c r="HW45" s="956"/>
      <c r="HX45" s="956"/>
      <c r="HY45" s="503"/>
      <c r="HZ45" s="503"/>
      <c r="IA45" s="503"/>
      <c r="ID45" s="1394"/>
    </row>
    <row r="46" spans="1:238" s="1051" customFormat="1" ht="14.25" hidden="1" customHeight="1">
      <c r="A46" s="1018">
        <f t="shared" si="155"/>
        <v>40</v>
      </c>
      <c r="B46" s="716" t="s">
        <v>264</v>
      </c>
      <c r="C46" s="741">
        <f t="shared" si="192"/>
        <v>10</v>
      </c>
      <c r="D46" s="716" t="s">
        <v>259</v>
      </c>
      <c r="E46" s="743" t="str">
        <f t="shared" si="36"/>
        <v>4th Floor</v>
      </c>
      <c r="F46" s="1048"/>
      <c r="G46" s="745" t="s">
        <v>381</v>
      </c>
      <c r="H46" s="745" t="s">
        <v>325</v>
      </c>
      <c r="I46" s="745" t="s">
        <v>267</v>
      </c>
      <c r="J46" s="1005">
        <v>22</v>
      </c>
      <c r="K46" s="1049"/>
      <c r="L46" s="1006" t="s">
        <v>268</v>
      </c>
      <c r="M46" s="745" t="s">
        <v>79</v>
      </c>
      <c r="N46" s="1050">
        <v>95909.091</v>
      </c>
      <c r="O46" s="934">
        <f t="shared" si="132"/>
        <v>2110000.0019999999</v>
      </c>
      <c r="P46" s="934">
        <f t="shared" si="156"/>
        <v>22400</v>
      </c>
      <c r="Q46" s="934">
        <f t="shared" si="119"/>
        <v>50000</v>
      </c>
      <c r="R46" s="934"/>
      <c r="S46" s="934"/>
      <c r="T46" s="934"/>
      <c r="U46" s="934"/>
      <c r="V46" s="934"/>
      <c r="W46" s="934"/>
      <c r="X46" s="934"/>
      <c r="Y46" s="934"/>
      <c r="Z46" s="934">
        <f t="shared" si="133"/>
        <v>75000</v>
      </c>
      <c r="AA46" s="934"/>
      <c r="AB46" s="934"/>
      <c r="AC46" s="934"/>
      <c r="AD46" s="934"/>
      <c r="AE46" s="934">
        <f t="shared" si="14"/>
        <v>147400</v>
      </c>
      <c r="AF46" s="1005">
        <f t="shared" si="15"/>
        <v>2257400.0019999999</v>
      </c>
      <c r="AG46" s="1005">
        <f t="shared" si="37"/>
        <v>56435.000050000002</v>
      </c>
      <c r="AH46" s="1005">
        <f t="shared" si="38"/>
        <v>2313835.0020499998</v>
      </c>
      <c r="AI46" s="1005">
        <f t="shared" si="39"/>
        <v>57845.875051249997</v>
      </c>
      <c r="AJ46" s="1005">
        <f t="shared" si="40"/>
        <v>2371680.87710125</v>
      </c>
      <c r="AK46" s="1005">
        <f t="shared" si="41"/>
        <v>118584.04385506251</v>
      </c>
      <c r="AL46" s="1005">
        <f t="shared" si="157"/>
        <v>2490264.9209563127</v>
      </c>
      <c r="AM46" s="934">
        <f t="shared" si="43"/>
        <v>24902.649209563126</v>
      </c>
      <c r="AN46" s="934">
        <f t="shared" si="44"/>
        <v>27537.409960060559</v>
      </c>
      <c r="AO46" s="934"/>
      <c r="AP46" s="934">
        <f t="shared" si="134"/>
        <v>109934.5752385239</v>
      </c>
      <c r="AQ46" s="1005">
        <f t="shared" si="45"/>
        <v>2652639.5553644602</v>
      </c>
      <c r="AR46" s="1005">
        <f t="shared" si="46"/>
        <v>119368.7799914007</v>
      </c>
      <c r="AS46" s="1147">
        <f t="shared" si="47"/>
        <v>2772008.3353558611</v>
      </c>
      <c r="AT46" s="1148">
        <f t="shared" si="135"/>
        <v>2000000</v>
      </c>
      <c r="AU46" s="1148">
        <f t="shared" si="193"/>
        <v>35091.287970720958</v>
      </c>
      <c r="AV46" s="1148">
        <f t="shared" si="136"/>
        <v>772008.33535586111</v>
      </c>
      <c r="AW46" s="1148">
        <f t="shared" si="17"/>
        <v>92641.000242703332</v>
      </c>
      <c r="AX46" s="1148">
        <f t="shared" si="18"/>
        <v>864649.33559856447</v>
      </c>
      <c r="AY46" s="1147">
        <f t="shared" si="48"/>
        <v>2864649.3355985642</v>
      </c>
      <c r="AZ46" s="934">
        <f t="shared" si="49"/>
        <v>35808.116694982054</v>
      </c>
      <c r="BA46" s="716" t="s">
        <v>269</v>
      </c>
      <c r="BB46" s="716">
        <f t="shared" si="194"/>
        <v>2900457.4522935464</v>
      </c>
      <c r="BC46" s="716" t="s">
        <v>269</v>
      </c>
      <c r="BD46" s="716">
        <f t="shared" si="50"/>
        <v>108767.15446100799</v>
      </c>
      <c r="BE46" s="716">
        <f t="shared" si="51"/>
        <v>33600</v>
      </c>
      <c r="BF46" s="716">
        <f t="shared" si="52"/>
        <v>3042824.6067545544</v>
      </c>
      <c r="BG46" s="716"/>
      <c r="BH46" s="716">
        <f t="shared" si="53"/>
        <v>3042824.6067545544</v>
      </c>
      <c r="BI46" s="716"/>
      <c r="BJ46" s="716">
        <f t="shared" si="54"/>
        <v>3042824.6067545544</v>
      </c>
      <c r="BK46" s="716"/>
      <c r="BL46" s="716">
        <f t="shared" si="55"/>
        <v>3042824.6067545544</v>
      </c>
      <c r="BM46" s="716"/>
      <c r="BN46" s="716">
        <f t="shared" si="20"/>
        <v>3042824.6067545544</v>
      </c>
      <c r="BO46" s="716"/>
      <c r="BP46" s="716">
        <f t="shared" si="56"/>
        <v>3042824.6067545544</v>
      </c>
      <c r="BQ46" s="716"/>
      <c r="BR46" s="716">
        <f t="shared" si="57"/>
        <v>3042824.6067545544</v>
      </c>
      <c r="BS46" s="716"/>
      <c r="BT46" s="716">
        <f t="shared" si="58"/>
        <v>3042824.6067545544</v>
      </c>
      <c r="BU46" s="716"/>
      <c r="BV46" s="716">
        <f t="shared" si="21"/>
        <v>3042824.6067545544</v>
      </c>
      <c r="BW46" s="716"/>
      <c r="BX46" s="716">
        <f t="shared" si="167"/>
        <v>31400</v>
      </c>
      <c r="BY46" s="716">
        <f t="shared" si="60"/>
        <v>3074224.6067545544</v>
      </c>
      <c r="BZ46" s="716"/>
      <c r="CA46" s="716">
        <f t="shared" si="61"/>
        <v>3074224.6067545544</v>
      </c>
      <c r="CB46" s="1135">
        <f t="shared" si="121"/>
        <v>3074224.6067545544</v>
      </c>
      <c r="CC46" s="1164">
        <f t="shared" si="109"/>
        <v>3074224.6067545544</v>
      </c>
      <c r="CD46" s="1164"/>
      <c r="CE46" s="1164">
        <f t="shared" si="63"/>
        <v>0</v>
      </c>
      <c r="CF46" s="1164">
        <f t="shared" si="115"/>
        <v>0</v>
      </c>
      <c r="CG46" s="1164">
        <f t="shared" si="116"/>
        <v>0</v>
      </c>
      <c r="CH46" s="1154">
        <f t="shared" si="158"/>
        <v>3074224.6067545544</v>
      </c>
      <c r="CI46" s="935">
        <f t="shared" si="137"/>
        <v>3074224.6067545544</v>
      </c>
      <c r="CJ46" s="935">
        <f t="shared" si="64"/>
        <v>0</v>
      </c>
      <c r="CK46" s="935">
        <f t="shared" si="65"/>
        <v>315108.0221923418</v>
      </c>
      <c r="CL46" s="935">
        <f t="shared" si="66"/>
        <v>107597.86123640942</v>
      </c>
      <c r="CM46" s="1006">
        <f t="shared" si="138"/>
        <v>3496930.4901833055</v>
      </c>
      <c r="CN46" s="1007">
        <f t="shared" si="139"/>
        <v>0.125</v>
      </c>
      <c r="CO46" s="935">
        <f t="shared" si="24"/>
        <v>437116.31127291318</v>
      </c>
      <c r="CP46" s="935">
        <f t="shared" si="170"/>
        <v>30000</v>
      </c>
      <c r="CQ46" s="935">
        <f t="shared" si="25"/>
        <v>407116.31127291318</v>
      </c>
      <c r="CR46" s="745">
        <f t="shared" si="141"/>
        <v>1</v>
      </c>
      <c r="CS46" s="935">
        <f t="shared" si="26"/>
        <v>407116.31127291318</v>
      </c>
      <c r="CT46" s="1007">
        <f t="shared" si="68"/>
        <v>0.875</v>
      </c>
      <c r="CU46" s="935">
        <f t="shared" si="69"/>
        <v>3059814.1789103923</v>
      </c>
      <c r="CV46" s="1008">
        <f t="shared" si="110"/>
        <v>23722.706761007681</v>
      </c>
      <c r="CW46" s="1008">
        <f t="shared" si="70"/>
        <v>27502.474875597669</v>
      </c>
      <c r="CX46" s="1008">
        <f t="shared" si="71"/>
        <v>35527.03710048685</v>
      </c>
      <c r="CY46" s="1008">
        <f t="shared" si="72"/>
        <v>60587.988053181267</v>
      </c>
      <c r="CZ46" s="1119">
        <f t="shared" si="122"/>
        <v>248558.43141597047</v>
      </c>
      <c r="DA46" s="1119">
        <f t="shared" si="123"/>
        <v>98353.36051366452</v>
      </c>
      <c r="DB46" s="1119">
        <f t="shared" si="124"/>
        <v>71039.239301235197</v>
      </c>
      <c r="DC46" s="1119">
        <f t="shared" si="125"/>
        <v>54064.131585904252</v>
      </c>
      <c r="DD46" s="1028">
        <f t="shared" si="126"/>
        <v>0.38600416767793055</v>
      </c>
      <c r="DE46" s="1028">
        <f t="shared" si="142"/>
        <v>0</v>
      </c>
      <c r="DF46" s="1009" t="s">
        <v>270</v>
      </c>
      <c r="DG46" s="1009" t="s">
        <v>271</v>
      </c>
      <c r="DH46" s="966">
        <f t="shared" si="111"/>
        <v>45658</v>
      </c>
      <c r="DI46" s="912">
        <f t="shared" si="73"/>
        <v>14</v>
      </c>
      <c r="DJ46" s="939"/>
      <c r="DK46" s="913">
        <f t="shared" si="74"/>
        <v>45723</v>
      </c>
      <c r="DL46" s="912">
        <f t="shared" si="75"/>
        <v>16</v>
      </c>
      <c r="DM46" s="750" t="s">
        <v>272</v>
      </c>
      <c r="DN46" s="750" t="s">
        <v>273</v>
      </c>
      <c r="DO46" s="751">
        <f t="shared" si="31"/>
        <v>39302.242527207476</v>
      </c>
      <c r="DP46" s="751">
        <f t="shared" si="32"/>
        <v>864649.33559856447</v>
      </c>
      <c r="DQ46" s="752">
        <f t="shared" si="127"/>
        <v>0.43232466779928225</v>
      </c>
      <c r="DR46" s="503"/>
      <c r="DS46" s="751">
        <f t="shared" si="128"/>
        <v>3074224.6067545544</v>
      </c>
      <c r="DT46" s="751">
        <f>'[4]INTERNAL PRICELIST'!N40</f>
        <v>2061900</v>
      </c>
      <c r="DU46" s="751">
        <f t="shared" si="33"/>
        <v>1012324.6067545544</v>
      </c>
      <c r="DV46" s="503"/>
      <c r="DW46" s="951">
        <f t="shared" si="129"/>
        <v>139737.48212520703</v>
      </c>
      <c r="DX46" s="503"/>
      <c r="DZ46" s="1010" t="s">
        <v>381</v>
      </c>
      <c r="EA46" s="1052" t="b">
        <f t="shared" si="35"/>
        <v>1</v>
      </c>
      <c r="EB46" s="1053" t="s">
        <v>382</v>
      </c>
      <c r="EC46" s="1053" t="s">
        <v>357</v>
      </c>
      <c r="ED46" s="503"/>
      <c r="EE46" s="1029"/>
      <c r="EF46" s="503"/>
      <c r="EG46" s="503"/>
      <c r="EH46" s="930"/>
      <c r="EI46" s="930"/>
      <c r="EJ46" s="503"/>
      <c r="EK46" s="503"/>
      <c r="EL46" s="503"/>
      <c r="EM46" s="503"/>
      <c r="EN46" s="503"/>
      <c r="EO46" s="503"/>
      <c r="EP46" s="503"/>
      <c r="EQ46" s="503"/>
      <c r="ER46" s="1017" t="s">
        <v>264</v>
      </c>
      <c r="ES46" s="1391" t="s">
        <v>264</v>
      </c>
      <c r="ET46" s="1018" t="b">
        <f t="shared" si="76"/>
        <v>1</v>
      </c>
      <c r="EU46" s="940"/>
      <c r="EV46" s="941"/>
      <c r="EW46" s="940"/>
      <c r="EX46" s="1019">
        <v>2874106.5421836311</v>
      </c>
      <c r="EY46" s="1019">
        <f t="shared" si="143"/>
        <v>431115.98132754466</v>
      </c>
      <c r="EZ46" s="1019">
        <f t="shared" si="144"/>
        <v>2442990.5608560862</v>
      </c>
      <c r="FA46" s="1019">
        <f t="shared" si="145"/>
        <v>287410.65421836311</v>
      </c>
      <c r="FB46" s="1019">
        <f t="shared" si="146"/>
        <v>2586695.887965268</v>
      </c>
      <c r="FC46" s="1019">
        <f t="shared" si="147"/>
        <v>143705.32710918179</v>
      </c>
      <c r="FD46" s="1020"/>
      <c r="FE46" s="1021"/>
      <c r="FF46" s="1022">
        <f t="shared" si="148"/>
        <v>2442990.5608560862</v>
      </c>
      <c r="FG46" s="1022">
        <f t="shared" si="149"/>
        <v>207654.19767276733</v>
      </c>
      <c r="FH46" s="1022">
        <f t="shared" si="161"/>
        <v>103827.09883638367</v>
      </c>
      <c r="FI46" s="1023">
        <f t="shared" si="150"/>
        <v>2586695.887965268</v>
      </c>
      <c r="FJ46" s="1023">
        <f t="shared" si="151"/>
        <v>219869.15047704781</v>
      </c>
      <c r="FK46" s="1023">
        <f t="shared" si="152"/>
        <v>109934.5752385239</v>
      </c>
      <c r="FL46" s="1019">
        <f t="shared" si="162"/>
        <v>12214.952804280474</v>
      </c>
      <c r="FM46" s="1019">
        <f t="shared" si="163"/>
        <v>6107.476402140237</v>
      </c>
      <c r="FN46" s="1019" t="str">
        <f t="shared" si="153"/>
        <v>VS</v>
      </c>
      <c r="FO46" s="1019">
        <f t="shared" si="159"/>
        <v>27537.409960060559</v>
      </c>
      <c r="FP46" s="1019">
        <f t="shared" si="164"/>
        <v>-21429.933557920322</v>
      </c>
      <c r="FQ46" s="1021"/>
      <c r="FR46" s="1021"/>
      <c r="FS46" s="1020"/>
      <c r="FT46" s="503"/>
      <c r="FU46" s="956"/>
      <c r="FV46" s="503"/>
      <c r="FW46" s="503"/>
      <c r="FX46" s="1040"/>
      <c r="FY46" s="503"/>
      <c r="FZ46" s="503"/>
      <c r="GA46" s="503"/>
      <c r="GB46" s="1059"/>
      <c r="GE46" s="1011" t="s">
        <v>383</v>
      </c>
      <c r="GF46" s="1185"/>
      <c r="GG46" s="956"/>
      <c r="GH46" s="945"/>
      <c r="GI46" s="1024">
        <f t="shared" si="78"/>
        <v>3496930.4901833055</v>
      </c>
      <c r="GJ46" s="1025">
        <f t="shared" si="79"/>
        <v>0.125</v>
      </c>
      <c r="GK46" s="1024">
        <f t="shared" si="80"/>
        <v>437116.31127291318</v>
      </c>
      <c r="GL46" s="1024">
        <f t="shared" si="81"/>
        <v>30000</v>
      </c>
      <c r="GM46" s="1024">
        <f t="shared" si="82"/>
        <v>407116.31127291318</v>
      </c>
      <c r="GN46" s="1024">
        <f t="shared" si="83"/>
        <v>1</v>
      </c>
      <c r="GO46" s="1024">
        <f t="shared" si="84"/>
        <v>407116.31127291318</v>
      </c>
      <c r="GP46" s="1025">
        <f t="shared" si="85"/>
        <v>0.875</v>
      </c>
      <c r="GQ46" s="1024">
        <f t="shared" si="86"/>
        <v>3059814.1789103923</v>
      </c>
      <c r="GR46" s="1024">
        <f t="shared" si="87"/>
        <v>23722.706761007681</v>
      </c>
      <c r="GS46" s="1024">
        <f t="shared" si="88"/>
        <v>27502.474875597669</v>
      </c>
      <c r="GT46" s="1024">
        <f t="shared" si="89"/>
        <v>35527.03710048685</v>
      </c>
      <c r="GU46" s="1024">
        <f t="shared" si="90"/>
        <v>60587.988053181267</v>
      </c>
      <c r="GV46" s="945"/>
      <c r="GW46" s="1024">
        <f t="shared" si="91"/>
        <v>3496930.4901833055</v>
      </c>
      <c r="GX46" s="1025">
        <f t="shared" si="92"/>
        <v>0.125</v>
      </c>
      <c r="GY46" s="1024">
        <f t="shared" si="93"/>
        <v>437116.31127291318</v>
      </c>
      <c r="GZ46" s="1024">
        <f t="shared" si="94"/>
        <v>30000</v>
      </c>
      <c r="HA46" s="1024">
        <f t="shared" si="95"/>
        <v>407116.31127291318</v>
      </c>
      <c r="HB46" s="1026">
        <f t="shared" si="96"/>
        <v>25</v>
      </c>
      <c r="HC46" s="1009">
        <f t="shared" si="97"/>
        <v>16284.652450916527</v>
      </c>
      <c r="HD46" s="1027">
        <f t="shared" si="98"/>
        <v>0.875</v>
      </c>
      <c r="HE46" s="1009">
        <f t="shared" si="99"/>
        <v>3059814.1789103923</v>
      </c>
      <c r="HF46" s="1008">
        <f t="shared" si="100"/>
        <v>23722.706761007681</v>
      </c>
      <c r="HG46" s="1008">
        <f t="shared" si="101"/>
        <v>27502.474875597669</v>
      </c>
      <c r="HH46" s="1008">
        <f t="shared" si="102"/>
        <v>35527.03710048685</v>
      </c>
      <c r="HI46" s="1008">
        <f t="shared" si="103"/>
        <v>60587.988053181267</v>
      </c>
      <c r="HJ46" s="945"/>
      <c r="HK46" s="1009">
        <f t="shared" si="104"/>
        <v>-390831.65882199665</v>
      </c>
      <c r="HL46" s="503"/>
      <c r="HM46" s="503"/>
      <c r="HN46" s="503"/>
      <c r="HO46" s="503"/>
      <c r="HP46" s="503"/>
      <c r="HQ46" s="503"/>
      <c r="HR46" s="956">
        <f t="shared" si="105"/>
        <v>0</v>
      </c>
      <c r="HS46" s="503"/>
      <c r="HT46" s="503"/>
      <c r="HU46" s="956"/>
      <c r="HV46" s="503"/>
      <c r="HW46" s="956"/>
      <c r="HX46" s="956"/>
      <c r="HY46" s="503"/>
      <c r="HZ46" s="503"/>
      <c r="IA46" s="503"/>
      <c r="ID46" s="1394"/>
    </row>
    <row r="47" spans="1:238" s="1051" customFormat="1" ht="14.25" hidden="1" customHeight="1">
      <c r="A47" s="1018">
        <f t="shared" si="155"/>
        <v>41</v>
      </c>
      <c r="B47" s="716" t="s">
        <v>264</v>
      </c>
      <c r="C47" s="741">
        <f t="shared" si="192"/>
        <v>11</v>
      </c>
      <c r="D47" s="716" t="s">
        <v>259</v>
      </c>
      <c r="E47" s="743" t="str">
        <f t="shared" si="36"/>
        <v>4th Floor</v>
      </c>
      <c r="F47" s="1048"/>
      <c r="G47" s="745" t="s">
        <v>384</v>
      </c>
      <c r="H47" s="745" t="s">
        <v>328</v>
      </c>
      <c r="I47" s="745" t="s">
        <v>267</v>
      </c>
      <c r="J47" s="1005">
        <v>22</v>
      </c>
      <c r="K47" s="1049"/>
      <c r="L47" s="1006" t="s">
        <v>268</v>
      </c>
      <c r="M47" s="745" t="s">
        <v>79</v>
      </c>
      <c r="N47" s="1050">
        <v>95909.091</v>
      </c>
      <c r="O47" s="934">
        <f t="shared" si="132"/>
        <v>2110000.0019999999</v>
      </c>
      <c r="P47" s="934">
        <f t="shared" si="156"/>
        <v>22400</v>
      </c>
      <c r="Q47" s="934">
        <f t="shared" si="119"/>
        <v>50000</v>
      </c>
      <c r="R47" s="934"/>
      <c r="S47" s="934"/>
      <c r="T47" s="934"/>
      <c r="U47" s="934"/>
      <c r="V47" s="749"/>
      <c r="W47" s="934"/>
      <c r="X47" s="934"/>
      <c r="Y47" s="934"/>
      <c r="Z47" s="934">
        <f t="shared" si="133"/>
        <v>75000</v>
      </c>
      <c r="AA47" s="934"/>
      <c r="AB47" s="934"/>
      <c r="AC47" s="934"/>
      <c r="AD47" s="934"/>
      <c r="AE47" s="934">
        <f t="shared" si="14"/>
        <v>147400</v>
      </c>
      <c r="AF47" s="1005">
        <f t="shared" si="15"/>
        <v>2257400.0019999999</v>
      </c>
      <c r="AG47" s="1005">
        <f t="shared" si="37"/>
        <v>56435.000050000002</v>
      </c>
      <c r="AH47" s="1005">
        <f t="shared" si="38"/>
        <v>2313835.0020499998</v>
      </c>
      <c r="AI47" s="1005">
        <f t="shared" si="39"/>
        <v>57845.875051249997</v>
      </c>
      <c r="AJ47" s="1005">
        <f t="shared" si="40"/>
        <v>2371680.87710125</v>
      </c>
      <c r="AK47" s="1005">
        <f t="shared" si="41"/>
        <v>118584.04385506251</v>
      </c>
      <c r="AL47" s="1005">
        <f t="shared" si="157"/>
        <v>2490264.9209563127</v>
      </c>
      <c r="AM47" s="934">
        <f t="shared" si="43"/>
        <v>24902.649209563126</v>
      </c>
      <c r="AN47" s="934">
        <f t="shared" si="44"/>
        <v>27537.409960060559</v>
      </c>
      <c r="AO47" s="934"/>
      <c r="AP47" s="934">
        <f t="shared" si="134"/>
        <v>109934.5752385239</v>
      </c>
      <c r="AQ47" s="1005">
        <f t="shared" si="45"/>
        <v>2652639.5553644602</v>
      </c>
      <c r="AR47" s="1005">
        <f t="shared" si="46"/>
        <v>119368.7799914007</v>
      </c>
      <c r="AS47" s="1147">
        <f t="shared" si="47"/>
        <v>2772008.3353558611</v>
      </c>
      <c r="AT47" s="1148">
        <f t="shared" si="135"/>
        <v>2000000</v>
      </c>
      <c r="AU47" s="1148">
        <f t="shared" si="193"/>
        <v>35091.287970720958</v>
      </c>
      <c r="AV47" s="1148">
        <f t="shared" si="136"/>
        <v>772008.33535586111</v>
      </c>
      <c r="AW47" s="1148">
        <f t="shared" si="17"/>
        <v>92641.000242703332</v>
      </c>
      <c r="AX47" s="1148">
        <f t="shared" si="18"/>
        <v>864649.33559856447</v>
      </c>
      <c r="AY47" s="1147">
        <f t="shared" si="48"/>
        <v>2864649.3355985642</v>
      </c>
      <c r="AZ47" s="934">
        <f t="shared" si="49"/>
        <v>35808.116694982054</v>
      </c>
      <c r="BA47" s="716" t="s">
        <v>269</v>
      </c>
      <c r="BB47" s="716">
        <f t="shared" si="194"/>
        <v>2900457.4522935464</v>
      </c>
      <c r="BC47" s="716" t="s">
        <v>269</v>
      </c>
      <c r="BD47" s="716">
        <f t="shared" si="50"/>
        <v>108767.15446100799</v>
      </c>
      <c r="BE47" s="716">
        <f t="shared" si="51"/>
        <v>33600</v>
      </c>
      <c r="BF47" s="716">
        <f t="shared" si="52"/>
        <v>3042824.6067545544</v>
      </c>
      <c r="BG47" s="716"/>
      <c r="BH47" s="716">
        <f t="shared" si="53"/>
        <v>3042824.6067545544</v>
      </c>
      <c r="BI47" s="716"/>
      <c r="BJ47" s="716">
        <f t="shared" si="54"/>
        <v>3042824.6067545544</v>
      </c>
      <c r="BK47" s="716"/>
      <c r="BL47" s="716">
        <f t="shared" si="55"/>
        <v>3042824.6067545544</v>
      </c>
      <c r="BM47" s="716"/>
      <c r="BN47" s="716">
        <f t="shared" si="20"/>
        <v>3042824.6067545544</v>
      </c>
      <c r="BO47" s="716"/>
      <c r="BP47" s="716">
        <f t="shared" si="56"/>
        <v>3042824.6067545544</v>
      </c>
      <c r="BQ47" s="716"/>
      <c r="BR47" s="716">
        <f t="shared" si="57"/>
        <v>3042824.6067545544</v>
      </c>
      <c r="BS47" s="716"/>
      <c r="BT47" s="716">
        <f t="shared" si="58"/>
        <v>3042824.6067545544</v>
      </c>
      <c r="BU47" s="716"/>
      <c r="BV47" s="716">
        <f t="shared" si="21"/>
        <v>3042824.6067545544</v>
      </c>
      <c r="BW47" s="716"/>
      <c r="BX47" s="716">
        <f t="shared" si="167"/>
        <v>31400</v>
      </c>
      <c r="BY47" s="716">
        <f t="shared" si="60"/>
        <v>3074224.6067545544</v>
      </c>
      <c r="BZ47" s="716"/>
      <c r="CA47" s="716">
        <f t="shared" si="61"/>
        <v>3074224.6067545544</v>
      </c>
      <c r="CB47" s="1135">
        <f t="shared" si="121"/>
        <v>3074224.6067545544</v>
      </c>
      <c r="CC47" s="1164">
        <f t="shared" si="109"/>
        <v>3074224.6067545544</v>
      </c>
      <c r="CD47" s="1164"/>
      <c r="CE47" s="1164">
        <f t="shared" si="63"/>
        <v>0</v>
      </c>
      <c r="CF47" s="1164">
        <f t="shared" si="115"/>
        <v>0</v>
      </c>
      <c r="CG47" s="1164">
        <f t="shared" si="116"/>
        <v>0</v>
      </c>
      <c r="CH47" s="1154">
        <f t="shared" si="158"/>
        <v>3074224.6067545544</v>
      </c>
      <c r="CI47" s="935">
        <f t="shared" si="137"/>
        <v>3074224.6067545544</v>
      </c>
      <c r="CJ47" s="935">
        <f t="shared" si="64"/>
        <v>0</v>
      </c>
      <c r="CK47" s="935">
        <f t="shared" si="65"/>
        <v>315108.0221923418</v>
      </c>
      <c r="CL47" s="935">
        <f t="shared" si="66"/>
        <v>107597.86123640942</v>
      </c>
      <c r="CM47" s="1006">
        <f t="shared" si="138"/>
        <v>3496930.4901833055</v>
      </c>
      <c r="CN47" s="1007">
        <f t="shared" si="139"/>
        <v>0.125</v>
      </c>
      <c r="CO47" s="935">
        <f t="shared" si="24"/>
        <v>437116.31127291318</v>
      </c>
      <c r="CP47" s="935">
        <f t="shared" si="170"/>
        <v>30000</v>
      </c>
      <c r="CQ47" s="935">
        <f t="shared" si="25"/>
        <v>407116.31127291318</v>
      </c>
      <c r="CR47" s="745">
        <f t="shared" si="141"/>
        <v>1</v>
      </c>
      <c r="CS47" s="935">
        <f t="shared" si="26"/>
        <v>407116.31127291318</v>
      </c>
      <c r="CT47" s="1007">
        <f t="shared" si="68"/>
        <v>0.875</v>
      </c>
      <c r="CU47" s="935">
        <f t="shared" si="69"/>
        <v>3059814.1789103923</v>
      </c>
      <c r="CV47" s="1008">
        <f t="shared" si="110"/>
        <v>23722.706761007681</v>
      </c>
      <c r="CW47" s="1008">
        <f t="shared" si="70"/>
        <v>27502.474875597669</v>
      </c>
      <c r="CX47" s="1008">
        <f t="shared" si="71"/>
        <v>35527.03710048685</v>
      </c>
      <c r="CY47" s="1008">
        <f t="shared" si="72"/>
        <v>60587.988053181267</v>
      </c>
      <c r="CZ47" s="1119">
        <f t="shared" si="122"/>
        <v>248558.43141597047</v>
      </c>
      <c r="DA47" s="1119">
        <f t="shared" si="123"/>
        <v>98353.36051366452</v>
      </c>
      <c r="DB47" s="1119">
        <f t="shared" si="124"/>
        <v>71039.239301235197</v>
      </c>
      <c r="DC47" s="1119">
        <f t="shared" si="125"/>
        <v>54064.131585904252</v>
      </c>
      <c r="DD47" s="1028">
        <f t="shared" si="126"/>
        <v>0.38600416767793055</v>
      </c>
      <c r="DE47" s="1028">
        <f t="shared" si="142"/>
        <v>0</v>
      </c>
      <c r="DF47" s="1009" t="s">
        <v>270</v>
      </c>
      <c r="DG47" s="1009" t="s">
        <v>271</v>
      </c>
      <c r="DH47" s="966">
        <f t="shared" si="111"/>
        <v>45658</v>
      </c>
      <c r="DI47" s="912">
        <f t="shared" si="73"/>
        <v>14</v>
      </c>
      <c r="DJ47" s="939"/>
      <c r="DK47" s="913">
        <f t="shared" si="74"/>
        <v>45723</v>
      </c>
      <c r="DL47" s="912">
        <f t="shared" si="75"/>
        <v>16</v>
      </c>
      <c r="DM47" s="750" t="s">
        <v>272</v>
      </c>
      <c r="DN47" s="750" t="s">
        <v>273</v>
      </c>
      <c r="DO47" s="751">
        <f t="shared" si="31"/>
        <v>39302.242527207476</v>
      </c>
      <c r="DP47" s="751">
        <f t="shared" si="32"/>
        <v>864649.33559856447</v>
      </c>
      <c r="DQ47" s="752">
        <f t="shared" si="127"/>
        <v>0.43232466779928225</v>
      </c>
      <c r="DR47" s="503"/>
      <c r="DS47" s="751">
        <f t="shared" si="128"/>
        <v>3074224.6067545544</v>
      </c>
      <c r="DT47" s="751">
        <f>'[4]INTERNAL PRICELIST'!N41</f>
        <v>2063804</v>
      </c>
      <c r="DU47" s="751">
        <f t="shared" si="33"/>
        <v>1010420.6067545544</v>
      </c>
      <c r="DV47" s="503"/>
      <c r="DW47" s="951">
        <f t="shared" si="129"/>
        <v>139737.48212520703</v>
      </c>
      <c r="DX47" s="503"/>
      <c r="DZ47" s="1010" t="s">
        <v>384</v>
      </c>
      <c r="EA47" s="1052" t="b">
        <f t="shared" si="35"/>
        <v>1</v>
      </c>
      <c r="EB47" s="1053" t="s">
        <v>385</v>
      </c>
      <c r="EC47" s="1053" t="s">
        <v>357</v>
      </c>
      <c r="ED47" s="503"/>
      <c r="EE47" s="1029"/>
      <c r="EF47" s="503"/>
      <c r="EG47" s="503"/>
      <c r="EH47" s="930"/>
      <c r="EI47" s="930"/>
      <c r="EJ47" s="503"/>
      <c r="EK47" s="503"/>
      <c r="EL47" s="503"/>
      <c r="EM47" s="503"/>
      <c r="EN47" s="503"/>
      <c r="EO47" s="503"/>
      <c r="EP47" s="503"/>
      <c r="EQ47" s="503"/>
      <c r="ER47" s="1017" t="s">
        <v>264</v>
      </c>
      <c r="ES47" s="1391" t="s">
        <v>264</v>
      </c>
      <c r="ET47" s="1018" t="b">
        <f t="shared" si="76"/>
        <v>1</v>
      </c>
      <c r="EU47" s="940"/>
      <c r="EV47" s="941"/>
      <c r="EW47" s="940"/>
      <c r="EX47" s="1019">
        <v>2874106.5421836311</v>
      </c>
      <c r="EY47" s="1019">
        <f t="shared" si="143"/>
        <v>431115.98132754466</v>
      </c>
      <c r="EZ47" s="1019">
        <f t="shared" si="144"/>
        <v>2442990.5608560862</v>
      </c>
      <c r="FA47" s="1019">
        <f t="shared" si="145"/>
        <v>287410.65421836311</v>
      </c>
      <c r="FB47" s="1019">
        <f t="shared" si="146"/>
        <v>2586695.887965268</v>
      </c>
      <c r="FC47" s="1019">
        <f t="shared" si="147"/>
        <v>143705.32710918179</v>
      </c>
      <c r="FD47" s="1020"/>
      <c r="FE47" s="1021"/>
      <c r="FF47" s="1022">
        <f t="shared" si="148"/>
        <v>2442990.5608560862</v>
      </c>
      <c r="FG47" s="1022">
        <f t="shared" si="149"/>
        <v>207654.19767276733</v>
      </c>
      <c r="FH47" s="1022">
        <f t="shared" si="161"/>
        <v>103827.09883638367</v>
      </c>
      <c r="FI47" s="1023">
        <f t="shared" si="150"/>
        <v>2586695.887965268</v>
      </c>
      <c r="FJ47" s="1023">
        <f t="shared" si="151"/>
        <v>219869.15047704781</v>
      </c>
      <c r="FK47" s="1023">
        <f t="shared" si="152"/>
        <v>109934.5752385239</v>
      </c>
      <c r="FL47" s="1019">
        <f t="shared" si="162"/>
        <v>12214.952804280474</v>
      </c>
      <c r="FM47" s="1019">
        <f t="shared" si="163"/>
        <v>6107.476402140237</v>
      </c>
      <c r="FN47" s="1019" t="str">
        <f t="shared" si="153"/>
        <v>VS</v>
      </c>
      <c r="FO47" s="1019">
        <f t="shared" si="159"/>
        <v>27537.409960060559</v>
      </c>
      <c r="FP47" s="1019">
        <f t="shared" si="164"/>
        <v>-21429.933557920322</v>
      </c>
      <c r="FQ47" s="1021"/>
      <c r="FR47" s="1021"/>
      <c r="FS47" s="1020"/>
      <c r="FT47" s="503"/>
      <c r="FU47" s="956"/>
      <c r="FV47" s="503"/>
      <c r="FW47" s="503"/>
      <c r="FX47" s="1040"/>
      <c r="FY47" s="503"/>
      <c r="FZ47" s="503"/>
      <c r="GA47" s="503"/>
      <c r="GB47" s="1059"/>
      <c r="GE47" s="1011" t="s">
        <v>386</v>
      </c>
      <c r="GF47" s="1185"/>
      <c r="GG47" s="956"/>
      <c r="GH47" s="945"/>
      <c r="GI47" s="1024">
        <f t="shared" si="78"/>
        <v>3496930.4901833055</v>
      </c>
      <c r="GJ47" s="1025">
        <f t="shared" si="79"/>
        <v>0.125</v>
      </c>
      <c r="GK47" s="1024">
        <f t="shared" si="80"/>
        <v>437116.31127291318</v>
      </c>
      <c r="GL47" s="1024">
        <f t="shared" si="81"/>
        <v>30000</v>
      </c>
      <c r="GM47" s="1024">
        <f t="shared" si="82"/>
        <v>407116.31127291318</v>
      </c>
      <c r="GN47" s="1024">
        <f t="shared" si="83"/>
        <v>1</v>
      </c>
      <c r="GO47" s="1024">
        <f t="shared" si="84"/>
        <v>407116.31127291318</v>
      </c>
      <c r="GP47" s="1025">
        <f t="shared" si="85"/>
        <v>0.875</v>
      </c>
      <c r="GQ47" s="1024">
        <f t="shared" si="86"/>
        <v>3059814.1789103923</v>
      </c>
      <c r="GR47" s="1024">
        <f t="shared" si="87"/>
        <v>23722.706761007681</v>
      </c>
      <c r="GS47" s="1024">
        <f t="shared" si="88"/>
        <v>27502.474875597669</v>
      </c>
      <c r="GT47" s="1024">
        <f t="shared" si="89"/>
        <v>35527.03710048685</v>
      </c>
      <c r="GU47" s="1024">
        <f t="shared" si="90"/>
        <v>60587.988053181267</v>
      </c>
      <c r="GV47" s="945"/>
      <c r="GW47" s="1024">
        <f t="shared" si="91"/>
        <v>3496930.4901833055</v>
      </c>
      <c r="GX47" s="1025">
        <f t="shared" si="92"/>
        <v>0.125</v>
      </c>
      <c r="GY47" s="1024">
        <f t="shared" si="93"/>
        <v>437116.31127291318</v>
      </c>
      <c r="GZ47" s="1024">
        <f t="shared" si="94"/>
        <v>30000</v>
      </c>
      <c r="HA47" s="1024">
        <f t="shared" si="95"/>
        <v>407116.31127291318</v>
      </c>
      <c r="HB47" s="1026">
        <f t="shared" si="96"/>
        <v>25</v>
      </c>
      <c r="HC47" s="1009">
        <f t="shared" si="97"/>
        <v>16284.652450916527</v>
      </c>
      <c r="HD47" s="1027">
        <f t="shared" si="98"/>
        <v>0.875</v>
      </c>
      <c r="HE47" s="1009">
        <f t="shared" si="99"/>
        <v>3059814.1789103923</v>
      </c>
      <c r="HF47" s="1008">
        <f t="shared" si="100"/>
        <v>23722.706761007681</v>
      </c>
      <c r="HG47" s="1008">
        <f t="shared" si="101"/>
        <v>27502.474875597669</v>
      </c>
      <c r="HH47" s="1008">
        <f t="shared" si="102"/>
        <v>35527.03710048685</v>
      </c>
      <c r="HI47" s="1008">
        <f t="shared" si="103"/>
        <v>60587.988053181267</v>
      </c>
      <c r="HJ47" s="945"/>
      <c r="HK47" s="1009">
        <f t="shared" si="104"/>
        <v>-390831.65882199665</v>
      </c>
      <c r="HL47" s="503"/>
      <c r="HM47" s="503"/>
      <c r="HN47" s="503"/>
      <c r="HO47" s="503"/>
      <c r="HP47" s="503"/>
      <c r="HQ47" s="503"/>
      <c r="HR47" s="956">
        <f t="shared" si="105"/>
        <v>0</v>
      </c>
      <c r="HS47" s="503"/>
      <c r="HT47" s="503"/>
      <c r="HU47" s="956"/>
      <c r="HV47" s="503"/>
      <c r="HW47" s="956"/>
      <c r="HX47" s="956"/>
      <c r="HY47" s="503"/>
      <c r="HZ47" s="503"/>
      <c r="IA47" s="503"/>
      <c r="ID47" s="1394"/>
    </row>
    <row r="48" spans="1:238" s="1051" customFormat="1" ht="14.25" hidden="1" customHeight="1">
      <c r="A48" s="1018">
        <f t="shared" si="155"/>
        <v>42</v>
      </c>
      <c r="B48" s="716" t="s">
        <v>264</v>
      </c>
      <c r="C48" s="741">
        <f t="shared" si="192"/>
        <v>12</v>
      </c>
      <c r="D48" s="716" t="s">
        <v>259</v>
      </c>
      <c r="E48" s="743" t="str">
        <f t="shared" si="36"/>
        <v>4th Floor</v>
      </c>
      <c r="F48" s="1048"/>
      <c r="G48" s="745" t="s">
        <v>387</v>
      </c>
      <c r="H48" s="745" t="s">
        <v>331</v>
      </c>
      <c r="I48" s="745" t="s">
        <v>267</v>
      </c>
      <c r="J48" s="1005">
        <v>22</v>
      </c>
      <c r="K48" s="1049"/>
      <c r="L48" s="1006" t="s">
        <v>268</v>
      </c>
      <c r="M48" s="745" t="s">
        <v>79</v>
      </c>
      <c r="N48" s="1050">
        <v>95909.091</v>
      </c>
      <c r="O48" s="934">
        <f t="shared" si="132"/>
        <v>2110000.0019999999</v>
      </c>
      <c r="P48" s="934">
        <f t="shared" si="156"/>
        <v>22400</v>
      </c>
      <c r="Q48" s="934">
        <f t="shared" si="119"/>
        <v>50000</v>
      </c>
      <c r="R48" s="934"/>
      <c r="S48" s="934"/>
      <c r="T48" s="934"/>
      <c r="U48" s="934"/>
      <c r="V48" s="749"/>
      <c r="W48" s="934"/>
      <c r="X48" s="934"/>
      <c r="Y48" s="934"/>
      <c r="Z48" s="934">
        <f t="shared" si="133"/>
        <v>75000</v>
      </c>
      <c r="AA48" s="934"/>
      <c r="AB48" s="934"/>
      <c r="AC48" s="934"/>
      <c r="AD48" s="934"/>
      <c r="AE48" s="934">
        <f t="shared" si="14"/>
        <v>147400</v>
      </c>
      <c r="AF48" s="1005">
        <f t="shared" si="15"/>
        <v>2257400.0019999999</v>
      </c>
      <c r="AG48" s="1005">
        <f t="shared" si="37"/>
        <v>56435.000050000002</v>
      </c>
      <c r="AH48" s="1005">
        <f t="shared" si="38"/>
        <v>2313835.0020499998</v>
      </c>
      <c r="AI48" s="1005">
        <f t="shared" si="39"/>
        <v>57845.875051249997</v>
      </c>
      <c r="AJ48" s="1005">
        <f t="shared" si="40"/>
        <v>2371680.87710125</v>
      </c>
      <c r="AK48" s="1005">
        <f t="shared" si="41"/>
        <v>118584.04385506251</v>
      </c>
      <c r="AL48" s="1005">
        <f t="shared" si="157"/>
        <v>2490264.9209563127</v>
      </c>
      <c r="AM48" s="934">
        <f t="shared" si="43"/>
        <v>24902.649209563126</v>
      </c>
      <c r="AN48" s="934">
        <f t="shared" si="44"/>
        <v>27537.409960060559</v>
      </c>
      <c r="AO48" s="934"/>
      <c r="AP48" s="934">
        <f t="shared" si="134"/>
        <v>109934.5752385239</v>
      </c>
      <c r="AQ48" s="1005">
        <f t="shared" si="45"/>
        <v>2652639.5553644602</v>
      </c>
      <c r="AR48" s="1005">
        <f t="shared" si="46"/>
        <v>119368.7799914007</v>
      </c>
      <c r="AS48" s="1147">
        <f t="shared" si="47"/>
        <v>2772008.3353558611</v>
      </c>
      <c r="AT48" s="1148">
        <f t="shared" si="135"/>
        <v>2000000</v>
      </c>
      <c r="AU48" s="1148">
        <f t="shared" si="193"/>
        <v>35091.287970720958</v>
      </c>
      <c r="AV48" s="1148">
        <f t="shared" si="136"/>
        <v>772008.33535586111</v>
      </c>
      <c r="AW48" s="1148">
        <f t="shared" si="17"/>
        <v>92641.000242703332</v>
      </c>
      <c r="AX48" s="1148">
        <f t="shared" si="18"/>
        <v>864649.33559856447</v>
      </c>
      <c r="AY48" s="1147">
        <f t="shared" si="48"/>
        <v>2864649.3355985642</v>
      </c>
      <c r="AZ48" s="934">
        <f t="shared" si="49"/>
        <v>35808.116694982054</v>
      </c>
      <c r="BA48" s="716" t="s">
        <v>269</v>
      </c>
      <c r="BB48" s="716">
        <f t="shared" si="194"/>
        <v>2900457.4522935464</v>
      </c>
      <c r="BC48" s="716" t="s">
        <v>269</v>
      </c>
      <c r="BD48" s="716">
        <f t="shared" si="50"/>
        <v>108767.15446100799</v>
      </c>
      <c r="BE48" s="716">
        <f t="shared" si="51"/>
        <v>33600</v>
      </c>
      <c r="BF48" s="716">
        <f t="shared" si="52"/>
        <v>3042824.6067545544</v>
      </c>
      <c r="BG48" s="716"/>
      <c r="BH48" s="716">
        <f t="shared" si="53"/>
        <v>3042824.6067545544</v>
      </c>
      <c r="BI48" s="716"/>
      <c r="BJ48" s="716">
        <f t="shared" si="54"/>
        <v>3042824.6067545544</v>
      </c>
      <c r="BK48" s="716"/>
      <c r="BL48" s="716">
        <f t="shared" si="55"/>
        <v>3042824.6067545544</v>
      </c>
      <c r="BM48" s="716"/>
      <c r="BN48" s="716">
        <f t="shared" si="20"/>
        <v>3042824.6067545544</v>
      </c>
      <c r="BO48" s="716"/>
      <c r="BP48" s="716">
        <f t="shared" si="56"/>
        <v>3042824.6067545544</v>
      </c>
      <c r="BQ48" s="716"/>
      <c r="BR48" s="716">
        <f t="shared" si="57"/>
        <v>3042824.6067545544</v>
      </c>
      <c r="BS48" s="716"/>
      <c r="BT48" s="716">
        <f t="shared" si="58"/>
        <v>3042824.6067545544</v>
      </c>
      <c r="BU48" s="716"/>
      <c r="BV48" s="716">
        <f t="shared" si="21"/>
        <v>3042824.6067545544</v>
      </c>
      <c r="BW48" s="716"/>
      <c r="BX48" s="716">
        <f t="shared" si="167"/>
        <v>31400</v>
      </c>
      <c r="BY48" s="716">
        <f t="shared" si="60"/>
        <v>3074224.6067545544</v>
      </c>
      <c r="BZ48" s="716"/>
      <c r="CA48" s="716">
        <f t="shared" si="61"/>
        <v>3074224.6067545544</v>
      </c>
      <c r="CB48" s="1135">
        <f t="shared" si="121"/>
        <v>3074224.6067545544</v>
      </c>
      <c r="CC48" s="1164">
        <f t="shared" si="109"/>
        <v>3074224.6067545544</v>
      </c>
      <c r="CD48" s="1164"/>
      <c r="CE48" s="1164">
        <f t="shared" si="63"/>
        <v>0</v>
      </c>
      <c r="CF48" s="1164">
        <f t="shared" si="115"/>
        <v>0</v>
      </c>
      <c r="CG48" s="1164">
        <f t="shared" si="116"/>
        <v>0</v>
      </c>
      <c r="CH48" s="1154">
        <f t="shared" si="158"/>
        <v>3074224.6067545544</v>
      </c>
      <c r="CI48" s="935">
        <f t="shared" si="137"/>
        <v>3074224.6067545544</v>
      </c>
      <c r="CJ48" s="935">
        <f t="shared" si="64"/>
        <v>0</v>
      </c>
      <c r="CK48" s="935">
        <f t="shared" si="65"/>
        <v>315108.0221923418</v>
      </c>
      <c r="CL48" s="935">
        <f t="shared" si="66"/>
        <v>107597.86123640942</v>
      </c>
      <c r="CM48" s="1006">
        <f t="shared" si="138"/>
        <v>3496930.4901833055</v>
      </c>
      <c r="CN48" s="1007">
        <f t="shared" si="139"/>
        <v>0.125</v>
      </c>
      <c r="CO48" s="935">
        <f t="shared" si="24"/>
        <v>437116.31127291318</v>
      </c>
      <c r="CP48" s="935">
        <f t="shared" si="170"/>
        <v>30000</v>
      </c>
      <c r="CQ48" s="935">
        <f t="shared" si="25"/>
        <v>407116.31127291318</v>
      </c>
      <c r="CR48" s="745">
        <f t="shared" si="141"/>
        <v>1</v>
      </c>
      <c r="CS48" s="935">
        <f t="shared" si="26"/>
        <v>407116.31127291318</v>
      </c>
      <c r="CT48" s="1007">
        <f t="shared" si="68"/>
        <v>0.875</v>
      </c>
      <c r="CU48" s="935">
        <f t="shared" si="69"/>
        <v>3059814.1789103923</v>
      </c>
      <c r="CV48" s="1008">
        <f t="shared" si="110"/>
        <v>23722.706761007681</v>
      </c>
      <c r="CW48" s="1008">
        <f t="shared" si="70"/>
        <v>27502.474875597669</v>
      </c>
      <c r="CX48" s="1008">
        <f t="shared" si="71"/>
        <v>35527.03710048685</v>
      </c>
      <c r="CY48" s="1008">
        <f t="shared" si="72"/>
        <v>60587.988053181267</v>
      </c>
      <c r="CZ48" s="1119">
        <f t="shared" si="122"/>
        <v>248558.43141597047</v>
      </c>
      <c r="DA48" s="1119">
        <f t="shared" si="123"/>
        <v>98353.36051366452</v>
      </c>
      <c r="DB48" s="1119">
        <f t="shared" si="124"/>
        <v>71039.239301235197</v>
      </c>
      <c r="DC48" s="1119">
        <f t="shared" si="125"/>
        <v>54064.131585904252</v>
      </c>
      <c r="DD48" s="1028">
        <f t="shared" si="126"/>
        <v>0.38600416767793055</v>
      </c>
      <c r="DE48" s="1028">
        <f t="shared" si="142"/>
        <v>0</v>
      </c>
      <c r="DF48" s="1009" t="s">
        <v>270</v>
      </c>
      <c r="DG48" s="1009" t="s">
        <v>271</v>
      </c>
      <c r="DH48" s="966">
        <f t="shared" si="111"/>
        <v>45658</v>
      </c>
      <c r="DI48" s="912">
        <f t="shared" si="73"/>
        <v>14</v>
      </c>
      <c r="DJ48" s="939"/>
      <c r="DK48" s="913">
        <f t="shared" si="74"/>
        <v>45723</v>
      </c>
      <c r="DL48" s="912">
        <f t="shared" si="75"/>
        <v>16</v>
      </c>
      <c r="DM48" s="750" t="s">
        <v>272</v>
      </c>
      <c r="DN48" s="750" t="s">
        <v>273</v>
      </c>
      <c r="DO48" s="751">
        <f t="shared" si="31"/>
        <v>39302.242527207476</v>
      </c>
      <c r="DP48" s="751">
        <f t="shared" si="32"/>
        <v>864649.33559856447</v>
      </c>
      <c r="DQ48" s="752">
        <f t="shared" si="127"/>
        <v>0.43232466779928225</v>
      </c>
      <c r="DR48" s="503"/>
      <c r="DS48" s="751">
        <f t="shared" si="128"/>
        <v>3074224.6067545544</v>
      </c>
      <c r="DT48" s="751">
        <f>'[4]INTERNAL PRICELIST'!N42</f>
        <v>2061900</v>
      </c>
      <c r="DU48" s="751">
        <f t="shared" si="33"/>
        <v>1012324.6067545544</v>
      </c>
      <c r="DV48" s="503"/>
      <c r="DW48" s="951">
        <f t="shared" si="129"/>
        <v>139737.48212520703</v>
      </c>
      <c r="DX48" s="503"/>
      <c r="DZ48" s="1010" t="s">
        <v>387</v>
      </c>
      <c r="EA48" s="1052" t="b">
        <f t="shared" si="35"/>
        <v>1</v>
      </c>
      <c r="EB48" s="1053" t="s">
        <v>388</v>
      </c>
      <c r="EC48" s="1053" t="s">
        <v>357</v>
      </c>
      <c r="ED48" s="503"/>
      <c r="EE48" s="1029"/>
      <c r="EF48" s="503"/>
      <c r="EG48" s="503"/>
      <c r="EH48" s="930"/>
      <c r="EI48" s="930"/>
      <c r="EJ48" s="503"/>
      <c r="EK48" s="503"/>
      <c r="EL48" s="503"/>
      <c r="EM48" s="503"/>
      <c r="EN48" s="503"/>
      <c r="EO48" s="503"/>
      <c r="EP48" s="503"/>
      <c r="EQ48" s="503"/>
      <c r="ER48" s="1017" t="s">
        <v>264</v>
      </c>
      <c r="ES48" s="1391" t="s">
        <v>264</v>
      </c>
      <c r="ET48" s="1018" t="b">
        <f t="shared" si="76"/>
        <v>1</v>
      </c>
      <c r="EU48" s="940"/>
      <c r="EV48" s="941"/>
      <c r="EW48" s="940"/>
      <c r="EX48" s="1019">
        <v>2874106.5421836311</v>
      </c>
      <c r="EY48" s="1019">
        <f t="shared" si="143"/>
        <v>431115.98132754466</v>
      </c>
      <c r="EZ48" s="1019">
        <f t="shared" si="144"/>
        <v>2442990.5608560862</v>
      </c>
      <c r="FA48" s="1019">
        <f t="shared" si="145"/>
        <v>287410.65421836311</v>
      </c>
      <c r="FB48" s="1019">
        <f t="shared" si="146"/>
        <v>2586695.887965268</v>
      </c>
      <c r="FC48" s="1019">
        <f t="shared" si="147"/>
        <v>143705.32710918179</v>
      </c>
      <c r="FD48" s="1020"/>
      <c r="FE48" s="1021"/>
      <c r="FF48" s="1022">
        <f t="shared" si="148"/>
        <v>2442990.5608560862</v>
      </c>
      <c r="FG48" s="1022">
        <f t="shared" si="149"/>
        <v>207654.19767276733</v>
      </c>
      <c r="FH48" s="1022">
        <f t="shared" si="161"/>
        <v>103827.09883638367</v>
      </c>
      <c r="FI48" s="1023">
        <f t="shared" si="150"/>
        <v>2586695.887965268</v>
      </c>
      <c r="FJ48" s="1023">
        <f t="shared" si="151"/>
        <v>219869.15047704781</v>
      </c>
      <c r="FK48" s="1023">
        <f t="shared" si="152"/>
        <v>109934.5752385239</v>
      </c>
      <c r="FL48" s="1019">
        <f t="shared" si="162"/>
        <v>12214.952804280474</v>
      </c>
      <c r="FM48" s="1019">
        <f t="shared" si="163"/>
        <v>6107.476402140237</v>
      </c>
      <c r="FN48" s="1019" t="str">
        <f t="shared" si="153"/>
        <v>VS</v>
      </c>
      <c r="FO48" s="1019">
        <f t="shared" si="159"/>
        <v>27537.409960060559</v>
      </c>
      <c r="FP48" s="1019">
        <f t="shared" si="164"/>
        <v>-21429.933557920322</v>
      </c>
      <c r="FQ48" s="1021"/>
      <c r="FR48" s="1021"/>
      <c r="FS48" s="1020"/>
      <c r="FT48" s="503"/>
      <c r="FU48" s="956"/>
      <c r="FV48" s="503"/>
      <c r="FW48" s="503"/>
      <c r="FX48" s="1040"/>
      <c r="FY48" s="503"/>
      <c r="FZ48" s="503"/>
      <c r="GA48" s="503"/>
      <c r="GB48" s="1059"/>
      <c r="GE48" s="1011" t="s">
        <v>389</v>
      </c>
      <c r="GF48" s="1185"/>
      <c r="GG48" s="956"/>
      <c r="GH48" s="945"/>
      <c r="GI48" s="1024">
        <f t="shared" si="78"/>
        <v>3496930.4901833055</v>
      </c>
      <c r="GJ48" s="1025">
        <f t="shared" si="79"/>
        <v>0.125</v>
      </c>
      <c r="GK48" s="1024">
        <f t="shared" si="80"/>
        <v>437116.31127291318</v>
      </c>
      <c r="GL48" s="1024">
        <f t="shared" si="81"/>
        <v>30000</v>
      </c>
      <c r="GM48" s="1024">
        <f t="shared" si="82"/>
        <v>407116.31127291318</v>
      </c>
      <c r="GN48" s="1024">
        <f t="shared" si="83"/>
        <v>1</v>
      </c>
      <c r="GO48" s="1024">
        <f t="shared" si="84"/>
        <v>407116.31127291318</v>
      </c>
      <c r="GP48" s="1025">
        <f t="shared" si="85"/>
        <v>0.875</v>
      </c>
      <c r="GQ48" s="1024">
        <f t="shared" si="86"/>
        <v>3059814.1789103923</v>
      </c>
      <c r="GR48" s="1024">
        <f t="shared" si="87"/>
        <v>23722.706761007681</v>
      </c>
      <c r="GS48" s="1024">
        <f t="shared" si="88"/>
        <v>27502.474875597669</v>
      </c>
      <c r="GT48" s="1024">
        <f t="shared" si="89"/>
        <v>35527.03710048685</v>
      </c>
      <c r="GU48" s="1024">
        <f t="shared" si="90"/>
        <v>60587.988053181267</v>
      </c>
      <c r="GV48" s="945"/>
      <c r="GW48" s="1024">
        <f t="shared" si="91"/>
        <v>3496930.4901833055</v>
      </c>
      <c r="GX48" s="1025">
        <f t="shared" si="92"/>
        <v>0.125</v>
      </c>
      <c r="GY48" s="1024">
        <f t="shared" si="93"/>
        <v>437116.31127291318</v>
      </c>
      <c r="GZ48" s="1024">
        <f t="shared" si="94"/>
        <v>30000</v>
      </c>
      <c r="HA48" s="1024">
        <f t="shared" si="95"/>
        <v>407116.31127291318</v>
      </c>
      <c r="HB48" s="1026">
        <f t="shared" si="96"/>
        <v>25</v>
      </c>
      <c r="HC48" s="1009">
        <f t="shared" si="97"/>
        <v>16284.652450916527</v>
      </c>
      <c r="HD48" s="1027">
        <f t="shared" si="98"/>
        <v>0.875</v>
      </c>
      <c r="HE48" s="1009">
        <f t="shared" si="99"/>
        <v>3059814.1789103923</v>
      </c>
      <c r="HF48" s="1008">
        <f t="shared" si="100"/>
        <v>23722.706761007681</v>
      </c>
      <c r="HG48" s="1008">
        <f t="shared" si="101"/>
        <v>27502.474875597669</v>
      </c>
      <c r="HH48" s="1008">
        <f t="shared" si="102"/>
        <v>35527.03710048685</v>
      </c>
      <c r="HI48" s="1008">
        <f t="shared" si="103"/>
        <v>60587.988053181267</v>
      </c>
      <c r="HJ48" s="945"/>
      <c r="HK48" s="1009">
        <f t="shared" si="104"/>
        <v>-390831.65882199665</v>
      </c>
      <c r="HL48" s="503"/>
      <c r="HM48" s="503"/>
      <c r="HN48" s="503"/>
      <c r="HO48" s="503"/>
      <c r="HP48" s="503"/>
      <c r="HQ48" s="503"/>
      <c r="HR48" s="956">
        <f t="shared" si="105"/>
        <v>0</v>
      </c>
      <c r="HS48" s="503"/>
      <c r="HT48" s="503"/>
      <c r="HU48" s="956"/>
      <c r="HV48" s="503"/>
      <c r="HW48" s="956"/>
      <c r="HX48" s="956"/>
      <c r="HY48" s="503"/>
      <c r="HZ48" s="503"/>
      <c r="IA48" s="503"/>
      <c r="ID48" s="1394"/>
    </row>
    <row r="49" spans="1:238" s="1051" customFormat="1" ht="14.25" hidden="1" customHeight="1">
      <c r="A49" s="1018">
        <f t="shared" si="155"/>
        <v>43</v>
      </c>
      <c r="B49" s="716" t="s">
        <v>264</v>
      </c>
      <c r="C49" s="741">
        <f t="shared" si="192"/>
        <v>13</v>
      </c>
      <c r="D49" s="716" t="s">
        <v>259</v>
      </c>
      <c r="E49" s="743" t="str">
        <f t="shared" si="36"/>
        <v>4th Floor</v>
      </c>
      <c r="F49" s="1048"/>
      <c r="G49" s="745" t="s">
        <v>390</v>
      </c>
      <c r="H49" s="745" t="s">
        <v>336</v>
      </c>
      <c r="I49" s="745" t="s">
        <v>267</v>
      </c>
      <c r="J49" s="1005">
        <v>22</v>
      </c>
      <c r="K49" s="1049"/>
      <c r="L49" s="1006" t="s">
        <v>268</v>
      </c>
      <c r="M49" s="745" t="s">
        <v>79</v>
      </c>
      <c r="N49" s="1050">
        <v>95909.091</v>
      </c>
      <c r="O49" s="934">
        <f t="shared" si="132"/>
        <v>2110000.0019999999</v>
      </c>
      <c r="P49" s="934">
        <f t="shared" si="156"/>
        <v>22400</v>
      </c>
      <c r="Q49" s="934">
        <f t="shared" si="119"/>
        <v>50000</v>
      </c>
      <c r="R49" s="934"/>
      <c r="S49" s="934"/>
      <c r="T49" s="934"/>
      <c r="U49" s="934"/>
      <c r="V49" s="934"/>
      <c r="W49" s="749"/>
      <c r="X49" s="934"/>
      <c r="Y49" s="934"/>
      <c r="Z49" s="934">
        <f t="shared" si="133"/>
        <v>75000</v>
      </c>
      <c r="AA49" s="934"/>
      <c r="AB49" s="934"/>
      <c r="AC49" s="934"/>
      <c r="AD49" s="934"/>
      <c r="AE49" s="934">
        <f t="shared" si="14"/>
        <v>147400</v>
      </c>
      <c r="AF49" s="1005">
        <f t="shared" si="15"/>
        <v>2257400.0019999999</v>
      </c>
      <c r="AG49" s="1005">
        <f t="shared" si="37"/>
        <v>56435.000050000002</v>
      </c>
      <c r="AH49" s="1005">
        <f t="shared" si="38"/>
        <v>2313835.0020499998</v>
      </c>
      <c r="AI49" s="1005">
        <f t="shared" si="39"/>
        <v>57845.875051249997</v>
      </c>
      <c r="AJ49" s="1005">
        <f t="shared" si="40"/>
        <v>2371680.87710125</v>
      </c>
      <c r="AK49" s="1005">
        <f t="shared" si="41"/>
        <v>118584.04385506251</v>
      </c>
      <c r="AL49" s="1005">
        <f t="shared" si="157"/>
        <v>2490264.9209563127</v>
      </c>
      <c r="AM49" s="934">
        <f t="shared" si="43"/>
        <v>24902.649209563126</v>
      </c>
      <c r="AN49" s="934">
        <f t="shared" si="44"/>
        <v>27537.409960060559</v>
      </c>
      <c r="AO49" s="934"/>
      <c r="AP49" s="934">
        <f t="shared" si="134"/>
        <v>109934.5752385239</v>
      </c>
      <c r="AQ49" s="1005">
        <f t="shared" si="45"/>
        <v>2652639.5553644602</v>
      </c>
      <c r="AR49" s="1005">
        <f t="shared" si="46"/>
        <v>119368.7799914007</v>
      </c>
      <c r="AS49" s="1147">
        <f t="shared" si="47"/>
        <v>2772008.3353558611</v>
      </c>
      <c r="AT49" s="1148">
        <f t="shared" si="135"/>
        <v>2000000</v>
      </c>
      <c r="AU49" s="1148">
        <f t="shared" si="193"/>
        <v>35091.287970720958</v>
      </c>
      <c r="AV49" s="1148">
        <f t="shared" si="136"/>
        <v>772008.33535586111</v>
      </c>
      <c r="AW49" s="1148">
        <f t="shared" si="17"/>
        <v>92641.000242703332</v>
      </c>
      <c r="AX49" s="1148">
        <f t="shared" si="18"/>
        <v>864649.33559856447</v>
      </c>
      <c r="AY49" s="1147">
        <f t="shared" si="48"/>
        <v>2864649.3355985642</v>
      </c>
      <c r="AZ49" s="934">
        <f t="shared" si="49"/>
        <v>35808.116694982054</v>
      </c>
      <c r="BA49" s="716" t="s">
        <v>269</v>
      </c>
      <c r="BB49" s="716">
        <f t="shared" si="194"/>
        <v>2900457.4522935464</v>
      </c>
      <c r="BC49" s="716" t="s">
        <v>269</v>
      </c>
      <c r="BD49" s="716">
        <f t="shared" si="50"/>
        <v>108767.15446100799</v>
      </c>
      <c r="BE49" s="716">
        <f t="shared" si="51"/>
        <v>33600</v>
      </c>
      <c r="BF49" s="716">
        <f t="shared" si="52"/>
        <v>3042824.6067545544</v>
      </c>
      <c r="BG49" s="716"/>
      <c r="BH49" s="716">
        <f t="shared" si="53"/>
        <v>3042824.6067545544</v>
      </c>
      <c r="BI49" s="716"/>
      <c r="BJ49" s="716">
        <f t="shared" si="54"/>
        <v>3042824.6067545544</v>
      </c>
      <c r="BK49" s="716"/>
      <c r="BL49" s="716">
        <f t="shared" si="55"/>
        <v>3042824.6067545544</v>
      </c>
      <c r="BM49" s="716"/>
      <c r="BN49" s="716">
        <f t="shared" si="20"/>
        <v>3042824.6067545544</v>
      </c>
      <c r="BO49" s="716"/>
      <c r="BP49" s="716">
        <f t="shared" si="56"/>
        <v>3042824.6067545544</v>
      </c>
      <c r="BQ49" s="716"/>
      <c r="BR49" s="716">
        <f t="shared" si="57"/>
        <v>3042824.6067545544</v>
      </c>
      <c r="BS49" s="716"/>
      <c r="BT49" s="716">
        <f t="shared" si="58"/>
        <v>3042824.6067545544</v>
      </c>
      <c r="BU49" s="716"/>
      <c r="BV49" s="716">
        <f t="shared" si="21"/>
        <v>3042824.6067545544</v>
      </c>
      <c r="BW49" s="716"/>
      <c r="BX49" s="716">
        <f t="shared" si="167"/>
        <v>31400</v>
      </c>
      <c r="BY49" s="716">
        <f t="shared" si="60"/>
        <v>3074224.6067545544</v>
      </c>
      <c r="BZ49" s="716"/>
      <c r="CA49" s="716">
        <f t="shared" si="61"/>
        <v>3074224.6067545544</v>
      </c>
      <c r="CB49" s="1135">
        <f t="shared" si="121"/>
        <v>3074224.6067545544</v>
      </c>
      <c r="CC49" s="1164">
        <f t="shared" si="109"/>
        <v>3074224.6067545544</v>
      </c>
      <c r="CD49" s="1164"/>
      <c r="CE49" s="1164">
        <f t="shared" si="63"/>
        <v>0</v>
      </c>
      <c r="CF49" s="1164">
        <f t="shared" si="115"/>
        <v>0</v>
      </c>
      <c r="CG49" s="1164">
        <f t="shared" si="116"/>
        <v>0</v>
      </c>
      <c r="CH49" s="1154">
        <f t="shared" si="158"/>
        <v>3074224.6067545544</v>
      </c>
      <c r="CI49" s="935">
        <f t="shared" si="137"/>
        <v>3074224.6067545544</v>
      </c>
      <c r="CJ49" s="935">
        <f t="shared" si="64"/>
        <v>0</v>
      </c>
      <c r="CK49" s="935">
        <f t="shared" si="65"/>
        <v>315108.0221923418</v>
      </c>
      <c r="CL49" s="935">
        <f t="shared" si="66"/>
        <v>107597.86123640942</v>
      </c>
      <c r="CM49" s="1006">
        <f t="shared" si="138"/>
        <v>3496930.4901833055</v>
      </c>
      <c r="CN49" s="1007">
        <f t="shared" si="139"/>
        <v>0.125</v>
      </c>
      <c r="CO49" s="935">
        <f t="shared" si="24"/>
        <v>437116.31127291318</v>
      </c>
      <c r="CP49" s="935">
        <f t="shared" si="170"/>
        <v>30000</v>
      </c>
      <c r="CQ49" s="935">
        <f t="shared" si="25"/>
        <v>407116.31127291318</v>
      </c>
      <c r="CR49" s="745">
        <f t="shared" si="141"/>
        <v>1</v>
      </c>
      <c r="CS49" s="935">
        <f t="shared" si="26"/>
        <v>407116.31127291318</v>
      </c>
      <c r="CT49" s="1007">
        <f t="shared" si="68"/>
        <v>0.875</v>
      </c>
      <c r="CU49" s="935">
        <f t="shared" si="69"/>
        <v>3059814.1789103923</v>
      </c>
      <c r="CV49" s="1008">
        <f t="shared" si="110"/>
        <v>23722.706761007681</v>
      </c>
      <c r="CW49" s="1008">
        <f t="shared" si="70"/>
        <v>27502.474875597669</v>
      </c>
      <c r="CX49" s="1008">
        <f t="shared" si="71"/>
        <v>35527.03710048685</v>
      </c>
      <c r="CY49" s="1008">
        <f t="shared" si="72"/>
        <v>60587.988053181267</v>
      </c>
      <c r="CZ49" s="1119">
        <f t="shared" si="122"/>
        <v>248558.43141597047</v>
      </c>
      <c r="DA49" s="1119">
        <f t="shared" si="123"/>
        <v>98353.36051366452</v>
      </c>
      <c r="DB49" s="1119">
        <f t="shared" si="124"/>
        <v>71039.239301235197</v>
      </c>
      <c r="DC49" s="1119">
        <f t="shared" si="125"/>
        <v>54064.131585904252</v>
      </c>
      <c r="DD49" s="1028">
        <f t="shared" si="126"/>
        <v>0.38600416767793055</v>
      </c>
      <c r="DE49" s="1028">
        <f t="shared" si="142"/>
        <v>0</v>
      </c>
      <c r="DF49" s="1009" t="s">
        <v>270</v>
      </c>
      <c r="DG49" s="1009" t="s">
        <v>271</v>
      </c>
      <c r="DH49" s="966">
        <f t="shared" si="111"/>
        <v>45658</v>
      </c>
      <c r="DI49" s="912">
        <f t="shared" si="73"/>
        <v>14</v>
      </c>
      <c r="DJ49" s="939"/>
      <c r="DK49" s="913">
        <f t="shared" si="74"/>
        <v>45723</v>
      </c>
      <c r="DL49" s="912">
        <f t="shared" si="75"/>
        <v>16</v>
      </c>
      <c r="DM49" s="750" t="s">
        <v>272</v>
      </c>
      <c r="DN49" s="750" t="s">
        <v>273</v>
      </c>
      <c r="DO49" s="751">
        <f t="shared" si="31"/>
        <v>39302.242527207476</v>
      </c>
      <c r="DP49" s="751">
        <f t="shared" si="32"/>
        <v>864649.33559856447</v>
      </c>
      <c r="DQ49" s="752">
        <f t="shared" si="127"/>
        <v>0.43232466779928225</v>
      </c>
      <c r="DR49" s="503"/>
      <c r="DS49" s="751">
        <f t="shared" si="128"/>
        <v>3074224.6067545544</v>
      </c>
      <c r="DT49" s="751">
        <f>'[4]INTERNAL PRICELIST'!N43</f>
        <v>2061900</v>
      </c>
      <c r="DU49" s="751">
        <f t="shared" si="33"/>
        <v>1012324.6067545544</v>
      </c>
      <c r="DV49" s="503"/>
      <c r="DW49" s="951">
        <f t="shared" si="129"/>
        <v>139737.48212520703</v>
      </c>
      <c r="DX49" s="503"/>
      <c r="DZ49" s="1010" t="s">
        <v>390</v>
      </c>
      <c r="EA49" s="1052" t="b">
        <f t="shared" si="35"/>
        <v>1</v>
      </c>
      <c r="EB49" s="1053" t="s">
        <v>391</v>
      </c>
      <c r="EC49" s="1053" t="s">
        <v>357</v>
      </c>
      <c r="ED49" s="503"/>
      <c r="EE49" s="1029"/>
      <c r="EF49" s="503"/>
      <c r="EG49" s="503"/>
      <c r="EH49" s="930"/>
      <c r="EI49" s="930"/>
      <c r="EJ49" s="503"/>
      <c r="EK49" s="503"/>
      <c r="EL49" s="503"/>
      <c r="EM49" s="503"/>
      <c r="EN49" s="503"/>
      <c r="EO49" s="503"/>
      <c r="EP49" s="503"/>
      <c r="EQ49" s="503"/>
      <c r="ER49" s="1017" t="s">
        <v>264</v>
      </c>
      <c r="ES49" s="1391" t="s">
        <v>264</v>
      </c>
      <c r="ET49" s="1018" t="b">
        <f t="shared" si="76"/>
        <v>1</v>
      </c>
      <c r="EU49" s="940"/>
      <c r="EV49" s="941"/>
      <c r="EW49" s="940"/>
      <c r="EX49" s="1019">
        <v>2874106.5421836311</v>
      </c>
      <c r="EY49" s="1019">
        <f t="shared" si="143"/>
        <v>431115.98132754466</v>
      </c>
      <c r="EZ49" s="1019">
        <f t="shared" si="144"/>
        <v>2442990.5608560862</v>
      </c>
      <c r="FA49" s="1019">
        <f t="shared" si="145"/>
        <v>287410.65421836311</v>
      </c>
      <c r="FB49" s="1019">
        <f t="shared" si="146"/>
        <v>2586695.887965268</v>
      </c>
      <c r="FC49" s="1019">
        <f t="shared" si="147"/>
        <v>143705.32710918179</v>
      </c>
      <c r="FD49" s="1020"/>
      <c r="FE49" s="1021"/>
      <c r="FF49" s="1022">
        <f t="shared" si="148"/>
        <v>2442990.5608560862</v>
      </c>
      <c r="FG49" s="1022">
        <f t="shared" si="149"/>
        <v>207654.19767276733</v>
      </c>
      <c r="FH49" s="1022">
        <f t="shared" si="161"/>
        <v>103827.09883638367</v>
      </c>
      <c r="FI49" s="1023">
        <f t="shared" si="150"/>
        <v>2586695.887965268</v>
      </c>
      <c r="FJ49" s="1023">
        <f t="shared" si="151"/>
        <v>219869.15047704781</v>
      </c>
      <c r="FK49" s="1023">
        <f t="shared" si="152"/>
        <v>109934.5752385239</v>
      </c>
      <c r="FL49" s="1019">
        <f t="shared" si="162"/>
        <v>12214.952804280474</v>
      </c>
      <c r="FM49" s="1019">
        <f t="shared" si="163"/>
        <v>6107.476402140237</v>
      </c>
      <c r="FN49" s="1019" t="str">
        <f t="shared" si="153"/>
        <v>VS</v>
      </c>
      <c r="FO49" s="1019">
        <f t="shared" si="159"/>
        <v>27537.409960060559</v>
      </c>
      <c r="FP49" s="1019">
        <f t="shared" si="164"/>
        <v>-21429.933557920322</v>
      </c>
      <c r="FQ49" s="1021"/>
      <c r="FR49" s="1021"/>
      <c r="FS49" s="1020"/>
      <c r="FT49" s="503"/>
      <c r="FU49" s="956"/>
      <c r="FV49" s="503"/>
      <c r="FW49" s="503"/>
      <c r="FX49" s="1040"/>
      <c r="FY49" s="503"/>
      <c r="FZ49" s="503"/>
      <c r="GA49" s="503"/>
      <c r="GB49" s="1059"/>
      <c r="GE49" s="1011" t="s">
        <v>392</v>
      </c>
      <c r="GF49" s="1185"/>
      <c r="GG49" s="956"/>
      <c r="GH49" s="945"/>
      <c r="GI49" s="1024">
        <f t="shared" si="78"/>
        <v>3496930.4901833055</v>
      </c>
      <c r="GJ49" s="1025">
        <f t="shared" si="79"/>
        <v>0.125</v>
      </c>
      <c r="GK49" s="1024">
        <f t="shared" si="80"/>
        <v>437116.31127291318</v>
      </c>
      <c r="GL49" s="1024">
        <f t="shared" si="81"/>
        <v>30000</v>
      </c>
      <c r="GM49" s="1024">
        <f t="shared" si="82"/>
        <v>407116.31127291318</v>
      </c>
      <c r="GN49" s="1024">
        <f t="shared" si="83"/>
        <v>1</v>
      </c>
      <c r="GO49" s="1024">
        <f t="shared" si="84"/>
        <v>407116.31127291318</v>
      </c>
      <c r="GP49" s="1025">
        <f t="shared" si="85"/>
        <v>0.875</v>
      </c>
      <c r="GQ49" s="1024">
        <f t="shared" si="86"/>
        <v>3059814.1789103923</v>
      </c>
      <c r="GR49" s="1024">
        <f t="shared" si="87"/>
        <v>23722.706761007681</v>
      </c>
      <c r="GS49" s="1024">
        <f t="shared" si="88"/>
        <v>27502.474875597669</v>
      </c>
      <c r="GT49" s="1024">
        <f t="shared" si="89"/>
        <v>35527.03710048685</v>
      </c>
      <c r="GU49" s="1024">
        <f t="shared" si="90"/>
        <v>60587.988053181267</v>
      </c>
      <c r="GV49" s="945"/>
      <c r="GW49" s="1024">
        <f t="shared" si="91"/>
        <v>3496930.4901833055</v>
      </c>
      <c r="GX49" s="1025">
        <f t="shared" si="92"/>
        <v>0.125</v>
      </c>
      <c r="GY49" s="1024">
        <f t="shared" si="93"/>
        <v>437116.31127291318</v>
      </c>
      <c r="GZ49" s="1024">
        <f t="shared" si="94"/>
        <v>30000</v>
      </c>
      <c r="HA49" s="1024">
        <f t="shared" si="95"/>
        <v>407116.31127291318</v>
      </c>
      <c r="HB49" s="1026">
        <f t="shared" si="96"/>
        <v>25</v>
      </c>
      <c r="HC49" s="1009">
        <f t="shared" si="97"/>
        <v>16284.652450916527</v>
      </c>
      <c r="HD49" s="1027">
        <f t="shared" si="98"/>
        <v>0.875</v>
      </c>
      <c r="HE49" s="1009">
        <f t="shared" si="99"/>
        <v>3059814.1789103923</v>
      </c>
      <c r="HF49" s="1008">
        <f t="shared" si="100"/>
        <v>23722.706761007681</v>
      </c>
      <c r="HG49" s="1008">
        <f t="shared" si="101"/>
        <v>27502.474875597669</v>
      </c>
      <c r="HH49" s="1008">
        <f t="shared" si="102"/>
        <v>35527.03710048685</v>
      </c>
      <c r="HI49" s="1008">
        <f t="shared" si="103"/>
        <v>60587.988053181267</v>
      </c>
      <c r="HJ49" s="945"/>
      <c r="HK49" s="1009">
        <f t="shared" si="104"/>
        <v>-390831.65882199665</v>
      </c>
      <c r="HL49" s="503"/>
      <c r="HM49" s="503"/>
      <c r="HN49" s="503"/>
      <c r="HO49" s="503"/>
      <c r="HP49" s="503"/>
      <c r="HQ49" s="503"/>
      <c r="HR49" s="956">
        <f t="shared" si="105"/>
        <v>0</v>
      </c>
      <c r="HS49" s="503"/>
      <c r="HT49" s="503"/>
      <c r="HU49" s="956"/>
      <c r="HV49" s="503"/>
      <c r="HW49" s="956"/>
      <c r="HX49" s="956"/>
      <c r="HY49" s="503"/>
      <c r="HZ49" s="503"/>
      <c r="IA49" s="503"/>
      <c r="ID49" s="1394"/>
    </row>
    <row r="50" spans="1:238" s="1051" customFormat="1" ht="14.25" hidden="1" customHeight="1">
      <c r="A50" s="1018">
        <f t="shared" si="155"/>
        <v>44</v>
      </c>
      <c r="B50" s="716" t="s">
        <v>264</v>
      </c>
      <c r="C50" s="741">
        <f t="shared" si="192"/>
        <v>14</v>
      </c>
      <c r="D50" s="716" t="s">
        <v>259</v>
      </c>
      <c r="E50" s="743" t="str">
        <f t="shared" si="36"/>
        <v>4th Floor</v>
      </c>
      <c r="F50" s="1048"/>
      <c r="G50" s="745" t="s">
        <v>393</v>
      </c>
      <c r="H50" s="745" t="s">
        <v>338</v>
      </c>
      <c r="I50" s="745" t="s">
        <v>267</v>
      </c>
      <c r="J50" s="1005">
        <v>22</v>
      </c>
      <c r="K50" s="1049"/>
      <c r="L50" s="1006" t="s">
        <v>268</v>
      </c>
      <c r="M50" s="745" t="s">
        <v>79</v>
      </c>
      <c r="N50" s="1050">
        <v>95909.091</v>
      </c>
      <c r="O50" s="934">
        <f t="shared" si="132"/>
        <v>2110000.0019999999</v>
      </c>
      <c r="P50" s="934">
        <f t="shared" si="156"/>
        <v>22400</v>
      </c>
      <c r="Q50" s="934">
        <f t="shared" si="119"/>
        <v>50000</v>
      </c>
      <c r="R50" s="934"/>
      <c r="S50" s="934"/>
      <c r="T50" s="934"/>
      <c r="U50" s="934"/>
      <c r="V50" s="934"/>
      <c r="W50" s="749"/>
      <c r="X50" s="934"/>
      <c r="Y50" s="934"/>
      <c r="Z50" s="934">
        <f t="shared" si="133"/>
        <v>75000</v>
      </c>
      <c r="AA50" s="934"/>
      <c r="AB50" s="934"/>
      <c r="AC50" s="934"/>
      <c r="AD50" s="934"/>
      <c r="AE50" s="934">
        <f t="shared" si="14"/>
        <v>147400</v>
      </c>
      <c r="AF50" s="1005">
        <f t="shared" si="15"/>
        <v>2257400.0019999999</v>
      </c>
      <c r="AG50" s="1005">
        <f t="shared" si="37"/>
        <v>56435.000050000002</v>
      </c>
      <c r="AH50" s="1005">
        <f t="shared" si="38"/>
        <v>2313835.0020499998</v>
      </c>
      <c r="AI50" s="1005">
        <f t="shared" si="39"/>
        <v>57845.875051249997</v>
      </c>
      <c r="AJ50" s="1005">
        <f t="shared" si="40"/>
        <v>2371680.87710125</v>
      </c>
      <c r="AK50" s="1005">
        <f t="shared" si="41"/>
        <v>118584.04385506251</v>
      </c>
      <c r="AL50" s="1005">
        <f t="shared" si="157"/>
        <v>2490264.9209563127</v>
      </c>
      <c r="AM50" s="934">
        <f t="shared" si="43"/>
        <v>24902.649209563126</v>
      </c>
      <c r="AN50" s="934">
        <f t="shared" si="44"/>
        <v>27537.409960060559</v>
      </c>
      <c r="AO50" s="934"/>
      <c r="AP50" s="934">
        <f t="shared" si="134"/>
        <v>109934.5752385239</v>
      </c>
      <c r="AQ50" s="1005">
        <f t="shared" si="45"/>
        <v>2652639.5553644602</v>
      </c>
      <c r="AR50" s="1005">
        <f t="shared" si="46"/>
        <v>119368.7799914007</v>
      </c>
      <c r="AS50" s="1147">
        <f t="shared" si="47"/>
        <v>2772008.3353558611</v>
      </c>
      <c r="AT50" s="1148">
        <f t="shared" si="135"/>
        <v>2000000</v>
      </c>
      <c r="AU50" s="1148">
        <f t="shared" si="193"/>
        <v>35091.287970720958</v>
      </c>
      <c r="AV50" s="1148">
        <f t="shared" si="136"/>
        <v>772008.33535586111</v>
      </c>
      <c r="AW50" s="1148">
        <f t="shared" si="17"/>
        <v>92641.000242703332</v>
      </c>
      <c r="AX50" s="1148">
        <f t="shared" si="18"/>
        <v>864649.33559856447</v>
      </c>
      <c r="AY50" s="1147">
        <f t="shared" si="48"/>
        <v>2864649.3355985642</v>
      </c>
      <c r="AZ50" s="934">
        <f t="shared" si="49"/>
        <v>35808.116694982054</v>
      </c>
      <c r="BA50" s="716" t="s">
        <v>269</v>
      </c>
      <c r="BB50" s="716">
        <f t="shared" si="194"/>
        <v>2900457.4522935464</v>
      </c>
      <c r="BC50" s="716" t="s">
        <v>269</v>
      </c>
      <c r="BD50" s="716">
        <f t="shared" si="50"/>
        <v>108767.15446100799</v>
      </c>
      <c r="BE50" s="716">
        <f t="shared" si="51"/>
        <v>33600</v>
      </c>
      <c r="BF50" s="716">
        <f t="shared" si="52"/>
        <v>3042824.6067545544</v>
      </c>
      <c r="BG50" s="716"/>
      <c r="BH50" s="716">
        <f t="shared" si="53"/>
        <v>3042824.6067545544</v>
      </c>
      <c r="BI50" s="716"/>
      <c r="BJ50" s="716">
        <f t="shared" si="54"/>
        <v>3042824.6067545544</v>
      </c>
      <c r="BK50" s="716"/>
      <c r="BL50" s="716">
        <f t="shared" si="55"/>
        <v>3042824.6067545544</v>
      </c>
      <c r="BM50" s="716"/>
      <c r="BN50" s="716">
        <f t="shared" si="20"/>
        <v>3042824.6067545544</v>
      </c>
      <c r="BO50" s="716"/>
      <c r="BP50" s="716">
        <f t="shared" si="56"/>
        <v>3042824.6067545544</v>
      </c>
      <c r="BQ50" s="716"/>
      <c r="BR50" s="716">
        <f t="shared" si="57"/>
        <v>3042824.6067545544</v>
      </c>
      <c r="BS50" s="716"/>
      <c r="BT50" s="716">
        <f t="shared" si="58"/>
        <v>3042824.6067545544</v>
      </c>
      <c r="BU50" s="716"/>
      <c r="BV50" s="716">
        <f t="shared" si="21"/>
        <v>3042824.6067545544</v>
      </c>
      <c r="BW50" s="716"/>
      <c r="BX50" s="716">
        <f t="shared" si="167"/>
        <v>31400</v>
      </c>
      <c r="BY50" s="716">
        <f t="shared" si="60"/>
        <v>3074224.6067545544</v>
      </c>
      <c r="BZ50" s="716"/>
      <c r="CA50" s="716">
        <f t="shared" si="61"/>
        <v>3074224.6067545544</v>
      </c>
      <c r="CB50" s="1135">
        <f t="shared" si="121"/>
        <v>3074224.6067545544</v>
      </c>
      <c r="CC50" s="1164">
        <f t="shared" si="109"/>
        <v>3074224.6067545544</v>
      </c>
      <c r="CD50" s="1164"/>
      <c r="CE50" s="1164">
        <f t="shared" si="63"/>
        <v>0</v>
      </c>
      <c r="CF50" s="1164">
        <f t="shared" si="115"/>
        <v>0</v>
      </c>
      <c r="CG50" s="1164">
        <f t="shared" si="116"/>
        <v>0</v>
      </c>
      <c r="CH50" s="1154">
        <f t="shared" si="158"/>
        <v>3074224.6067545544</v>
      </c>
      <c r="CI50" s="935">
        <f t="shared" si="137"/>
        <v>3074224.6067545544</v>
      </c>
      <c r="CJ50" s="935">
        <f t="shared" si="64"/>
        <v>0</v>
      </c>
      <c r="CK50" s="935">
        <f t="shared" si="65"/>
        <v>315108.0221923418</v>
      </c>
      <c r="CL50" s="935">
        <f t="shared" si="66"/>
        <v>107597.86123640942</v>
      </c>
      <c r="CM50" s="1006">
        <f t="shared" si="138"/>
        <v>3496930.4901833055</v>
      </c>
      <c r="CN50" s="1007">
        <f t="shared" si="139"/>
        <v>0.125</v>
      </c>
      <c r="CO50" s="935">
        <f t="shared" si="24"/>
        <v>437116.31127291318</v>
      </c>
      <c r="CP50" s="935">
        <f t="shared" si="170"/>
        <v>30000</v>
      </c>
      <c r="CQ50" s="935">
        <f t="shared" si="25"/>
        <v>407116.31127291318</v>
      </c>
      <c r="CR50" s="745">
        <f t="shared" si="141"/>
        <v>1</v>
      </c>
      <c r="CS50" s="935">
        <f t="shared" si="26"/>
        <v>407116.31127291318</v>
      </c>
      <c r="CT50" s="1007">
        <f t="shared" si="68"/>
        <v>0.875</v>
      </c>
      <c r="CU50" s="935">
        <f t="shared" si="69"/>
        <v>3059814.1789103923</v>
      </c>
      <c r="CV50" s="1008">
        <f t="shared" si="110"/>
        <v>23722.706761007681</v>
      </c>
      <c r="CW50" s="1008">
        <f t="shared" si="70"/>
        <v>27502.474875597669</v>
      </c>
      <c r="CX50" s="1008">
        <f t="shared" si="71"/>
        <v>35527.03710048685</v>
      </c>
      <c r="CY50" s="1008">
        <f t="shared" si="72"/>
        <v>60587.988053181267</v>
      </c>
      <c r="CZ50" s="1119">
        <f t="shared" si="122"/>
        <v>248558.43141597047</v>
      </c>
      <c r="DA50" s="1119">
        <f t="shared" si="123"/>
        <v>98353.36051366452</v>
      </c>
      <c r="DB50" s="1119">
        <f t="shared" si="124"/>
        <v>71039.239301235197</v>
      </c>
      <c r="DC50" s="1119">
        <f t="shared" si="125"/>
        <v>54064.131585904252</v>
      </c>
      <c r="DD50" s="1028">
        <f t="shared" si="126"/>
        <v>0.38600416767793055</v>
      </c>
      <c r="DE50" s="1028">
        <f t="shared" si="142"/>
        <v>0</v>
      </c>
      <c r="DF50" s="1009" t="s">
        <v>270</v>
      </c>
      <c r="DG50" s="1009" t="s">
        <v>271</v>
      </c>
      <c r="DH50" s="966">
        <f t="shared" si="111"/>
        <v>45658</v>
      </c>
      <c r="DI50" s="912">
        <f t="shared" si="73"/>
        <v>14</v>
      </c>
      <c r="DJ50" s="939"/>
      <c r="DK50" s="913">
        <f t="shared" si="74"/>
        <v>45723</v>
      </c>
      <c r="DL50" s="912">
        <f t="shared" si="75"/>
        <v>16</v>
      </c>
      <c r="DM50" s="750" t="s">
        <v>272</v>
      </c>
      <c r="DN50" s="750" t="s">
        <v>273</v>
      </c>
      <c r="DO50" s="751">
        <f t="shared" si="31"/>
        <v>39302.242527207476</v>
      </c>
      <c r="DP50" s="751">
        <f t="shared" si="32"/>
        <v>864649.33559856447</v>
      </c>
      <c r="DQ50" s="752">
        <f t="shared" si="127"/>
        <v>0.43232466779928225</v>
      </c>
      <c r="DR50" s="503"/>
      <c r="DS50" s="751">
        <f t="shared" si="128"/>
        <v>3074224.6067545544</v>
      </c>
      <c r="DT50" s="751">
        <f>'[4]INTERNAL PRICELIST'!N44</f>
        <v>2061900</v>
      </c>
      <c r="DU50" s="751">
        <f t="shared" si="33"/>
        <v>1012324.6067545544</v>
      </c>
      <c r="DV50" s="503"/>
      <c r="DW50" s="951">
        <f t="shared" si="129"/>
        <v>139737.48212520703</v>
      </c>
      <c r="DX50" s="503"/>
      <c r="DZ50" s="1010" t="s">
        <v>393</v>
      </c>
      <c r="EA50" s="1052" t="b">
        <f t="shared" si="35"/>
        <v>1</v>
      </c>
      <c r="EB50" s="1053" t="s">
        <v>394</v>
      </c>
      <c r="EC50" s="1053" t="s">
        <v>357</v>
      </c>
      <c r="ED50" s="503"/>
      <c r="EE50" s="1029"/>
      <c r="EF50" s="503"/>
      <c r="EG50" s="503"/>
      <c r="EH50" s="930"/>
      <c r="EI50" s="930"/>
      <c r="EJ50" s="503"/>
      <c r="EK50" s="503"/>
      <c r="EL50" s="503"/>
      <c r="EM50" s="503"/>
      <c r="EN50" s="503"/>
      <c r="EO50" s="503"/>
      <c r="EP50" s="503"/>
      <c r="EQ50" s="503"/>
      <c r="ER50" s="1017" t="s">
        <v>264</v>
      </c>
      <c r="ES50" s="1391" t="s">
        <v>264</v>
      </c>
      <c r="ET50" s="1018" t="b">
        <f t="shared" si="76"/>
        <v>1</v>
      </c>
      <c r="EU50" s="940"/>
      <c r="EV50" s="941"/>
      <c r="EW50" s="940"/>
      <c r="EX50" s="1019">
        <v>2874106.5421836311</v>
      </c>
      <c r="EY50" s="1019">
        <f t="shared" si="143"/>
        <v>431115.98132754466</v>
      </c>
      <c r="EZ50" s="1019">
        <f t="shared" si="144"/>
        <v>2442990.5608560862</v>
      </c>
      <c r="FA50" s="1019">
        <f t="shared" si="145"/>
        <v>287410.65421836311</v>
      </c>
      <c r="FB50" s="1019">
        <f t="shared" si="146"/>
        <v>2586695.887965268</v>
      </c>
      <c r="FC50" s="1019">
        <f t="shared" si="147"/>
        <v>143705.32710918179</v>
      </c>
      <c r="FD50" s="1020"/>
      <c r="FE50" s="1021"/>
      <c r="FF50" s="1022">
        <f t="shared" si="148"/>
        <v>2442990.5608560862</v>
      </c>
      <c r="FG50" s="1022">
        <f t="shared" si="149"/>
        <v>207654.19767276733</v>
      </c>
      <c r="FH50" s="1022">
        <f t="shared" si="161"/>
        <v>103827.09883638367</v>
      </c>
      <c r="FI50" s="1023">
        <f t="shared" si="150"/>
        <v>2586695.887965268</v>
      </c>
      <c r="FJ50" s="1023">
        <f t="shared" si="151"/>
        <v>219869.15047704781</v>
      </c>
      <c r="FK50" s="1023">
        <f t="shared" si="152"/>
        <v>109934.5752385239</v>
      </c>
      <c r="FL50" s="1019">
        <f t="shared" si="162"/>
        <v>12214.952804280474</v>
      </c>
      <c r="FM50" s="1019">
        <f t="shared" si="163"/>
        <v>6107.476402140237</v>
      </c>
      <c r="FN50" s="1019" t="str">
        <f t="shared" si="153"/>
        <v>VS</v>
      </c>
      <c r="FO50" s="1019">
        <f t="shared" si="159"/>
        <v>27537.409960060559</v>
      </c>
      <c r="FP50" s="1019">
        <f t="shared" si="164"/>
        <v>-21429.933557920322</v>
      </c>
      <c r="FQ50" s="1021"/>
      <c r="FR50" s="1021"/>
      <c r="FS50" s="1020"/>
      <c r="FT50" s="503"/>
      <c r="FU50" s="956"/>
      <c r="FV50" s="503"/>
      <c r="FW50" s="503"/>
      <c r="FX50" s="1040"/>
      <c r="FY50" s="503"/>
      <c r="FZ50" s="503"/>
      <c r="GA50" s="503"/>
      <c r="GB50" s="1059"/>
      <c r="GE50" s="1011" t="s">
        <v>395</v>
      </c>
      <c r="GF50" s="1185"/>
      <c r="GG50" s="956"/>
      <c r="GH50" s="945"/>
      <c r="GI50" s="1024">
        <f t="shared" si="78"/>
        <v>3496930.4901833055</v>
      </c>
      <c r="GJ50" s="1025">
        <f t="shared" si="79"/>
        <v>0.125</v>
      </c>
      <c r="GK50" s="1024">
        <f t="shared" si="80"/>
        <v>437116.31127291318</v>
      </c>
      <c r="GL50" s="1024">
        <f t="shared" si="81"/>
        <v>30000</v>
      </c>
      <c r="GM50" s="1024">
        <f t="shared" si="82"/>
        <v>407116.31127291318</v>
      </c>
      <c r="GN50" s="1024">
        <f t="shared" si="83"/>
        <v>1</v>
      </c>
      <c r="GO50" s="1024">
        <f t="shared" si="84"/>
        <v>407116.31127291318</v>
      </c>
      <c r="GP50" s="1025">
        <f t="shared" si="85"/>
        <v>0.875</v>
      </c>
      <c r="GQ50" s="1024">
        <f t="shared" si="86"/>
        <v>3059814.1789103923</v>
      </c>
      <c r="GR50" s="1024">
        <f t="shared" si="87"/>
        <v>23722.706761007681</v>
      </c>
      <c r="GS50" s="1024">
        <f t="shared" si="88"/>
        <v>27502.474875597669</v>
      </c>
      <c r="GT50" s="1024">
        <f t="shared" si="89"/>
        <v>35527.03710048685</v>
      </c>
      <c r="GU50" s="1024">
        <f t="shared" si="90"/>
        <v>60587.988053181267</v>
      </c>
      <c r="GV50" s="945"/>
      <c r="GW50" s="1024">
        <f t="shared" si="91"/>
        <v>3496930.4901833055</v>
      </c>
      <c r="GX50" s="1025">
        <f t="shared" si="92"/>
        <v>0.125</v>
      </c>
      <c r="GY50" s="1024">
        <f t="shared" si="93"/>
        <v>437116.31127291318</v>
      </c>
      <c r="GZ50" s="1024">
        <f t="shared" si="94"/>
        <v>30000</v>
      </c>
      <c r="HA50" s="1024">
        <f t="shared" si="95"/>
        <v>407116.31127291318</v>
      </c>
      <c r="HB50" s="1026">
        <f t="shared" si="96"/>
        <v>25</v>
      </c>
      <c r="HC50" s="1009">
        <f t="shared" si="97"/>
        <v>16284.652450916527</v>
      </c>
      <c r="HD50" s="1027">
        <f t="shared" si="98"/>
        <v>0.875</v>
      </c>
      <c r="HE50" s="1009">
        <f t="shared" si="99"/>
        <v>3059814.1789103923</v>
      </c>
      <c r="HF50" s="1008">
        <f t="shared" si="100"/>
        <v>23722.706761007681</v>
      </c>
      <c r="HG50" s="1008">
        <f t="shared" si="101"/>
        <v>27502.474875597669</v>
      </c>
      <c r="HH50" s="1008">
        <f t="shared" si="102"/>
        <v>35527.03710048685</v>
      </c>
      <c r="HI50" s="1008">
        <f t="shared" si="103"/>
        <v>60587.988053181267</v>
      </c>
      <c r="HJ50" s="945"/>
      <c r="HK50" s="1009">
        <f t="shared" si="104"/>
        <v>-390831.65882199665</v>
      </c>
      <c r="HL50" s="503"/>
      <c r="HM50" s="503"/>
      <c r="HN50" s="503"/>
      <c r="HO50" s="503"/>
      <c r="HP50" s="503"/>
      <c r="HQ50" s="503"/>
      <c r="HR50" s="956">
        <f t="shared" si="105"/>
        <v>0</v>
      </c>
      <c r="HS50" s="503"/>
      <c r="HT50" s="503"/>
      <c r="HU50" s="956"/>
      <c r="HV50" s="503"/>
      <c r="HW50" s="956"/>
      <c r="HX50" s="956"/>
      <c r="HY50" s="503"/>
      <c r="HZ50" s="503"/>
      <c r="IA50" s="503"/>
      <c r="ID50" s="1394"/>
    </row>
    <row r="51" spans="1:238" s="1051" customFormat="1" ht="14.25" hidden="1" customHeight="1">
      <c r="A51" s="1018">
        <f t="shared" si="155"/>
        <v>45</v>
      </c>
      <c r="B51" s="716" t="s">
        <v>264</v>
      </c>
      <c r="C51" s="741">
        <f t="shared" si="192"/>
        <v>15</v>
      </c>
      <c r="D51" s="716" t="s">
        <v>259</v>
      </c>
      <c r="E51" s="743" t="str">
        <f t="shared" si="36"/>
        <v>4th Floor</v>
      </c>
      <c r="F51" s="1048"/>
      <c r="G51" s="745" t="s">
        <v>396</v>
      </c>
      <c r="H51" s="745" t="s">
        <v>342</v>
      </c>
      <c r="I51" s="745" t="s">
        <v>267</v>
      </c>
      <c r="J51" s="1005">
        <v>22</v>
      </c>
      <c r="K51" s="1049"/>
      <c r="L51" s="1006" t="s">
        <v>268</v>
      </c>
      <c r="M51" s="745" t="s">
        <v>79</v>
      </c>
      <c r="N51" s="1050">
        <v>95909.091</v>
      </c>
      <c r="O51" s="934">
        <f t="shared" si="132"/>
        <v>2110000.0019999999</v>
      </c>
      <c r="P51" s="934">
        <f t="shared" si="156"/>
        <v>22400</v>
      </c>
      <c r="Q51" s="934">
        <f t="shared" si="119"/>
        <v>50000</v>
      </c>
      <c r="R51" s="934"/>
      <c r="S51" s="934"/>
      <c r="T51" s="934"/>
      <c r="U51" s="934"/>
      <c r="V51" s="934"/>
      <c r="W51" s="749"/>
      <c r="X51" s="934"/>
      <c r="Y51" s="934"/>
      <c r="Z51" s="934">
        <f t="shared" si="133"/>
        <v>75000</v>
      </c>
      <c r="AA51" s="934"/>
      <c r="AB51" s="934"/>
      <c r="AC51" s="934"/>
      <c r="AD51" s="934"/>
      <c r="AE51" s="934">
        <f t="shared" si="14"/>
        <v>147400</v>
      </c>
      <c r="AF51" s="1005">
        <f t="shared" si="15"/>
        <v>2257400.0019999999</v>
      </c>
      <c r="AG51" s="1005">
        <f t="shared" si="37"/>
        <v>56435.000050000002</v>
      </c>
      <c r="AH51" s="1005">
        <f t="shared" si="38"/>
        <v>2313835.0020499998</v>
      </c>
      <c r="AI51" s="1005">
        <f t="shared" si="39"/>
        <v>57845.875051249997</v>
      </c>
      <c r="AJ51" s="1005">
        <f t="shared" si="40"/>
        <v>2371680.87710125</v>
      </c>
      <c r="AK51" s="1005">
        <f t="shared" si="41"/>
        <v>118584.04385506251</v>
      </c>
      <c r="AL51" s="1005">
        <f t="shared" si="157"/>
        <v>2490264.9209563127</v>
      </c>
      <c r="AM51" s="934">
        <f t="shared" si="43"/>
        <v>24902.649209563126</v>
      </c>
      <c r="AN51" s="934">
        <f t="shared" si="44"/>
        <v>27537.409960060559</v>
      </c>
      <c r="AO51" s="934"/>
      <c r="AP51" s="934">
        <f t="shared" si="134"/>
        <v>109934.5752385239</v>
      </c>
      <c r="AQ51" s="1005">
        <f t="shared" si="45"/>
        <v>2652639.5553644602</v>
      </c>
      <c r="AR51" s="1005">
        <f t="shared" si="46"/>
        <v>119368.7799914007</v>
      </c>
      <c r="AS51" s="1147">
        <f t="shared" si="47"/>
        <v>2772008.3353558611</v>
      </c>
      <c r="AT51" s="1148">
        <f t="shared" si="135"/>
        <v>2000000</v>
      </c>
      <c r="AU51" s="1148">
        <f t="shared" si="193"/>
        <v>35091.287970720958</v>
      </c>
      <c r="AV51" s="1148">
        <f t="shared" si="136"/>
        <v>772008.33535586111</v>
      </c>
      <c r="AW51" s="1148">
        <f t="shared" si="17"/>
        <v>92641.000242703332</v>
      </c>
      <c r="AX51" s="1148">
        <f t="shared" si="18"/>
        <v>864649.33559856447</v>
      </c>
      <c r="AY51" s="1147">
        <f t="shared" si="48"/>
        <v>2864649.3355985642</v>
      </c>
      <c r="AZ51" s="934">
        <f t="shared" si="49"/>
        <v>35808.116694982054</v>
      </c>
      <c r="BA51" s="716" t="s">
        <v>269</v>
      </c>
      <c r="BB51" s="716">
        <f t="shared" si="194"/>
        <v>2900457.4522935464</v>
      </c>
      <c r="BC51" s="716" t="s">
        <v>269</v>
      </c>
      <c r="BD51" s="716">
        <f t="shared" si="50"/>
        <v>108767.15446100799</v>
      </c>
      <c r="BE51" s="716">
        <f t="shared" si="51"/>
        <v>33600</v>
      </c>
      <c r="BF51" s="716">
        <f t="shared" si="52"/>
        <v>3042824.6067545544</v>
      </c>
      <c r="BG51" s="716"/>
      <c r="BH51" s="716">
        <f t="shared" si="53"/>
        <v>3042824.6067545544</v>
      </c>
      <c r="BI51" s="716"/>
      <c r="BJ51" s="716">
        <f t="shared" si="54"/>
        <v>3042824.6067545544</v>
      </c>
      <c r="BK51" s="716"/>
      <c r="BL51" s="716">
        <f t="shared" si="55"/>
        <v>3042824.6067545544</v>
      </c>
      <c r="BM51" s="716"/>
      <c r="BN51" s="716">
        <f t="shared" si="20"/>
        <v>3042824.6067545544</v>
      </c>
      <c r="BO51" s="716"/>
      <c r="BP51" s="716">
        <f t="shared" si="56"/>
        <v>3042824.6067545544</v>
      </c>
      <c r="BQ51" s="716"/>
      <c r="BR51" s="716">
        <f t="shared" si="57"/>
        <v>3042824.6067545544</v>
      </c>
      <c r="BS51" s="716"/>
      <c r="BT51" s="716">
        <f t="shared" si="58"/>
        <v>3042824.6067545544</v>
      </c>
      <c r="BU51" s="716"/>
      <c r="BV51" s="716">
        <f t="shared" si="21"/>
        <v>3042824.6067545544</v>
      </c>
      <c r="BW51" s="716"/>
      <c r="BX51" s="716">
        <f t="shared" si="167"/>
        <v>31400</v>
      </c>
      <c r="BY51" s="716">
        <f t="shared" si="60"/>
        <v>3074224.6067545544</v>
      </c>
      <c r="BZ51" s="716"/>
      <c r="CA51" s="716">
        <f t="shared" si="61"/>
        <v>3074224.6067545544</v>
      </c>
      <c r="CB51" s="1135">
        <f t="shared" si="121"/>
        <v>3074224.6067545544</v>
      </c>
      <c r="CC51" s="1164">
        <f t="shared" si="109"/>
        <v>3074224.6067545544</v>
      </c>
      <c r="CD51" s="1164"/>
      <c r="CE51" s="1164">
        <f t="shared" si="63"/>
        <v>0</v>
      </c>
      <c r="CF51" s="1164">
        <f t="shared" si="115"/>
        <v>0</v>
      </c>
      <c r="CG51" s="1164">
        <f t="shared" si="116"/>
        <v>0</v>
      </c>
      <c r="CH51" s="1154">
        <f t="shared" si="158"/>
        <v>3074224.6067545544</v>
      </c>
      <c r="CI51" s="935">
        <f t="shared" si="137"/>
        <v>3074224.6067545544</v>
      </c>
      <c r="CJ51" s="935">
        <f t="shared" si="64"/>
        <v>0</v>
      </c>
      <c r="CK51" s="935">
        <f t="shared" si="65"/>
        <v>315108.0221923418</v>
      </c>
      <c r="CL51" s="935">
        <f t="shared" si="66"/>
        <v>107597.86123640942</v>
      </c>
      <c r="CM51" s="1006">
        <f t="shared" si="138"/>
        <v>3496930.4901833055</v>
      </c>
      <c r="CN51" s="1007">
        <f t="shared" si="139"/>
        <v>0.125</v>
      </c>
      <c r="CO51" s="935">
        <f t="shared" si="24"/>
        <v>437116.31127291318</v>
      </c>
      <c r="CP51" s="935">
        <f t="shared" si="170"/>
        <v>30000</v>
      </c>
      <c r="CQ51" s="935">
        <f t="shared" si="25"/>
        <v>407116.31127291318</v>
      </c>
      <c r="CR51" s="745">
        <f t="shared" si="141"/>
        <v>1</v>
      </c>
      <c r="CS51" s="935">
        <f t="shared" si="26"/>
        <v>407116.31127291318</v>
      </c>
      <c r="CT51" s="1007">
        <f t="shared" si="68"/>
        <v>0.875</v>
      </c>
      <c r="CU51" s="935">
        <f t="shared" si="69"/>
        <v>3059814.1789103923</v>
      </c>
      <c r="CV51" s="1008">
        <f t="shared" si="110"/>
        <v>23722.706761007681</v>
      </c>
      <c r="CW51" s="1008">
        <f t="shared" si="70"/>
        <v>27502.474875597669</v>
      </c>
      <c r="CX51" s="1008">
        <f t="shared" si="71"/>
        <v>35527.03710048685</v>
      </c>
      <c r="CY51" s="1008">
        <f t="shared" si="72"/>
        <v>60587.988053181267</v>
      </c>
      <c r="CZ51" s="1119">
        <f t="shared" si="122"/>
        <v>248558.43141597047</v>
      </c>
      <c r="DA51" s="1119">
        <f t="shared" si="123"/>
        <v>98353.36051366452</v>
      </c>
      <c r="DB51" s="1119">
        <f t="shared" si="124"/>
        <v>71039.239301235197</v>
      </c>
      <c r="DC51" s="1119">
        <f t="shared" si="125"/>
        <v>54064.131585904252</v>
      </c>
      <c r="DD51" s="1028">
        <f t="shared" si="126"/>
        <v>0.38600416767793055</v>
      </c>
      <c r="DE51" s="1028">
        <f t="shared" si="142"/>
        <v>0</v>
      </c>
      <c r="DF51" s="1009" t="s">
        <v>270</v>
      </c>
      <c r="DG51" s="1009" t="s">
        <v>271</v>
      </c>
      <c r="DH51" s="966">
        <f t="shared" si="111"/>
        <v>45658</v>
      </c>
      <c r="DI51" s="912">
        <f t="shared" si="73"/>
        <v>14</v>
      </c>
      <c r="DJ51" s="939"/>
      <c r="DK51" s="913">
        <f t="shared" si="74"/>
        <v>45723</v>
      </c>
      <c r="DL51" s="912">
        <f t="shared" si="75"/>
        <v>16</v>
      </c>
      <c r="DM51" s="750" t="s">
        <v>272</v>
      </c>
      <c r="DN51" s="750" t="s">
        <v>273</v>
      </c>
      <c r="DO51" s="751">
        <f t="shared" si="31"/>
        <v>39302.242527207476</v>
      </c>
      <c r="DP51" s="751">
        <f t="shared" si="32"/>
        <v>864649.33559856447</v>
      </c>
      <c r="DQ51" s="752">
        <f t="shared" si="127"/>
        <v>0.43232466779928225</v>
      </c>
      <c r="DR51" s="503"/>
      <c r="DS51" s="751">
        <f t="shared" si="128"/>
        <v>3074224.6067545544</v>
      </c>
      <c r="DT51" s="751">
        <f>'[4]INTERNAL PRICELIST'!N45</f>
        <v>2061900</v>
      </c>
      <c r="DU51" s="751">
        <f t="shared" si="33"/>
        <v>1012324.6067545544</v>
      </c>
      <c r="DV51" s="503"/>
      <c r="DW51" s="951">
        <f t="shared" si="129"/>
        <v>139737.48212520703</v>
      </c>
      <c r="DX51" s="503"/>
      <c r="DZ51" s="1010" t="s">
        <v>396</v>
      </c>
      <c r="EA51" s="1052" t="b">
        <f t="shared" si="35"/>
        <v>1</v>
      </c>
      <c r="EB51" s="1053" t="s">
        <v>397</v>
      </c>
      <c r="EC51" s="1053" t="s">
        <v>357</v>
      </c>
      <c r="ED51" s="503"/>
      <c r="EE51" s="1029"/>
      <c r="EF51" s="503"/>
      <c r="EG51" s="503"/>
      <c r="EH51" s="930"/>
      <c r="EI51" s="930"/>
      <c r="EJ51" s="503"/>
      <c r="EK51" s="503"/>
      <c r="EL51" s="503"/>
      <c r="EM51" s="503"/>
      <c r="EN51" s="503"/>
      <c r="EO51" s="503"/>
      <c r="EP51" s="503"/>
      <c r="EQ51" s="503"/>
      <c r="ER51" s="1017" t="s">
        <v>264</v>
      </c>
      <c r="ES51" s="1391" t="s">
        <v>264</v>
      </c>
      <c r="ET51" s="1018" t="b">
        <f t="shared" si="76"/>
        <v>1</v>
      </c>
      <c r="EU51" s="940"/>
      <c r="EV51" s="941"/>
      <c r="EW51" s="940"/>
      <c r="EX51" s="1019">
        <v>2874106.5421836311</v>
      </c>
      <c r="EY51" s="1019">
        <f t="shared" si="143"/>
        <v>431115.98132754466</v>
      </c>
      <c r="EZ51" s="1019">
        <f t="shared" si="144"/>
        <v>2442990.5608560862</v>
      </c>
      <c r="FA51" s="1019">
        <f t="shared" si="145"/>
        <v>287410.65421836311</v>
      </c>
      <c r="FB51" s="1019">
        <f t="shared" si="146"/>
        <v>2586695.887965268</v>
      </c>
      <c r="FC51" s="1019">
        <f t="shared" si="147"/>
        <v>143705.32710918179</v>
      </c>
      <c r="FD51" s="1020"/>
      <c r="FE51" s="1021"/>
      <c r="FF51" s="1022">
        <f t="shared" si="148"/>
        <v>2442990.5608560862</v>
      </c>
      <c r="FG51" s="1022">
        <f t="shared" si="149"/>
        <v>207654.19767276733</v>
      </c>
      <c r="FH51" s="1022">
        <f t="shared" si="161"/>
        <v>103827.09883638367</v>
      </c>
      <c r="FI51" s="1023">
        <f t="shared" si="150"/>
        <v>2586695.887965268</v>
      </c>
      <c r="FJ51" s="1023">
        <f t="shared" si="151"/>
        <v>219869.15047704781</v>
      </c>
      <c r="FK51" s="1023">
        <f t="shared" si="152"/>
        <v>109934.5752385239</v>
      </c>
      <c r="FL51" s="1019">
        <f t="shared" si="162"/>
        <v>12214.952804280474</v>
      </c>
      <c r="FM51" s="1019">
        <f t="shared" si="163"/>
        <v>6107.476402140237</v>
      </c>
      <c r="FN51" s="1019" t="str">
        <f t="shared" si="153"/>
        <v>VS</v>
      </c>
      <c r="FO51" s="1019">
        <f t="shared" si="159"/>
        <v>27537.409960060559</v>
      </c>
      <c r="FP51" s="1019">
        <f t="shared" si="164"/>
        <v>-21429.933557920322</v>
      </c>
      <c r="FQ51" s="1021"/>
      <c r="FR51" s="1021"/>
      <c r="FS51" s="1020"/>
      <c r="FT51" s="503"/>
      <c r="FU51" s="956"/>
      <c r="FV51" s="503"/>
      <c r="FW51" s="503"/>
      <c r="FX51" s="1040"/>
      <c r="FY51" s="503"/>
      <c r="FZ51" s="503"/>
      <c r="GA51" s="503"/>
      <c r="GB51" s="1059"/>
      <c r="GE51" s="1011" t="s">
        <v>398</v>
      </c>
      <c r="GF51" s="1185"/>
      <c r="GG51" s="956"/>
      <c r="GH51" s="945"/>
      <c r="GI51" s="1024">
        <f t="shared" si="78"/>
        <v>3496930.4901833055</v>
      </c>
      <c r="GJ51" s="1025">
        <f t="shared" si="79"/>
        <v>0.125</v>
      </c>
      <c r="GK51" s="1024">
        <f t="shared" si="80"/>
        <v>437116.31127291318</v>
      </c>
      <c r="GL51" s="1024">
        <f t="shared" si="81"/>
        <v>30000</v>
      </c>
      <c r="GM51" s="1024">
        <f t="shared" si="82"/>
        <v>407116.31127291318</v>
      </c>
      <c r="GN51" s="1024">
        <f t="shared" si="83"/>
        <v>1</v>
      </c>
      <c r="GO51" s="1024">
        <f t="shared" si="84"/>
        <v>407116.31127291318</v>
      </c>
      <c r="GP51" s="1025">
        <f t="shared" si="85"/>
        <v>0.875</v>
      </c>
      <c r="GQ51" s="1024">
        <f t="shared" si="86"/>
        <v>3059814.1789103923</v>
      </c>
      <c r="GR51" s="1024">
        <f t="shared" si="87"/>
        <v>23722.706761007681</v>
      </c>
      <c r="GS51" s="1024">
        <f t="shared" si="88"/>
        <v>27502.474875597669</v>
      </c>
      <c r="GT51" s="1024">
        <f t="shared" si="89"/>
        <v>35527.03710048685</v>
      </c>
      <c r="GU51" s="1024">
        <f t="shared" si="90"/>
        <v>60587.988053181267</v>
      </c>
      <c r="GV51" s="945"/>
      <c r="GW51" s="1024">
        <f t="shared" si="91"/>
        <v>3496930.4901833055</v>
      </c>
      <c r="GX51" s="1025">
        <f t="shared" si="92"/>
        <v>0.125</v>
      </c>
      <c r="GY51" s="1024">
        <f t="shared" si="93"/>
        <v>437116.31127291318</v>
      </c>
      <c r="GZ51" s="1024">
        <f t="shared" si="94"/>
        <v>30000</v>
      </c>
      <c r="HA51" s="1024">
        <f t="shared" si="95"/>
        <v>407116.31127291318</v>
      </c>
      <c r="HB51" s="1026">
        <f t="shared" si="96"/>
        <v>25</v>
      </c>
      <c r="HC51" s="1009">
        <f t="shared" si="97"/>
        <v>16284.652450916527</v>
      </c>
      <c r="HD51" s="1027">
        <f t="shared" si="98"/>
        <v>0.875</v>
      </c>
      <c r="HE51" s="1009">
        <f t="shared" si="99"/>
        <v>3059814.1789103923</v>
      </c>
      <c r="HF51" s="1008">
        <f t="shared" si="100"/>
        <v>23722.706761007681</v>
      </c>
      <c r="HG51" s="1008">
        <f t="shared" si="101"/>
        <v>27502.474875597669</v>
      </c>
      <c r="HH51" s="1008">
        <f t="shared" si="102"/>
        <v>35527.03710048685</v>
      </c>
      <c r="HI51" s="1008">
        <f t="shared" si="103"/>
        <v>60587.988053181267</v>
      </c>
      <c r="HJ51" s="945"/>
      <c r="HK51" s="1009">
        <f t="shared" si="104"/>
        <v>-390831.65882199665</v>
      </c>
      <c r="HL51" s="503"/>
      <c r="HM51" s="503"/>
      <c r="HN51" s="503"/>
      <c r="HO51" s="503"/>
      <c r="HP51" s="503"/>
      <c r="HQ51" s="503"/>
      <c r="HR51" s="956">
        <f t="shared" si="105"/>
        <v>0</v>
      </c>
      <c r="HS51" s="503"/>
      <c r="HT51" s="503"/>
      <c r="HU51" s="956"/>
      <c r="HV51" s="503"/>
      <c r="HW51" s="956"/>
      <c r="HX51" s="956"/>
      <c r="HY51" s="503"/>
      <c r="HZ51" s="503"/>
      <c r="IA51" s="503"/>
      <c r="ID51" s="1394"/>
    </row>
    <row r="52" spans="1:238" s="1051" customFormat="1" ht="14.25" hidden="1" customHeight="1">
      <c r="A52" s="1018">
        <f t="shared" si="155"/>
        <v>46</v>
      </c>
      <c r="B52" s="716" t="s">
        <v>264</v>
      </c>
      <c r="C52" s="741">
        <f t="shared" si="192"/>
        <v>16</v>
      </c>
      <c r="D52" s="716" t="s">
        <v>259</v>
      </c>
      <c r="E52" s="743" t="str">
        <f t="shared" si="36"/>
        <v>4th Floor</v>
      </c>
      <c r="F52" s="1048"/>
      <c r="G52" s="745" t="s">
        <v>399</v>
      </c>
      <c r="H52" s="745" t="s">
        <v>345</v>
      </c>
      <c r="I52" s="745" t="s">
        <v>267</v>
      </c>
      <c r="J52" s="1005">
        <v>22</v>
      </c>
      <c r="K52" s="1049"/>
      <c r="L52" s="1006" t="s">
        <v>268</v>
      </c>
      <c r="M52" s="745" t="s">
        <v>79</v>
      </c>
      <c r="N52" s="1050">
        <v>95909.091</v>
      </c>
      <c r="O52" s="934">
        <f t="shared" si="132"/>
        <v>2110000.0019999999</v>
      </c>
      <c r="P52" s="934">
        <f t="shared" si="156"/>
        <v>22400</v>
      </c>
      <c r="Q52" s="934">
        <f t="shared" si="119"/>
        <v>50000</v>
      </c>
      <c r="R52" s="934"/>
      <c r="S52" s="934"/>
      <c r="T52" s="934"/>
      <c r="U52" s="934"/>
      <c r="V52" s="934"/>
      <c r="W52" s="749"/>
      <c r="X52" s="934"/>
      <c r="Y52" s="934"/>
      <c r="Z52" s="934">
        <f t="shared" si="133"/>
        <v>75000</v>
      </c>
      <c r="AA52" s="934"/>
      <c r="AB52" s="934"/>
      <c r="AC52" s="934"/>
      <c r="AD52" s="934"/>
      <c r="AE52" s="934">
        <f t="shared" si="14"/>
        <v>147400</v>
      </c>
      <c r="AF52" s="1005">
        <f t="shared" si="15"/>
        <v>2257400.0019999999</v>
      </c>
      <c r="AG52" s="1005">
        <f t="shared" si="37"/>
        <v>56435.000050000002</v>
      </c>
      <c r="AH52" s="1005">
        <f t="shared" si="38"/>
        <v>2313835.0020499998</v>
      </c>
      <c r="AI52" s="1005">
        <f t="shared" si="39"/>
        <v>57845.875051249997</v>
      </c>
      <c r="AJ52" s="1005">
        <f t="shared" si="40"/>
        <v>2371680.87710125</v>
      </c>
      <c r="AK52" s="1005">
        <f t="shared" si="41"/>
        <v>118584.04385506251</v>
      </c>
      <c r="AL52" s="1005">
        <f t="shared" si="157"/>
        <v>2490264.9209563127</v>
      </c>
      <c r="AM52" s="934">
        <f t="shared" si="43"/>
        <v>24902.649209563126</v>
      </c>
      <c r="AN52" s="934">
        <f t="shared" si="44"/>
        <v>27537.409960060559</v>
      </c>
      <c r="AO52" s="934"/>
      <c r="AP52" s="934">
        <f t="shared" si="134"/>
        <v>109934.5752385239</v>
      </c>
      <c r="AQ52" s="1005">
        <f t="shared" si="45"/>
        <v>2652639.5553644602</v>
      </c>
      <c r="AR52" s="1005">
        <f t="shared" si="46"/>
        <v>119368.7799914007</v>
      </c>
      <c r="AS52" s="1147">
        <f t="shared" si="47"/>
        <v>2772008.3353558611</v>
      </c>
      <c r="AT52" s="1148">
        <f t="shared" si="135"/>
        <v>2000000</v>
      </c>
      <c r="AU52" s="1148">
        <f t="shared" si="193"/>
        <v>35091.287970720958</v>
      </c>
      <c r="AV52" s="1148">
        <f t="shared" si="136"/>
        <v>772008.33535586111</v>
      </c>
      <c r="AW52" s="1148">
        <f t="shared" si="17"/>
        <v>92641.000242703332</v>
      </c>
      <c r="AX52" s="1148">
        <f t="shared" si="18"/>
        <v>864649.33559856447</v>
      </c>
      <c r="AY52" s="1147">
        <f t="shared" si="48"/>
        <v>2864649.3355985642</v>
      </c>
      <c r="AZ52" s="934">
        <f t="shared" si="49"/>
        <v>35808.116694982054</v>
      </c>
      <c r="BA52" s="716" t="s">
        <v>269</v>
      </c>
      <c r="BB52" s="716">
        <f t="shared" si="194"/>
        <v>2900457.4522935464</v>
      </c>
      <c r="BC52" s="716" t="s">
        <v>269</v>
      </c>
      <c r="BD52" s="716">
        <f t="shared" si="50"/>
        <v>108767.15446100799</v>
      </c>
      <c r="BE52" s="716">
        <f t="shared" si="51"/>
        <v>33600</v>
      </c>
      <c r="BF52" s="716">
        <f t="shared" si="52"/>
        <v>3042824.6067545544</v>
      </c>
      <c r="BG52" s="716"/>
      <c r="BH52" s="716">
        <f t="shared" si="53"/>
        <v>3042824.6067545544</v>
      </c>
      <c r="BI52" s="716"/>
      <c r="BJ52" s="716">
        <f t="shared" si="54"/>
        <v>3042824.6067545544</v>
      </c>
      <c r="BK52" s="716"/>
      <c r="BL52" s="716">
        <f t="shared" si="55"/>
        <v>3042824.6067545544</v>
      </c>
      <c r="BM52" s="716"/>
      <c r="BN52" s="716">
        <f t="shared" si="20"/>
        <v>3042824.6067545544</v>
      </c>
      <c r="BO52" s="716"/>
      <c r="BP52" s="716">
        <f t="shared" si="56"/>
        <v>3042824.6067545544</v>
      </c>
      <c r="BQ52" s="716"/>
      <c r="BR52" s="716">
        <f t="shared" si="57"/>
        <v>3042824.6067545544</v>
      </c>
      <c r="BS52" s="716"/>
      <c r="BT52" s="716">
        <f t="shared" si="58"/>
        <v>3042824.6067545544</v>
      </c>
      <c r="BU52" s="716"/>
      <c r="BV52" s="716">
        <f t="shared" si="21"/>
        <v>3042824.6067545544</v>
      </c>
      <c r="BW52" s="716"/>
      <c r="BX52" s="716">
        <f t="shared" si="167"/>
        <v>31400</v>
      </c>
      <c r="BY52" s="716">
        <f t="shared" si="60"/>
        <v>3074224.6067545544</v>
      </c>
      <c r="BZ52" s="716"/>
      <c r="CA52" s="716">
        <f t="shared" si="61"/>
        <v>3074224.6067545544</v>
      </c>
      <c r="CB52" s="1135">
        <f t="shared" si="121"/>
        <v>3074224.6067545544</v>
      </c>
      <c r="CC52" s="1164">
        <f t="shared" si="109"/>
        <v>3074224.6067545544</v>
      </c>
      <c r="CD52" s="1164"/>
      <c r="CE52" s="1164">
        <f t="shared" si="63"/>
        <v>0</v>
      </c>
      <c r="CF52" s="1164">
        <f t="shared" si="115"/>
        <v>0</v>
      </c>
      <c r="CG52" s="1164">
        <f t="shared" si="116"/>
        <v>0</v>
      </c>
      <c r="CH52" s="1154">
        <f t="shared" si="158"/>
        <v>3074224.6067545544</v>
      </c>
      <c r="CI52" s="935">
        <f t="shared" si="137"/>
        <v>3074224.6067545544</v>
      </c>
      <c r="CJ52" s="935">
        <f t="shared" si="64"/>
        <v>0</v>
      </c>
      <c r="CK52" s="935">
        <f t="shared" si="65"/>
        <v>315108.0221923418</v>
      </c>
      <c r="CL52" s="935">
        <f t="shared" si="66"/>
        <v>107597.86123640942</v>
      </c>
      <c r="CM52" s="1006">
        <f t="shared" si="138"/>
        <v>3496930.4901833055</v>
      </c>
      <c r="CN52" s="1007">
        <f t="shared" si="139"/>
        <v>0.125</v>
      </c>
      <c r="CO52" s="935">
        <f t="shared" si="24"/>
        <v>437116.31127291318</v>
      </c>
      <c r="CP52" s="935">
        <f t="shared" si="170"/>
        <v>30000</v>
      </c>
      <c r="CQ52" s="935">
        <f t="shared" si="25"/>
        <v>407116.31127291318</v>
      </c>
      <c r="CR52" s="745">
        <f t="shared" si="141"/>
        <v>1</v>
      </c>
      <c r="CS52" s="935">
        <f t="shared" si="26"/>
        <v>407116.31127291318</v>
      </c>
      <c r="CT52" s="1007">
        <f t="shared" si="68"/>
        <v>0.875</v>
      </c>
      <c r="CU52" s="935">
        <f t="shared" si="69"/>
        <v>3059814.1789103923</v>
      </c>
      <c r="CV52" s="1008">
        <f t="shared" si="110"/>
        <v>23722.706761007681</v>
      </c>
      <c r="CW52" s="1008">
        <f t="shared" si="70"/>
        <v>27502.474875597669</v>
      </c>
      <c r="CX52" s="1008">
        <f t="shared" si="71"/>
        <v>35527.03710048685</v>
      </c>
      <c r="CY52" s="1008">
        <f t="shared" si="72"/>
        <v>60587.988053181267</v>
      </c>
      <c r="CZ52" s="1119">
        <f t="shared" si="122"/>
        <v>248558.43141597047</v>
      </c>
      <c r="DA52" s="1119">
        <f t="shared" si="123"/>
        <v>98353.36051366452</v>
      </c>
      <c r="DB52" s="1119">
        <f t="shared" si="124"/>
        <v>71039.239301235197</v>
      </c>
      <c r="DC52" s="1119">
        <f t="shared" si="125"/>
        <v>54064.131585904252</v>
      </c>
      <c r="DD52" s="1028">
        <f t="shared" si="126"/>
        <v>0.38600416767793055</v>
      </c>
      <c r="DE52" s="1028">
        <f t="shared" si="142"/>
        <v>0</v>
      </c>
      <c r="DF52" s="1009" t="s">
        <v>270</v>
      </c>
      <c r="DG52" s="1009" t="s">
        <v>271</v>
      </c>
      <c r="DH52" s="966">
        <f t="shared" si="111"/>
        <v>45658</v>
      </c>
      <c r="DI52" s="912">
        <f t="shared" si="73"/>
        <v>14</v>
      </c>
      <c r="DJ52" s="939"/>
      <c r="DK52" s="913">
        <f t="shared" si="74"/>
        <v>45723</v>
      </c>
      <c r="DL52" s="912">
        <f t="shared" si="75"/>
        <v>16</v>
      </c>
      <c r="DM52" s="750" t="s">
        <v>272</v>
      </c>
      <c r="DN52" s="750" t="s">
        <v>273</v>
      </c>
      <c r="DO52" s="751">
        <f t="shared" si="31"/>
        <v>39302.242527207476</v>
      </c>
      <c r="DP52" s="751">
        <f t="shared" si="32"/>
        <v>864649.33559856447</v>
      </c>
      <c r="DQ52" s="752">
        <f t="shared" si="127"/>
        <v>0.43232466779928225</v>
      </c>
      <c r="DR52" s="503"/>
      <c r="DS52" s="751">
        <f t="shared" si="128"/>
        <v>3074224.6067545544</v>
      </c>
      <c r="DT52" s="751">
        <f>'[4]INTERNAL PRICELIST'!N46</f>
        <v>2061900</v>
      </c>
      <c r="DU52" s="751">
        <f t="shared" si="33"/>
        <v>1012324.6067545544</v>
      </c>
      <c r="DV52" s="503"/>
      <c r="DW52" s="951">
        <f t="shared" si="129"/>
        <v>139737.48212520703</v>
      </c>
      <c r="DX52" s="503"/>
      <c r="DZ52" s="1010" t="s">
        <v>399</v>
      </c>
      <c r="EA52" s="1052" t="b">
        <f t="shared" si="35"/>
        <v>1</v>
      </c>
      <c r="EB52" s="1053" t="s">
        <v>400</v>
      </c>
      <c r="EC52" s="1053" t="s">
        <v>357</v>
      </c>
      <c r="ED52" s="503"/>
      <c r="EE52" s="1029"/>
      <c r="EF52" s="503"/>
      <c r="EG52" s="503"/>
      <c r="EH52" s="930"/>
      <c r="EI52" s="930"/>
      <c r="EJ52" s="503"/>
      <c r="EK52" s="503"/>
      <c r="EL52" s="503"/>
      <c r="EM52" s="503"/>
      <c r="EN52" s="503"/>
      <c r="EO52" s="503"/>
      <c r="EP52" s="503"/>
      <c r="EQ52" s="503"/>
      <c r="ER52" s="1017" t="s">
        <v>264</v>
      </c>
      <c r="ES52" s="1391" t="s">
        <v>264</v>
      </c>
      <c r="ET52" s="1018" t="b">
        <f t="shared" si="76"/>
        <v>1</v>
      </c>
      <c r="EU52" s="940"/>
      <c r="EV52" s="941"/>
      <c r="EW52" s="940"/>
      <c r="EX52" s="1019">
        <v>2874106.5421836311</v>
      </c>
      <c r="EY52" s="1019">
        <f t="shared" si="143"/>
        <v>431115.98132754466</v>
      </c>
      <c r="EZ52" s="1019">
        <f t="shared" si="144"/>
        <v>2442990.5608560862</v>
      </c>
      <c r="FA52" s="1019">
        <f t="shared" si="145"/>
        <v>287410.65421836311</v>
      </c>
      <c r="FB52" s="1019">
        <f t="shared" si="146"/>
        <v>2586695.887965268</v>
      </c>
      <c r="FC52" s="1019">
        <f t="shared" si="147"/>
        <v>143705.32710918179</v>
      </c>
      <c r="FD52" s="1020"/>
      <c r="FE52" s="1021"/>
      <c r="FF52" s="1022">
        <f t="shared" si="148"/>
        <v>2442990.5608560862</v>
      </c>
      <c r="FG52" s="1022">
        <f t="shared" si="149"/>
        <v>207654.19767276733</v>
      </c>
      <c r="FH52" s="1022">
        <f t="shared" si="161"/>
        <v>103827.09883638367</v>
      </c>
      <c r="FI52" s="1023">
        <f t="shared" si="150"/>
        <v>2586695.887965268</v>
      </c>
      <c r="FJ52" s="1023">
        <f t="shared" si="151"/>
        <v>219869.15047704781</v>
      </c>
      <c r="FK52" s="1023">
        <f t="shared" si="152"/>
        <v>109934.5752385239</v>
      </c>
      <c r="FL52" s="1019">
        <f t="shared" si="162"/>
        <v>12214.952804280474</v>
      </c>
      <c r="FM52" s="1019">
        <f t="shared" si="163"/>
        <v>6107.476402140237</v>
      </c>
      <c r="FN52" s="1019" t="str">
        <f t="shared" si="153"/>
        <v>VS</v>
      </c>
      <c r="FO52" s="1019">
        <f t="shared" si="159"/>
        <v>27537.409960060559</v>
      </c>
      <c r="FP52" s="1019">
        <f t="shared" si="164"/>
        <v>-21429.933557920322</v>
      </c>
      <c r="FQ52" s="1021"/>
      <c r="FR52" s="1021"/>
      <c r="FS52" s="1020"/>
      <c r="FT52" s="503"/>
      <c r="FU52" s="956"/>
      <c r="FV52" s="503"/>
      <c r="FW52" s="503"/>
      <c r="FX52" s="1040"/>
      <c r="FY52" s="503"/>
      <c r="FZ52" s="503"/>
      <c r="GA52" s="503"/>
      <c r="GB52" s="1059"/>
      <c r="GE52" s="1011" t="s">
        <v>401</v>
      </c>
      <c r="GF52" s="1185"/>
      <c r="GG52" s="956"/>
      <c r="GH52" s="945"/>
      <c r="GI52" s="1024">
        <f t="shared" si="78"/>
        <v>3496930.4901833055</v>
      </c>
      <c r="GJ52" s="1025">
        <f t="shared" si="79"/>
        <v>0.125</v>
      </c>
      <c r="GK52" s="1024">
        <f t="shared" si="80"/>
        <v>437116.31127291318</v>
      </c>
      <c r="GL52" s="1024">
        <f t="shared" si="81"/>
        <v>30000</v>
      </c>
      <c r="GM52" s="1024">
        <f t="shared" si="82"/>
        <v>407116.31127291318</v>
      </c>
      <c r="GN52" s="1024">
        <f t="shared" si="83"/>
        <v>1</v>
      </c>
      <c r="GO52" s="1024">
        <f t="shared" si="84"/>
        <v>407116.31127291318</v>
      </c>
      <c r="GP52" s="1025">
        <f t="shared" si="85"/>
        <v>0.875</v>
      </c>
      <c r="GQ52" s="1024">
        <f t="shared" si="86"/>
        <v>3059814.1789103923</v>
      </c>
      <c r="GR52" s="1024">
        <f t="shared" si="87"/>
        <v>23722.706761007681</v>
      </c>
      <c r="GS52" s="1024">
        <f t="shared" si="88"/>
        <v>27502.474875597669</v>
      </c>
      <c r="GT52" s="1024">
        <f t="shared" si="89"/>
        <v>35527.03710048685</v>
      </c>
      <c r="GU52" s="1024">
        <f t="shared" si="90"/>
        <v>60587.988053181267</v>
      </c>
      <c r="GV52" s="945"/>
      <c r="GW52" s="1024">
        <f t="shared" si="91"/>
        <v>3496930.4901833055</v>
      </c>
      <c r="GX52" s="1025">
        <f t="shared" si="92"/>
        <v>0.125</v>
      </c>
      <c r="GY52" s="1024">
        <f t="shared" si="93"/>
        <v>437116.31127291318</v>
      </c>
      <c r="GZ52" s="1024">
        <f t="shared" si="94"/>
        <v>30000</v>
      </c>
      <c r="HA52" s="1024">
        <f t="shared" si="95"/>
        <v>407116.31127291318</v>
      </c>
      <c r="HB52" s="1026">
        <f t="shared" si="96"/>
        <v>25</v>
      </c>
      <c r="HC52" s="1009">
        <f t="shared" si="97"/>
        <v>16284.652450916527</v>
      </c>
      <c r="HD52" s="1027">
        <f t="shared" si="98"/>
        <v>0.875</v>
      </c>
      <c r="HE52" s="1009">
        <f t="shared" si="99"/>
        <v>3059814.1789103923</v>
      </c>
      <c r="HF52" s="1008">
        <f t="shared" si="100"/>
        <v>23722.706761007681</v>
      </c>
      <c r="HG52" s="1008">
        <f t="shared" si="101"/>
        <v>27502.474875597669</v>
      </c>
      <c r="HH52" s="1008">
        <f t="shared" si="102"/>
        <v>35527.03710048685</v>
      </c>
      <c r="HI52" s="1008">
        <f t="shared" si="103"/>
        <v>60587.988053181267</v>
      </c>
      <c r="HJ52" s="945"/>
      <c r="HK52" s="1009">
        <f t="shared" si="104"/>
        <v>-390831.65882199665</v>
      </c>
      <c r="HL52" s="503"/>
      <c r="HM52" s="503"/>
      <c r="HN52" s="503"/>
      <c r="HO52" s="503"/>
      <c r="HP52" s="503"/>
      <c r="HQ52" s="503"/>
      <c r="HR52" s="956">
        <f t="shared" si="105"/>
        <v>0</v>
      </c>
      <c r="HS52" s="503"/>
      <c r="HT52" s="503"/>
      <c r="HU52" s="956"/>
      <c r="HV52" s="503"/>
      <c r="HW52" s="956"/>
      <c r="HX52" s="956"/>
      <c r="HY52" s="503"/>
      <c r="HZ52" s="503"/>
      <c r="IA52" s="503"/>
      <c r="ID52" s="1394"/>
    </row>
    <row r="53" spans="1:238" s="1051" customFormat="1" ht="14.25" hidden="1" customHeight="1">
      <c r="A53" s="1018">
        <f t="shared" si="155"/>
        <v>47</v>
      </c>
      <c r="B53" s="716" t="s">
        <v>264</v>
      </c>
      <c r="C53" s="741">
        <f t="shared" si="192"/>
        <v>17</v>
      </c>
      <c r="D53" s="716" t="s">
        <v>259</v>
      </c>
      <c r="E53" s="743" t="str">
        <f t="shared" si="36"/>
        <v>4th Floor</v>
      </c>
      <c r="F53" s="1048"/>
      <c r="G53" s="745" t="s">
        <v>402</v>
      </c>
      <c r="H53" s="745" t="s">
        <v>349</v>
      </c>
      <c r="I53" s="745" t="s">
        <v>267</v>
      </c>
      <c r="J53" s="1005">
        <v>22</v>
      </c>
      <c r="K53" s="1049"/>
      <c r="L53" s="1006" t="s">
        <v>268</v>
      </c>
      <c r="M53" s="745" t="s">
        <v>79</v>
      </c>
      <c r="N53" s="1050">
        <v>95909.091</v>
      </c>
      <c r="O53" s="934">
        <f t="shared" si="132"/>
        <v>2110000.0019999999</v>
      </c>
      <c r="P53" s="934">
        <f t="shared" si="156"/>
        <v>22400</v>
      </c>
      <c r="Q53" s="934">
        <f t="shared" si="119"/>
        <v>50000</v>
      </c>
      <c r="R53" s="934"/>
      <c r="S53" s="934"/>
      <c r="T53" s="934"/>
      <c r="U53" s="934"/>
      <c r="V53" s="934"/>
      <c r="W53" s="934"/>
      <c r="X53" s="934"/>
      <c r="Y53" s="934"/>
      <c r="Z53" s="934">
        <f t="shared" si="133"/>
        <v>75000</v>
      </c>
      <c r="AA53" s="934"/>
      <c r="AB53" s="934"/>
      <c r="AC53" s="934"/>
      <c r="AD53" s="934"/>
      <c r="AE53" s="934">
        <f t="shared" si="14"/>
        <v>147400</v>
      </c>
      <c r="AF53" s="1005">
        <f t="shared" si="15"/>
        <v>2257400.0019999999</v>
      </c>
      <c r="AG53" s="1005">
        <f t="shared" si="37"/>
        <v>56435.000050000002</v>
      </c>
      <c r="AH53" s="1005">
        <f t="shared" si="38"/>
        <v>2313835.0020499998</v>
      </c>
      <c r="AI53" s="1005">
        <f t="shared" si="39"/>
        <v>57845.875051249997</v>
      </c>
      <c r="AJ53" s="1005">
        <f t="shared" si="40"/>
        <v>2371680.87710125</v>
      </c>
      <c r="AK53" s="1005">
        <f t="shared" si="41"/>
        <v>118584.04385506251</v>
      </c>
      <c r="AL53" s="1005">
        <f t="shared" si="157"/>
        <v>2490264.9209563127</v>
      </c>
      <c r="AM53" s="934">
        <f t="shared" si="43"/>
        <v>24902.649209563126</v>
      </c>
      <c r="AN53" s="934">
        <f t="shared" si="44"/>
        <v>27537.409960060559</v>
      </c>
      <c r="AO53" s="934"/>
      <c r="AP53" s="934">
        <f t="shared" si="134"/>
        <v>109934.5752385239</v>
      </c>
      <c r="AQ53" s="1005">
        <f t="shared" si="45"/>
        <v>2652639.5553644602</v>
      </c>
      <c r="AR53" s="1005">
        <f t="shared" si="46"/>
        <v>119368.7799914007</v>
      </c>
      <c r="AS53" s="1147">
        <f t="shared" si="47"/>
        <v>2772008.3353558611</v>
      </c>
      <c r="AT53" s="1148">
        <f t="shared" si="135"/>
        <v>2000000</v>
      </c>
      <c r="AU53" s="1148">
        <f t="shared" si="193"/>
        <v>35091.287970720958</v>
      </c>
      <c r="AV53" s="1148">
        <f t="shared" si="136"/>
        <v>772008.33535586111</v>
      </c>
      <c r="AW53" s="1148">
        <f t="shared" si="17"/>
        <v>92641.000242703332</v>
      </c>
      <c r="AX53" s="1148">
        <f t="shared" si="18"/>
        <v>864649.33559856447</v>
      </c>
      <c r="AY53" s="1147">
        <f t="shared" si="48"/>
        <v>2864649.3355985642</v>
      </c>
      <c r="AZ53" s="934">
        <f t="shared" si="49"/>
        <v>35808.116694982054</v>
      </c>
      <c r="BA53" s="716" t="s">
        <v>269</v>
      </c>
      <c r="BB53" s="716">
        <f t="shared" si="194"/>
        <v>2900457.4522935464</v>
      </c>
      <c r="BC53" s="716" t="s">
        <v>269</v>
      </c>
      <c r="BD53" s="716">
        <f t="shared" si="50"/>
        <v>108767.15446100799</v>
      </c>
      <c r="BE53" s="716">
        <f t="shared" si="51"/>
        <v>33600</v>
      </c>
      <c r="BF53" s="716">
        <f t="shared" si="52"/>
        <v>3042824.6067545544</v>
      </c>
      <c r="BG53" s="716"/>
      <c r="BH53" s="716">
        <f t="shared" si="53"/>
        <v>3042824.6067545544</v>
      </c>
      <c r="BI53" s="716"/>
      <c r="BJ53" s="716">
        <f t="shared" si="54"/>
        <v>3042824.6067545544</v>
      </c>
      <c r="BK53" s="716"/>
      <c r="BL53" s="716">
        <f t="shared" si="55"/>
        <v>3042824.6067545544</v>
      </c>
      <c r="BM53" s="716"/>
      <c r="BN53" s="716">
        <f t="shared" si="20"/>
        <v>3042824.6067545544</v>
      </c>
      <c r="BO53" s="716"/>
      <c r="BP53" s="716">
        <f t="shared" si="56"/>
        <v>3042824.6067545544</v>
      </c>
      <c r="BQ53" s="716"/>
      <c r="BR53" s="716">
        <f t="shared" si="57"/>
        <v>3042824.6067545544</v>
      </c>
      <c r="BS53" s="716"/>
      <c r="BT53" s="716">
        <f t="shared" si="58"/>
        <v>3042824.6067545544</v>
      </c>
      <c r="BU53" s="716"/>
      <c r="BV53" s="716">
        <f t="shared" si="21"/>
        <v>3042824.6067545544</v>
      </c>
      <c r="BW53" s="716"/>
      <c r="BX53" s="716">
        <f t="shared" si="167"/>
        <v>31400</v>
      </c>
      <c r="BY53" s="716">
        <f t="shared" si="60"/>
        <v>3074224.6067545544</v>
      </c>
      <c r="BZ53" s="716"/>
      <c r="CA53" s="716">
        <f t="shared" si="61"/>
        <v>3074224.6067545544</v>
      </c>
      <c r="CB53" s="1135">
        <f t="shared" si="121"/>
        <v>3074224.6067545544</v>
      </c>
      <c r="CC53" s="1164">
        <f t="shared" si="109"/>
        <v>3074224.6067545544</v>
      </c>
      <c r="CD53" s="1164"/>
      <c r="CE53" s="1164">
        <f t="shared" si="63"/>
        <v>0</v>
      </c>
      <c r="CF53" s="1164">
        <f t="shared" si="115"/>
        <v>0</v>
      </c>
      <c r="CG53" s="1164">
        <f t="shared" si="116"/>
        <v>0</v>
      </c>
      <c r="CH53" s="1154">
        <f t="shared" si="158"/>
        <v>3074224.6067545544</v>
      </c>
      <c r="CI53" s="935">
        <f t="shared" si="137"/>
        <v>3074224.6067545544</v>
      </c>
      <c r="CJ53" s="935">
        <f t="shared" si="64"/>
        <v>0</v>
      </c>
      <c r="CK53" s="935">
        <f t="shared" si="65"/>
        <v>315108.0221923418</v>
      </c>
      <c r="CL53" s="935">
        <f t="shared" si="66"/>
        <v>107597.86123640942</v>
      </c>
      <c r="CM53" s="1006">
        <f t="shared" si="138"/>
        <v>3496930.4901833055</v>
      </c>
      <c r="CN53" s="1007">
        <f t="shared" si="139"/>
        <v>0.125</v>
      </c>
      <c r="CO53" s="935">
        <f t="shared" si="24"/>
        <v>437116.31127291318</v>
      </c>
      <c r="CP53" s="935">
        <f t="shared" si="170"/>
        <v>30000</v>
      </c>
      <c r="CQ53" s="935">
        <f t="shared" si="25"/>
        <v>407116.31127291318</v>
      </c>
      <c r="CR53" s="745">
        <f t="shared" si="141"/>
        <v>1</v>
      </c>
      <c r="CS53" s="935">
        <f t="shared" si="26"/>
        <v>407116.31127291318</v>
      </c>
      <c r="CT53" s="1007">
        <f t="shared" si="68"/>
        <v>0.875</v>
      </c>
      <c r="CU53" s="935">
        <f t="shared" si="69"/>
        <v>3059814.1789103923</v>
      </c>
      <c r="CV53" s="1008">
        <f t="shared" si="110"/>
        <v>23722.706761007681</v>
      </c>
      <c r="CW53" s="1008">
        <f t="shared" si="70"/>
        <v>27502.474875597669</v>
      </c>
      <c r="CX53" s="1008">
        <f t="shared" si="71"/>
        <v>35527.03710048685</v>
      </c>
      <c r="CY53" s="1008">
        <f t="shared" si="72"/>
        <v>60587.988053181267</v>
      </c>
      <c r="CZ53" s="1119">
        <f t="shared" si="122"/>
        <v>248558.43141597047</v>
      </c>
      <c r="DA53" s="1119">
        <f t="shared" si="123"/>
        <v>98353.36051366452</v>
      </c>
      <c r="DB53" s="1119">
        <f t="shared" si="124"/>
        <v>71039.239301235197</v>
      </c>
      <c r="DC53" s="1119">
        <f t="shared" si="125"/>
        <v>54064.131585904252</v>
      </c>
      <c r="DD53" s="1028">
        <f t="shared" si="126"/>
        <v>0.38600416767793055</v>
      </c>
      <c r="DE53" s="1028">
        <f t="shared" si="142"/>
        <v>0</v>
      </c>
      <c r="DF53" s="1009" t="s">
        <v>270</v>
      </c>
      <c r="DG53" s="1009" t="s">
        <v>271</v>
      </c>
      <c r="DH53" s="966">
        <f t="shared" si="111"/>
        <v>45658</v>
      </c>
      <c r="DI53" s="912">
        <f t="shared" si="73"/>
        <v>14</v>
      </c>
      <c r="DJ53" s="939"/>
      <c r="DK53" s="913">
        <f t="shared" si="74"/>
        <v>45723</v>
      </c>
      <c r="DL53" s="912">
        <f t="shared" si="75"/>
        <v>16</v>
      </c>
      <c r="DM53" s="750" t="s">
        <v>272</v>
      </c>
      <c r="DN53" s="750" t="s">
        <v>273</v>
      </c>
      <c r="DO53" s="751">
        <f t="shared" si="31"/>
        <v>39302.242527207476</v>
      </c>
      <c r="DP53" s="751">
        <f t="shared" si="32"/>
        <v>864649.33559856447</v>
      </c>
      <c r="DQ53" s="752">
        <f t="shared" si="127"/>
        <v>0.43232466779928225</v>
      </c>
      <c r="DR53" s="503"/>
      <c r="DS53" s="751">
        <f t="shared" si="128"/>
        <v>3074224.6067545544</v>
      </c>
      <c r="DT53" s="751">
        <f>'[4]INTERNAL PRICELIST'!N47</f>
        <v>2061900</v>
      </c>
      <c r="DU53" s="751">
        <f t="shared" si="33"/>
        <v>1012324.6067545544</v>
      </c>
      <c r="DV53" s="503"/>
      <c r="DW53" s="951">
        <f t="shared" si="129"/>
        <v>139737.48212520703</v>
      </c>
      <c r="DX53" s="503"/>
      <c r="DZ53" s="1010" t="s">
        <v>402</v>
      </c>
      <c r="EA53" s="1052" t="b">
        <f t="shared" si="35"/>
        <v>1</v>
      </c>
      <c r="EB53" s="1053" t="s">
        <v>403</v>
      </c>
      <c r="EC53" s="1053" t="s">
        <v>357</v>
      </c>
      <c r="ED53" s="503"/>
      <c r="EE53" s="1029"/>
      <c r="EF53" s="503"/>
      <c r="EG53" s="503"/>
      <c r="EH53" s="930"/>
      <c r="EI53" s="930"/>
      <c r="EJ53" s="503"/>
      <c r="EK53" s="503"/>
      <c r="EL53" s="503"/>
      <c r="EM53" s="503"/>
      <c r="EN53" s="503"/>
      <c r="EO53" s="503"/>
      <c r="EP53" s="503"/>
      <c r="EQ53" s="503"/>
      <c r="ER53" s="1017" t="s">
        <v>264</v>
      </c>
      <c r="ES53" s="1391" t="s">
        <v>264</v>
      </c>
      <c r="ET53" s="1018" t="b">
        <f t="shared" si="76"/>
        <v>1</v>
      </c>
      <c r="EU53" s="940"/>
      <c r="EV53" s="941"/>
      <c r="EW53" s="940"/>
      <c r="EX53" s="1019">
        <v>2874106.5421836311</v>
      </c>
      <c r="EY53" s="1019">
        <f t="shared" si="143"/>
        <v>431115.98132754466</v>
      </c>
      <c r="EZ53" s="1019">
        <f t="shared" si="144"/>
        <v>2442990.5608560862</v>
      </c>
      <c r="FA53" s="1019">
        <f t="shared" si="145"/>
        <v>287410.65421836311</v>
      </c>
      <c r="FB53" s="1019">
        <f t="shared" si="146"/>
        <v>2586695.887965268</v>
      </c>
      <c r="FC53" s="1019">
        <f t="shared" si="147"/>
        <v>143705.32710918179</v>
      </c>
      <c r="FD53" s="1020"/>
      <c r="FE53" s="1021"/>
      <c r="FF53" s="1022">
        <f t="shared" si="148"/>
        <v>2442990.5608560862</v>
      </c>
      <c r="FG53" s="1022">
        <f t="shared" si="149"/>
        <v>207654.19767276733</v>
      </c>
      <c r="FH53" s="1022">
        <f t="shared" si="161"/>
        <v>103827.09883638367</v>
      </c>
      <c r="FI53" s="1023">
        <f t="shared" si="150"/>
        <v>2586695.887965268</v>
      </c>
      <c r="FJ53" s="1023">
        <f t="shared" si="151"/>
        <v>219869.15047704781</v>
      </c>
      <c r="FK53" s="1023">
        <f t="shared" si="152"/>
        <v>109934.5752385239</v>
      </c>
      <c r="FL53" s="1019">
        <f t="shared" si="162"/>
        <v>12214.952804280474</v>
      </c>
      <c r="FM53" s="1019">
        <f t="shared" si="163"/>
        <v>6107.476402140237</v>
      </c>
      <c r="FN53" s="1019" t="str">
        <f t="shared" si="153"/>
        <v>VS</v>
      </c>
      <c r="FO53" s="1019">
        <f t="shared" si="159"/>
        <v>27537.409960060559</v>
      </c>
      <c r="FP53" s="1019">
        <f t="shared" si="164"/>
        <v>-21429.933557920322</v>
      </c>
      <c r="FQ53" s="1021"/>
      <c r="FR53" s="1021"/>
      <c r="FS53" s="1020"/>
      <c r="FT53" s="503"/>
      <c r="FU53" s="956"/>
      <c r="FV53" s="503"/>
      <c r="FW53" s="503"/>
      <c r="FX53" s="1040"/>
      <c r="FY53" s="503"/>
      <c r="FZ53" s="503"/>
      <c r="GA53" s="503"/>
      <c r="GB53" s="1059"/>
      <c r="GE53" s="1011" t="s">
        <v>404</v>
      </c>
      <c r="GF53" s="1185"/>
      <c r="GG53" s="956"/>
      <c r="GH53" s="945"/>
      <c r="GI53" s="1024">
        <f t="shared" si="78"/>
        <v>3496930.4901833055</v>
      </c>
      <c r="GJ53" s="1025">
        <f t="shared" si="79"/>
        <v>0.125</v>
      </c>
      <c r="GK53" s="1024">
        <f t="shared" si="80"/>
        <v>437116.31127291318</v>
      </c>
      <c r="GL53" s="1024">
        <f t="shared" si="81"/>
        <v>30000</v>
      </c>
      <c r="GM53" s="1024">
        <f t="shared" si="82"/>
        <v>407116.31127291318</v>
      </c>
      <c r="GN53" s="1024">
        <f t="shared" si="83"/>
        <v>1</v>
      </c>
      <c r="GO53" s="1024">
        <f t="shared" si="84"/>
        <v>407116.31127291318</v>
      </c>
      <c r="GP53" s="1025">
        <f t="shared" si="85"/>
        <v>0.875</v>
      </c>
      <c r="GQ53" s="1024">
        <f t="shared" si="86"/>
        <v>3059814.1789103923</v>
      </c>
      <c r="GR53" s="1024">
        <f t="shared" si="87"/>
        <v>23722.706761007681</v>
      </c>
      <c r="GS53" s="1024">
        <f t="shared" si="88"/>
        <v>27502.474875597669</v>
      </c>
      <c r="GT53" s="1024">
        <f t="shared" si="89"/>
        <v>35527.03710048685</v>
      </c>
      <c r="GU53" s="1024">
        <f t="shared" si="90"/>
        <v>60587.988053181267</v>
      </c>
      <c r="GV53" s="945"/>
      <c r="GW53" s="1024">
        <f t="shared" si="91"/>
        <v>3496930.4901833055</v>
      </c>
      <c r="GX53" s="1025">
        <f t="shared" si="92"/>
        <v>0.125</v>
      </c>
      <c r="GY53" s="1024">
        <f t="shared" si="93"/>
        <v>437116.31127291318</v>
      </c>
      <c r="GZ53" s="1024">
        <f t="shared" si="94"/>
        <v>30000</v>
      </c>
      <c r="HA53" s="1024">
        <f t="shared" si="95"/>
        <v>407116.31127291318</v>
      </c>
      <c r="HB53" s="1026">
        <f t="shared" si="96"/>
        <v>25</v>
      </c>
      <c r="HC53" s="1009">
        <f t="shared" si="97"/>
        <v>16284.652450916527</v>
      </c>
      <c r="HD53" s="1027">
        <f t="shared" si="98"/>
        <v>0.875</v>
      </c>
      <c r="HE53" s="1009">
        <f t="shared" si="99"/>
        <v>3059814.1789103923</v>
      </c>
      <c r="HF53" s="1008">
        <f t="shared" si="100"/>
        <v>23722.706761007681</v>
      </c>
      <c r="HG53" s="1008">
        <f t="shared" si="101"/>
        <v>27502.474875597669</v>
      </c>
      <c r="HH53" s="1008">
        <f t="shared" si="102"/>
        <v>35527.03710048685</v>
      </c>
      <c r="HI53" s="1008">
        <f t="shared" si="103"/>
        <v>60587.988053181267</v>
      </c>
      <c r="HJ53" s="945"/>
      <c r="HK53" s="1009">
        <f t="shared" si="104"/>
        <v>-390831.65882199665</v>
      </c>
      <c r="HL53" s="503"/>
      <c r="HM53" s="503"/>
      <c r="HN53" s="503"/>
      <c r="HO53" s="503"/>
      <c r="HP53" s="503"/>
      <c r="HQ53" s="503"/>
      <c r="HR53" s="956">
        <f t="shared" si="105"/>
        <v>0</v>
      </c>
      <c r="HS53" s="503"/>
      <c r="HT53" s="503"/>
      <c r="HU53" s="956"/>
      <c r="HV53" s="503"/>
      <c r="HW53" s="956"/>
      <c r="HX53" s="956"/>
      <c r="HY53" s="503"/>
      <c r="HZ53" s="503"/>
      <c r="IA53" s="503"/>
      <c r="ID53" s="1394"/>
    </row>
    <row r="54" spans="1:238" s="1051" customFormat="1" ht="14.25" hidden="1" customHeight="1">
      <c r="A54" s="1018">
        <f t="shared" si="155"/>
        <v>48</v>
      </c>
      <c r="B54" s="716" t="s">
        <v>264</v>
      </c>
      <c r="C54" s="741">
        <f t="shared" si="192"/>
        <v>18</v>
      </c>
      <c r="D54" s="716" t="s">
        <v>259</v>
      </c>
      <c r="E54" s="743" t="str">
        <f t="shared" si="36"/>
        <v>4th Floor</v>
      </c>
      <c r="F54" s="1048"/>
      <c r="G54" s="745" t="s">
        <v>405</v>
      </c>
      <c r="H54" s="745" t="s">
        <v>353</v>
      </c>
      <c r="I54" s="745" t="s">
        <v>267</v>
      </c>
      <c r="J54" s="1005">
        <v>22</v>
      </c>
      <c r="K54" s="1049"/>
      <c r="L54" s="1006" t="s">
        <v>268</v>
      </c>
      <c r="M54" s="745" t="s">
        <v>65</v>
      </c>
      <c r="N54" s="1050">
        <v>95909.091</v>
      </c>
      <c r="O54" s="934">
        <f t="shared" si="132"/>
        <v>2110000.0019999999</v>
      </c>
      <c r="P54" s="934">
        <f t="shared" si="156"/>
        <v>22400</v>
      </c>
      <c r="Q54" s="934">
        <f t="shared" si="119"/>
        <v>50000</v>
      </c>
      <c r="R54" s="934"/>
      <c r="S54" s="934"/>
      <c r="T54" s="934"/>
      <c r="U54" s="934"/>
      <c r="V54" s="749">
        <f t="shared" ref="V54:V55" si="195">J54*$V$5</f>
        <v>55000</v>
      </c>
      <c r="W54" s="749"/>
      <c r="X54" s="934"/>
      <c r="Y54" s="934"/>
      <c r="Z54" s="934">
        <f t="shared" si="133"/>
        <v>75000</v>
      </c>
      <c r="AA54" s="934"/>
      <c r="AB54" s="934"/>
      <c r="AC54" s="934"/>
      <c r="AD54" s="934"/>
      <c r="AE54" s="934">
        <f t="shared" si="14"/>
        <v>202400</v>
      </c>
      <c r="AF54" s="1005">
        <f t="shared" si="15"/>
        <v>2312400.0019999999</v>
      </c>
      <c r="AG54" s="1005">
        <f t="shared" si="37"/>
        <v>57810.000050000002</v>
      </c>
      <c r="AH54" s="1005">
        <f t="shared" si="38"/>
        <v>2370210.0020499998</v>
      </c>
      <c r="AI54" s="1005">
        <f t="shared" si="39"/>
        <v>59255.250051249997</v>
      </c>
      <c r="AJ54" s="1005">
        <f t="shared" si="40"/>
        <v>2429465.25210125</v>
      </c>
      <c r="AK54" s="1005">
        <f t="shared" si="41"/>
        <v>121473.26260506251</v>
      </c>
      <c r="AL54" s="1005">
        <f t="shared" si="157"/>
        <v>2550938.5147063127</v>
      </c>
      <c r="AM54" s="934">
        <f t="shared" si="43"/>
        <v>25509.385147063127</v>
      </c>
      <c r="AN54" s="934">
        <f t="shared" si="44"/>
        <v>27537.409960060559</v>
      </c>
      <c r="AO54" s="934"/>
      <c r="AP54" s="934">
        <f t="shared" si="134"/>
        <v>115067.59339020263</v>
      </c>
      <c r="AQ54" s="1005">
        <f t="shared" si="45"/>
        <v>2719052.9032036387</v>
      </c>
      <c r="AR54" s="1005">
        <f t="shared" si="46"/>
        <v>122357.38064416374</v>
      </c>
      <c r="AS54" s="1147">
        <f t="shared" si="47"/>
        <v>2841410.2838478023</v>
      </c>
      <c r="AT54" s="1148">
        <f t="shared" si="135"/>
        <v>2000000</v>
      </c>
      <c r="AU54" s="1148">
        <f t="shared" si="193"/>
        <v>38245.921993081924</v>
      </c>
      <c r="AV54" s="1148">
        <f t="shared" si="136"/>
        <v>841410.28384780232</v>
      </c>
      <c r="AW54" s="1148">
        <f t="shared" si="17"/>
        <v>100969.23406173628</v>
      </c>
      <c r="AX54" s="1148">
        <f t="shared" si="18"/>
        <v>942379.51790953858</v>
      </c>
      <c r="AY54" s="1147">
        <f t="shared" si="48"/>
        <v>2942379.5179095385</v>
      </c>
      <c r="AZ54" s="934">
        <f t="shared" si="49"/>
        <v>36779.743973869234</v>
      </c>
      <c r="BA54" s="716" t="s">
        <v>269</v>
      </c>
      <c r="BB54" s="716">
        <f t="shared" si="194"/>
        <v>2979159.2618834078</v>
      </c>
      <c r="BC54" s="716" t="s">
        <v>269</v>
      </c>
      <c r="BD54" s="716">
        <f t="shared" si="50"/>
        <v>111718.47232062778</v>
      </c>
      <c r="BE54" s="716">
        <f t="shared" si="51"/>
        <v>33600</v>
      </c>
      <c r="BF54" s="716">
        <f t="shared" si="52"/>
        <v>3124477.7342040357</v>
      </c>
      <c r="BG54" s="716"/>
      <c r="BH54" s="716">
        <f t="shared" si="53"/>
        <v>3124477.7342040357</v>
      </c>
      <c r="BI54" s="716"/>
      <c r="BJ54" s="716">
        <f t="shared" si="54"/>
        <v>3124477.7342040357</v>
      </c>
      <c r="BK54" s="716"/>
      <c r="BL54" s="716">
        <f t="shared" si="55"/>
        <v>3124477.7342040357</v>
      </c>
      <c r="BM54" s="716"/>
      <c r="BN54" s="716">
        <f t="shared" si="20"/>
        <v>3124477.7342040357</v>
      </c>
      <c r="BO54" s="716"/>
      <c r="BP54" s="716">
        <f t="shared" si="56"/>
        <v>3124477.7342040357</v>
      </c>
      <c r="BQ54" s="716"/>
      <c r="BR54" s="716">
        <f t="shared" si="57"/>
        <v>3124477.7342040357</v>
      </c>
      <c r="BS54" s="716"/>
      <c r="BT54" s="716">
        <f t="shared" si="58"/>
        <v>3124477.7342040357</v>
      </c>
      <c r="BU54" s="716"/>
      <c r="BV54" s="716">
        <f t="shared" si="21"/>
        <v>3124477.7342040357</v>
      </c>
      <c r="BW54" s="716"/>
      <c r="BX54" s="716">
        <f t="shared" si="167"/>
        <v>31400</v>
      </c>
      <c r="BY54" s="716">
        <f t="shared" si="60"/>
        <v>3155877.7342040357</v>
      </c>
      <c r="BZ54" s="716"/>
      <c r="CA54" s="716">
        <f t="shared" si="61"/>
        <v>3155877.7342040357</v>
      </c>
      <c r="CB54" s="1135">
        <f t="shared" si="121"/>
        <v>3155877.7342040357</v>
      </c>
      <c r="CC54" s="1164">
        <f t="shared" si="109"/>
        <v>3155877.7342040357</v>
      </c>
      <c r="CD54" s="1164"/>
      <c r="CE54" s="1164">
        <f t="shared" si="63"/>
        <v>0</v>
      </c>
      <c r="CF54" s="1164">
        <f t="shared" si="115"/>
        <v>0</v>
      </c>
      <c r="CG54" s="1164">
        <f t="shared" si="116"/>
        <v>0</v>
      </c>
      <c r="CH54" s="1154">
        <f t="shared" si="158"/>
        <v>3155877.7342040357</v>
      </c>
      <c r="CI54" s="935">
        <f t="shared" si="137"/>
        <v>3155877.7342040357</v>
      </c>
      <c r="CJ54" s="935">
        <f t="shared" si="64"/>
        <v>0</v>
      </c>
      <c r="CK54" s="935">
        <f t="shared" si="65"/>
        <v>323477.46775591362</v>
      </c>
      <c r="CL54" s="935">
        <f t="shared" si="66"/>
        <v>110455.72069714127</v>
      </c>
      <c r="CM54" s="1006">
        <f t="shared" si="138"/>
        <v>3589810.9226570907</v>
      </c>
      <c r="CN54" s="1007">
        <f t="shared" si="139"/>
        <v>0.125</v>
      </c>
      <c r="CO54" s="935">
        <f t="shared" si="24"/>
        <v>448726.36533213634</v>
      </c>
      <c r="CP54" s="935">
        <f t="shared" si="170"/>
        <v>30000</v>
      </c>
      <c r="CQ54" s="935">
        <f t="shared" si="25"/>
        <v>418726.36533213634</v>
      </c>
      <c r="CR54" s="745">
        <f t="shared" si="141"/>
        <v>1</v>
      </c>
      <c r="CS54" s="935">
        <f t="shared" si="26"/>
        <v>418726.36533213634</v>
      </c>
      <c r="CT54" s="1007">
        <f t="shared" si="68"/>
        <v>0.875</v>
      </c>
      <c r="CU54" s="935">
        <f t="shared" si="69"/>
        <v>3141084.5573249543</v>
      </c>
      <c r="CV54" s="1008">
        <f t="shared" si="110"/>
        <v>24352.79513982921</v>
      </c>
      <c r="CW54" s="1008">
        <f t="shared" si="70"/>
        <v>28232.956012616498</v>
      </c>
      <c r="CX54" s="1008">
        <f t="shared" si="71"/>
        <v>36470.655104810539</v>
      </c>
      <c r="CY54" s="1008">
        <f t="shared" si="72"/>
        <v>62197.238951617357</v>
      </c>
      <c r="CZ54" s="1119">
        <f t="shared" si="122"/>
        <v>255160.28257364413</v>
      </c>
      <c r="DA54" s="1119">
        <f t="shared" si="123"/>
        <v>100965.68085729262</v>
      </c>
      <c r="DB54" s="1119">
        <f t="shared" si="124"/>
        <v>72926.081286636385</v>
      </c>
      <c r="DC54" s="1119">
        <f t="shared" si="125"/>
        <v>55500.105202513136</v>
      </c>
      <c r="DD54" s="1028">
        <f t="shared" si="126"/>
        <v>0.42070514192390118</v>
      </c>
      <c r="DE54" s="1028">
        <f t="shared" si="142"/>
        <v>0</v>
      </c>
      <c r="DF54" s="1009" t="s">
        <v>270</v>
      </c>
      <c r="DG54" s="1009" t="s">
        <v>271</v>
      </c>
      <c r="DH54" s="966">
        <f t="shared" si="111"/>
        <v>45658</v>
      </c>
      <c r="DI54" s="912">
        <f t="shared" si="73"/>
        <v>14</v>
      </c>
      <c r="DJ54" s="939"/>
      <c r="DK54" s="913">
        <f t="shared" si="74"/>
        <v>45723</v>
      </c>
      <c r="DL54" s="912">
        <f t="shared" si="75"/>
        <v>16</v>
      </c>
      <c r="DM54" s="750" t="s">
        <v>272</v>
      </c>
      <c r="DN54" s="750" t="s">
        <v>273</v>
      </c>
      <c r="DO54" s="751">
        <f t="shared" si="31"/>
        <v>42835.432632251752</v>
      </c>
      <c r="DP54" s="751">
        <f t="shared" si="32"/>
        <v>942379.51790953858</v>
      </c>
      <c r="DQ54" s="752">
        <f t="shared" si="127"/>
        <v>0.47118975895476928</v>
      </c>
      <c r="DR54" s="503"/>
      <c r="DS54" s="751">
        <f t="shared" si="128"/>
        <v>3155877.7342040357</v>
      </c>
      <c r="DT54" s="751">
        <f>'[4]INTERNAL PRICELIST'!N48</f>
        <v>2061900</v>
      </c>
      <c r="DU54" s="751">
        <f t="shared" si="33"/>
        <v>1093977.7342040357</v>
      </c>
      <c r="DV54" s="503"/>
      <c r="DW54" s="951">
        <f t="shared" si="129"/>
        <v>143448.98791836525</v>
      </c>
      <c r="DX54" s="503"/>
      <c r="DZ54" s="1010" t="s">
        <v>405</v>
      </c>
      <c r="EA54" s="1052" t="b">
        <f t="shared" si="35"/>
        <v>1</v>
      </c>
      <c r="EB54" s="1053" t="s">
        <v>406</v>
      </c>
      <c r="EC54" s="1053" t="s">
        <v>357</v>
      </c>
      <c r="ED54" s="503"/>
      <c r="EE54" s="1029"/>
      <c r="EF54" s="503"/>
      <c r="EG54" s="503"/>
      <c r="EH54" s="930"/>
      <c r="EI54" s="930"/>
      <c r="EJ54" s="503"/>
      <c r="EK54" s="503"/>
      <c r="EL54" s="503"/>
      <c r="EM54" s="503"/>
      <c r="EN54" s="503"/>
      <c r="EO54" s="503"/>
      <c r="EP54" s="503"/>
      <c r="EQ54" s="503"/>
      <c r="ER54" s="1017" t="s">
        <v>264</v>
      </c>
      <c r="ES54" s="1391" t="s">
        <v>264</v>
      </c>
      <c r="ET54" s="1018" t="b">
        <f t="shared" si="76"/>
        <v>1</v>
      </c>
      <c r="EU54" s="940"/>
      <c r="EV54" s="941"/>
      <c r="EW54" s="940"/>
      <c r="EX54" s="1019">
        <v>3008303.0951686958</v>
      </c>
      <c r="EY54" s="1019">
        <f t="shared" si="143"/>
        <v>451245.46427530434</v>
      </c>
      <c r="EZ54" s="1019">
        <f t="shared" si="144"/>
        <v>2557057.6308933916</v>
      </c>
      <c r="FA54" s="1019">
        <f t="shared" si="145"/>
        <v>300830.3095168696</v>
      </c>
      <c r="FB54" s="1019">
        <f t="shared" si="146"/>
        <v>2707472.7856518263</v>
      </c>
      <c r="FC54" s="1019">
        <f t="shared" si="147"/>
        <v>150415.15475843474</v>
      </c>
      <c r="FD54" s="1020"/>
      <c r="FE54" s="1021"/>
      <c r="FF54" s="1022">
        <f t="shared" si="148"/>
        <v>2557057.6308933916</v>
      </c>
      <c r="FG54" s="1022">
        <f t="shared" si="149"/>
        <v>217349.89862593831</v>
      </c>
      <c r="FH54" s="1022">
        <f t="shared" si="161"/>
        <v>108674.94931296915</v>
      </c>
      <c r="FI54" s="1023">
        <f t="shared" si="150"/>
        <v>2707472.7856518263</v>
      </c>
      <c r="FJ54" s="1023">
        <f t="shared" si="151"/>
        <v>230135.18678040526</v>
      </c>
      <c r="FK54" s="1023">
        <f t="shared" si="152"/>
        <v>115067.59339020263</v>
      </c>
      <c r="FL54" s="1019">
        <f t="shared" si="162"/>
        <v>12785.288154466951</v>
      </c>
      <c r="FM54" s="1019">
        <f t="shared" si="163"/>
        <v>6392.6440772334754</v>
      </c>
      <c r="FN54" s="1019" t="str">
        <f t="shared" si="153"/>
        <v>VS</v>
      </c>
      <c r="FO54" s="1019">
        <f t="shared" si="159"/>
        <v>27537.409960060559</v>
      </c>
      <c r="FP54" s="1019">
        <f t="shared" si="164"/>
        <v>-21144.765882827083</v>
      </c>
      <c r="FQ54" s="1021"/>
      <c r="FR54" s="1021"/>
      <c r="FS54" s="1020"/>
      <c r="FT54" s="503"/>
      <c r="FU54" s="956"/>
      <c r="FV54" s="503"/>
      <c r="FW54" s="503"/>
      <c r="FX54" s="1040"/>
      <c r="FY54" s="503"/>
      <c r="FZ54" s="503"/>
      <c r="GA54" s="503"/>
      <c r="GB54" s="1059"/>
      <c r="GE54" s="1011" t="s">
        <v>407</v>
      </c>
      <c r="GF54" s="1185"/>
      <c r="GG54" s="956"/>
      <c r="GH54" s="945"/>
      <c r="GI54" s="1024">
        <f t="shared" si="78"/>
        <v>3589810.9226570907</v>
      </c>
      <c r="GJ54" s="1025">
        <f t="shared" si="79"/>
        <v>0.125</v>
      </c>
      <c r="GK54" s="1024">
        <f t="shared" si="80"/>
        <v>448726.36533213634</v>
      </c>
      <c r="GL54" s="1024">
        <f t="shared" si="81"/>
        <v>30000</v>
      </c>
      <c r="GM54" s="1024">
        <f t="shared" si="82"/>
        <v>418726.36533213634</v>
      </c>
      <c r="GN54" s="1024">
        <f t="shared" si="83"/>
        <v>1</v>
      </c>
      <c r="GO54" s="1024">
        <f t="shared" si="84"/>
        <v>418726.36533213634</v>
      </c>
      <c r="GP54" s="1025">
        <f t="shared" si="85"/>
        <v>0.875</v>
      </c>
      <c r="GQ54" s="1024">
        <f t="shared" si="86"/>
        <v>3141084.5573249543</v>
      </c>
      <c r="GR54" s="1024">
        <f t="shared" si="87"/>
        <v>24352.79513982921</v>
      </c>
      <c r="GS54" s="1024">
        <f t="shared" si="88"/>
        <v>28232.956012616498</v>
      </c>
      <c r="GT54" s="1024">
        <f t="shared" si="89"/>
        <v>36470.655104810539</v>
      </c>
      <c r="GU54" s="1024">
        <f t="shared" si="90"/>
        <v>62197.238951617357</v>
      </c>
      <c r="GV54" s="945"/>
      <c r="GW54" s="1024">
        <f t="shared" si="91"/>
        <v>3589810.9226570907</v>
      </c>
      <c r="GX54" s="1025">
        <f t="shared" si="92"/>
        <v>0.125</v>
      </c>
      <c r="GY54" s="1024">
        <f t="shared" si="93"/>
        <v>448726.36533213634</v>
      </c>
      <c r="GZ54" s="1024">
        <f t="shared" si="94"/>
        <v>30000</v>
      </c>
      <c r="HA54" s="1024">
        <f t="shared" si="95"/>
        <v>418726.36533213634</v>
      </c>
      <c r="HB54" s="1026">
        <f t="shared" si="96"/>
        <v>25</v>
      </c>
      <c r="HC54" s="1009">
        <f t="shared" si="97"/>
        <v>16749.054613285454</v>
      </c>
      <c r="HD54" s="1027">
        <f t="shared" si="98"/>
        <v>0.875</v>
      </c>
      <c r="HE54" s="1009">
        <f t="shared" si="99"/>
        <v>3141084.5573249543</v>
      </c>
      <c r="HF54" s="1008">
        <f t="shared" si="100"/>
        <v>24352.79513982921</v>
      </c>
      <c r="HG54" s="1008">
        <f t="shared" si="101"/>
        <v>28232.956012616498</v>
      </c>
      <c r="HH54" s="1008">
        <f t="shared" si="102"/>
        <v>36470.655104810539</v>
      </c>
      <c r="HI54" s="1008">
        <f t="shared" si="103"/>
        <v>62197.238951617357</v>
      </c>
      <c r="HJ54" s="945"/>
      <c r="HK54" s="1009">
        <f t="shared" si="104"/>
        <v>-401977.31071885087</v>
      </c>
      <c r="HL54" s="503"/>
      <c r="HM54" s="503"/>
      <c r="HN54" s="503"/>
      <c r="HO54" s="503"/>
      <c r="HP54" s="503"/>
      <c r="HQ54" s="503"/>
      <c r="HR54" s="956">
        <f t="shared" si="105"/>
        <v>0</v>
      </c>
      <c r="HS54" s="503"/>
      <c r="HT54" s="503"/>
      <c r="HU54" s="956"/>
      <c r="HV54" s="503"/>
      <c r="HW54" s="956"/>
      <c r="HX54" s="956"/>
      <c r="HY54" s="503"/>
      <c r="HZ54" s="503"/>
      <c r="IA54" s="503"/>
      <c r="ID54" s="1394"/>
    </row>
    <row r="55" spans="1:238" s="1051" customFormat="1" ht="14.25" hidden="1" customHeight="1">
      <c r="A55" s="1018">
        <f t="shared" si="155"/>
        <v>49</v>
      </c>
      <c r="B55" s="716" t="s">
        <v>264</v>
      </c>
      <c r="C55" s="741">
        <v>1</v>
      </c>
      <c r="D55" s="716" t="s">
        <v>261</v>
      </c>
      <c r="E55" s="743" t="str">
        <f>D55</f>
        <v>5th Floor</v>
      </c>
      <c r="F55" s="1048"/>
      <c r="G55" s="745" t="s">
        <v>408</v>
      </c>
      <c r="H55" s="745" t="s">
        <v>266</v>
      </c>
      <c r="I55" s="745" t="s">
        <v>267</v>
      </c>
      <c r="J55" s="1005">
        <v>22</v>
      </c>
      <c r="K55" s="1049"/>
      <c r="L55" s="1006" t="s">
        <v>73</v>
      </c>
      <c r="M55" s="745" t="s">
        <v>65</v>
      </c>
      <c r="N55" s="1050">
        <v>95909.091</v>
      </c>
      <c r="O55" s="934">
        <f t="shared" si="132"/>
        <v>2110000.0019999999</v>
      </c>
      <c r="P55" s="934">
        <f t="shared" si="156"/>
        <v>22400</v>
      </c>
      <c r="Q55" s="934">
        <f t="shared" si="119"/>
        <v>50000</v>
      </c>
      <c r="R55" s="934"/>
      <c r="S55" s="934"/>
      <c r="T55" s="934"/>
      <c r="U55" s="934"/>
      <c r="V55" s="749">
        <f t="shared" si="195"/>
        <v>55000</v>
      </c>
      <c r="W55" s="749"/>
      <c r="X55" s="934"/>
      <c r="Y55" s="934">
        <f>Y5</f>
        <v>20000</v>
      </c>
      <c r="Z55" s="934">
        <f t="shared" si="133"/>
        <v>75000</v>
      </c>
      <c r="AA55" s="934"/>
      <c r="AB55" s="934"/>
      <c r="AC55" s="934"/>
      <c r="AD55" s="934"/>
      <c r="AE55" s="934">
        <f t="shared" si="14"/>
        <v>222400</v>
      </c>
      <c r="AF55" s="1005">
        <f t="shared" si="15"/>
        <v>2332400.0019999999</v>
      </c>
      <c r="AG55" s="1005">
        <f t="shared" si="37"/>
        <v>58310.000050000002</v>
      </c>
      <c r="AH55" s="1005">
        <f t="shared" si="38"/>
        <v>2390710.0020499998</v>
      </c>
      <c r="AI55" s="1005">
        <f t="shared" si="39"/>
        <v>59767.750051249997</v>
      </c>
      <c r="AJ55" s="1005">
        <f t="shared" si="40"/>
        <v>2450477.75210125</v>
      </c>
      <c r="AK55" s="1005">
        <f t="shared" si="41"/>
        <v>122523.88760506251</v>
      </c>
      <c r="AL55" s="1005">
        <f t="shared" si="157"/>
        <v>2573001.6397063127</v>
      </c>
      <c r="AM55" s="934">
        <f t="shared" si="43"/>
        <v>25730.016397063126</v>
      </c>
      <c r="AN55" s="934">
        <f t="shared" si="44"/>
        <v>27537.409960060559</v>
      </c>
      <c r="AO55" s="934"/>
      <c r="AP55" s="934">
        <f t="shared" si="134"/>
        <v>116133.28866026513</v>
      </c>
      <c r="AQ55" s="1005">
        <f t="shared" si="45"/>
        <v>2742402.3547237013</v>
      </c>
      <c r="AR55" s="1005">
        <f t="shared" si="46"/>
        <v>123408.10596256655</v>
      </c>
      <c r="AS55" s="1147">
        <f t="shared" si="47"/>
        <v>2865810.4606862678</v>
      </c>
      <c r="AT55" s="1148">
        <f t="shared" si="135"/>
        <v>2000000</v>
      </c>
      <c r="AU55" s="1148">
        <f t="shared" si="193"/>
        <v>39355.0209402849</v>
      </c>
      <c r="AV55" s="1148">
        <f t="shared" si="136"/>
        <v>865810.46068626782</v>
      </c>
      <c r="AW55" s="1148">
        <f t="shared" si="17"/>
        <v>103897.25528235214</v>
      </c>
      <c r="AX55" s="1148">
        <f t="shared" si="18"/>
        <v>969707.71596861992</v>
      </c>
      <c r="AY55" s="1147">
        <f t="shared" si="48"/>
        <v>2969707.71596862</v>
      </c>
      <c r="AZ55" s="934">
        <f t="shared" si="49"/>
        <v>37121.34644960775</v>
      </c>
      <c r="BA55" s="716" t="s">
        <v>269</v>
      </c>
      <c r="BB55" s="716">
        <f t="shared" si="194"/>
        <v>3006829.062418228</v>
      </c>
      <c r="BC55" s="716" t="s">
        <v>269</v>
      </c>
      <c r="BD55" s="716">
        <f t="shared" si="50"/>
        <v>112756.08984068355</v>
      </c>
      <c r="BE55" s="716">
        <f t="shared" si="51"/>
        <v>33600</v>
      </c>
      <c r="BF55" s="716">
        <f t="shared" si="52"/>
        <v>3153185.1522589116</v>
      </c>
      <c r="BG55" s="716"/>
      <c r="BH55" s="716">
        <f t="shared" si="53"/>
        <v>3153185.1522589116</v>
      </c>
      <c r="BI55" s="716"/>
      <c r="BJ55" s="716">
        <f t="shared" si="54"/>
        <v>3153185.1522589116</v>
      </c>
      <c r="BK55" s="716"/>
      <c r="BL55" s="716">
        <f t="shared" si="55"/>
        <v>3153185.1522589116</v>
      </c>
      <c r="BM55" s="716"/>
      <c r="BN55" s="716">
        <f t="shared" si="20"/>
        <v>3153185.1522589116</v>
      </c>
      <c r="BO55" s="716"/>
      <c r="BP55" s="716">
        <f t="shared" si="56"/>
        <v>3153185.1522589116</v>
      </c>
      <c r="BQ55" s="716"/>
      <c r="BR55" s="716">
        <f t="shared" si="57"/>
        <v>3153185.1522589116</v>
      </c>
      <c r="BS55" s="716"/>
      <c r="BT55" s="716">
        <f t="shared" si="58"/>
        <v>3153185.1522589116</v>
      </c>
      <c r="BU55" s="716"/>
      <c r="BV55" s="716">
        <f t="shared" si="21"/>
        <v>3153185.1522589116</v>
      </c>
      <c r="BW55" s="716"/>
      <c r="BX55" s="716">
        <f t="shared" si="167"/>
        <v>31400</v>
      </c>
      <c r="BY55" s="716">
        <f t="shared" si="60"/>
        <v>3184585.1522589116</v>
      </c>
      <c r="BZ55" s="716"/>
      <c r="CA55" s="716">
        <f t="shared" si="61"/>
        <v>3184585.1522589116</v>
      </c>
      <c r="CB55" s="1135">
        <f t="shared" si="121"/>
        <v>3184585.1522589116</v>
      </c>
      <c r="CC55" s="1164">
        <f t="shared" si="109"/>
        <v>3184585.1522589116</v>
      </c>
      <c r="CD55" s="1164"/>
      <c r="CE55" s="1164">
        <f t="shared" si="63"/>
        <v>0</v>
      </c>
      <c r="CF55" s="1164">
        <f t="shared" si="115"/>
        <v>0</v>
      </c>
      <c r="CG55" s="1164">
        <f t="shared" si="116"/>
        <v>0</v>
      </c>
      <c r="CH55" s="1154">
        <f t="shared" si="158"/>
        <v>3184585.1522589116</v>
      </c>
      <c r="CI55" s="935">
        <f t="shared" si="137"/>
        <v>3184585.1522589116</v>
      </c>
      <c r="CJ55" s="935">
        <f t="shared" si="64"/>
        <v>0</v>
      </c>
      <c r="CK55" s="935">
        <f t="shared" si="65"/>
        <v>326419.97810653842</v>
      </c>
      <c r="CL55" s="935">
        <f t="shared" si="66"/>
        <v>111460.48032906192</v>
      </c>
      <c r="CM55" s="1006">
        <f t="shared" si="138"/>
        <v>3622465.6106945118</v>
      </c>
      <c r="CN55" s="1007">
        <f t="shared" si="139"/>
        <v>0.125</v>
      </c>
      <c r="CO55" s="935">
        <f t="shared" si="24"/>
        <v>452808.20133681397</v>
      </c>
      <c r="CP55" s="935">
        <f t="shared" si="170"/>
        <v>30000</v>
      </c>
      <c r="CQ55" s="935">
        <f t="shared" si="25"/>
        <v>422808.20133681397</v>
      </c>
      <c r="CR55" s="745">
        <f t="shared" si="141"/>
        <v>1</v>
      </c>
      <c r="CS55" s="935">
        <f t="shared" si="26"/>
        <v>422808.20133681397</v>
      </c>
      <c r="CT55" s="1007">
        <f t="shared" si="68"/>
        <v>0.875</v>
      </c>
      <c r="CU55" s="935">
        <f t="shared" si="69"/>
        <v>3169657.4093576977</v>
      </c>
      <c r="CV55" s="1008">
        <f t="shared" si="110"/>
        <v>24574.320157515023</v>
      </c>
      <c r="CW55" s="1008">
        <f t="shared" si="70"/>
        <v>28489.776884475628</v>
      </c>
      <c r="CX55" s="1008">
        <f t="shared" si="71"/>
        <v>36802.410144456604</v>
      </c>
      <c r="CY55" s="1008">
        <f t="shared" si="72"/>
        <v>62763.015667581742</v>
      </c>
      <c r="CZ55" s="1119">
        <f t="shared" si="122"/>
        <v>257481.34616348229</v>
      </c>
      <c r="DA55" s="1119">
        <f t="shared" si="123"/>
        <v>101884.11441324168</v>
      </c>
      <c r="DB55" s="1119">
        <f t="shared" si="124"/>
        <v>73589.45283614521</v>
      </c>
      <c r="DC55" s="1119">
        <f t="shared" si="125"/>
        <v>56004.961491738162</v>
      </c>
      <c r="DD55" s="1028">
        <f t="shared" si="126"/>
        <v>0.43290523034313388</v>
      </c>
      <c r="DE55" s="1028">
        <f t="shared" si="142"/>
        <v>0</v>
      </c>
      <c r="DF55" s="1009" t="s">
        <v>270</v>
      </c>
      <c r="DG55" s="1009" t="s">
        <v>271</v>
      </c>
      <c r="DH55" s="966">
        <f t="shared" si="111"/>
        <v>45658</v>
      </c>
      <c r="DI55" s="912">
        <f t="shared" si="73"/>
        <v>14</v>
      </c>
      <c r="DJ55" s="939"/>
      <c r="DK55" s="913">
        <f t="shared" si="74"/>
        <v>45723</v>
      </c>
      <c r="DL55" s="912">
        <f t="shared" si="75"/>
        <v>16</v>
      </c>
      <c r="DM55" s="750" t="s">
        <v>272</v>
      </c>
      <c r="DN55" s="750" t="s">
        <v>273</v>
      </c>
      <c r="DO55" s="751">
        <f t="shared" si="31"/>
        <v>44077.623453119086</v>
      </c>
      <c r="DP55" s="751">
        <f t="shared" si="32"/>
        <v>969707.71596861992</v>
      </c>
      <c r="DQ55" s="752">
        <f t="shared" si="127"/>
        <v>0.48485385798430997</v>
      </c>
      <c r="DR55" s="503"/>
      <c r="DS55" s="751">
        <f t="shared" si="128"/>
        <v>3184585.1522589116</v>
      </c>
      <c r="DT55" s="751">
        <f>'[4]INTERNAL PRICELIST'!N49</f>
        <v>2063804</v>
      </c>
      <c r="DU55" s="751">
        <f t="shared" si="33"/>
        <v>1120781.1522589116</v>
      </c>
      <c r="DV55" s="503"/>
      <c r="DW55" s="951">
        <f t="shared" si="129"/>
        <v>144753.87055722324</v>
      </c>
      <c r="DX55" s="503"/>
      <c r="DZ55" s="1010" t="s">
        <v>408</v>
      </c>
      <c r="EA55" s="1052" t="b">
        <f t="shared" si="35"/>
        <v>1</v>
      </c>
      <c r="EB55" s="1053" t="s">
        <v>409</v>
      </c>
      <c r="EC55" s="1053" t="s">
        <v>410</v>
      </c>
      <c r="ED55" s="503"/>
      <c r="EE55" s="1029"/>
      <c r="EF55" s="503"/>
      <c r="EG55" s="503"/>
      <c r="EH55" s="930"/>
      <c r="EI55" s="930"/>
      <c r="EJ55" s="503"/>
      <c r="EK55" s="503"/>
      <c r="EL55" s="503"/>
      <c r="EM55" s="503"/>
      <c r="EN55" s="503"/>
      <c r="EO55" s="503"/>
      <c r="EP55" s="503"/>
      <c r="EQ55" s="503"/>
      <c r="ER55" s="1017" t="s">
        <v>264</v>
      </c>
      <c r="ES55" s="1391" t="s">
        <v>264</v>
      </c>
      <c r="ET55" s="1018" t="b">
        <f t="shared" si="76"/>
        <v>1</v>
      </c>
      <c r="EU55" s="940"/>
      <c r="EV55" s="941"/>
      <c r="EW55" s="940"/>
      <c r="EX55" s="1019">
        <v>3036164.4094186961</v>
      </c>
      <c r="EY55" s="1019">
        <f t="shared" si="143"/>
        <v>455424.66141280439</v>
      </c>
      <c r="EZ55" s="1019">
        <f t="shared" si="144"/>
        <v>2580739.7480058917</v>
      </c>
      <c r="FA55" s="1019">
        <f t="shared" si="145"/>
        <v>303616.44094186963</v>
      </c>
      <c r="FB55" s="1019">
        <f t="shared" si="146"/>
        <v>2732547.9684768263</v>
      </c>
      <c r="FC55" s="1019">
        <f t="shared" si="147"/>
        <v>151808.22047093464</v>
      </c>
      <c r="FD55" s="1020"/>
      <c r="FE55" s="1021"/>
      <c r="FF55" s="1022">
        <f t="shared" si="148"/>
        <v>2580739.7480058917</v>
      </c>
      <c r="FG55" s="1022">
        <f t="shared" si="149"/>
        <v>219362.87858050081</v>
      </c>
      <c r="FH55" s="1022">
        <f t="shared" si="161"/>
        <v>109681.4392902504</v>
      </c>
      <c r="FI55" s="1023">
        <f t="shared" si="150"/>
        <v>2732547.9684768263</v>
      </c>
      <c r="FJ55" s="1023">
        <f t="shared" si="151"/>
        <v>232266.57732053025</v>
      </c>
      <c r="FK55" s="1023">
        <f t="shared" si="152"/>
        <v>116133.28866026513</v>
      </c>
      <c r="FL55" s="1019">
        <f t="shared" si="162"/>
        <v>12903.698740029446</v>
      </c>
      <c r="FM55" s="1019">
        <f t="shared" si="163"/>
        <v>6451.8493700147228</v>
      </c>
      <c r="FN55" s="1019" t="str">
        <f t="shared" si="153"/>
        <v>VS</v>
      </c>
      <c r="FO55" s="1019">
        <f t="shared" si="159"/>
        <v>27537.409960060559</v>
      </c>
      <c r="FP55" s="1019">
        <f t="shared" si="164"/>
        <v>-21085.560590045836</v>
      </c>
      <c r="FQ55" s="1021"/>
      <c r="FR55" s="1021"/>
      <c r="FS55" s="1020"/>
      <c r="FT55" s="503"/>
      <c r="FU55" s="956"/>
      <c r="FV55" s="503"/>
      <c r="FW55" s="503"/>
      <c r="FX55" s="1040"/>
      <c r="FY55" s="503"/>
      <c r="FZ55" s="503"/>
      <c r="GA55" s="503"/>
      <c r="GB55" s="1059"/>
      <c r="GE55" s="1011" t="s">
        <v>411</v>
      </c>
      <c r="GF55" s="1185"/>
      <c r="GG55" s="956"/>
      <c r="GH55" s="945"/>
      <c r="GI55" s="1024">
        <f t="shared" si="78"/>
        <v>3622465.6106945118</v>
      </c>
      <c r="GJ55" s="1025">
        <f t="shared" si="79"/>
        <v>0.125</v>
      </c>
      <c r="GK55" s="1024">
        <f t="shared" si="80"/>
        <v>452808.20133681397</v>
      </c>
      <c r="GL55" s="1024">
        <f t="shared" si="81"/>
        <v>30000</v>
      </c>
      <c r="GM55" s="1024">
        <f t="shared" si="82"/>
        <v>422808.20133681397</v>
      </c>
      <c r="GN55" s="1024">
        <f t="shared" si="83"/>
        <v>1</v>
      </c>
      <c r="GO55" s="1024">
        <f t="shared" si="84"/>
        <v>422808.20133681397</v>
      </c>
      <c r="GP55" s="1025">
        <f t="shared" si="85"/>
        <v>0.875</v>
      </c>
      <c r="GQ55" s="1024">
        <f t="shared" si="86"/>
        <v>3169657.4093576977</v>
      </c>
      <c r="GR55" s="1024">
        <f t="shared" si="87"/>
        <v>24574.320157515023</v>
      </c>
      <c r="GS55" s="1024">
        <f t="shared" si="88"/>
        <v>28489.776884475628</v>
      </c>
      <c r="GT55" s="1024">
        <f t="shared" si="89"/>
        <v>36802.410144456604</v>
      </c>
      <c r="GU55" s="1024">
        <f t="shared" si="90"/>
        <v>62763.015667581742</v>
      </c>
      <c r="GV55" s="945"/>
      <c r="GW55" s="1024">
        <f t="shared" si="91"/>
        <v>3622465.6106945118</v>
      </c>
      <c r="GX55" s="1025">
        <f t="shared" si="92"/>
        <v>0.125</v>
      </c>
      <c r="GY55" s="1024">
        <f t="shared" si="93"/>
        <v>452808.20133681397</v>
      </c>
      <c r="GZ55" s="1024">
        <f t="shared" si="94"/>
        <v>30000</v>
      </c>
      <c r="HA55" s="1024">
        <f t="shared" si="95"/>
        <v>422808.20133681397</v>
      </c>
      <c r="HB55" s="1026">
        <f t="shared" si="96"/>
        <v>25</v>
      </c>
      <c r="HC55" s="1009">
        <f t="shared" si="97"/>
        <v>16912.32805347256</v>
      </c>
      <c r="HD55" s="1027">
        <f t="shared" si="98"/>
        <v>0.875</v>
      </c>
      <c r="HE55" s="1009">
        <f t="shared" si="99"/>
        <v>3169657.4093576977</v>
      </c>
      <c r="HF55" s="1008">
        <f t="shared" si="100"/>
        <v>24574.320157515023</v>
      </c>
      <c r="HG55" s="1008">
        <f t="shared" si="101"/>
        <v>28489.776884475628</v>
      </c>
      <c r="HH55" s="1008">
        <f t="shared" si="102"/>
        <v>36802.410144456604</v>
      </c>
      <c r="HI55" s="1008">
        <f t="shared" si="103"/>
        <v>62763.015667581742</v>
      </c>
      <c r="HJ55" s="945"/>
      <c r="HK55" s="1009">
        <f t="shared" si="104"/>
        <v>-405895.87328334141</v>
      </c>
      <c r="HL55" s="503"/>
      <c r="HM55" s="503"/>
      <c r="HN55" s="503"/>
      <c r="HO55" s="503"/>
      <c r="HP55" s="503"/>
      <c r="HQ55" s="503"/>
      <c r="HR55" s="956">
        <f t="shared" si="105"/>
        <v>0</v>
      </c>
      <c r="HS55" s="503"/>
      <c r="HT55" s="503"/>
      <c r="HU55" s="956"/>
      <c r="HV55" s="503"/>
      <c r="HW55" s="956"/>
      <c r="HX55" s="956"/>
      <c r="HY55" s="503"/>
      <c r="HZ55" s="503"/>
      <c r="IA55" s="503"/>
      <c r="ID55" s="1394"/>
    </row>
    <row r="56" spans="1:238" s="1051" customFormat="1" ht="14.25" hidden="1" customHeight="1">
      <c r="A56" s="1018">
        <f t="shared" si="155"/>
        <v>50</v>
      </c>
      <c r="B56" s="716" t="s">
        <v>264</v>
      </c>
      <c r="C56" s="741">
        <f>C55+1</f>
        <v>2</v>
      </c>
      <c r="D56" s="716" t="s">
        <v>261</v>
      </c>
      <c r="E56" s="743" t="str">
        <f t="shared" si="36"/>
        <v>5th Floor</v>
      </c>
      <c r="F56" s="1048"/>
      <c r="G56" s="745" t="s">
        <v>412</v>
      </c>
      <c r="H56" s="745" t="s">
        <v>278</v>
      </c>
      <c r="I56" s="745" t="s">
        <v>267</v>
      </c>
      <c r="J56" s="1005">
        <v>22</v>
      </c>
      <c r="K56" s="1049"/>
      <c r="L56" s="1006" t="s">
        <v>73</v>
      </c>
      <c r="M56" s="745" t="s">
        <v>240</v>
      </c>
      <c r="N56" s="1050">
        <v>95909.091</v>
      </c>
      <c r="O56" s="934">
        <f t="shared" si="132"/>
        <v>2110000.0019999999</v>
      </c>
      <c r="P56" s="934">
        <f t="shared" si="156"/>
        <v>22400</v>
      </c>
      <c r="Q56" s="934">
        <f t="shared" si="119"/>
        <v>50000</v>
      </c>
      <c r="R56" s="934"/>
      <c r="S56" s="934"/>
      <c r="T56" s="934"/>
      <c r="U56" s="934"/>
      <c r="V56" s="934"/>
      <c r="W56" s="749">
        <f t="shared" ref="W56:W59" si="196">J56*$W$5</f>
        <v>22000</v>
      </c>
      <c r="X56" s="934"/>
      <c r="Y56" s="934">
        <f>$Y$55</f>
        <v>20000</v>
      </c>
      <c r="Z56" s="934">
        <f t="shared" si="133"/>
        <v>75000</v>
      </c>
      <c r="AA56" s="934"/>
      <c r="AB56" s="934"/>
      <c r="AC56" s="934"/>
      <c r="AD56" s="934"/>
      <c r="AE56" s="934">
        <f t="shared" si="14"/>
        <v>189400</v>
      </c>
      <c r="AF56" s="1005">
        <f t="shared" si="15"/>
        <v>2299400.0019999999</v>
      </c>
      <c r="AG56" s="1005">
        <f t="shared" si="37"/>
        <v>57485.000050000002</v>
      </c>
      <c r="AH56" s="1005">
        <f t="shared" si="38"/>
        <v>2356885.0020499998</v>
      </c>
      <c r="AI56" s="1005">
        <f t="shared" si="39"/>
        <v>58922.125051249997</v>
      </c>
      <c r="AJ56" s="1005">
        <f t="shared" si="40"/>
        <v>2415807.12710125</v>
      </c>
      <c r="AK56" s="1005">
        <f t="shared" si="41"/>
        <v>120790.35635506251</v>
      </c>
      <c r="AL56" s="1005">
        <f t="shared" si="157"/>
        <v>2536597.4834563127</v>
      </c>
      <c r="AM56" s="934">
        <f t="shared" si="43"/>
        <v>25365.974834563127</v>
      </c>
      <c r="AN56" s="934">
        <f t="shared" si="44"/>
        <v>27537.409960060559</v>
      </c>
      <c r="AO56" s="934"/>
      <c r="AP56" s="934">
        <f t="shared" si="134"/>
        <v>112172.53530565517</v>
      </c>
      <c r="AQ56" s="1005">
        <f t="shared" si="45"/>
        <v>2701673.4035565914</v>
      </c>
      <c r="AR56" s="1005">
        <f t="shared" si="46"/>
        <v>121575.30316004661</v>
      </c>
      <c r="AS56" s="1147">
        <f t="shared" si="47"/>
        <v>2823248.7067166381</v>
      </c>
      <c r="AT56" s="1148">
        <f t="shared" si="135"/>
        <v>2000000</v>
      </c>
      <c r="AU56" s="1148">
        <f t="shared" si="193"/>
        <v>37420.395759847182</v>
      </c>
      <c r="AV56" s="1148">
        <f t="shared" si="136"/>
        <v>823248.70671663806</v>
      </c>
      <c r="AW56" s="1148">
        <f t="shared" si="17"/>
        <v>98789.844805996559</v>
      </c>
      <c r="AX56" s="1148">
        <f t="shared" si="18"/>
        <v>922038.55152263457</v>
      </c>
      <c r="AY56" s="1147">
        <f t="shared" si="48"/>
        <v>2922038.5515226345</v>
      </c>
      <c r="AZ56" s="934">
        <f t="shared" si="49"/>
        <v>36525.481894032935</v>
      </c>
      <c r="BA56" s="716" t="s">
        <v>269</v>
      </c>
      <c r="BB56" s="716">
        <f t="shared" si="194"/>
        <v>2958564.0334166675</v>
      </c>
      <c r="BC56" s="716" t="s">
        <v>269</v>
      </c>
      <c r="BD56" s="716">
        <f t="shared" si="50"/>
        <v>110946.15125312503</v>
      </c>
      <c r="BE56" s="716">
        <f t="shared" si="51"/>
        <v>33600</v>
      </c>
      <c r="BF56" s="716">
        <f t="shared" si="52"/>
        <v>3103110.1846697927</v>
      </c>
      <c r="BG56" s="716"/>
      <c r="BH56" s="716">
        <f t="shared" si="53"/>
        <v>3103110.1846697927</v>
      </c>
      <c r="BI56" s="716"/>
      <c r="BJ56" s="716">
        <f t="shared" si="54"/>
        <v>3103110.1846697927</v>
      </c>
      <c r="BK56" s="716"/>
      <c r="BL56" s="716">
        <f t="shared" si="55"/>
        <v>3103110.1846697927</v>
      </c>
      <c r="BM56" s="716"/>
      <c r="BN56" s="716">
        <f t="shared" si="20"/>
        <v>3103110.1846697927</v>
      </c>
      <c r="BO56" s="716"/>
      <c r="BP56" s="716">
        <f t="shared" si="56"/>
        <v>3103110.1846697927</v>
      </c>
      <c r="BQ56" s="716"/>
      <c r="BR56" s="716">
        <f t="shared" si="57"/>
        <v>3103110.1846697927</v>
      </c>
      <c r="BS56" s="716"/>
      <c r="BT56" s="716">
        <f t="shared" si="58"/>
        <v>3103110.1846697927</v>
      </c>
      <c r="BU56" s="716"/>
      <c r="BV56" s="716">
        <f t="shared" si="21"/>
        <v>3103110.1846697927</v>
      </c>
      <c r="BW56" s="716"/>
      <c r="BX56" s="716">
        <f t="shared" si="167"/>
        <v>31400</v>
      </c>
      <c r="BY56" s="716">
        <f t="shared" si="60"/>
        <v>3134510.1846697927</v>
      </c>
      <c r="BZ56" s="716"/>
      <c r="CA56" s="716">
        <f t="shared" si="61"/>
        <v>3134510.1846697927</v>
      </c>
      <c r="CB56" s="1135">
        <f t="shared" si="121"/>
        <v>3134510.1846697927</v>
      </c>
      <c r="CC56" s="1164">
        <f t="shared" si="109"/>
        <v>3134510.1846697927</v>
      </c>
      <c r="CD56" s="1164"/>
      <c r="CE56" s="1164">
        <f t="shared" si="63"/>
        <v>0</v>
      </c>
      <c r="CF56" s="1164">
        <f t="shared" si="115"/>
        <v>0</v>
      </c>
      <c r="CG56" s="1164">
        <f t="shared" si="116"/>
        <v>0</v>
      </c>
      <c r="CH56" s="1154">
        <f t="shared" si="158"/>
        <v>3134510.1846697927</v>
      </c>
      <c r="CI56" s="935">
        <f t="shared" si="137"/>
        <v>3134510.1846697927</v>
      </c>
      <c r="CJ56" s="935">
        <f t="shared" si="64"/>
        <v>0</v>
      </c>
      <c r="CK56" s="935">
        <f t="shared" si="65"/>
        <v>321287.2939286537</v>
      </c>
      <c r="CL56" s="935">
        <f t="shared" si="66"/>
        <v>109707.85646344276</v>
      </c>
      <c r="CM56" s="1006">
        <f t="shared" si="138"/>
        <v>3565505.3350618891</v>
      </c>
      <c r="CN56" s="1007">
        <f t="shared" si="139"/>
        <v>0.125</v>
      </c>
      <c r="CO56" s="935">
        <f t="shared" si="24"/>
        <v>445688.16688273614</v>
      </c>
      <c r="CP56" s="935">
        <f t="shared" si="170"/>
        <v>30000</v>
      </c>
      <c r="CQ56" s="935">
        <f t="shared" si="25"/>
        <v>415688.16688273614</v>
      </c>
      <c r="CR56" s="745">
        <f t="shared" si="141"/>
        <v>1</v>
      </c>
      <c r="CS56" s="935">
        <f t="shared" si="26"/>
        <v>415688.16688273614</v>
      </c>
      <c r="CT56" s="1007">
        <f t="shared" si="68"/>
        <v>0.875</v>
      </c>
      <c r="CU56" s="935">
        <f t="shared" si="69"/>
        <v>3119817.168179153</v>
      </c>
      <c r="CV56" s="1008">
        <f t="shared" si="110"/>
        <v>24187.90929814789</v>
      </c>
      <c r="CW56" s="1008">
        <f t="shared" si="70"/>
        <v>28041.798706501839</v>
      </c>
      <c r="CX56" s="1008">
        <f t="shared" si="71"/>
        <v>36223.722683743574</v>
      </c>
      <c r="CY56" s="1008">
        <f t="shared" si="72"/>
        <v>61776.119156706467</v>
      </c>
      <c r="CZ56" s="1119">
        <f t="shared" si="122"/>
        <v>253432.66495463048</v>
      </c>
      <c r="DA56" s="1119">
        <f t="shared" si="123"/>
        <v>100282.07098115752</v>
      </c>
      <c r="DB56" s="1119">
        <f t="shared" si="124"/>
        <v>72432.319555203707</v>
      </c>
      <c r="DC56" s="1119">
        <f t="shared" si="125"/>
        <v>55124.329793276789</v>
      </c>
      <c r="DD56" s="1028">
        <f t="shared" si="126"/>
        <v>0.41162435335831904</v>
      </c>
      <c r="DE56" s="1028">
        <f t="shared" si="142"/>
        <v>0</v>
      </c>
      <c r="DF56" s="1009" t="s">
        <v>270</v>
      </c>
      <c r="DG56" s="1009" t="s">
        <v>271</v>
      </c>
      <c r="DH56" s="966">
        <f t="shared" si="111"/>
        <v>45658</v>
      </c>
      <c r="DI56" s="912">
        <f t="shared" si="73"/>
        <v>14</v>
      </c>
      <c r="DJ56" s="939"/>
      <c r="DK56" s="913">
        <f t="shared" si="74"/>
        <v>45723</v>
      </c>
      <c r="DL56" s="912">
        <f t="shared" si="75"/>
        <v>16</v>
      </c>
      <c r="DM56" s="750" t="s">
        <v>272</v>
      </c>
      <c r="DN56" s="750" t="s">
        <v>273</v>
      </c>
      <c r="DO56" s="751">
        <f t="shared" si="31"/>
        <v>41910.843251028848</v>
      </c>
      <c r="DP56" s="751">
        <f t="shared" si="32"/>
        <v>922038.55152263457</v>
      </c>
      <c r="DQ56" s="752">
        <f t="shared" si="127"/>
        <v>0.46101927576131729</v>
      </c>
      <c r="DR56" s="503"/>
      <c r="DS56" s="751">
        <f t="shared" si="128"/>
        <v>3134510.1846697927</v>
      </c>
      <c r="DT56" s="751">
        <f>'[4]INTERNAL PRICELIST'!N50</f>
        <v>2061900</v>
      </c>
      <c r="DU56" s="751">
        <f t="shared" si="33"/>
        <v>1072610.1846697927</v>
      </c>
      <c r="DV56" s="503"/>
      <c r="DW56" s="951">
        <f t="shared" si="129"/>
        <v>142477.73566680876</v>
      </c>
      <c r="DX56" s="503"/>
      <c r="DZ56" s="1010" t="s">
        <v>412</v>
      </c>
      <c r="EA56" s="1052" t="b">
        <f t="shared" si="35"/>
        <v>1</v>
      </c>
      <c r="EB56" s="1053" t="s">
        <v>413</v>
      </c>
      <c r="EC56" s="1053" t="s">
        <v>410</v>
      </c>
      <c r="ED56" s="503"/>
      <c r="EE56" s="1029"/>
      <c r="EF56" s="503"/>
      <c r="EG56" s="503"/>
      <c r="EH56" s="930"/>
      <c r="EI56" s="930"/>
      <c r="EJ56" s="503"/>
      <c r="EK56" s="503"/>
      <c r="EL56" s="503"/>
      <c r="EM56" s="503"/>
      <c r="EN56" s="503"/>
      <c r="EO56" s="503"/>
      <c r="EP56" s="503"/>
      <c r="EQ56" s="503"/>
      <c r="ER56" s="1017" t="s">
        <v>264</v>
      </c>
      <c r="ES56" s="1391" t="s">
        <v>264</v>
      </c>
      <c r="ET56" s="1018" t="b">
        <f t="shared" si="76"/>
        <v>1</v>
      </c>
      <c r="EU56" s="940"/>
      <c r="EV56" s="941"/>
      <c r="EW56" s="940"/>
      <c r="EX56" s="1019">
        <v>2932615.3021086319</v>
      </c>
      <c r="EY56" s="1019">
        <f t="shared" si="143"/>
        <v>439892.29531629477</v>
      </c>
      <c r="EZ56" s="1019">
        <f t="shared" si="144"/>
        <v>2492723.0067923372</v>
      </c>
      <c r="FA56" s="1019">
        <f t="shared" si="145"/>
        <v>293261.53021086322</v>
      </c>
      <c r="FB56" s="1019">
        <f t="shared" si="146"/>
        <v>2639353.7718977686</v>
      </c>
      <c r="FC56" s="1019">
        <f t="shared" si="147"/>
        <v>146630.76510543143</v>
      </c>
      <c r="FD56" s="1020"/>
      <c r="FE56" s="1021"/>
      <c r="FF56" s="1022">
        <f t="shared" si="148"/>
        <v>2492723.0067923372</v>
      </c>
      <c r="FG56" s="1022">
        <f t="shared" si="149"/>
        <v>211881.45557734868</v>
      </c>
      <c r="FH56" s="1022">
        <f t="shared" si="161"/>
        <v>105940.72778867434</v>
      </c>
      <c r="FI56" s="1023">
        <f t="shared" si="150"/>
        <v>2639353.7718977686</v>
      </c>
      <c r="FJ56" s="1023">
        <f t="shared" si="151"/>
        <v>224345.07061131034</v>
      </c>
      <c r="FK56" s="1023">
        <f t="shared" si="152"/>
        <v>112172.53530565517</v>
      </c>
      <c r="FL56" s="1019">
        <f t="shared" si="162"/>
        <v>12463.615033961658</v>
      </c>
      <c r="FM56" s="1019">
        <f t="shared" si="163"/>
        <v>6231.807516980829</v>
      </c>
      <c r="FN56" s="1019" t="str">
        <f t="shared" si="153"/>
        <v>VS</v>
      </c>
      <c r="FO56" s="1019">
        <f t="shared" si="159"/>
        <v>27537.409960060559</v>
      </c>
      <c r="FP56" s="1019">
        <f t="shared" si="164"/>
        <v>-21305.60244307973</v>
      </c>
      <c r="FQ56" s="1021"/>
      <c r="FR56" s="1021"/>
      <c r="FS56" s="1020"/>
      <c r="FT56" s="503"/>
      <c r="FU56" s="956"/>
      <c r="FV56" s="503"/>
      <c r="FW56" s="503"/>
      <c r="FX56" s="1040"/>
      <c r="FY56" s="503"/>
      <c r="FZ56" s="503"/>
      <c r="GA56" s="503"/>
      <c r="GB56" s="1059"/>
      <c r="GE56" s="1011" t="s">
        <v>414</v>
      </c>
      <c r="GF56" s="1185"/>
      <c r="GG56" s="956"/>
      <c r="GH56" s="945"/>
      <c r="GI56" s="1024">
        <f t="shared" si="78"/>
        <v>3565505.3350618891</v>
      </c>
      <c r="GJ56" s="1025">
        <f t="shared" si="79"/>
        <v>0.125</v>
      </c>
      <c r="GK56" s="1024">
        <f t="shared" si="80"/>
        <v>445688.16688273614</v>
      </c>
      <c r="GL56" s="1024">
        <f t="shared" si="81"/>
        <v>30000</v>
      </c>
      <c r="GM56" s="1024">
        <f t="shared" si="82"/>
        <v>415688.16688273614</v>
      </c>
      <c r="GN56" s="1024">
        <f t="shared" si="83"/>
        <v>1</v>
      </c>
      <c r="GO56" s="1024">
        <f t="shared" si="84"/>
        <v>415688.16688273614</v>
      </c>
      <c r="GP56" s="1025">
        <f t="shared" si="85"/>
        <v>0.875</v>
      </c>
      <c r="GQ56" s="1024">
        <f t="shared" si="86"/>
        <v>3119817.168179153</v>
      </c>
      <c r="GR56" s="1024">
        <f t="shared" si="87"/>
        <v>24187.90929814789</v>
      </c>
      <c r="GS56" s="1024">
        <f t="shared" si="88"/>
        <v>28041.798706501839</v>
      </c>
      <c r="GT56" s="1024">
        <f t="shared" si="89"/>
        <v>36223.722683743574</v>
      </c>
      <c r="GU56" s="1024">
        <f t="shared" si="90"/>
        <v>61776.119156706467</v>
      </c>
      <c r="GV56" s="945"/>
      <c r="GW56" s="1024">
        <f t="shared" si="91"/>
        <v>3565505.3350618891</v>
      </c>
      <c r="GX56" s="1025">
        <f t="shared" si="92"/>
        <v>0.125</v>
      </c>
      <c r="GY56" s="1024">
        <f t="shared" si="93"/>
        <v>445688.16688273614</v>
      </c>
      <c r="GZ56" s="1024">
        <f t="shared" si="94"/>
        <v>30000</v>
      </c>
      <c r="HA56" s="1024">
        <f t="shared" si="95"/>
        <v>415688.16688273614</v>
      </c>
      <c r="HB56" s="1026">
        <f t="shared" si="96"/>
        <v>25</v>
      </c>
      <c r="HC56" s="1009">
        <f t="shared" si="97"/>
        <v>16627.526675309447</v>
      </c>
      <c r="HD56" s="1027">
        <f t="shared" si="98"/>
        <v>0.875</v>
      </c>
      <c r="HE56" s="1009">
        <f t="shared" si="99"/>
        <v>3119817.168179153</v>
      </c>
      <c r="HF56" s="1008">
        <f t="shared" si="100"/>
        <v>24187.90929814789</v>
      </c>
      <c r="HG56" s="1008">
        <f t="shared" si="101"/>
        <v>28041.798706501839</v>
      </c>
      <c r="HH56" s="1008">
        <f t="shared" si="102"/>
        <v>36223.722683743574</v>
      </c>
      <c r="HI56" s="1008">
        <f t="shared" si="103"/>
        <v>61776.119156706467</v>
      </c>
      <c r="HJ56" s="945"/>
      <c r="HK56" s="1009">
        <f t="shared" si="104"/>
        <v>-399060.64020742668</v>
      </c>
      <c r="HL56" s="503"/>
      <c r="HM56" s="503"/>
      <c r="HN56" s="503"/>
      <c r="HO56" s="503"/>
      <c r="HP56" s="503"/>
      <c r="HQ56" s="503"/>
      <c r="HR56" s="956">
        <f t="shared" si="105"/>
        <v>0</v>
      </c>
      <c r="HS56" s="503"/>
      <c r="HT56" s="503"/>
      <c r="HU56" s="956"/>
      <c r="HV56" s="503"/>
      <c r="HW56" s="956"/>
      <c r="HX56" s="956"/>
      <c r="HY56" s="503"/>
      <c r="HZ56" s="503"/>
      <c r="IA56" s="503"/>
      <c r="ID56" s="1394"/>
    </row>
    <row r="57" spans="1:238" s="1051" customFormat="1" ht="14.25" hidden="1" customHeight="1">
      <c r="A57" s="1018">
        <f t="shared" si="155"/>
        <v>51</v>
      </c>
      <c r="B57" s="716" t="s">
        <v>264</v>
      </c>
      <c r="C57" s="741">
        <f t="shared" ref="C57:C72" si="197">C56+1</f>
        <v>3</v>
      </c>
      <c r="D57" s="716" t="s">
        <v>261</v>
      </c>
      <c r="E57" s="743" t="str">
        <f t="shared" si="36"/>
        <v>5th Floor</v>
      </c>
      <c r="F57" s="1048"/>
      <c r="G57" s="745" t="s">
        <v>415</v>
      </c>
      <c r="H57" s="745" t="s">
        <v>283</v>
      </c>
      <c r="I57" s="745" t="s">
        <v>267</v>
      </c>
      <c r="J57" s="1005">
        <v>22</v>
      </c>
      <c r="K57" s="1049"/>
      <c r="L57" s="1006" t="s">
        <v>73</v>
      </c>
      <c r="M57" s="745" t="s">
        <v>240</v>
      </c>
      <c r="N57" s="1050">
        <v>95909.091</v>
      </c>
      <c r="O57" s="934">
        <f t="shared" si="132"/>
        <v>2110000.0019999999</v>
      </c>
      <c r="P57" s="934">
        <f t="shared" si="156"/>
        <v>22400</v>
      </c>
      <c r="Q57" s="934">
        <f t="shared" si="119"/>
        <v>50000</v>
      </c>
      <c r="R57" s="934"/>
      <c r="S57" s="934"/>
      <c r="T57" s="934"/>
      <c r="U57" s="934"/>
      <c r="V57" s="934"/>
      <c r="W57" s="749">
        <f t="shared" si="196"/>
        <v>22000</v>
      </c>
      <c r="X57" s="934"/>
      <c r="Y57" s="934">
        <f t="shared" ref="Y57:Y72" si="198">$Y$55</f>
        <v>20000</v>
      </c>
      <c r="Z57" s="934">
        <f t="shared" si="133"/>
        <v>75000</v>
      </c>
      <c r="AA57" s="934"/>
      <c r="AB57" s="934"/>
      <c r="AC57" s="934"/>
      <c r="AD57" s="934"/>
      <c r="AE57" s="934">
        <f t="shared" si="14"/>
        <v>189400</v>
      </c>
      <c r="AF57" s="1005">
        <f t="shared" si="15"/>
        <v>2299400.0019999999</v>
      </c>
      <c r="AG57" s="1005">
        <f t="shared" si="37"/>
        <v>57485.000050000002</v>
      </c>
      <c r="AH57" s="1005">
        <f t="shared" si="38"/>
        <v>2356885.0020499998</v>
      </c>
      <c r="AI57" s="1005">
        <f t="shared" si="39"/>
        <v>58922.125051249997</v>
      </c>
      <c r="AJ57" s="1005">
        <f t="shared" si="40"/>
        <v>2415807.12710125</v>
      </c>
      <c r="AK57" s="1005">
        <f t="shared" si="41"/>
        <v>120790.35635506251</v>
      </c>
      <c r="AL57" s="1005">
        <f t="shared" si="157"/>
        <v>2536597.4834563127</v>
      </c>
      <c r="AM57" s="934">
        <f t="shared" si="43"/>
        <v>25365.974834563127</v>
      </c>
      <c r="AN57" s="934">
        <f t="shared" si="44"/>
        <v>27537.409960060559</v>
      </c>
      <c r="AO57" s="934"/>
      <c r="AP57" s="934">
        <f t="shared" si="134"/>
        <v>112172.53530565517</v>
      </c>
      <c r="AQ57" s="1005">
        <f t="shared" si="45"/>
        <v>2701673.4035565914</v>
      </c>
      <c r="AR57" s="1005">
        <f t="shared" si="46"/>
        <v>121575.30316004661</v>
      </c>
      <c r="AS57" s="1147">
        <f t="shared" si="47"/>
        <v>2823248.7067166381</v>
      </c>
      <c r="AT57" s="1148">
        <f>$AT$5</f>
        <v>2000000</v>
      </c>
      <c r="AU57" s="1148">
        <f t="shared" si="193"/>
        <v>37420.395759847182</v>
      </c>
      <c r="AV57" s="1148">
        <f t="shared" si="136"/>
        <v>823248.70671663806</v>
      </c>
      <c r="AW57" s="1148">
        <f t="shared" si="17"/>
        <v>98789.844805996559</v>
      </c>
      <c r="AX57" s="1148">
        <f t="shared" si="18"/>
        <v>922038.55152263457</v>
      </c>
      <c r="AY57" s="1147">
        <f t="shared" si="48"/>
        <v>2922038.5515226345</v>
      </c>
      <c r="AZ57" s="934">
        <f t="shared" si="49"/>
        <v>36525.481894032935</v>
      </c>
      <c r="BA57" s="716" t="s">
        <v>269</v>
      </c>
      <c r="BB57" s="716">
        <f t="shared" si="194"/>
        <v>2958564.0334166675</v>
      </c>
      <c r="BC57" s="716" t="s">
        <v>269</v>
      </c>
      <c r="BD57" s="716">
        <f t="shared" si="50"/>
        <v>110946.15125312503</v>
      </c>
      <c r="BE57" s="716">
        <f t="shared" si="51"/>
        <v>33600</v>
      </c>
      <c r="BF57" s="716">
        <f t="shared" si="52"/>
        <v>3103110.1846697927</v>
      </c>
      <c r="BG57" s="716"/>
      <c r="BH57" s="716">
        <f t="shared" si="53"/>
        <v>3103110.1846697927</v>
      </c>
      <c r="BI57" s="716"/>
      <c r="BJ57" s="716">
        <f t="shared" si="54"/>
        <v>3103110.1846697927</v>
      </c>
      <c r="BK57" s="716"/>
      <c r="BL57" s="716">
        <f t="shared" si="55"/>
        <v>3103110.1846697927</v>
      </c>
      <c r="BM57" s="716"/>
      <c r="BN57" s="716">
        <f t="shared" si="20"/>
        <v>3103110.1846697927</v>
      </c>
      <c r="BO57" s="716"/>
      <c r="BP57" s="716">
        <f t="shared" si="56"/>
        <v>3103110.1846697927</v>
      </c>
      <c r="BQ57" s="716"/>
      <c r="BR57" s="716">
        <f t="shared" si="57"/>
        <v>3103110.1846697927</v>
      </c>
      <c r="BS57" s="716"/>
      <c r="BT57" s="716">
        <f t="shared" si="58"/>
        <v>3103110.1846697927</v>
      </c>
      <c r="BU57" s="716"/>
      <c r="BV57" s="716">
        <f t="shared" si="21"/>
        <v>3103110.1846697927</v>
      </c>
      <c r="BW57" s="716"/>
      <c r="BX57" s="716">
        <f t="shared" si="167"/>
        <v>31400</v>
      </c>
      <c r="BY57" s="716">
        <f t="shared" si="60"/>
        <v>3134510.1846697927</v>
      </c>
      <c r="BZ57" s="716"/>
      <c r="CA57" s="716">
        <f t="shared" si="61"/>
        <v>3134510.1846697927</v>
      </c>
      <c r="CB57" s="1135">
        <f t="shared" si="121"/>
        <v>3134510.1846697927</v>
      </c>
      <c r="CC57" s="1164">
        <f t="shared" si="109"/>
        <v>3134510.1846697927</v>
      </c>
      <c r="CD57" s="1164"/>
      <c r="CE57" s="1164">
        <f t="shared" si="63"/>
        <v>0</v>
      </c>
      <c r="CF57" s="1164">
        <f t="shared" si="115"/>
        <v>0</v>
      </c>
      <c r="CG57" s="1164">
        <f t="shared" si="116"/>
        <v>0</v>
      </c>
      <c r="CH57" s="1154">
        <f>CC57+CE57+CF57</f>
        <v>3134510.1846697927</v>
      </c>
      <c r="CI57" s="935">
        <f t="shared" si="137"/>
        <v>3134510.1846697927</v>
      </c>
      <c r="CJ57" s="935">
        <f t="shared" si="64"/>
        <v>0</v>
      </c>
      <c r="CK57" s="935">
        <f t="shared" si="65"/>
        <v>321287.2939286537</v>
      </c>
      <c r="CL57" s="935">
        <f t="shared" si="66"/>
        <v>109707.85646344276</v>
      </c>
      <c r="CM57" s="1006">
        <f t="shared" si="138"/>
        <v>3565505.3350618891</v>
      </c>
      <c r="CN57" s="1007">
        <f t="shared" si="139"/>
        <v>0.125</v>
      </c>
      <c r="CO57" s="935">
        <f t="shared" si="24"/>
        <v>445688.16688273614</v>
      </c>
      <c r="CP57" s="935">
        <f t="shared" si="170"/>
        <v>30000</v>
      </c>
      <c r="CQ57" s="935">
        <f t="shared" si="25"/>
        <v>415688.16688273614</v>
      </c>
      <c r="CR57" s="745">
        <f t="shared" si="141"/>
        <v>1</v>
      </c>
      <c r="CS57" s="935">
        <f t="shared" si="26"/>
        <v>415688.16688273614</v>
      </c>
      <c r="CT57" s="1007">
        <f t="shared" si="68"/>
        <v>0.875</v>
      </c>
      <c r="CU57" s="935">
        <f t="shared" si="69"/>
        <v>3119817.168179153</v>
      </c>
      <c r="CV57" s="1008">
        <f t="shared" si="110"/>
        <v>24187.90929814789</v>
      </c>
      <c r="CW57" s="1008">
        <f t="shared" si="70"/>
        <v>28041.798706501839</v>
      </c>
      <c r="CX57" s="1008">
        <f t="shared" si="71"/>
        <v>36223.722683743574</v>
      </c>
      <c r="CY57" s="1008">
        <f t="shared" si="72"/>
        <v>61776.119156706467</v>
      </c>
      <c r="CZ57" s="1119">
        <f t="shared" si="122"/>
        <v>253432.66495463048</v>
      </c>
      <c r="DA57" s="1119">
        <f t="shared" si="123"/>
        <v>100282.07098115752</v>
      </c>
      <c r="DB57" s="1119">
        <f t="shared" si="124"/>
        <v>72432.319555203707</v>
      </c>
      <c r="DC57" s="1119">
        <f t="shared" si="125"/>
        <v>55124.329793276789</v>
      </c>
      <c r="DD57" s="1028">
        <f t="shared" si="126"/>
        <v>0.41162435335831904</v>
      </c>
      <c r="DE57" s="1028">
        <f t="shared" si="142"/>
        <v>0</v>
      </c>
      <c r="DF57" s="1009" t="s">
        <v>270</v>
      </c>
      <c r="DG57" s="1009" t="s">
        <v>271</v>
      </c>
      <c r="DH57" s="966">
        <f t="shared" si="111"/>
        <v>45658</v>
      </c>
      <c r="DI57" s="912">
        <f t="shared" si="73"/>
        <v>14</v>
      </c>
      <c r="DJ57" s="939"/>
      <c r="DK57" s="913">
        <f t="shared" si="74"/>
        <v>45723</v>
      </c>
      <c r="DL57" s="912">
        <f t="shared" si="75"/>
        <v>16</v>
      </c>
      <c r="DM57" s="750" t="s">
        <v>272</v>
      </c>
      <c r="DN57" s="750" t="s">
        <v>273</v>
      </c>
      <c r="DO57" s="751">
        <f t="shared" si="31"/>
        <v>41910.843251028848</v>
      </c>
      <c r="DP57" s="751">
        <f t="shared" si="32"/>
        <v>922038.55152263457</v>
      </c>
      <c r="DQ57" s="752">
        <f t="shared" si="127"/>
        <v>0.46101927576131729</v>
      </c>
      <c r="DR57" s="503"/>
      <c r="DS57" s="751">
        <f t="shared" si="128"/>
        <v>3134510.1846697927</v>
      </c>
      <c r="DT57" s="751">
        <f>'[4]INTERNAL PRICELIST'!N51</f>
        <v>2061900</v>
      </c>
      <c r="DU57" s="751">
        <f t="shared" si="33"/>
        <v>1072610.1846697927</v>
      </c>
      <c r="DV57" s="503"/>
      <c r="DW57" s="951">
        <f t="shared" si="129"/>
        <v>142477.73566680876</v>
      </c>
      <c r="DX57" s="503"/>
      <c r="DZ57" s="1010" t="s">
        <v>415</v>
      </c>
      <c r="EA57" s="1052" t="b">
        <f t="shared" si="35"/>
        <v>1</v>
      </c>
      <c r="EB57" s="1053" t="s">
        <v>416</v>
      </c>
      <c r="EC57" s="1053" t="s">
        <v>410</v>
      </c>
      <c r="ED57" s="503"/>
      <c r="EE57" s="1029"/>
      <c r="EF57" s="503"/>
      <c r="EG57" s="503"/>
      <c r="EH57" s="930"/>
      <c r="EI57" s="930"/>
      <c r="EJ57" s="503"/>
      <c r="EK57" s="503"/>
      <c r="EL57" s="503"/>
      <c r="EM57" s="503"/>
      <c r="EN57" s="503"/>
      <c r="EO57" s="503"/>
      <c r="EP57" s="503"/>
      <c r="EQ57" s="503"/>
      <c r="ER57" s="1017" t="s">
        <v>264</v>
      </c>
      <c r="ES57" s="1391" t="s">
        <v>264</v>
      </c>
      <c r="ET57" s="1018" t="b">
        <f t="shared" si="76"/>
        <v>1</v>
      </c>
      <c r="EU57" s="940"/>
      <c r="EV57" s="941"/>
      <c r="EW57" s="940"/>
      <c r="EX57" s="1019">
        <v>2932615.3021086319</v>
      </c>
      <c r="EY57" s="1019">
        <f t="shared" si="143"/>
        <v>439892.29531629477</v>
      </c>
      <c r="EZ57" s="1019">
        <f t="shared" si="144"/>
        <v>2492723.0067923372</v>
      </c>
      <c r="FA57" s="1019">
        <f t="shared" si="145"/>
        <v>293261.53021086322</v>
      </c>
      <c r="FB57" s="1019">
        <f t="shared" si="146"/>
        <v>2639353.7718977686</v>
      </c>
      <c r="FC57" s="1019">
        <f t="shared" si="147"/>
        <v>146630.76510543143</v>
      </c>
      <c r="FD57" s="1020"/>
      <c r="FE57" s="1021"/>
      <c r="FF57" s="1022">
        <f t="shared" si="148"/>
        <v>2492723.0067923372</v>
      </c>
      <c r="FG57" s="1022">
        <f t="shared" si="149"/>
        <v>211881.45557734868</v>
      </c>
      <c r="FH57" s="1022">
        <f t="shared" si="161"/>
        <v>105940.72778867434</v>
      </c>
      <c r="FI57" s="1023">
        <f t="shared" si="150"/>
        <v>2639353.7718977686</v>
      </c>
      <c r="FJ57" s="1023">
        <f t="shared" si="151"/>
        <v>224345.07061131034</v>
      </c>
      <c r="FK57" s="1023">
        <f t="shared" si="152"/>
        <v>112172.53530565517</v>
      </c>
      <c r="FL57" s="1019">
        <f t="shared" si="162"/>
        <v>12463.615033961658</v>
      </c>
      <c r="FM57" s="1019">
        <f t="shared" si="163"/>
        <v>6231.807516980829</v>
      </c>
      <c r="FN57" s="1019" t="str">
        <f t="shared" si="153"/>
        <v>VS</v>
      </c>
      <c r="FO57" s="1019">
        <f t="shared" si="159"/>
        <v>27537.409960060559</v>
      </c>
      <c r="FP57" s="1019">
        <f t="shared" si="164"/>
        <v>-21305.60244307973</v>
      </c>
      <c r="FQ57" s="1021"/>
      <c r="FR57" s="1021"/>
      <c r="FS57" s="1020"/>
      <c r="FT57" s="503"/>
      <c r="FU57" s="956"/>
      <c r="FV57" s="503"/>
      <c r="FW57" s="503"/>
      <c r="FX57" s="1040"/>
      <c r="FY57" s="503"/>
      <c r="FZ57" s="503"/>
      <c r="GA57" s="503"/>
      <c r="GB57" s="1059"/>
      <c r="GE57" s="1011" t="s">
        <v>417</v>
      </c>
      <c r="GF57" s="1185"/>
      <c r="GG57" s="956"/>
      <c r="GH57" s="945"/>
      <c r="GI57" s="1024">
        <f t="shared" si="78"/>
        <v>3565505.3350618891</v>
      </c>
      <c r="GJ57" s="1025">
        <f t="shared" si="79"/>
        <v>0.125</v>
      </c>
      <c r="GK57" s="1024">
        <f t="shared" si="80"/>
        <v>445688.16688273614</v>
      </c>
      <c r="GL57" s="1024">
        <f t="shared" si="81"/>
        <v>30000</v>
      </c>
      <c r="GM57" s="1024">
        <f t="shared" si="82"/>
        <v>415688.16688273614</v>
      </c>
      <c r="GN57" s="1024">
        <f t="shared" si="83"/>
        <v>1</v>
      </c>
      <c r="GO57" s="1024">
        <f t="shared" si="84"/>
        <v>415688.16688273614</v>
      </c>
      <c r="GP57" s="1025">
        <f t="shared" si="85"/>
        <v>0.875</v>
      </c>
      <c r="GQ57" s="1024">
        <f t="shared" si="86"/>
        <v>3119817.168179153</v>
      </c>
      <c r="GR57" s="1024">
        <f t="shared" si="87"/>
        <v>24187.90929814789</v>
      </c>
      <c r="GS57" s="1024">
        <f t="shared" si="88"/>
        <v>28041.798706501839</v>
      </c>
      <c r="GT57" s="1024">
        <f t="shared" si="89"/>
        <v>36223.722683743574</v>
      </c>
      <c r="GU57" s="1024">
        <f t="shared" si="90"/>
        <v>61776.119156706467</v>
      </c>
      <c r="GV57" s="945"/>
      <c r="GW57" s="1024">
        <f t="shared" si="91"/>
        <v>3565505.3350618891</v>
      </c>
      <c r="GX57" s="1025">
        <f t="shared" si="92"/>
        <v>0.125</v>
      </c>
      <c r="GY57" s="1024">
        <f t="shared" si="93"/>
        <v>445688.16688273614</v>
      </c>
      <c r="GZ57" s="1024">
        <f t="shared" si="94"/>
        <v>30000</v>
      </c>
      <c r="HA57" s="1024">
        <f t="shared" si="95"/>
        <v>415688.16688273614</v>
      </c>
      <c r="HB57" s="1026">
        <f t="shared" si="96"/>
        <v>25</v>
      </c>
      <c r="HC57" s="1009">
        <f t="shared" si="97"/>
        <v>16627.526675309447</v>
      </c>
      <c r="HD57" s="1027">
        <f t="shared" si="98"/>
        <v>0.875</v>
      </c>
      <c r="HE57" s="1009">
        <f t="shared" si="99"/>
        <v>3119817.168179153</v>
      </c>
      <c r="HF57" s="1008">
        <f t="shared" si="100"/>
        <v>24187.90929814789</v>
      </c>
      <c r="HG57" s="1008">
        <f t="shared" si="101"/>
        <v>28041.798706501839</v>
      </c>
      <c r="HH57" s="1008">
        <f t="shared" si="102"/>
        <v>36223.722683743574</v>
      </c>
      <c r="HI57" s="1008">
        <f t="shared" si="103"/>
        <v>61776.119156706467</v>
      </c>
      <c r="HJ57" s="945"/>
      <c r="HK57" s="1009">
        <f t="shared" si="104"/>
        <v>-399060.64020742668</v>
      </c>
      <c r="HL57" s="503"/>
      <c r="HM57" s="503"/>
      <c r="HN57" s="503"/>
      <c r="HO57" s="503"/>
      <c r="HP57" s="503"/>
      <c r="HQ57" s="503"/>
      <c r="HR57" s="956">
        <f t="shared" si="105"/>
        <v>0</v>
      </c>
      <c r="HS57" s="503"/>
      <c r="HT57" s="503"/>
      <c r="HU57" s="956"/>
      <c r="HV57" s="503"/>
      <c r="HW57" s="956"/>
      <c r="HX57" s="956"/>
      <c r="HY57" s="503"/>
      <c r="HZ57" s="503"/>
      <c r="IA57" s="503"/>
      <c r="ID57" s="1394"/>
    </row>
    <row r="58" spans="1:238" s="1051" customFormat="1" ht="14.25" hidden="1" customHeight="1">
      <c r="A58" s="1018">
        <f t="shared" si="155"/>
        <v>52</v>
      </c>
      <c r="B58" s="716" t="s">
        <v>264</v>
      </c>
      <c r="C58" s="741">
        <f t="shared" si="197"/>
        <v>4</v>
      </c>
      <c r="D58" s="716" t="s">
        <v>261</v>
      </c>
      <c r="E58" s="743" t="str">
        <f t="shared" si="36"/>
        <v>5th Floor</v>
      </c>
      <c r="F58" s="1048"/>
      <c r="G58" s="745" t="s">
        <v>418</v>
      </c>
      <c r="H58" s="745" t="s">
        <v>288</v>
      </c>
      <c r="I58" s="745" t="s">
        <v>267</v>
      </c>
      <c r="J58" s="1005">
        <v>22</v>
      </c>
      <c r="K58" s="1049"/>
      <c r="L58" s="1006" t="s">
        <v>73</v>
      </c>
      <c r="M58" s="745" t="s">
        <v>240</v>
      </c>
      <c r="N58" s="1050">
        <v>95909.091</v>
      </c>
      <c r="O58" s="934">
        <f t="shared" si="132"/>
        <v>2110000.0019999999</v>
      </c>
      <c r="P58" s="934">
        <f t="shared" si="156"/>
        <v>22400</v>
      </c>
      <c r="Q58" s="934">
        <f t="shared" si="119"/>
        <v>50000</v>
      </c>
      <c r="R58" s="934"/>
      <c r="S58" s="934"/>
      <c r="T58" s="934"/>
      <c r="U58" s="934"/>
      <c r="V58" s="934"/>
      <c r="W58" s="749">
        <f t="shared" si="196"/>
        <v>22000</v>
      </c>
      <c r="X58" s="934"/>
      <c r="Y58" s="934">
        <f t="shared" si="198"/>
        <v>20000</v>
      </c>
      <c r="Z58" s="934">
        <f t="shared" si="133"/>
        <v>75000</v>
      </c>
      <c r="AA58" s="934"/>
      <c r="AB58" s="934"/>
      <c r="AC58" s="934"/>
      <c r="AD58" s="934"/>
      <c r="AE58" s="934">
        <f t="shared" si="14"/>
        <v>189400</v>
      </c>
      <c r="AF58" s="1005">
        <f t="shared" si="15"/>
        <v>2299400.0019999999</v>
      </c>
      <c r="AG58" s="1005">
        <f t="shared" si="37"/>
        <v>57485.000050000002</v>
      </c>
      <c r="AH58" s="1005">
        <f t="shared" si="38"/>
        <v>2356885.0020499998</v>
      </c>
      <c r="AI58" s="1005">
        <f t="shared" si="39"/>
        <v>58922.125051249997</v>
      </c>
      <c r="AJ58" s="1005">
        <f t="shared" si="40"/>
        <v>2415807.12710125</v>
      </c>
      <c r="AK58" s="1005">
        <f t="shared" si="41"/>
        <v>120790.35635506251</v>
      </c>
      <c r="AL58" s="1005">
        <f t="shared" si="157"/>
        <v>2536597.4834563127</v>
      </c>
      <c r="AM58" s="934">
        <f t="shared" si="43"/>
        <v>25365.974834563127</v>
      </c>
      <c r="AN58" s="934">
        <f t="shared" si="44"/>
        <v>27537.409960060559</v>
      </c>
      <c r="AO58" s="934"/>
      <c r="AP58" s="934">
        <f t="shared" si="134"/>
        <v>112172.53530565517</v>
      </c>
      <c r="AQ58" s="1005">
        <f t="shared" si="45"/>
        <v>2701673.4035565914</v>
      </c>
      <c r="AR58" s="1005">
        <f t="shared" si="46"/>
        <v>121575.30316004661</v>
      </c>
      <c r="AS58" s="1147">
        <f t="shared" si="47"/>
        <v>2823248.7067166381</v>
      </c>
      <c r="AT58" s="1148">
        <f t="shared" si="135"/>
        <v>2000000</v>
      </c>
      <c r="AU58" s="1148">
        <f t="shared" si="193"/>
        <v>37420.395759847182</v>
      </c>
      <c r="AV58" s="1148">
        <f t="shared" si="136"/>
        <v>823248.70671663806</v>
      </c>
      <c r="AW58" s="1148">
        <f t="shared" si="17"/>
        <v>98789.844805996559</v>
      </c>
      <c r="AX58" s="1148">
        <f t="shared" si="18"/>
        <v>922038.55152263457</v>
      </c>
      <c r="AY58" s="1147">
        <f t="shared" si="48"/>
        <v>2922038.5515226345</v>
      </c>
      <c r="AZ58" s="934">
        <f t="shared" si="49"/>
        <v>36525.481894032935</v>
      </c>
      <c r="BA58" s="716" t="s">
        <v>269</v>
      </c>
      <c r="BB58" s="716">
        <f t="shared" si="194"/>
        <v>2958564.0334166675</v>
      </c>
      <c r="BC58" s="716" t="s">
        <v>269</v>
      </c>
      <c r="BD58" s="716">
        <f t="shared" si="50"/>
        <v>110946.15125312503</v>
      </c>
      <c r="BE58" s="716">
        <f t="shared" si="51"/>
        <v>33600</v>
      </c>
      <c r="BF58" s="716">
        <f t="shared" si="52"/>
        <v>3103110.1846697927</v>
      </c>
      <c r="BG58" s="716"/>
      <c r="BH58" s="716">
        <f t="shared" si="53"/>
        <v>3103110.1846697927</v>
      </c>
      <c r="BI58" s="716"/>
      <c r="BJ58" s="716">
        <f t="shared" si="54"/>
        <v>3103110.1846697927</v>
      </c>
      <c r="BK58" s="716"/>
      <c r="BL58" s="716">
        <f t="shared" si="55"/>
        <v>3103110.1846697927</v>
      </c>
      <c r="BM58" s="716"/>
      <c r="BN58" s="716">
        <f t="shared" si="20"/>
        <v>3103110.1846697927</v>
      </c>
      <c r="BO58" s="716"/>
      <c r="BP58" s="716">
        <f t="shared" si="56"/>
        <v>3103110.1846697927</v>
      </c>
      <c r="BQ58" s="716"/>
      <c r="BR58" s="716">
        <f t="shared" si="57"/>
        <v>3103110.1846697927</v>
      </c>
      <c r="BS58" s="716"/>
      <c r="BT58" s="716">
        <f t="shared" si="58"/>
        <v>3103110.1846697927</v>
      </c>
      <c r="BU58" s="716"/>
      <c r="BV58" s="716">
        <f t="shared" si="21"/>
        <v>3103110.1846697927</v>
      </c>
      <c r="BW58" s="716"/>
      <c r="BX58" s="716">
        <f t="shared" si="167"/>
        <v>31400</v>
      </c>
      <c r="BY58" s="716">
        <f t="shared" si="60"/>
        <v>3134510.1846697927</v>
      </c>
      <c r="BZ58" s="716"/>
      <c r="CA58" s="716">
        <f t="shared" si="61"/>
        <v>3134510.1846697927</v>
      </c>
      <c r="CB58" s="1135">
        <f t="shared" si="121"/>
        <v>3134510.1846697927</v>
      </c>
      <c r="CC58" s="1164">
        <f t="shared" si="109"/>
        <v>3134510.1846697927</v>
      </c>
      <c r="CD58" s="1164"/>
      <c r="CE58" s="1164">
        <f t="shared" si="63"/>
        <v>0</v>
      </c>
      <c r="CF58" s="1164">
        <f t="shared" si="115"/>
        <v>0</v>
      </c>
      <c r="CG58" s="1164">
        <f t="shared" si="116"/>
        <v>0</v>
      </c>
      <c r="CH58" s="1154">
        <f t="shared" si="158"/>
        <v>3134510.1846697927</v>
      </c>
      <c r="CI58" s="935">
        <f t="shared" si="137"/>
        <v>3134510.1846697927</v>
      </c>
      <c r="CJ58" s="935">
        <f t="shared" si="64"/>
        <v>0</v>
      </c>
      <c r="CK58" s="935">
        <f t="shared" si="65"/>
        <v>321287.2939286537</v>
      </c>
      <c r="CL58" s="935">
        <f t="shared" si="66"/>
        <v>109707.85646344276</v>
      </c>
      <c r="CM58" s="1006">
        <f t="shared" si="138"/>
        <v>3565505.3350618891</v>
      </c>
      <c r="CN58" s="1007">
        <f t="shared" si="139"/>
        <v>0.125</v>
      </c>
      <c r="CO58" s="935">
        <f t="shared" si="24"/>
        <v>445688.16688273614</v>
      </c>
      <c r="CP58" s="935">
        <f t="shared" si="170"/>
        <v>30000</v>
      </c>
      <c r="CQ58" s="935">
        <f t="shared" si="25"/>
        <v>415688.16688273614</v>
      </c>
      <c r="CR58" s="745">
        <f t="shared" si="141"/>
        <v>1</v>
      </c>
      <c r="CS58" s="935">
        <f t="shared" si="26"/>
        <v>415688.16688273614</v>
      </c>
      <c r="CT58" s="1007">
        <f t="shared" si="68"/>
        <v>0.875</v>
      </c>
      <c r="CU58" s="935">
        <f t="shared" si="69"/>
        <v>3119817.168179153</v>
      </c>
      <c r="CV58" s="1008">
        <f t="shared" si="110"/>
        <v>24187.90929814789</v>
      </c>
      <c r="CW58" s="1008">
        <f t="shared" si="70"/>
        <v>28041.798706501839</v>
      </c>
      <c r="CX58" s="1008">
        <f t="shared" si="71"/>
        <v>36223.722683743574</v>
      </c>
      <c r="CY58" s="1008">
        <f t="shared" si="72"/>
        <v>61776.119156706467</v>
      </c>
      <c r="CZ58" s="1119">
        <f t="shared" si="122"/>
        <v>253432.66495463048</v>
      </c>
      <c r="DA58" s="1119">
        <f t="shared" si="123"/>
        <v>100282.07098115752</v>
      </c>
      <c r="DB58" s="1119">
        <f t="shared" si="124"/>
        <v>72432.319555203707</v>
      </c>
      <c r="DC58" s="1119">
        <f t="shared" si="125"/>
        <v>55124.329793276789</v>
      </c>
      <c r="DD58" s="1028">
        <f t="shared" si="126"/>
        <v>0.41162435335831904</v>
      </c>
      <c r="DE58" s="1028">
        <f t="shared" si="142"/>
        <v>0</v>
      </c>
      <c r="DF58" s="1009" t="s">
        <v>270</v>
      </c>
      <c r="DG58" s="1009" t="s">
        <v>271</v>
      </c>
      <c r="DH58" s="966">
        <f t="shared" si="111"/>
        <v>45658</v>
      </c>
      <c r="DI58" s="912">
        <f t="shared" si="73"/>
        <v>14</v>
      </c>
      <c r="DJ58" s="939"/>
      <c r="DK58" s="913">
        <f t="shared" si="74"/>
        <v>45723</v>
      </c>
      <c r="DL58" s="912">
        <f t="shared" si="75"/>
        <v>16</v>
      </c>
      <c r="DM58" s="750" t="s">
        <v>272</v>
      </c>
      <c r="DN58" s="750" t="s">
        <v>273</v>
      </c>
      <c r="DO58" s="751">
        <f t="shared" si="31"/>
        <v>41910.843251028848</v>
      </c>
      <c r="DP58" s="751">
        <f t="shared" si="32"/>
        <v>922038.55152263457</v>
      </c>
      <c r="DQ58" s="752">
        <f t="shared" si="127"/>
        <v>0.46101927576131729</v>
      </c>
      <c r="DR58" s="503"/>
      <c r="DS58" s="751">
        <f t="shared" si="128"/>
        <v>3134510.1846697927</v>
      </c>
      <c r="DT58" s="751">
        <f>'[4]INTERNAL PRICELIST'!N52</f>
        <v>2061900</v>
      </c>
      <c r="DU58" s="751">
        <f t="shared" si="33"/>
        <v>1072610.1846697927</v>
      </c>
      <c r="DV58" s="503"/>
      <c r="DW58" s="951">
        <f t="shared" si="129"/>
        <v>142477.73566680876</v>
      </c>
      <c r="DX58" s="503"/>
      <c r="DZ58" s="1010" t="s">
        <v>418</v>
      </c>
      <c r="EA58" s="1052" t="b">
        <f t="shared" si="35"/>
        <v>1</v>
      </c>
      <c r="EB58" s="1053" t="s">
        <v>419</v>
      </c>
      <c r="EC58" s="1053" t="s">
        <v>410</v>
      </c>
      <c r="ED58" s="503"/>
      <c r="EE58" s="1029"/>
      <c r="EF58" s="503"/>
      <c r="EG58" s="503"/>
      <c r="EH58" s="930"/>
      <c r="EI58" s="930"/>
      <c r="EJ58" s="503"/>
      <c r="EK58" s="503"/>
      <c r="EL58" s="503"/>
      <c r="EM58" s="503"/>
      <c r="EN58" s="503"/>
      <c r="EO58" s="503"/>
      <c r="EP58" s="503"/>
      <c r="EQ58" s="503"/>
      <c r="ER58" s="1017" t="s">
        <v>264</v>
      </c>
      <c r="ES58" s="1391" t="s">
        <v>264</v>
      </c>
      <c r="ET58" s="1018" t="b">
        <f t="shared" si="76"/>
        <v>1</v>
      </c>
      <c r="EU58" s="940"/>
      <c r="EV58" s="941"/>
      <c r="EW58" s="940"/>
      <c r="EX58" s="1019">
        <v>2932615.3021086319</v>
      </c>
      <c r="EY58" s="1019">
        <f t="shared" si="143"/>
        <v>439892.29531629477</v>
      </c>
      <c r="EZ58" s="1019">
        <f t="shared" si="144"/>
        <v>2492723.0067923372</v>
      </c>
      <c r="FA58" s="1019">
        <f t="shared" si="145"/>
        <v>293261.53021086322</v>
      </c>
      <c r="FB58" s="1019">
        <f t="shared" si="146"/>
        <v>2639353.7718977686</v>
      </c>
      <c r="FC58" s="1019">
        <f t="shared" si="147"/>
        <v>146630.76510543143</v>
      </c>
      <c r="FD58" s="1020"/>
      <c r="FE58" s="1021"/>
      <c r="FF58" s="1022">
        <f t="shared" si="148"/>
        <v>2492723.0067923372</v>
      </c>
      <c r="FG58" s="1022">
        <f t="shared" si="149"/>
        <v>211881.45557734868</v>
      </c>
      <c r="FH58" s="1022">
        <f t="shared" si="161"/>
        <v>105940.72778867434</v>
      </c>
      <c r="FI58" s="1023">
        <f t="shared" si="150"/>
        <v>2639353.7718977686</v>
      </c>
      <c r="FJ58" s="1023">
        <f t="shared" si="151"/>
        <v>224345.07061131034</v>
      </c>
      <c r="FK58" s="1023">
        <f t="shared" si="152"/>
        <v>112172.53530565517</v>
      </c>
      <c r="FL58" s="1019">
        <f t="shared" si="162"/>
        <v>12463.615033961658</v>
      </c>
      <c r="FM58" s="1019">
        <f t="shared" si="163"/>
        <v>6231.807516980829</v>
      </c>
      <c r="FN58" s="1019" t="str">
        <f t="shared" si="153"/>
        <v>VS</v>
      </c>
      <c r="FO58" s="1019">
        <f t="shared" si="159"/>
        <v>27537.409960060559</v>
      </c>
      <c r="FP58" s="1019">
        <f t="shared" si="164"/>
        <v>-21305.60244307973</v>
      </c>
      <c r="FQ58" s="1021"/>
      <c r="FR58" s="1021"/>
      <c r="FS58" s="1020"/>
      <c r="FT58" s="503"/>
      <c r="FU58" s="956"/>
      <c r="FV58" s="503"/>
      <c r="FW58" s="503"/>
      <c r="FX58" s="1040"/>
      <c r="FY58" s="503"/>
      <c r="FZ58" s="503"/>
      <c r="GA58" s="503"/>
      <c r="GB58" s="1059"/>
      <c r="GE58" s="1011" t="s">
        <v>420</v>
      </c>
      <c r="GF58" s="1185"/>
      <c r="GG58" s="956"/>
      <c r="GH58" s="945"/>
      <c r="GI58" s="1024">
        <f t="shared" si="78"/>
        <v>3565505.3350618891</v>
      </c>
      <c r="GJ58" s="1025">
        <f t="shared" si="79"/>
        <v>0.125</v>
      </c>
      <c r="GK58" s="1024">
        <f t="shared" si="80"/>
        <v>445688.16688273614</v>
      </c>
      <c r="GL58" s="1024">
        <f t="shared" si="81"/>
        <v>30000</v>
      </c>
      <c r="GM58" s="1024">
        <f t="shared" si="82"/>
        <v>415688.16688273614</v>
      </c>
      <c r="GN58" s="1024">
        <f t="shared" si="83"/>
        <v>1</v>
      </c>
      <c r="GO58" s="1024">
        <f t="shared" si="84"/>
        <v>415688.16688273614</v>
      </c>
      <c r="GP58" s="1025">
        <f t="shared" si="85"/>
        <v>0.875</v>
      </c>
      <c r="GQ58" s="1024">
        <f t="shared" si="86"/>
        <v>3119817.168179153</v>
      </c>
      <c r="GR58" s="1024">
        <f t="shared" si="87"/>
        <v>24187.90929814789</v>
      </c>
      <c r="GS58" s="1024">
        <f t="shared" si="88"/>
        <v>28041.798706501839</v>
      </c>
      <c r="GT58" s="1024">
        <f t="shared" si="89"/>
        <v>36223.722683743574</v>
      </c>
      <c r="GU58" s="1024">
        <f t="shared" si="90"/>
        <v>61776.119156706467</v>
      </c>
      <c r="GV58" s="945"/>
      <c r="GW58" s="1024">
        <f t="shared" si="91"/>
        <v>3565505.3350618891</v>
      </c>
      <c r="GX58" s="1025">
        <f t="shared" si="92"/>
        <v>0.125</v>
      </c>
      <c r="GY58" s="1024">
        <f t="shared" si="93"/>
        <v>445688.16688273614</v>
      </c>
      <c r="GZ58" s="1024">
        <f t="shared" si="94"/>
        <v>30000</v>
      </c>
      <c r="HA58" s="1024">
        <f t="shared" si="95"/>
        <v>415688.16688273614</v>
      </c>
      <c r="HB58" s="1026">
        <f t="shared" si="96"/>
        <v>25</v>
      </c>
      <c r="HC58" s="1009">
        <f t="shared" si="97"/>
        <v>16627.526675309447</v>
      </c>
      <c r="HD58" s="1027">
        <f t="shared" si="98"/>
        <v>0.875</v>
      </c>
      <c r="HE58" s="1009">
        <f t="shared" si="99"/>
        <v>3119817.168179153</v>
      </c>
      <c r="HF58" s="1008">
        <f t="shared" si="100"/>
        <v>24187.90929814789</v>
      </c>
      <c r="HG58" s="1008">
        <f t="shared" si="101"/>
        <v>28041.798706501839</v>
      </c>
      <c r="HH58" s="1008">
        <f t="shared" si="102"/>
        <v>36223.722683743574</v>
      </c>
      <c r="HI58" s="1008">
        <f t="shared" si="103"/>
        <v>61776.119156706467</v>
      </c>
      <c r="HJ58" s="945"/>
      <c r="HK58" s="1009">
        <f t="shared" si="104"/>
        <v>-399060.64020742668</v>
      </c>
      <c r="HL58" s="503"/>
      <c r="HM58" s="503"/>
      <c r="HN58" s="503"/>
      <c r="HO58" s="503"/>
      <c r="HP58" s="503"/>
      <c r="HQ58" s="503"/>
      <c r="HR58" s="956">
        <f t="shared" si="105"/>
        <v>0</v>
      </c>
      <c r="HS58" s="503"/>
      <c r="HT58" s="503"/>
      <c r="HU58" s="956"/>
      <c r="HV58" s="503"/>
      <c r="HW58" s="956"/>
      <c r="HX58" s="956"/>
      <c r="HY58" s="503"/>
      <c r="HZ58" s="503"/>
      <c r="IA58" s="503"/>
      <c r="ID58" s="1394"/>
    </row>
    <row r="59" spans="1:238" s="1051" customFormat="1" ht="14.25" hidden="1" customHeight="1">
      <c r="A59" s="1018">
        <f t="shared" si="155"/>
        <v>53</v>
      </c>
      <c r="B59" s="716" t="s">
        <v>264</v>
      </c>
      <c r="C59" s="741">
        <f t="shared" si="197"/>
        <v>5</v>
      </c>
      <c r="D59" s="716" t="s">
        <v>261</v>
      </c>
      <c r="E59" s="743" t="str">
        <f t="shared" si="36"/>
        <v>5th Floor</v>
      </c>
      <c r="F59" s="1048"/>
      <c r="G59" s="745" t="s">
        <v>421</v>
      </c>
      <c r="H59" s="745" t="s">
        <v>292</v>
      </c>
      <c r="I59" s="745" t="s">
        <v>267</v>
      </c>
      <c r="J59" s="1005">
        <v>22</v>
      </c>
      <c r="K59" s="1049"/>
      <c r="L59" s="1006" t="s">
        <v>73</v>
      </c>
      <c r="M59" s="745" t="s">
        <v>240</v>
      </c>
      <c r="N59" s="1050">
        <v>95909.091</v>
      </c>
      <c r="O59" s="934">
        <f t="shared" si="132"/>
        <v>2110000.0019999999</v>
      </c>
      <c r="P59" s="934">
        <f t="shared" si="156"/>
        <v>22400</v>
      </c>
      <c r="Q59" s="934">
        <f t="shared" si="119"/>
        <v>50000</v>
      </c>
      <c r="R59" s="934"/>
      <c r="S59" s="934"/>
      <c r="T59" s="934"/>
      <c r="U59" s="934"/>
      <c r="V59" s="934"/>
      <c r="W59" s="749">
        <f t="shared" si="196"/>
        <v>22000</v>
      </c>
      <c r="X59" s="934"/>
      <c r="Y59" s="934">
        <f t="shared" si="198"/>
        <v>20000</v>
      </c>
      <c r="Z59" s="934">
        <f t="shared" si="133"/>
        <v>75000</v>
      </c>
      <c r="AA59" s="934"/>
      <c r="AB59" s="934"/>
      <c r="AC59" s="934"/>
      <c r="AD59" s="934"/>
      <c r="AE59" s="934">
        <f t="shared" si="14"/>
        <v>189400</v>
      </c>
      <c r="AF59" s="1005">
        <f t="shared" si="15"/>
        <v>2299400.0019999999</v>
      </c>
      <c r="AG59" s="1005">
        <f t="shared" si="37"/>
        <v>57485.000050000002</v>
      </c>
      <c r="AH59" s="1005">
        <f t="shared" si="38"/>
        <v>2356885.0020499998</v>
      </c>
      <c r="AI59" s="1005">
        <f t="shared" si="39"/>
        <v>58922.125051249997</v>
      </c>
      <c r="AJ59" s="1005">
        <f t="shared" si="40"/>
        <v>2415807.12710125</v>
      </c>
      <c r="AK59" s="1005">
        <f t="shared" si="41"/>
        <v>120790.35635506251</v>
      </c>
      <c r="AL59" s="1005">
        <f t="shared" si="157"/>
        <v>2536597.4834563127</v>
      </c>
      <c r="AM59" s="934">
        <f t="shared" si="43"/>
        <v>25365.974834563127</v>
      </c>
      <c r="AN59" s="934">
        <f t="shared" si="44"/>
        <v>27537.409960060559</v>
      </c>
      <c r="AO59" s="934"/>
      <c r="AP59" s="934">
        <f t="shared" si="134"/>
        <v>112172.53530565517</v>
      </c>
      <c r="AQ59" s="1005">
        <f t="shared" si="45"/>
        <v>2701673.4035565914</v>
      </c>
      <c r="AR59" s="1005">
        <f t="shared" si="46"/>
        <v>121575.30316004661</v>
      </c>
      <c r="AS59" s="1147">
        <f t="shared" si="47"/>
        <v>2823248.7067166381</v>
      </c>
      <c r="AT59" s="1148">
        <f t="shared" si="135"/>
        <v>2000000</v>
      </c>
      <c r="AU59" s="1148">
        <f t="shared" si="193"/>
        <v>37420.395759847182</v>
      </c>
      <c r="AV59" s="1148">
        <f t="shared" si="136"/>
        <v>823248.70671663806</v>
      </c>
      <c r="AW59" s="1148">
        <f t="shared" si="17"/>
        <v>98789.844805996559</v>
      </c>
      <c r="AX59" s="1148">
        <f t="shared" si="18"/>
        <v>922038.55152263457</v>
      </c>
      <c r="AY59" s="1147">
        <f t="shared" si="48"/>
        <v>2922038.5515226345</v>
      </c>
      <c r="AZ59" s="934">
        <f t="shared" si="49"/>
        <v>36525.481894032935</v>
      </c>
      <c r="BA59" s="716" t="s">
        <v>269</v>
      </c>
      <c r="BB59" s="716">
        <f t="shared" si="194"/>
        <v>2958564.0334166675</v>
      </c>
      <c r="BC59" s="716" t="s">
        <v>269</v>
      </c>
      <c r="BD59" s="716">
        <f t="shared" si="50"/>
        <v>110946.15125312503</v>
      </c>
      <c r="BE59" s="716">
        <f t="shared" si="51"/>
        <v>33600</v>
      </c>
      <c r="BF59" s="716">
        <f t="shared" si="52"/>
        <v>3103110.1846697927</v>
      </c>
      <c r="BG59" s="716"/>
      <c r="BH59" s="716">
        <f t="shared" si="53"/>
        <v>3103110.1846697927</v>
      </c>
      <c r="BI59" s="716"/>
      <c r="BJ59" s="716">
        <f t="shared" si="54"/>
        <v>3103110.1846697927</v>
      </c>
      <c r="BK59" s="716"/>
      <c r="BL59" s="716">
        <f t="shared" si="55"/>
        <v>3103110.1846697927</v>
      </c>
      <c r="BM59" s="716"/>
      <c r="BN59" s="716">
        <f t="shared" si="20"/>
        <v>3103110.1846697927</v>
      </c>
      <c r="BO59" s="716"/>
      <c r="BP59" s="716">
        <f t="shared" si="56"/>
        <v>3103110.1846697927</v>
      </c>
      <c r="BQ59" s="716"/>
      <c r="BR59" s="716">
        <f t="shared" si="57"/>
        <v>3103110.1846697927</v>
      </c>
      <c r="BS59" s="716"/>
      <c r="BT59" s="716">
        <f t="shared" si="58"/>
        <v>3103110.1846697927</v>
      </c>
      <c r="BU59" s="716"/>
      <c r="BV59" s="716">
        <f t="shared" si="21"/>
        <v>3103110.1846697927</v>
      </c>
      <c r="BW59" s="716"/>
      <c r="BX59" s="716">
        <f t="shared" si="167"/>
        <v>31400</v>
      </c>
      <c r="BY59" s="716">
        <f t="shared" si="60"/>
        <v>3134510.1846697927</v>
      </c>
      <c r="BZ59" s="716"/>
      <c r="CA59" s="716">
        <f t="shared" si="61"/>
        <v>3134510.1846697927</v>
      </c>
      <c r="CB59" s="1135">
        <f t="shared" si="121"/>
        <v>3134510.1846697927</v>
      </c>
      <c r="CC59" s="1164">
        <f t="shared" si="109"/>
        <v>3134510.1846697927</v>
      </c>
      <c r="CD59" s="1164"/>
      <c r="CE59" s="1164">
        <f t="shared" si="63"/>
        <v>0</v>
      </c>
      <c r="CF59" s="1164">
        <f t="shared" si="115"/>
        <v>0</v>
      </c>
      <c r="CG59" s="1164">
        <f t="shared" si="116"/>
        <v>0</v>
      </c>
      <c r="CH59" s="1154">
        <f t="shared" si="158"/>
        <v>3134510.1846697927</v>
      </c>
      <c r="CI59" s="935">
        <f t="shared" si="137"/>
        <v>3134510.1846697927</v>
      </c>
      <c r="CJ59" s="935">
        <f t="shared" si="64"/>
        <v>0</v>
      </c>
      <c r="CK59" s="935">
        <f t="shared" si="65"/>
        <v>321287.2939286537</v>
      </c>
      <c r="CL59" s="935">
        <f t="shared" si="66"/>
        <v>109707.85646344276</v>
      </c>
      <c r="CM59" s="1006">
        <f t="shared" si="138"/>
        <v>3565505.3350618891</v>
      </c>
      <c r="CN59" s="1007">
        <f t="shared" si="139"/>
        <v>0.125</v>
      </c>
      <c r="CO59" s="935">
        <f t="shared" si="24"/>
        <v>445688.16688273614</v>
      </c>
      <c r="CP59" s="935">
        <f t="shared" si="170"/>
        <v>30000</v>
      </c>
      <c r="CQ59" s="935">
        <f t="shared" si="25"/>
        <v>415688.16688273614</v>
      </c>
      <c r="CR59" s="745">
        <f t="shared" si="141"/>
        <v>1</v>
      </c>
      <c r="CS59" s="935">
        <f t="shared" si="26"/>
        <v>415688.16688273614</v>
      </c>
      <c r="CT59" s="1007">
        <f t="shared" si="68"/>
        <v>0.875</v>
      </c>
      <c r="CU59" s="935">
        <f t="shared" si="69"/>
        <v>3119817.168179153</v>
      </c>
      <c r="CV59" s="1008">
        <f t="shared" si="110"/>
        <v>24187.90929814789</v>
      </c>
      <c r="CW59" s="1008">
        <f t="shared" si="70"/>
        <v>28041.798706501839</v>
      </c>
      <c r="CX59" s="1008">
        <f t="shared" si="71"/>
        <v>36223.722683743574</v>
      </c>
      <c r="CY59" s="1008">
        <f t="shared" si="72"/>
        <v>61776.119156706467</v>
      </c>
      <c r="CZ59" s="1119">
        <f t="shared" si="122"/>
        <v>253432.66495463048</v>
      </c>
      <c r="DA59" s="1119">
        <f t="shared" si="123"/>
        <v>100282.07098115752</v>
      </c>
      <c r="DB59" s="1119">
        <f t="shared" si="124"/>
        <v>72432.319555203707</v>
      </c>
      <c r="DC59" s="1119">
        <f t="shared" si="125"/>
        <v>55124.329793276789</v>
      </c>
      <c r="DD59" s="1028">
        <f t="shared" si="126"/>
        <v>0.41162435335831904</v>
      </c>
      <c r="DE59" s="1028">
        <f t="shared" si="142"/>
        <v>0</v>
      </c>
      <c r="DF59" s="1009" t="s">
        <v>270</v>
      </c>
      <c r="DG59" s="1009" t="s">
        <v>271</v>
      </c>
      <c r="DH59" s="966">
        <f t="shared" si="111"/>
        <v>45658</v>
      </c>
      <c r="DI59" s="912">
        <f t="shared" si="73"/>
        <v>14</v>
      </c>
      <c r="DJ59" s="939"/>
      <c r="DK59" s="913">
        <f t="shared" si="74"/>
        <v>45723</v>
      </c>
      <c r="DL59" s="912">
        <f t="shared" si="75"/>
        <v>16</v>
      </c>
      <c r="DM59" s="750" t="s">
        <v>272</v>
      </c>
      <c r="DN59" s="750" t="s">
        <v>273</v>
      </c>
      <c r="DO59" s="751">
        <f t="shared" si="31"/>
        <v>41910.843251028848</v>
      </c>
      <c r="DP59" s="751">
        <f t="shared" si="32"/>
        <v>922038.55152263457</v>
      </c>
      <c r="DQ59" s="752">
        <f t="shared" si="127"/>
        <v>0.46101927576131729</v>
      </c>
      <c r="DR59" s="503"/>
      <c r="DS59" s="751">
        <f t="shared" si="128"/>
        <v>3134510.1846697927</v>
      </c>
      <c r="DT59" s="751">
        <f>'[4]INTERNAL PRICELIST'!N53</f>
        <v>2061900</v>
      </c>
      <c r="DU59" s="751">
        <f t="shared" si="33"/>
        <v>1072610.1846697927</v>
      </c>
      <c r="DV59" s="503"/>
      <c r="DW59" s="951">
        <f t="shared" si="129"/>
        <v>142477.73566680876</v>
      </c>
      <c r="DX59" s="503"/>
      <c r="DZ59" s="1010" t="s">
        <v>421</v>
      </c>
      <c r="EA59" s="1052" t="b">
        <f t="shared" si="35"/>
        <v>1</v>
      </c>
      <c r="EB59" s="1053" t="s">
        <v>422</v>
      </c>
      <c r="EC59" s="1053" t="s">
        <v>410</v>
      </c>
      <c r="ED59" s="503"/>
      <c r="EE59" s="1029"/>
      <c r="EF59" s="503"/>
      <c r="EG59" s="503"/>
      <c r="EH59" s="930"/>
      <c r="EI59" s="930"/>
      <c r="EJ59" s="503"/>
      <c r="EK59" s="503"/>
      <c r="EL59" s="503"/>
      <c r="EM59" s="503"/>
      <c r="EN59" s="503"/>
      <c r="EO59" s="503"/>
      <c r="EP59" s="503"/>
      <c r="EQ59" s="503"/>
      <c r="ER59" s="1017" t="s">
        <v>264</v>
      </c>
      <c r="ES59" s="1391" t="s">
        <v>264</v>
      </c>
      <c r="ET59" s="1018" t="b">
        <f t="shared" si="76"/>
        <v>1</v>
      </c>
      <c r="EU59" s="940"/>
      <c r="EV59" s="941"/>
      <c r="EW59" s="940"/>
      <c r="EX59" s="1019">
        <v>2932615.3021086319</v>
      </c>
      <c r="EY59" s="1019">
        <f t="shared" si="143"/>
        <v>439892.29531629477</v>
      </c>
      <c r="EZ59" s="1019">
        <f t="shared" si="144"/>
        <v>2492723.0067923372</v>
      </c>
      <c r="FA59" s="1019">
        <f t="shared" si="145"/>
        <v>293261.53021086322</v>
      </c>
      <c r="FB59" s="1019">
        <f t="shared" si="146"/>
        <v>2639353.7718977686</v>
      </c>
      <c r="FC59" s="1019">
        <f t="shared" si="147"/>
        <v>146630.76510543143</v>
      </c>
      <c r="FD59" s="1020"/>
      <c r="FE59" s="1021"/>
      <c r="FF59" s="1022">
        <f t="shared" si="148"/>
        <v>2492723.0067923372</v>
      </c>
      <c r="FG59" s="1022">
        <f t="shared" si="149"/>
        <v>211881.45557734868</v>
      </c>
      <c r="FH59" s="1022">
        <f t="shared" si="161"/>
        <v>105940.72778867434</v>
      </c>
      <c r="FI59" s="1023">
        <f t="shared" si="150"/>
        <v>2639353.7718977686</v>
      </c>
      <c r="FJ59" s="1023">
        <f t="shared" si="151"/>
        <v>224345.07061131034</v>
      </c>
      <c r="FK59" s="1023">
        <f t="shared" si="152"/>
        <v>112172.53530565517</v>
      </c>
      <c r="FL59" s="1019">
        <f t="shared" si="162"/>
        <v>12463.615033961658</v>
      </c>
      <c r="FM59" s="1019">
        <f t="shared" si="163"/>
        <v>6231.807516980829</v>
      </c>
      <c r="FN59" s="1019" t="str">
        <f t="shared" si="153"/>
        <v>VS</v>
      </c>
      <c r="FO59" s="1019">
        <f t="shared" si="159"/>
        <v>27537.409960060559</v>
      </c>
      <c r="FP59" s="1019">
        <f t="shared" si="164"/>
        <v>-21305.60244307973</v>
      </c>
      <c r="FQ59" s="1021"/>
      <c r="FR59" s="1021"/>
      <c r="FS59" s="1020"/>
      <c r="FT59" s="503"/>
      <c r="FU59" s="956"/>
      <c r="FV59" s="503"/>
      <c r="FW59" s="503"/>
      <c r="FX59" s="1040"/>
      <c r="FY59" s="503"/>
      <c r="FZ59" s="503"/>
      <c r="GA59" s="503"/>
      <c r="GB59" s="1059"/>
      <c r="GE59" s="1011" t="s">
        <v>423</v>
      </c>
      <c r="GF59" s="1185"/>
      <c r="GG59" s="956"/>
      <c r="GH59" s="945"/>
      <c r="GI59" s="1024">
        <f t="shared" si="78"/>
        <v>3565505.3350618891</v>
      </c>
      <c r="GJ59" s="1025">
        <f t="shared" si="79"/>
        <v>0.125</v>
      </c>
      <c r="GK59" s="1024">
        <f t="shared" si="80"/>
        <v>445688.16688273614</v>
      </c>
      <c r="GL59" s="1024">
        <f t="shared" si="81"/>
        <v>30000</v>
      </c>
      <c r="GM59" s="1024">
        <f t="shared" si="82"/>
        <v>415688.16688273614</v>
      </c>
      <c r="GN59" s="1024">
        <f t="shared" si="83"/>
        <v>1</v>
      </c>
      <c r="GO59" s="1024">
        <f t="shared" si="84"/>
        <v>415688.16688273614</v>
      </c>
      <c r="GP59" s="1025">
        <f t="shared" si="85"/>
        <v>0.875</v>
      </c>
      <c r="GQ59" s="1024">
        <f t="shared" si="86"/>
        <v>3119817.168179153</v>
      </c>
      <c r="GR59" s="1024">
        <f t="shared" si="87"/>
        <v>24187.90929814789</v>
      </c>
      <c r="GS59" s="1024">
        <f t="shared" si="88"/>
        <v>28041.798706501839</v>
      </c>
      <c r="GT59" s="1024">
        <f t="shared" si="89"/>
        <v>36223.722683743574</v>
      </c>
      <c r="GU59" s="1024">
        <f t="shared" si="90"/>
        <v>61776.119156706467</v>
      </c>
      <c r="GV59" s="945"/>
      <c r="GW59" s="1024">
        <f t="shared" si="91"/>
        <v>3565505.3350618891</v>
      </c>
      <c r="GX59" s="1025">
        <f t="shared" si="92"/>
        <v>0.125</v>
      </c>
      <c r="GY59" s="1024">
        <f t="shared" si="93"/>
        <v>445688.16688273614</v>
      </c>
      <c r="GZ59" s="1024">
        <f t="shared" si="94"/>
        <v>30000</v>
      </c>
      <c r="HA59" s="1024">
        <f t="shared" si="95"/>
        <v>415688.16688273614</v>
      </c>
      <c r="HB59" s="1026">
        <f t="shared" si="96"/>
        <v>25</v>
      </c>
      <c r="HC59" s="1009">
        <f t="shared" si="97"/>
        <v>16627.526675309447</v>
      </c>
      <c r="HD59" s="1027">
        <f t="shared" si="98"/>
        <v>0.875</v>
      </c>
      <c r="HE59" s="1009">
        <f t="shared" si="99"/>
        <v>3119817.168179153</v>
      </c>
      <c r="HF59" s="1008">
        <f t="shared" si="100"/>
        <v>24187.90929814789</v>
      </c>
      <c r="HG59" s="1008">
        <f t="shared" si="101"/>
        <v>28041.798706501839</v>
      </c>
      <c r="HH59" s="1008">
        <f t="shared" si="102"/>
        <v>36223.722683743574</v>
      </c>
      <c r="HI59" s="1008">
        <f t="shared" si="103"/>
        <v>61776.119156706467</v>
      </c>
      <c r="HJ59" s="945"/>
      <c r="HK59" s="1009">
        <f t="shared" si="104"/>
        <v>-399060.64020742668</v>
      </c>
      <c r="HL59" s="503"/>
      <c r="HM59" s="503"/>
      <c r="HN59" s="503"/>
      <c r="HO59" s="503"/>
      <c r="HP59" s="503"/>
      <c r="HQ59" s="503"/>
      <c r="HR59" s="956">
        <f t="shared" si="105"/>
        <v>0</v>
      </c>
      <c r="HS59" s="503"/>
      <c r="HT59" s="503"/>
      <c r="HU59" s="956"/>
      <c r="HV59" s="503"/>
      <c r="HW59" s="956"/>
      <c r="HX59" s="956"/>
      <c r="HY59" s="503"/>
      <c r="HZ59" s="503"/>
      <c r="IA59" s="503"/>
      <c r="ID59" s="1394"/>
    </row>
    <row r="60" spans="1:238" s="1051" customFormat="1" ht="14.25" hidden="1" customHeight="1">
      <c r="A60" s="1018">
        <f t="shared" si="155"/>
        <v>54</v>
      </c>
      <c r="B60" s="716" t="s">
        <v>264</v>
      </c>
      <c r="C60" s="741">
        <f t="shared" si="197"/>
        <v>6</v>
      </c>
      <c r="D60" s="716" t="s">
        <v>261</v>
      </c>
      <c r="E60" s="743" t="str">
        <f t="shared" si="36"/>
        <v>5th Floor</v>
      </c>
      <c r="F60" s="1048"/>
      <c r="G60" s="745" t="s">
        <v>424</v>
      </c>
      <c r="H60" s="745" t="s">
        <v>296</v>
      </c>
      <c r="I60" s="745" t="s">
        <v>267</v>
      </c>
      <c r="J60" s="1005">
        <v>22</v>
      </c>
      <c r="K60" s="1049"/>
      <c r="L60" s="1006" t="s">
        <v>73</v>
      </c>
      <c r="M60" s="745" t="s">
        <v>79</v>
      </c>
      <c r="N60" s="1050">
        <v>95909.091</v>
      </c>
      <c r="O60" s="934">
        <f t="shared" si="132"/>
        <v>2110000.0019999999</v>
      </c>
      <c r="P60" s="934">
        <f t="shared" si="156"/>
        <v>22400</v>
      </c>
      <c r="Q60" s="934">
        <f t="shared" si="119"/>
        <v>50000</v>
      </c>
      <c r="R60" s="934"/>
      <c r="S60" s="934"/>
      <c r="T60" s="934"/>
      <c r="U60" s="934"/>
      <c r="V60" s="934"/>
      <c r="W60" s="934"/>
      <c r="X60" s="934"/>
      <c r="Y60" s="934">
        <f t="shared" si="198"/>
        <v>20000</v>
      </c>
      <c r="Z60" s="934">
        <f t="shared" si="133"/>
        <v>75000</v>
      </c>
      <c r="AA60" s="934"/>
      <c r="AB60" s="934"/>
      <c r="AC60" s="934"/>
      <c r="AD60" s="934"/>
      <c r="AE60" s="934">
        <f t="shared" si="14"/>
        <v>167400</v>
      </c>
      <c r="AF60" s="1005">
        <f t="shared" si="15"/>
        <v>2277400.0019999999</v>
      </c>
      <c r="AG60" s="1005">
        <f t="shared" si="37"/>
        <v>56935.000050000002</v>
      </c>
      <c r="AH60" s="1005">
        <f t="shared" si="38"/>
        <v>2334335.0020499998</v>
      </c>
      <c r="AI60" s="1005">
        <f t="shared" si="39"/>
        <v>58358.375051249997</v>
      </c>
      <c r="AJ60" s="1005">
        <f t="shared" si="40"/>
        <v>2392693.37710125</v>
      </c>
      <c r="AK60" s="1005">
        <f t="shared" si="41"/>
        <v>119634.66885506251</v>
      </c>
      <c r="AL60" s="1005">
        <f t="shared" si="157"/>
        <v>2512328.0459563127</v>
      </c>
      <c r="AM60" s="934">
        <f t="shared" si="43"/>
        <v>25123.280459563128</v>
      </c>
      <c r="AN60" s="934">
        <f t="shared" si="44"/>
        <v>27537.409960060559</v>
      </c>
      <c r="AO60" s="934"/>
      <c r="AP60" s="934">
        <f t="shared" si="134"/>
        <v>111000.27050858641</v>
      </c>
      <c r="AQ60" s="1005">
        <f t="shared" si="45"/>
        <v>2675989.0068845227</v>
      </c>
      <c r="AR60" s="1005">
        <f t="shared" si="46"/>
        <v>120419.50530980351</v>
      </c>
      <c r="AS60" s="1147">
        <f t="shared" si="47"/>
        <v>2796408.5121943261</v>
      </c>
      <c r="AT60" s="1148">
        <f t="shared" si="135"/>
        <v>2000000</v>
      </c>
      <c r="AU60" s="1148">
        <f t="shared" si="193"/>
        <v>36200.386917923919</v>
      </c>
      <c r="AV60" s="1148">
        <f t="shared" si="136"/>
        <v>796408.51219432615</v>
      </c>
      <c r="AW60" s="1148">
        <f t="shared" si="17"/>
        <v>95569.021463319135</v>
      </c>
      <c r="AX60" s="1148">
        <f t="shared" si="18"/>
        <v>891977.53365764534</v>
      </c>
      <c r="AY60" s="1147">
        <f t="shared" si="48"/>
        <v>2891977.5336576453</v>
      </c>
      <c r="AZ60" s="934">
        <f t="shared" si="49"/>
        <v>36149.719170720571</v>
      </c>
      <c r="BA60" s="716" t="s">
        <v>269</v>
      </c>
      <c r="BB60" s="716">
        <f t="shared" si="194"/>
        <v>2928127.2528283661</v>
      </c>
      <c r="BC60" s="716" t="s">
        <v>269</v>
      </c>
      <c r="BD60" s="716">
        <f t="shared" si="50"/>
        <v>109804.77198106372</v>
      </c>
      <c r="BE60" s="716">
        <f t="shared" si="51"/>
        <v>33600</v>
      </c>
      <c r="BF60" s="716">
        <f t="shared" si="52"/>
        <v>3071532.0248094299</v>
      </c>
      <c r="BG60" s="716"/>
      <c r="BH60" s="716">
        <f t="shared" si="53"/>
        <v>3071532.0248094299</v>
      </c>
      <c r="BI60" s="716"/>
      <c r="BJ60" s="716">
        <f t="shared" si="54"/>
        <v>3071532.0248094299</v>
      </c>
      <c r="BK60" s="716"/>
      <c r="BL60" s="716">
        <f t="shared" si="55"/>
        <v>3071532.0248094299</v>
      </c>
      <c r="BM60" s="716"/>
      <c r="BN60" s="716">
        <f t="shared" si="20"/>
        <v>3071532.0248094299</v>
      </c>
      <c r="BO60" s="716"/>
      <c r="BP60" s="716">
        <f t="shared" si="56"/>
        <v>3071532.0248094299</v>
      </c>
      <c r="BQ60" s="716"/>
      <c r="BR60" s="716">
        <f t="shared" si="57"/>
        <v>3071532.0248094299</v>
      </c>
      <c r="BS60" s="716"/>
      <c r="BT60" s="716">
        <f t="shared" si="58"/>
        <v>3071532.0248094299</v>
      </c>
      <c r="BU60" s="716"/>
      <c r="BV60" s="716">
        <f t="shared" si="21"/>
        <v>3071532.0248094299</v>
      </c>
      <c r="BW60" s="716"/>
      <c r="BX60" s="716">
        <f t="shared" si="167"/>
        <v>31400</v>
      </c>
      <c r="BY60" s="716">
        <f t="shared" si="60"/>
        <v>3102932.0248094299</v>
      </c>
      <c r="BZ60" s="716"/>
      <c r="CA60" s="716">
        <f t="shared" si="61"/>
        <v>3102932.0248094299</v>
      </c>
      <c r="CB60" s="1135">
        <f t="shared" si="121"/>
        <v>3102932.0248094299</v>
      </c>
      <c r="CC60" s="1164">
        <f t="shared" si="109"/>
        <v>3102932.0248094299</v>
      </c>
      <c r="CD60" s="1164"/>
      <c r="CE60" s="1164">
        <f t="shared" si="63"/>
        <v>0</v>
      </c>
      <c r="CF60" s="1164">
        <f t="shared" si="115"/>
        <v>0</v>
      </c>
      <c r="CG60" s="1164">
        <f t="shared" si="116"/>
        <v>0</v>
      </c>
      <c r="CH60" s="1154">
        <f t="shared" si="158"/>
        <v>3102932.0248094299</v>
      </c>
      <c r="CI60" s="935">
        <f t="shared" si="137"/>
        <v>3102932.0248094299</v>
      </c>
      <c r="CJ60" s="935">
        <f t="shared" si="64"/>
        <v>0</v>
      </c>
      <c r="CK60" s="935">
        <f t="shared" si="65"/>
        <v>318050.53254296654</v>
      </c>
      <c r="CL60" s="935">
        <f t="shared" si="66"/>
        <v>108602.62086833005</v>
      </c>
      <c r="CM60" s="1006">
        <f t="shared" si="138"/>
        <v>3529585.1782207265</v>
      </c>
      <c r="CN60" s="1007">
        <f t="shared" si="139"/>
        <v>0.125</v>
      </c>
      <c r="CO60" s="935">
        <f t="shared" si="24"/>
        <v>441198.14727759082</v>
      </c>
      <c r="CP60" s="935">
        <f t="shared" si="170"/>
        <v>30000</v>
      </c>
      <c r="CQ60" s="935">
        <f t="shared" si="25"/>
        <v>411198.14727759082</v>
      </c>
      <c r="CR60" s="745">
        <f t="shared" si="141"/>
        <v>1</v>
      </c>
      <c r="CS60" s="935">
        <f t="shared" si="26"/>
        <v>411198.14727759082</v>
      </c>
      <c r="CT60" s="1007">
        <f t="shared" si="68"/>
        <v>0.875</v>
      </c>
      <c r="CU60" s="935">
        <f t="shared" si="69"/>
        <v>3088387.0309431357</v>
      </c>
      <c r="CV60" s="1008">
        <f t="shared" si="110"/>
        <v>23944.231778693495</v>
      </c>
      <c r="CW60" s="1008">
        <f t="shared" si="70"/>
        <v>27759.295747456799</v>
      </c>
      <c r="CX60" s="1008">
        <f t="shared" si="71"/>
        <v>35858.792140132915</v>
      </c>
      <c r="CY60" s="1008">
        <f t="shared" si="72"/>
        <v>61153.764769145651</v>
      </c>
      <c r="CZ60" s="1119">
        <f t="shared" si="122"/>
        <v>250879.4950058086</v>
      </c>
      <c r="DA60" s="1119">
        <f t="shared" si="123"/>
        <v>99271.794069613563</v>
      </c>
      <c r="DB60" s="1119">
        <f t="shared" si="124"/>
        <v>71702.610850744008</v>
      </c>
      <c r="DC60" s="1119">
        <f t="shared" si="125"/>
        <v>54568.987875129271</v>
      </c>
      <c r="DD60" s="1028">
        <f t="shared" si="126"/>
        <v>0.39820425609716309</v>
      </c>
      <c r="DE60" s="1028">
        <f t="shared" si="142"/>
        <v>0</v>
      </c>
      <c r="DF60" s="1009" t="s">
        <v>270</v>
      </c>
      <c r="DG60" s="1009" t="s">
        <v>271</v>
      </c>
      <c r="DH60" s="966">
        <f t="shared" si="111"/>
        <v>45658</v>
      </c>
      <c r="DI60" s="912">
        <f t="shared" si="73"/>
        <v>14</v>
      </c>
      <c r="DJ60" s="939"/>
      <c r="DK60" s="913">
        <f t="shared" si="74"/>
        <v>45723</v>
      </c>
      <c r="DL60" s="912">
        <f t="shared" si="75"/>
        <v>16</v>
      </c>
      <c r="DM60" s="750" t="s">
        <v>272</v>
      </c>
      <c r="DN60" s="750" t="s">
        <v>273</v>
      </c>
      <c r="DO60" s="751">
        <f t="shared" si="31"/>
        <v>40544.433348074788</v>
      </c>
      <c r="DP60" s="751">
        <f t="shared" si="32"/>
        <v>891977.53365764534</v>
      </c>
      <c r="DQ60" s="752">
        <f t="shared" si="127"/>
        <v>0.44598876682882266</v>
      </c>
      <c r="DR60" s="503"/>
      <c r="DS60" s="751">
        <f t="shared" si="128"/>
        <v>3102932.0248094299</v>
      </c>
      <c r="DT60" s="751">
        <f>'[4]INTERNAL PRICELIST'!N54</f>
        <v>2061900</v>
      </c>
      <c r="DU60" s="751">
        <f t="shared" si="33"/>
        <v>1041032.0248094299</v>
      </c>
      <c r="DV60" s="503"/>
      <c r="DW60" s="951">
        <f t="shared" si="129"/>
        <v>141042.36476406499</v>
      </c>
      <c r="DX60" s="503"/>
      <c r="DZ60" s="1010" t="s">
        <v>424</v>
      </c>
      <c r="EA60" s="1052" t="b">
        <f t="shared" si="35"/>
        <v>1</v>
      </c>
      <c r="EB60" s="1053" t="s">
        <v>425</v>
      </c>
      <c r="EC60" s="1053" t="s">
        <v>410</v>
      </c>
      <c r="ED60" s="503"/>
      <c r="EE60" s="1029"/>
      <c r="EF60" s="503"/>
      <c r="EG60" s="503"/>
      <c r="EH60" s="930"/>
      <c r="EI60" s="930"/>
      <c r="EJ60" s="503"/>
      <c r="EK60" s="503"/>
      <c r="EL60" s="503"/>
      <c r="EM60" s="503"/>
      <c r="EN60" s="503"/>
      <c r="EO60" s="503"/>
      <c r="EP60" s="503"/>
      <c r="EQ60" s="503"/>
      <c r="ER60" s="1017" t="s">
        <v>264</v>
      </c>
      <c r="ES60" s="1391" t="s">
        <v>264</v>
      </c>
      <c r="ET60" s="1018" t="b">
        <f t="shared" si="76"/>
        <v>1</v>
      </c>
      <c r="EU60" s="940"/>
      <c r="EV60" s="941"/>
      <c r="EW60" s="940"/>
      <c r="EX60" s="1019">
        <v>2901967.8564336314</v>
      </c>
      <c r="EY60" s="1019">
        <f t="shared" si="143"/>
        <v>435295.17846504471</v>
      </c>
      <c r="EZ60" s="1019">
        <f t="shared" si="144"/>
        <v>2466672.6779685868</v>
      </c>
      <c r="FA60" s="1019">
        <f t="shared" si="145"/>
        <v>290196.78564336314</v>
      </c>
      <c r="FB60" s="1019">
        <f t="shared" si="146"/>
        <v>2611771.0707902685</v>
      </c>
      <c r="FC60" s="1019">
        <f t="shared" si="147"/>
        <v>145098.39282168169</v>
      </c>
      <c r="FD60" s="1020"/>
      <c r="FE60" s="1021"/>
      <c r="FF60" s="1022">
        <f t="shared" si="148"/>
        <v>2466672.6779685868</v>
      </c>
      <c r="FG60" s="1022">
        <f t="shared" si="149"/>
        <v>209667.17762732989</v>
      </c>
      <c r="FH60" s="1022">
        <f t="shared" si="161"/>
        <v>104833.58881366494</v>
      </c>
      <c r="FI60" s="1023">
        <f t="shared" si="150"/>
        <v>2611771.0707902685</v>
      </c>
      <c r="FJ60" s="1023">
        <f t="shared" si="151"/>
        <v>222000.54101717283</v>
      </c>
      <c r="FK60" s="1023">
        <f t="shared" si="152"/>
        <v>111000.27050858641</v>
      </c>
      <c r="FL60" s="1019">
        <f t="shared" si="162"/>
        <v>12333.36338984294</v>
      </c>
      <c r="FM60" s="1019">
        <f t="shared" si="163"/>
        <v>6166.6816949214699</v>
      </c>
      <c r="FN60" s="1019" t="str">
        <f t="shared" si="153"/>
        <v>VS</v>
      </c>
      <c r="FO60" s="1019">
        <f t="shared" si="159"/>
        <v>27537.409960060559</v>
      </c>
      <c r="FP60" s="1019">
        <f t="shared" si="164"/>
        <v>-21370.728265139089</v>
      </c>
      <c r="FQ60" s="1021"/>
      <c r="FR60" s="1021"/>
      <c r="FS60" s="1020"/>
      <c r="FT60" s="503"/>
      <c r="FU60" s="956"/>
      <c r="FV60" s="503"/>
      <c r="FW60" s="503"/>
      <c r="FX60" s="1040"/>
      <c r="FY60" s="503"/>
      <c r="FZ60" s="503"/>
      <c r="GA60" s="503"/>
      <c r="GB60" s="1059"/>
      <c r="GE60" s="1011" t="s">
        <v>426</v>
      </c>
      <c r="GF60" s="1185"/>
      <c r="GG60" s="956"/>
      <c r="GH60" s="945"/>
      <c r="GI60" s="1024">
        <f t="shared" si="78"/>
        <v>3529585.1782207265</v>
      </c>
      <c r="GJ60" s="1025">
        <f t="shared" si="79"/>
        <v>0.125</v>
      </c>
      <c r="GK60" s="1024">
        <f t="shared" si="80"/>
        <v>441198.14727759082</v>
      </c>
      <c r="GL60" s="1024">
        <f t="shared" si="81"/>
        <v>30000</v>
      </c>
      <c r="GM60" s="1024">
        <f t="shared" si="82"/>
        <v>411198.14727759082</v>
      </c>
      <c r="GN60" s="1024">
        <f t="shared" si="83"/>
        <v>1</v>
      </c>
      <c r="GO60" s="1024">
        <f t="shared" si="84"/>
        <v>411198.14727759082</v>
      </c>
      <c r="GP60" s="1025">
        <f t="shared" si="85"/>
        <v>0.875</v>
      </c>
      <c r="GQ60" s="1024">
        <f t="shared" si="86"/>
        <v>3088387.0309431357</v>
      </c>
      <c r="GR60" s="1024">
        <f t="shared" si="87"/>
        <v>23944.231778693495</v>
      </c>
      <c r="GS60" s="1024">
        <f t="shared" si="88"/>
        <v>27759.295747456799</v>
      </c>
      <c r="GT60" s="1024">
        <f t="shared" si="89"/>
        <v>35858.792140132915</v>
      </c>
      <c r="GU60" s="1024">
        <f t="shared" si="90"/>
        <v>61153.764769145651</v>
      </c>
      <c r="GV60" s="945"/>
      <c r="GW60" s="1024">
        <f t="shared" si="91"/>
        <v>3529585.1782207265</v>
      </c>
      <c r="GX60" s="1025">
        <f t="shared" si="92"/>
        <v>0.125</v>
      </c>
      <c r="GY60" s="1024">
        <f t="shared" si="93"/>
        <v>441198.14727759082</v>
      </c>
      <c r="GZ60" s="1024">
        <f t="shared" si="94"/>
        <v>30000</v>
      </c>
      <c r="HA60" s="1024">
        <f t="shared" si="95"/>
        <v>411198.14727759082</v>
      </c>
      <c r="HB60" s="1026">
        <f t="shared" si="96"/>
        <v>25</v>
      </c>
      <c r="HC60" s="1009">
        <f t="shared" si="97"/>
        <v>16447.925891103634</v>
      </c>
      <c r="HD60" s="1027">
        <f t="shared" si="98"/>
        <v>0.875</v>
      </c>
      <c r="HE60" s="1009">
        <f t="shared" si="99"/>
        <v>3088387.0309431357</v>
      </c>
      <c r="HF60" s="1008">
        <f t="shared" si="100"/>
        <v>23944.231778693495</v>
      </c>
      <c r="HG60" s="1008">
        <f t="shared" si="101"/>
        <v>27759.295747456799</v>
      </c>
      <c r="HH60" s="1008">
        <f t="shared" si="102"/>
        <v>35858.792140132915</v>
      </c>
      <c r="HI60" s="1008">
        <f t="shared" si="103"/>
        <v>61153.764769145651</v>
      </c>
      <c r="HJ60" s="945"/>
      <c r="HK60" s="1009">
        <f t="shared" si="104"/>
        <v>-394750.22138648719</v>
      </c>
      <c r="HL60" s="503"/>
      <c r="HM60" s="503"/>
      <c r="HN60" s="503"/>
      <c r="HO60" s="503"/>
      <c r="HP60" s="503"/>
      <c r="HQ60" s="503"/>
      <c r="HR60" s="956">
        <f t="shared" si="105"/>
        <v>0</v>
      </c>
      <c r="HS60" s="503"/>
      <c r="HT60" s="503"/>
      <c r="HU60" s="956"/>
      <c r="HV60" s="503"/>
      <c r="HW60" s="956"/>
      <c r="HX60" s="956"/>
      <c r="HY60" s="503"/>
      <c r="HZ60" s="503"/>
      <c r="IA60" s="503"/>
      <c r="ID60" s="1394"/>
    </row>
    <row r="61" spans="1:238" s="1051" customFormat="1" ht="14.25" hidden="1" customHeight="1">
      <c r="A61" s="1018">
        <f t="shared" si="155"/>
        <v>55</v>
      </c>
      <c r="B61" s="716" t="s">
        <v>264</v>
      </c>
      <c r="C61" s="741">
        <f t="shared" si="197"/>
        <v>7</v>
      </c>
      <c r="D61" s="716" t="s">
        <v>261</v>
      </c>
      <c r="E61" s="743" t="str">
        <f t="shared" si="36"/>
        <v>5th Floor</v>
      </c>
      <c r="F61" s="1048"/>
      <c r="G61" s="745" t="s">
        <v>427</v>
      </c>
      <c r="H61" s="745" t="s">
        <v>310</v>
      </c>
      <c r="I61" s="745" t="s">
        <v>267</v>
      </c>
      <c r="J61" s="1005">
        <v>22</v>
      </c>
      <c r="K61" s="1049"/>
      <c r="L61" s="1006" t="s">
        <v>73</v>
      </c>
      <c r="M61" s="745" t="s">
        <v>240</v>
      </c>
      <c r="N61" s="1050">
        <v>95909.091</v>
      </c>
      <c r="O61" s="934">
        <f t="shared" si="132"/>
        <v>2110000.0019999999</v>
      </c>
      <c r="P61" s="934">
        <f t="shared" si="156"/>
        <v>22400</v>
      </c>
      <c r="Q61" s="934">
        <f t="shared" si="119"/>
        <v>50000</v>
      </c>
      <c r="R61" s="934"/>
      <c r="S61" s="934"/>
      <c r="T61" s="934"/>
      <c r="U61" s="934"/>
      <c r="V61" s="934"/>
      <c r="W61" s="749">
        <f>J61*$W$5</f>
        <v>22000</v>
      </c>
      <c r="X61" s="934"/>
      <c r="Y61" s="934">
        <f t="shared" si="198"/>
        <v>20000</v>
      </c>
      <c r="Z61" s="934">
        <f t="shared" si="133"/>
        <v>75000</v>
      </c>
      <c r="AA61" s="934"/>
      <c r="AB61" s="934"/>
      <c r="AC61" s="934"/>
      <c r="AD61" s="934"/>
      <c r="AE61" s="934">
        <f t="shared" si="14"/>
        <v>189400</v>
      </c>
      <c r="AF61" s="1005">
        <f t="shared" si="15"/>
        <v>2299400.0019999999</v>
      </c>
      <c r="AG61" s="1005">
        <f t="shared" si="37"/>
        <v>57485.000050000002</v>
      </c>
      <c r="AH61" s="1005">
        <f t="shared" si="38"/>
        <v>2356885.0020499998</v>
      </c>
      <c r="AI61" s="1005">
        <f t="shared" si="39"/>
        <v>58922.125051249997</v>
      </c>
      <c r="AJ61" s="1005">
        <f t="shared" si="40"/>
        <v>2415807.12710125</v>
      </c>
      <c r="AK61" s="1005">
        <f t="shared" si="41"/>
        <v>120790.35635506251</v>
      </c>
      <c r="AL61" s="1005">
        <f t="shared" si="157"/>
        <v>2536597.4834563127</v>
      </c>
      <c r="AM61" s="934">
        <f t="shared" si="43"/>
        <v>25365.974834563127</v>
      </c>
      <c r="AN61" s="934">
        <f t="shared" si="44"/>
        <v>27537.409960060559</v>
      </c>
      <c r="AO61" s="934"/>
      <c r="AP61" s="934">
        <f t="shared" si="134"/>
        <v>112172.53530565517</v>
      </c>
      <c r="AQ61" s="1005">
        <f t="shared" si="45"/>
        <v>2701673.4035565914</v>
      </c>
      <c r="AR61" s="1005">
        <f t="shared" si="46"/>
        <v>121575.30316004661</v>
      </c>
      <c r="AS61" s="1147">
        <f t="shared" si="47"/>
        <v>2823248.7067166381</v>
      </c>
      <c r="AT61" s="1148">
        <f t="shared" si="135"/>
        <v>2000000</v>
      </c>
      <c r="AU61" s="1148">
        <f t="shared" si="193"/>
        <v>37420.395759847182</v>
      </c>
      <c r="AV61" s="1148">
        <f t="shared" si="136"/>
        <v>823248.70671663806</v>
      </c>
      <c r="AW61" s="1148">
        <f t="shared" si="17"/>
        <v>98789.844805996559</v>
      </c>
      <c r="AX61" s="1148">
        <f t="shared" si="18"/>
        <v>922038.55152263457</v>
      </c>
      <c r="AY61" s="1147">
        <f t="shared" si="48"/>
        <v>2922038.5515226345</v>
      </c>
      <c r="AZ61" s="934">
        <f t="shared" si="49"/>
        <v>36525.481894032935</v>
      </c>
      <c r="BA61" s="716" t="s">
        <v>269</v>
      </c>
      <c r="BB61" s="716">
        <f t="shared" si="194"/>
        <v>2958564.0334166675</v>
      </c>
      <c r="BC61" s="716" t="s">
        <v>269</v>
      </c>
      <c r="BD61" s="716">
        <f t="shared" si="50"/>
        <v>110946.15125312503</v>
      </c>
      <c r="BE61" s="716">
        <f t="shared" si="51"/>
        <v>33600</v>
      </c>
      <c r="BF61" s="716">
        <f t="shared" si="52"/>
        <v>3103110.1846697927</v>
      </c>
      <c r="BG61" s="716"/>
      <c r="BH61" s="716">
        <f t="shared" si="53"/>
        <v>3103110.1846697927</v>
      </c>
      <c r="BI61" s="716"/>
      <c r="BJ61" s="716">
        <f t="shared" si="54"/>
        <v>3103110.1846697927</v>
      </c>
      <c r="BK61" s="716"/>
      <c r="BL61" s="716">
        <f t="shared" si="55"/>
        <v>3103110.1846697927</v>
      </c>
      <c r="BM61" s="716"/>
      <c r="BN61" s="716">
        <f t="shared" si="20"/>
        <v>3103110.1846697927</v>
      </c>
      <c r="BO61" s="716"/>
      <c r="BP61" s="716">
        <f t="shared" si="56"/>
        <v>3103110.1846697927</v>
      </c>
      <c r="BQ61" s="716"/>
      <c r="BR61" s="716">
        <f t="shared" si="57"/>
        <v>3103110.1846697927</v>
      </c>
      <c r="BS61" s="716"/>
      <c r="BT61" s="716">
        <f t="shared" si="58"/>
        <v>3103110.1846697927</v>
      </c>
      <c r="BU61" s="716"/>
      <c r="BV61" s="716">
        <f t="shared" si="21"/>
        <v>3103110.1846697927</v>
      </c>
      <c r="BW61" s="716"/>
      <c r="BX61" s="716">
        <f t="shared" si="167"/>
        <v>31400</v>
      </c>
      <c r="BY61" s="716">
        <f t="shared" si="60"/>
        <v>3134510.1846697927</v>
      </c>
      <c r="BZ61" s="716"/>
      <c r="CA61" s="716">
        <f t="shared" si="61"/>
        <v>3134510.1846697927</v>
      </c>
      <c r="CB61" s="1135">
        <f t="shared" si="121"/>
        <v>3134510.1846697927</v>
      </c>
      <c r="CC61" s="1164">
        <f t="shared" si="109"/>
        <v>3134510.1846697927</v>
      </c>
      <c r="CD61" s="1164"/>
      <c r="CE61" s="1164">
        <f t="shared" si="63"/>
        <v>0</v>
      </c>
      <c r="CF61" s="1164">
        <f t="shared" si="115"/>
        <v>0</v>
      </c>
      <c r="CG61" s="1164">
        <f t="shared" si="116"/>
        <v>0</v>
      </c>
      <c r="CH61" s="1154">
        <f t="shared" si="158"/>
        <v>3134510.1846697927</v>
      </c>
      <c r="CI61" s="935">
        <f t="shared" si="137"/>
        <v>3134510.1846697927</v>
      </c>
      <c r="CJ61" s="935">
        <f t="shared" si="64"/>
        <v>0</v>
      </c>
      <c r="CK61" s="935">
        <f t="shared" si="65"/>
        <v>321287.2939286537</v>
      </c>
      <c r="CL61" s="935">
        <f t="shared" si="66"/>
        <v>109707.85646344276</v>
      </c>
      <c r="CM61" s="1006">
        <f t="shared" si="138"/>
        <v>3565505.3350618891</v>
      </c>
      <c r="CN61" s="1007">
        <f t="shared" si="139"/>
        <v>0.125</v>
      </c>
      <c r="CO61" s="935">
        <f t="shared" si="24"/>
        <v>445688.16688273614</v>
      </c>
      <c r="CP61" s="935">
        <f t="shared" si="170"/>
        <v>30000</v>
      </c>
      <c r="CQ61" s="935">
        <f t="shared" si="25"/>
        <v>415688.16688273614</v>
      </c>
      <c r="CR61" s="745">
        <f t="shared" si="141"/>
        <v>1</v>
      </c>
      <c r="CS61" s="935">
        <f t="shared" si="26"/>
        <v>415688.16688273614</v>
      </c>
      <c r="CT61" s="1007">
        <f t="shared" si="68"/>
        <v>0.875</v>
      </c>
      <c r="CU61" s="935">
        <f t="shared" si="69"/>
        <v>3119817.168179153</v>
      </c>
      <c r="CV61" s="1008">
        <f t="shared" si="110"/>
        <v>24187.90929814789</v>
      </c>
      <c r="CW61" s="1008">
        <f t="shared" si="70"/>
        <v>28041.798706501839</v>
      </c>
      <c r="CX61" s="1008">
        <f t="shared" si="71"/>
        <v>36223.722683743574</v>
      </c>
      <c r="CY61" s="1008">
        <f t="shared" si="72"/>
        <v>61776.119156706467</v>
      </c>
      <c r="CZ61" s="1119">
        <f t="shared" si="122"/>
        <v>253432.66495463048</v>
      </c>
      <c r="DA61" s="1119">
        <f t="shared" si="123"/>
        <v>100282.07098115752</v>
      </c>
      <c r="DB61" s="1119">
        <f t="shared" si="124"/>
        <v>72432.319555203707</v>
      </c>
      <c r="DC61" s="1119">
        <f t="shared" si="125"/>
        <v>55124.329793276789</v>
      </c>
      <c r="DD61" s="1028">
        <f t="shared" si="126"/>
        <v>0.41162435335831904</v>
      </c>
      <c r="DE61" s="1028">
        <f t="shared" si="142"/>
        <v>0</v>
      </c>
      <c r="DF61" s="1009" t="s">
        <v>270</v>
      </c>
      <c r="DG61" s="1009" t="s">
        <v>271</v>
      </c>
      <c r="DH61" s="966">
        <f t="shared" si="111"/>
        <v>45658</v>
      </c>
      <c r="DI61" s="912">
        <f t="shared" si="73"/>
        <v>14</v>
      </c>
      <c r="DJ61" s="939"/>
      <c r="DK61" s="913">
        <f t="shared" si="74"/>
        <v>45723</v>
      </c>
      <c r="DL61" s="912">
        <f t="shared" si="75"/>
        <v>16</v>
      </c>
      <c r="DM61" s="750" t="s">
        <v>272</v>
      </c>
      <c r="DN61" s="750" t="s">
        <v>273</v>
      </c>
      <c r="DO61" s="751">
        <f t="shared" si="31"/>
        <v>41910.843251028848</v>
      </c>
      <c r="DP61" s="751">
        <f t="shared" si="32"/>
        <v>922038.55152263457</v>
      </c>
      <c r="DQ61" s="752">
        <f t="shared" si="127"/>
        <v>0.46101927576131729</v>
      </c>
      <c r="DR61" s="503"/>
      <c r="DS61" s="751">
        <f t="shared" si="128"/>
        <v>3134510.1846697927</v>
      </c>
      <c r="DT61" s="751">
        <f>'[4]INTERNAL PRICELIST'!N55</f>
        <v>2061900</v>
      </c>
      <c r="DU61" s="751">
        <f t="shared" si="33"/>
        <v>1072610.1846697927</v>
      </c>
      <c r="DV61" s="503"/>
      <c r="DW61" s="951">
        <f t="shared" si="129"/>
        <v>142477.73566680876</v>
      </c>
      <c r="DX61" s="503"/>
      <c r="DZ61" s="1010" t="s">
        <v>427</v>
      </c>
      <c r="EA61" s="1052" t="b">
        <f t="shared" si="35"/>
        <v>1</v>
      </c>
      <c r="EB61" s="1053" t="s">
        <v>428</v>
      </c>
      <c r="EC61" s="1053" t="s">
        <v>410</v>
      </c>
      <c r="ED61" s="503"/>
      <c r="EE61" s="1029"/>
      <c r="EF61" s="503"/>
      <c r="EG61" s="503"/>
      <c r="EH61" s="930"/>
      <c r="EI61" s="930"/>
      <c r="EJ61" s="503"/>
      <c r="EK61" s="503"/>
      <c r="EL61" s="503"/>
      <c r="EM61" s="503"/>
      <c r="EN61" s="503"/>
      <c r="EO61" s="503"/>
      <c r="EP61" s="503"/>
      <c r="EQ61" s="503"/>
      <c r="ER61" s="1017" t="s">
        <v>264</v>
      </c>
      <c r="ES61" s="1391" t="s">
        <v>264</v>
      </c>
      <c r="ET61" s="1018" t="b">
        <f t="shared" si="76"/>
        <v>1</v>
      </c>
      <c r="EU61" s="940"/>
      <c r="EV61" s="941"/>
      <c r="EW61" s="940"/>
      <c r="EX61" s="1019">
        <v>2932615.3021086319</v>
      </c>
      <c r="EY61" s="1019">
        <f t="shared" si="143"/>
        <v>439892.29531629477</v>
      </c>
      <c r="EZ61" s="1019">
        <f t="shared" si="144"/>
        <v>2492723.0067923372</v>
      </c>
      <c r="FA61" s="1019">
        <f t="shared" si="145"/>
        <v>293261.53021086322</v>
      </c>
      <c r="FB61" s="1019">
        <f t="shared" si="146"/>
        <v>2639353.7718977686</v>
      </c>
      <c r="FC61" s="1019">
        <f t="shared" si="147"/>
        <v>146630.76510543143</v>
      </c>
      <c r="FD61" s="1020"/>
      <c r="FE61" s="1021"/>
      <c r="FF61" s="1022">
        <f t="shared" si="148"/>
        <v>2492723.0067923372</v>
      </c>
      <c r="FG61" s="1022">
        <f t="shared" si="149"/>
        <v>211881.45557734868</v>
      </c>
      <c r="FH61" s="1022">
        <f t="shared" si="161"/>
        <v>105940.72778867434</v>
      </c>
      <c r="FI61" s="1023">
        <f t="shared" si="150"/>
        <v>2639353.7718977686</v>
      </c>
      <c r="FJ61" s="1023">
        <f t="shared" si="151"/>
        <v>224345.07061131034</v>
      </c>
      <c r="FK61" s="1023">
        <f t="shared" si="152"/>
        <v>112172.53530565517</v>
      </c>
      <c r="FL61" s="1019">
        <f t="shared" si="162"/>
        <v>12463.615033961658</v>
      </c>
      <c r="FM61" s="1019">
        <f t="shared" si="163"/>
        <v>6231.807516980829</v>
      </c>
      <c r="FN61" s="1019" t="str">
        <f t="shared" si="153"/>
        <v>VS</v>
      </c>
      <c r="FO61" s="1019">
        <f t="shared" si="159"/>
        <v>27537.409960060559</v>
      </c>
      <c r="FP61" s="1019">
        <f t="shared" si="164"/>
        <v>-21305.60244307973</v>
      </c>
      <c r="FQ61" s="1021"/>
      <c r="FR61" s="1021"/>
      <c r="FS61" s="1020"/>
      <c r="FT61" s="503"/>
      <c r="FU61" s="956"/>
      <c r="FV61" s="503"/>
      <c r="FW61" s="503"/>
      <c r="FX61" s="1040"/>
      <c r="FY61" s="503"/>
      <c r="FZ61" s="503"/>
      <c r="GA61" s="503"/>
      <c r="GB61" s="1059"/>
      <c r="GE61" s="503"/>
      <c r="GF61" s="1059"/>
      <c r="GG61" s="956"/>
      <c r="GH61" s="945"/>
      <c r="GI61" s="1024">
        <f t="shared" si="78"/>
        <v>3565505.3350618891</v>
      </c>
      <c r="GJ61" s="1025">
        <f t="shared" si="79"/>
        <v>0.125</v>
      </c>
      <c r="GK61" s="1024">
        <f t="shared" si="80"/>
        <v>445688.16688273614</v>
      </c>
      <c r="GL61" s="1024">
        <f t="shared" si="81"/>
        <v>30000</v>
      </c>
      <c r="GM61" s="1024">
        <f t="shared" si="82"/>
        <v>415688.16688273614</v>
      </c>
      <c r="GN61" s="1024">
        <f t="shared" si="83"/>
        <v>1</v>
      </c>
      <c r="GO61" s="1024">
        <f t="shared" si="84"/>
        <v>415688.16688273614</v>
      </c>
      <c r="GP61" s="1025">
        <f t="shared" si="85"/>
        <v>0.875</v>
      </c>
      <c r="GQ61" s="1024">
        <f t="shared" si="86"/>
        <v>3119817.168179153</v>
      </c>
      <c r="GR61" s="1024">
        <f t="shared" si="87"/>
        <v>24187.90929814789</v>
      </c>
      <c r="GS61" s="1024">
        <f t="shared" si="88"/>
        <v>28041.798706501839</v>
      </c>
      <c r="GT61" s="1024">
        <f t="shared" si="89"/>
        <v>36223.722683743574</v>
      </c>
      <c r="GU61" s="1024">
        <f t="shared" si="90"/>
        <v>61776.119156706467</v>
      </c>
      <c r="GV61" s="945"/>
      <c r="GW61" s="1024">
        <f t="shared" si="91"/>
        <v>3565505.3350618891</v>
      </c>
      <c r="GX61" s="1025">
        <f t="shared" si="92"/>
        <v>0.125</v>
      </c>
      <c r="GY61" s="1024">
        <f t="shared" si="93"/>
        <v>445688.16688273614</v>
      </c>
      <c r="GZ61" s="1024">
        <f t="shared" si="94"/>
        <v>30000</v>
      </c>
      <c r="HA61" s="1024">
        <f t="shared" si="95"/>
        <v>415688.16688273614</v>
      </c>
      <c r="HB61" s="1026">
        <f t="shared" si="96"/>
        <v>25</v>
      </c>
      <c r="HC61" s="1009">
        <f t="shared" si="97"/>
        <v>16627.526675309447</v>
      </c>
      <c r="HD61" s="1027">
        <f t="shared" si="98"/>
        <v>0.875</v>
      </c>
      <c r="HE61" s="1009">
        <f t="shared" si="99"/>
        <v>3119817.168179153</v>
      </c>
      <c r="HF61" s="1008">
        <f t="shared" si="100"/>
        <v>24187.90929814789</v>
      </c>
      <c r="HG61" s="1008">
        <f t="shared" si="101"/>
        <v>28041.798706501839</v>
      </c>
      <c r="HH61" s="1008">
        <f t="shared" si="102"/>
        <v>36223.722683743574</v>
      </c>
      <c r="HI61" s="1008">
        <f t="shared" si="103"/>
        <v>61776.119156706467</v>
      </c>
      <c r="HJ61" s="945"/>
      <c r="HK61" s="1009">
        <f t="shared" si="104"/>
        <v>-399060.64020742668</v>
      </c>
      <c r="HL61" s="503"/>
      <c r="HM61" s="503"/>
      <c r="HN61" s="503"/>
      <c r="HO61" s="503"/>
      <c r="HP61" s="503"/>
      <c r="HQ61" s="503"/>
      <c r="HR61" s="956">
        <f t="shared" si="105"/>
        <v>0</v>
      </c>
      <c r="HS61" s="503"/>
      <c r="HT61" s="503"/>
      <c r="HU61" s="956"/>
      <c r="HV61" s="503"/>
      <c r="HW61" s="956"/>
      <c r="HX61" s="956"/>
      <c r="HY61" s="503"/>
      <c r="HZ61" s="503"/>
      <c r="IA61" s="503"/>
      <c r="ID61" s="1394"/>
    </row>
    <row r="62" spans="1:238" s="1051" customFormat="1" ht="14.25" hidden="1" customHeight="1">
      <c r="A62" s="1018">
        <f t="shared" si="155"/>
        <v>56</v>
      </c>
      <c r="B62" s="716" t="s">
        <v>264</v>
      </c>
      <c r="C62" s="741">
        <f t="shared" si="197"/>
        <v>8</v>
      </c>
      <c r="D62" s="716" t="s">
        <v>261</v>
      </c>
      <c r="E62" s="743" t="str">
        <f t="shared" si="36"/>
        <v>5th Floor</v>
      </c>
      <c r="F62" s="1048"/>
      <c r="G62" s="745" t="s">
        <v>429</v>
      </c>
      <c r="H62" s="745" t="s">
        <v>316</v>
      </c>
      <c r="I62" s="745" t="s">
        <v>267</v>
      </c>
      <c r="J62" s="1005">
        <v>22</v>
      </c>
      <c r="K62" s="1049"/>
      <c r="L62" s="1006" t="s">
        <v>268</v>
      </c>
      <c r="M62" s="745" t="s">
        <v>65</v>
      </c>
      <c r="N62" s="1050">
        <v>95909.091</v>
      </c>
      <c r="O62" s="934">
        <f t="shared" si="132"/>
        <v>2110000.0019999999</v>
      </c>
      <c r="P62" s="934">
        <f t="shared" si="156"/>
        <v>22400</v>
      </c>
      <c r="Q62" s="934">
        <f t="shared" si="119"/>
        <v>50000</v>
      </c>
      <c r="R62" s="934"/>
      <c r="S62" s="934"/>
      <c r="T62" s="934"/>
      <c r="U62" s="934"/>
      <c r="V62" s="749">
        <f>J62*$V$5</f>
        <v>55000</v>
      </c>
      <c r="W62" s="934"/>
      <c r="X62" s="934"/>
      <c r="Y62" s="934">
        <f t="shared" si="198"/>
        <v>20000</v>
      </c>
      <c r="Z62" s="934">
        <f t="shared" si="133"/>
        <v>75000</v>
      </c>
      <c r="AA62" s="934"/>
      <c r="AB62" s="934"/>
      <c r="AC62" s="934"/>
      <c r="AD62" s="934"/>
      <c r="AE62" s="934">
        <f t="shared" si="14"/>
        <v>222400</v>
      </c>
      <c r="AF62" s="1005">
        <f t="shared" si="15"/>
        <v>2332400.0019999999</v>
      </c>
      <c r="AG62" s="1005">
        <f t="shared" si="37"/>
        <v>58310.000050000002</v>
      </c>
      <c r="AH62" s="1005">
        <f t="shared" si="38"/>
        <v>2390710.0020499998</v>
      </c>
      <c r="AI62" s="1005">
        <f t="shared" si="39"/>
        <v>59767.750051249997</v>
      </c>
      <c r="AJ62" s="1005">
        <f t="shared" si="40"/>
        <v>2450477.75210125</v>
      </c>
      <c r="AK62" s="1005">
        <f t="shared" si="41"/>
        <v>122523.88760506251</v>
      </c>
      <c r="AL62" s="1005">
        <f t="shared" si="157"/>
        <v>2573001.6397063127</v>
      </c>
      <c r="AM62" s="934">
        <f t="shared" si="43"/>
        <v>25730.016397063126</v>
      </c>
      <c r="AN62" s="934">
        <f t="shared" si="44"/>
        <v>27537.409960060559</v>
      </c>
      <c r="AO62" s="934"/>
      <c r="AP62" s="934">
        <f t="shared" si="134"/>
        <v>116133.28866026513</v>
      </c>
      <c r="AQ62" s="1005">
        <f t="shared" si="45"/>
        <v>2742402.3547237013</v>
      </c>
      <c r="AR62" s="1005">
        <f t="shared" si="46"/>
        <v>123408.10596256655</v>
      </c>
      <c r="AS62" s="1147">
        <f t="shared" si="47"/>
        <v>2865810.4606862678</v>
      </c>
      <c r="AT62" s="1148">
        <f t="shared" si="135"/>
        <v>2000000</v>
      </c>
      <c r="AU62" s="1148">
        <f t="shared" si="193"/>
        <v>39355.0209402849</v>
      </c>
      <c r="AV62" s="1148">
        <f t="shared" si="136"/>
        <v>865810.46068626782</v>
      </c>
      <c r="AW62" s="1148">
        <f t="shared" si="17"/>
        <v>103897.25528235214</v>
      </c>
      <c r="AX62" s="1148">
        <f t="shared" si="18"/>
        <v>969707.71596861992</v>
      </c>
      <c r="AY62" s="1147">
        <f t="shared" si="48"/>
        <v>2969707.71596862</v>
      </c>
      <c r="AZ62" s="934">
        <f t="shared" si="49"/>
        <v>37121.34644960775</v>
      </c>
      <c r="BA62" s="716" t="s">
        <v>269</v>
      </c>
      <c r="BB62" s="716">
        <f t="shared" si="194"/>
        <v>3006829.062418228</v>
      </c>
      <c r="BC62" s="716" t="s">
        <v>269</v>
      </c>
      <c r="BD62" s="716">
        <f t="shared" si="50"/>
        <v>112756.08984068355</v>
      </c>
      <c r="BE62" s="716">
        <f t="shared" si="51"/>
        <v>33600</v>
      </c>
      <c r="BF62" s="716">
        <f t="shared" si="52"/>
        <v>3153185.1522589116</v>
      </c>
      <c r="BG62" s="716"/>
      <c r="BH62" s="716">
        <f t="shared" si="53"/>
        <v>3153185.1522589116</v>
      </c>
      <c r="BI62" s="716"/>
      <c r="BJ62" s="716">
        <f t="shared" si="54"/>
        <v>3153185.1522589116</v>
      </c>
      <c r="BK62" s="716"/>
      <c r="BL62" s="716">
        <f t="shared" si="55"/>
        <v>3153185.1522589116</v>
      </c>
      <c r="BM62" s="716"/>
      <c r="BN62" s="716">
        <f t="shared" si="20"/>
        <v>3153185.1522589116</v>
      </c>
      <c r="BO62" s="716"/>
      <c r="BP62" s="716">
        <f t="shared" si="56"/>
        <v>3153185.1522589116</v>
      </c>
      <c r="BQ62" s="716"/>
      <c r="BR62" s="716">
        <f t="shared" si="57"/>
        <v>3153185.1522589116</v>
      </c>
      <c r="BS62" s="716"/>
      <c r="BT62" s="716">
        <f t="shared" si="58"/>
        <v>3153185.1522589116</v>
      </c>
      <c r="BU62" s="716"/>
      <c r="BV62" s="716">
        <f t="shared" si="21"/>
        <v>3153185.1522589116</v>
      </c>
      <c r="BW62" s="716"/>
      <c r="BX62" s="716">
        <f t="shared" si="167"/>
        <v>31400</v>
      </c>
      <c r="BY62" s="716">
        <f t="shared" si="60"/>
        <v>3184585.1522589116</v>
      </c>
      <c r="BZ62" s="716"/>
      <c r="CA62" s="716">
        <f t="shared" si="61"/>
        <v>3184585.1522589116</v>
      </c>
      <c r="CB62" s="1135">
        <f t="shared" si="121"/>
        <v>3184585.1522589116</v>
      </c>
      <c r="CC62" s="1164">
        <f t="shared" si="109"/>
        <v>3184585.1522589116</v>
      </c>
      <c r="CD62" s="1164"/>
      <c r="CE62" s="1164">
        <f t="shared" si="63"/>
        <v>0</v>
      </c>
      <c r="CF62" s="1164">
        <f t="shared" si="115"/>
        <v>0</v>
      </c>
      <c r="CG62" s="1164">
        <f t="shared" si="116"/>
        <v>0</v>
      </c>
      <c r="CH62" s="1154">
        <f t="shared" si="158"/>
        <v>3184585.1522589116</v>
      </c>
      <c r="CI62" s="935">
        <f t="shared" si="137"/>
        <v>3184585.1522589116</v>
      </c>
      <c r="CJ62" s="935">
        <f t="shared" si="64"/>
        <v>0</v>
      </c>
      <c r="CK62" s="935">
        <f t="shared" si="65"/>
        <v>326419.97810653842</v>
      </c>
      <c r="CL62" s="935">
        <f t="shared" si="66"/>
        <v>111460.48032906192</v>
      </c>
      <c r="CM62" s="1006">
        <f t="shared" si="138"/>
        <v>3622465.6106945118</v>
      </c>
      <c r="CN62" s="1007">
        <f t="shared" si="139"/>
        <v>0.125</v>
      </c>
      <c r="CO62" s="935">
        <f t="shared" si="24"/>
        <v>452808.20133681397</v>
      </c>
      <c r="CP62" s="935">
        <f t="shared" si="170"/>
        <v>30000</v>
      </c>
      <c r="CQ62" s="935">
        <f t="shared" si="25"/>
        <v>422808.20133681397</v>
      </c>
      <c r="CR62" s="745">
        <f t="shared" si="141"/>
        <v>1</v>
      </c>
      <c r="CS62" s="935">
        <f t="shared" si="26"/>
        <v>422808.20133681397</v>
      </c>
      <c r="CT62" s="1007">
        <f t="shared" si="68"/>
        <v>0.875</v>
      </c>
      <c r="CU62" s="935">
        <f t="shared" si="69"/>
        <v>3169657.4093576977</v>
      </c>
      <c r="CV62" s="1008">
        <f t="shared" si="110"/>
        <v>24574.320157515023</v>
      </c>
      <c r="CW62" s="1008">
        <f t="shared" si="70"/>
        <v>28489.776884475628</v>
      </c>
      <c r="CX62" s="1008">
        <f t="shared" si="71"/>
        <v>36802.410144456604</v>
      </c>
      <c r="CY62" s="1008">
        <f t="shared" si="72"/>
        <v>62763.015667581742</v>
      </c>
      <c r="CZ62" s="1119">
        <f t="shared" si="122"/>
        <v>257481.34616348229</v>
      </c>
      <c r="DA62" s="1119">
        <f t="shared" si="123"/>
        <v>101884.11441324168</v>
      </c>
      <c r="DB62" s="1119">
        <f t="shared" si="124"/>
        <v>73589.45283614521</v>
      </c>
      <c r="DC62" s="1119">
        <f t="shared" si="125"/>
        <v>56004.961491738162</v>
      </c>
      <c r="DD62" s="1028">
        <f t="shared" si="126"/>
        <v>0.43290523034313388</v>
      </c>
      <c r="DE62" s="1028">
        <f t="shared" si="142"/>
        <v>0</v>
      </c>
      <c r="DF62" s="1009" t="s">
        <v>270</v>
      </c>
      <c r="DG62" s="1009" t="s">
        <v>271</v>
      </c>
      <c r="DH62" s="966">
        <f t="shared" si="111"/>
        <v>45658</v>
      </c>
      <c r="DI62" s="912">
        <f t="shared" si="73"/>
        <v>14</v>
      </c>
      <c r="DJ62" s="939"/>
      <c r="DK62" s="913">
        <f t="shared" si="74"/>
        <v>45723</v>
      </c>
      <c r="DL62" s="912">
        <f t="shared" si="75"/>
        <v>16</v>
      </c>
      <c r="DM62" s="750" t="s">
        <v>272</v>
      </c>
      <c r="DN62" s="750" t="s">
        <v>273</v>
      </c>
      <c r="DO62" s="751">
        <f t="shared" si="31"/>
        <v>44077.623453119086</v>
      </c>
      <c r="DP62" s="751">
        <f t="shared" si="32"/>
        <v>969707.71596861992</v>
      </c>
      <c r="DQ62" s="752">
        <f t="shared" si="127"/>
        <v>0.48485385798430997</v>
      </c>
      <c r="DR62" s="503"/>
      <c r="DS62" s="751">
        <f t="shared" si="128"/>
        <v>3184585.1522589116</v>
      </c>
      <c r="DT62" s="751">
        <f>'[4]INTERNAL PRICELIST'!N56</f>
        <v>2061900</v>
      </c>
      <c r="DU62" s="751">
        <f t="shared" si="33"/>
        <v>1122685.1522589116</v>
      </c>
      <c r="DV62" s="503"/>
      <c r="DW62" s="951">
        <f t="shared" si="129"/>
        <v>144753.87055722324</v>
      </c>
      <c r="DX62" s="503"/>
      <c r="DZ62" s="1010" t="s">
        <v>429</v>
      </c>
      <c r="EA62" s="1052" t="b">
        <f t="shared" si="35"/>
        <v>1</v>
      </c>
      <c r="EB62" s="1053" t="s">
        <v>430</v>
      </c>
      <c r="EC62" s="1053" t="s">
        <v>410</v>
      </c>
      <c r="ED62" s="503"/>
      <c r="EE62" s="1029"/>
      <c r="EF62" s="503"/>
      <c r="EG62" s="503"/>
      <c r="EH62" s="930"/>
      <c r="EI62" s="930"/>
      <c r="EJ62" s="503"/>
      <c r="EK62" s="503"/>
      <c r="EL62" s="503"/>
      <c r="EM62" s="503"/>
      <c r="EN62" s="503"/>
      <c r="EO62" s="503"/>
      <c r="EP62" s="503"/>
      <c r="EQ62" s="503"/>
      <c r="ER62" s="1017" t="s">
        <v>264</v>
      </c>
      <c r="ES62" s="1391" t="s">
        <v>264</v>
      </c>
      <c r="ET62" s="1018" t="b">
        <f t="shared" si="76"/>
        <v>1</v>
      </c>
      <c r="EU62" s="940"/>
      <c r="EV62" s="941"/>
      <c r="EW62" s="940"/>
      <c r="EX62" s="1019">
        <v>3036164.4094186961</v>
      </c>
      <c r="EY62" s="1019">
        <f t="shared" si="143"/>
        <v>455424.66141280439</v>
      </c>
      <c r="EZ62" s="1019">
        <f t="shared" si="144"/>
        <v>2580739.7480058917</v>
      </c>
      <c r="FA62" s="1019">
        <f t="shared" si="145"/>
        <v>303616.44094186963</v>
      </c>
      <c r="FB62" s="1019">
        <f t="shared" si="146"/>
        <v>2732547.9684768263</v>
      </c>
      <c r="FC62" s="1019">
        <f t="shared" si="147"/>
        <v>151808.22047093464</v>
      </c>
      <c r="FD62" s="1020"/>
      <c r="FE62" s="1021"/>
      <c r="FF62" s="1022">
        <f t="shared" si="148"/>
        <v>2580739.7480058917</v>
      </c>
      <c r="FG62" s="1022">
        <f t="shared" si="149"/>
        <v>219362.87858050081</v>
      </c>
      <c r="FH62" s="1022">
        <f t="shared" si="161"/>
        <v>109681.4392902504</v>
      </c>
      <c r="FI62" s="1023">
        <f t="shared" si="150"/>
        <v>2732547.9684768263</v>
      </c>
      <c r="FJ62" s="1023">
        <f t="shared" si="151"/>
        <v>232266.57732053025</v>
      </c>
      <c r="FK62" s="1023">
        <f t="shared" si="152"/>
        <v>116133.28866026513</v>
      </c>
      <c r="FL62" s="1019">
        <f t="shared" si="162"/>
        <v>12903.698740029446</v>
      </c>
      <c r="FM62" s="1019">
        <f t="shared" si="163"/>
        <v>6451.8493700147228</v>
      </c>
      <c r="FN62" s="1019" t="str">
        <f t="shared" si="153"/>
        <v>VS</v>
      </c>
      <c r="FO62" s="1019">
        <f t="shared" si="159"/>
        <v>27537.409960060559</v>
      </c>
      <c r="FP62" s="1019">
        <f t="shared" si="164"/>
        <v>-21085.560590045836</v>
      </c>
      <c r="FQ62" s="1021"/>
      <c r="FR62" s="1021"/>
      <c r="FS62" s="1020"/>
      <c r="FT62" s="503"/>
      <c r="FU62" s="956"/>
      <c r="FV62" s="503"/>
      <c r="FW62" s="503"/>
      <c r="FX62" s="1040"/>
      <c r="FY62" s="503"/>
      <c r="FZ62" s="503"/>
      <c r="GA62" s="503"/>
      <c r="GB62" s="1059"/>
      <c r="GE62" s="503"/>
      <c r="GF62" s="1059"/>
      <c r="GG62" s="956"/>
      <c r="GH62" s="945"/>
      <c r="GI62" s="1024">
        <f t="shared" si="78"/>
        <v>3622465.6106945118</v>
      </c>
      <c r="GJ62" s="1025">
        <f t="shared" si="79"/>
        <v>0.125</v>
      </c>
      <c r="GK62" s="1024">
        <f t="shared" si="80"/>
        <v>452808.20133681397</v>
      </c>
      <c r="GL62" s="1024">
        <f t="shared" si="81"/>
        <v>30000</v>
      </c>
      <c r="GM62" s="1024">
        <f t="shared" si="82"/>
        <v>422808.20133681397</v>
      </c>
      <c r="GN62" s="1024">
        <f t="shared" si="83"/>
        <v>1</v>
      </c>
      <c r="GO62" s="1024">
        <f t="shared" si="84"/>
        <v>422808.20133681397</v>
      </c>
      <c r="GP62" s="1025">
        <f t="shared" si="85"/>
        <v>0.875</v>
      </c>
      <c r="GQ62" s="1024">
        <f t="shared" si="86"/>
        <v>3169657.4093576977</v>
      </c>
      <c r="GR62" s="1024">
        <f t="shared" si="87"/>
        <v>24574.320157515023</v>
      </c>
      <c r="GS62" s="1024">
        <f t="shared" si="88"/>
        <v>28489.776884475628</v>
      </c>
      <c r="GT62" s="1024">
        <f t="shared" si="89"/>
        <v>36802.410144456604</v>
      </c>
      <c r="GU62" s="1024">
        <f t="shared" si="90"/>
        <v>62763.015667581742</v>
      </c>
      <c r="GV62" s="945"/>
      <c r="GW62" s="1024">
        <f t="shared" si="91"/>
        <v>3622465.6106945118</v>
      </c>
      <c r="GX62" s="1025">
        <f t="shared" si="92"/>
        <v>0.125</v>
      </c>
      <c r="GY62" s="1024">
        <f t="shared" si="93"/>
        <v>452808.20133681397</v>
      </c>
      <c r="GZ62" s="1024">
        <f t="shared" si="94"/>
        <v>30000</v>
      </c>
      <c r="HA62" s="1024">
        <f t="shared" si="95"/>
        <v>422808.20133681397</v>
      </c>
      <c r="HB62" s="1026">
        <f t="shared" si="96"/>
        <v>25</v>
      </c>
      <c r="HC62" s="1009">
        <f t="shared" si="97"/>
        <v>16912.32805347256</v>
      </c>
      <c r="HD62" s="1027">
        <f t="shared" si="98"/>
        <v>0.875</v>
      </c>
      <c r="HE62" s="1009">
        <f t="shared" si="99"/>
        <v>3169657.4093576977</v>
      </c>
      <c r="HF62" s="1008">
        <f t="shared" si="100"/>
        <v>24574.320157515023</v>
      </c>
      <c r="HG62" s="1008">
        <f t="shared" si="101"/>
        <v>28489.776884475628</v>
      </c>
      <c r="HH62" s="1008">
        <f t="shared" si="102"/>
        <v>36802.410144456604</v>
      </c>
      <c r="HI62" s="1008">
        <f t="shared" si="103"/>
        <v>62763.015667581742</v>
      </c>
      <c r="HJ62" s="945"/>
      <c r="HK62" s="1009">
        <f t="shared" si="104"/>
        <v>-405895.87328334141</v>
      </c>
      <c r="HL62" s="503"/>
      <c r="HM62" s="503"/>
      <c r="HN62" s="503"/>
      <c r="HO62" s="503"/>
      <c r="HP62" s="503"/>
      <c r="HQ62" s="503"/>
      <c r="HR62" s="956">
        <f t="shared" si="105"/>
        <v>0</v>
      </c>
      <c r="HS62" s="503"/>
      <c r="HT62" s="503"/>
      <c r="HU62" s="956"/>
      <c r="HV62" s="503"/>
      <c r="HW62" s="956"/>
      <c r="HX62" s="956"/>
      <c r="HY62" s="503"/>
      <c r="HZ62" s="503"/>
      <c r="IA62" s="503"/>
      <c r="ID62" s="1394"/>
    </row>
    <row r="63" spans="1:238" s="1051" customFormat="1" ht="14.25" hidden="1" customHeight="1">
      <c r="A63" s="1018">
        <f t="shared" si="155"/>
        <v>57</v>
      </c>
      <c r="B63" s="716" t="s">
        <v>264</v>
      </c>
      <c r="C63" s="741">
        <f t="shared" si="197"/>
        <v>9</v>
      </c>
      <c r="D63" s="716" t="s">
        <v>261</v>
      </c>
      <c r="E63" s="743" t="str">
        <f t="shared" si="36"/>
        <v>5th Floor</v>
      </c>
      <c r="F63" s="1048"/>
      <c r="G63" s="745" t="s">
        <v>431</v>
      </c>
      <c r="H63" s="745" t="s">
        <v>321</v>
      </c>
      <c r="I63" s="745" t="s">
        <v>267</v>
      </c>
      <c r="J63" s="1005">
        <v>22</v>
      </c>
      <c r="K63" s="1049"/>
      <c r="L63" s="1006" t="s">
        <v>268</v>
      </c>
      <c r="M63" s="745" t="s">
        <v>79</v>
      </c>
      <c r="N63" s="1050">
        <v>95909.091</v>
      </c>
      <c r="O63" s="934">
        <f t="shared" si="132"/>
        <v>2110000.0019999999</v>
      </c>
      <c r="P63" s="934">
        <f t="shared" si="156"/>
        <v>22400</v>
      </c>
      <c r="Q63" s="934">
        <f t="shared" si="119"/>
        <v>50000</v>
      </c>
      <c r="R63" s="934"/>
      <c r="S63" s="934"/>
      <c r="T63" s="934"/>
      <c r="U63" s="934"/>
      <c r="V63" s="934"/>
      <c r="W63" s="934"/>
      <c r="X63" s="934"/>
      <c r="Y63" s="934">
        <f t="shared" si="198"/>
        <v>20000</v>
      </c>
      <c r="Z63" s="934">
        <f t="shared" si="133"/>
        <v>75000</v>
      </c>
      <c r="AA63" s="934"/>
      <c r="AB63" s="934"/>
      <c r="AC63" s="934"/>
      <c r="AD63" s="934"/>
      <c r="AE63" s="934">
        <f t="shared" si="14"/>
        <v>167400</v>
      </c>
      <c r="AF63" s="1005">
        <f t="shared" si="15"/>
        <v>2277400.0019999999</v>
      </c>
      <c r="AG63" s="1005">
        <f t="shared" si="37"/>
        <v>56935.000050000002</v>
      </c>
      <c r="AH63" s="1005">
        <f t="shared" si="38"/>
        <v>2334335.0020499998</v>
      </c>
      <c r="AI63" s="1005">
        <f t="shared" si="39"/>
        <v>58358.375051249997</v>
      </c>
      <c r="AJ63" s="1005">
        <f t="shared" si="40"/>
        <v>2392693.37710125</v>
      </c>
      <c r="AK63" s="1005">
        <f t="shared" si="41"/>
        <v>119634.66885506251</v>
      </c>
      <c r="AL63" s="1005">
        <f t="shared" si="157"/>
        <v>2512328.0459563127</v>
      </c>
      <c r="AM63" s="934">
        <f t="shared" si="43"/>
        <v>25123.280459563128</v>
      </c>
      <c r="AN63" s="934">
        <f t="shared" si="44"/>
        <v>27537.409960060559</v>
      </c>
      <c r="AO63" s="934"/>
      <c r="AP63" s="934">
        <f t="shared" si="134"/>
        <v>111000.27050858641</v>
      </c>
      <c r="AQ63" s="1005">
        <f t="shared" si="45"/>
        <v>2675989.0068845227</v>
      </c>
      <c r="AR63" s="1005">
        <f t="shared" si="46"/>
        <v>120419.50530980351</v>
      </c>
      <c r="AS63" s="1147">
        <f t="shared" si="47"/>
        <v>2796408.5121943261</v>
      </c>
      <c r="AT63" s="1148">
        <f t="shared" si="135"/>
        <v>2000000</v>
      </c>
      <c r="AU63" s="1148">
        <f t="shared" si="193"/>
        <v>36200.386917923919</v>
      </c>
      <c r="AV63" s="1148">
        <f t="shared" si="136"/>
        <v>796408.51219432615</v>
      </c>
      <c r="AW63" s="1148">
        <f t="shared" si="17"/>
        <v>95569.021463319135</v>
      </c>
      <c r="AX63" s="1148">
        <f t="shared" si="18"/>
        <v>891977.53365764534</v>
      </c>
      <c r="AY63" s="1147">
        <f t="shared" si="48"/>
        <v>2891977.5336576453</v>
      </c>
      <c r="AZ63" s="934">
        <f t="shared" si="49"/>
        <v>36149.719170720571</v>
      </c>
      <c r="BA63" s="716" t="s">
        <v>269</v>
      </c>
      <c r="BB63" s="716">
        <f t="shared" si="194"/>
        <v>2928127.2528283661</v>
      </c>
      <c r="BC63" s="716" t="s">
        <v>269</v>
      </c>
      <c r="BD63" s="716">
        <f t="shared" si="50"/>
        <v>109804.77198106372</v>
      </c>
      <c r="BE63" s="716">
        <f t="shared" si="51"/>
        <v>33600</v>
      </c>
      <c r="BF63" s="716">
        <f t="shared" si="52"/>
        <v>3071532.0248094299</v>
      </c>
      <c r="BG63" s="716"/>
      <c r="BH63" s="716">
        <f t="shared" si="53"/>
        <v>3071532.0248094299</v>
      </c>
      <c r="BI63" s="716"/>
      <c r="BJ63" s="716">
        <f t="shared" si="54"/>
        <v>3071532.0248094299</v>
      </c>
      <c r="BK63" s="716"/>
      <c r="BL63" s="716">
        <f t="shared" si="55"/>
        <v>3071532.0248094299</v>
      </c>
      <c r="BM63" s="716"/>
      <c r="BN63" s="716">
        <f t="shared" si="20"/>
        <v>3071532.0248094299</v>
      </c>
      <c r="BO63" s="716"/>
      <c r="BP63" s="716">
        <f t="shared" si="56"/>
        <v>3071532.0248094299</v>
      </c>
      <c r="BQ63" s="716"/>
      <c r="BR63" s="716">
        <f t="shared" si="57"/>
        <v>3071532.0248094299</v>
      </c>
      <c r="BS63" s="716"/>
      <c r="BT63" s="716">
        <f t="shared" si="58"/>
        <v>3071532.0248094299</v>
      </c>
      <c r="BU63" s="716"/>
      <c r="BV63" s="716">
        <f t="shared" si="21"/>
        <v>3071532.0248094299</v>
      </c>
      <c r="BW63" s="716"/>
      <c r="BX63" s="716">
        <f t="shared" si="167"/>
        <v>31400</v>
      </c>
      <c r="BY63" s="716">
        <f t="shared" si="60"/>
        <v>3102932.0248094299</v>
      </c>
      <c r="BZ63" s="716"/>
      <c r="CA63" s="716">
        <f t="shared" si="61"/>
        <v>3102932.0248094299</v>
      </c>
      <c r="CB63" s="1135">
        <f t="shared" si="121"/>
        <v>3102932.0248094299</v>
      </c>
      <c r="CC63" s="1164">
        <f t="shared" si="109"/>
        <v>3102932.0248094299</v>
      </c>
      <c r="CD63" s="1164"/>
      <c r="CE63" s="1164">
        <f t="shared" si="63"/>
        <v>0</v>
      </c>
      <c r="CF63" s="1164">
        <f t="shared" si="115"/>
        <v>0</v>
      </c>
      <c r="CG63" s="1164">
        <f t="shared" si="116"/>
        <v>0</v>
      </c>
      <c r="CH63" s="1154">
        <f t="shared" si="158"/>
        <v>3102932.0248094299</v>
      </c>
      <c r="CI63" s="935">
        <f t="shared" si="137"/>
        <v>3102932.0248094299</v>
      </c>
      <c r="CJ63" s="935">
        <f t="shared" si="64"/>
        <v>0</v>
      </c>
      <c r="CK63" s="935">
        <f t="shared" si="65"/>
        <v>318050.53254296654</v>
      </c>
      <c r="CL63" s="935">
        <f t="shared" si="66"/>
        <v>108602.62086833005</v>
      </c>
      <c r="CM63" s="1006">
        <f t="shared" si="138"/>
        <v>3529585.1782207265</v>
      </c>
      <c r="CN63" s="1007">
        <f t="shared" si="139"/>
        <v>0.125</v>
      </c>
      <c r="CO63" s="935">
        <f t="shared" si="24"/>
        <v>441198.14727759082</v>
      </c>
      <c r="CP63" s="935">
        <f t="shared" si="170"/>
        <v>30000</v>
      </c>
      <c r="CQ63" s="935">
        <f t="shared" si="25"/>
        <v>411198.14727759082</v>
      </c>
      <c r="CR63" s="745">
        <f t="shared" si="141"/>
        <v>1</v>
      </c>
      <c r="CS63" s="935">
        <f t="shared" si="26"/>
        <v>411198.14727759082</v>
      </c>
      <c r="CT63" s="1007">
        <f t="shared" si="68"/>
        <v>0.875</v>
      </c>
      <c r="CU63" s="935">
        <f t="shared" si="69"/>
        <v>3088387.0309431357</v>
      </c>
      <c r="CV63" s="1008">
        <f t="shared" si="110"/>
        <v>23944.231778693495</v>
      </c>
      <c r="CW63" s="1008">
        <f t="shared" si="70"/>
        <v>27759.295747456799</v>
      </c>
      <c r="CX63" s="1008">
        <f t="shared" si="71"/>
        <v>35858.792140132915</v>
      </c>
      <c r="CY63" s="1008">
        <f t="shared" si="72"/>
        <v>61153.764769145651</v>
      </c>
      <c r="CZ63" s="1119">
        <f t="shared" si="122"/>
        <v>250879.4950058086</v>
      </c>
      <c r="DA63" s="1119">
        <f t="shared" si="123"/>
        <v>99271.794069613563</v>
      </c>
      <c r="DB63" s="1119">
        <f t="shared" si="124"/>
        <v>71702.610850744008</v>
      </c>
      <c r="DC63" s="1119">
        <f t="shared" si="125"/>
        <v>54568.987875129271</v>
      </c>
      <c r="DD63" s="1028">
        <f t="shared" si="126"/>
        <v>0.39820425609716309</v>
      </c>
      <c r="DE63" s="1028">
        <f t="shared" si="142"/>
        <v>0</v>
      </c>
      <c r="DF63" s="1009" t="s">
        <v>270</v>
      </c>
      <c r="DG63" s="1009" t="s">
        <v>271</v>
      </c>
      <c r="DH63" s="966">
        <f t="shared" si="111"/>
        <v>45658</v>
      </c>
      <c r="DI63" s="912">
        <f t="shared" si="73"/>
        <v>14</v>
      </c>
      <c r="DJ63" s="939"/>
      <c r="DK63" s="913">
        <f t="shared" si="74"/>
        <v>45723</v>
      </c>
      <c r="DL63" s="912">
        <f t="shared" si="75"/>
        <v>16</v>
      </c>
      <c r="DM63" s="750" t="s">
        <v>272</v>
      </c>
      <c r="DN63" s="750" t="s">
        <v>273</v>
      </c>
      <c r="DO63" s="751">
        <f t="shared" si="31"/>
        <v>40544.433348074788</v>
      </c>
      <c r="DP63" s="751">
        <f t="shared" si="32"/>
        <v>891977.53365764534</v>
      </c>
      <c r="DQ63" s="752">
        <f t="shared" si="127"/>
        <v>0.44598876682882266</v>
      </c>
      <c r="DR63" s="503"/>
      <c r="DS63" s="751">
        <f t="shared" si="128"/>
        <v>3102932.0248094299</v>
      </c>
      <c r="DT63" s="751">
        <f>'[4]INTERNAL PRICELIST'!N57</f>
        <v>2061900</v>
      </c>
      <c r="DU63" s="751">
        <f t="shared" si="33"/>
        <v>1041032.0248094299</v>
      </c>
      <c r="DV63" s="503"/>
      <c r="DW63" s="951">
        <f t="shared" si="129"/>
        <v>141042.36476406499</v>
      </c>
      <c r="DX63" s="503"/>
      <c r="DZ63" s="1010" t="s">
        <v>431</v>
      </c>
      <c r="EA63" s="1052" t="b">
        <f t="shared" si="35"/>
        <v>1</v>
      </c>
      <c r="EB63" s="1053" t="s">
        <v>432</v>
      </c>
      <c r="EC63" s="1053" t="s">
        <v>410</v>
      </c>
      <c r="ED63" s="503"/>
      <c r="EE63" s="1029"/>
      <c r="EF63" s="503"/>
      <c r="EG63" s="503"/>
      <c r="EH63" s="930"/>
      <c r="EI63" s="930"/>
      <c r="EJ63" s="503"/>
      <c r="EK63" s="503"/>
      <c r="EL63" s="503"/>
      <c r="EM63" s="503"/>
      <c r="EN63" s="503"/>
      <c r="EO63" s="503"/>
      <c r="EP63" s="503"/>
      <c r="EQ63" s="503"/>
      <c r="ER63" s="1017" t="s">
        <v>264</v>
      </c>
      <c r="ES63" s="1391" t="s">
        <v>264</v>
      </c>
      <c r="ET63" s="1018" t="b">
        <f t="shared" si="76"/>
        <v>1</v>
      </c>
      <c r="EU63" s="940"/>
      <c r="EV63" s="941"/>
      <c r="EW63" s="940"/>
      <c r="EX63" s="1019">
        <v>2901967.8564336314</v>
      </c>
      <c r="EY63" s="1019">
        <f t="shared" si="143"/>
        <v>435295.17846504471</v>
      </c>
      <c r="EZ63" s="1019">
        <f t="shared" si="144"/>
        <v>2466672.6779685868</v>
      </c>
      <c r="FA63" s="1019">
        <f t="shared" si="145"/>
        <v>290196.78564336314</v>
      </c>
      <c r="FB63" s="1019">
        <f t="shared" si="146"/>
        <v>2611771.0707902685</v>
      </c>
      <c r="FC63" s="1019">
        <f t="shared" si="147"/>
        <v>145098.39282168169</v>
      </c>
      <c r="FD63" s="1020"/>
      <c r="FE63" s="1021"/>
      <c r="FF63" s="1022">
        <f t="shared" si="148"/>
        <v>2466672.6779685868</v>
      </c>
      <c r="FG63" s="1022">
        <f t="shared" si="149"/>
        <v>209667.17762732989</v>
      </c>
      <c r="FH63" s="1022">
        <f t="shared" si="161"/>
        <v>104833.58881366494</v>
      </c>
      <c r="FI63" s="1023">
        <f t="shared" si="150"/>
        <v>2611771.0707902685</v>
      </c>
      <c r="FJ63" s="1023">
        <f t="shared" si="151"/>
        <v>222000.54101717283</v>
      </c>
      <c r="FK63" s="1023">
        <f t="shared" si="152"/>
        <v>111000.27050858641</v>
      </c>
      <c r="FL63" s="1019">
        <f t="shared" si="162"/>
        <v>12333.36338984294</v>
      </c>
      <c r="FM63" s="1019">
        <f t="shared" si="163"/>
        <v>6166.6816949214699</v>
      </c>
      <c r="FN63" s="1019" t="str">
        <f t="shared" si="153"/>
        <v>VS</v>
      </c>
      <c r="FO63" s="1019">
        <f t="shared" si="159"/>
        <v>27537.409960060559</v>
      </c>
      <c r="FP63" s="1019">
        <f t="shared" si="164"/>
        <v>-21370.728265139089</v>
      </c>
      <c r="FQ63" s="1021"/>
      <c r="FR63" s="1021"/>
      <c r="FS63" s="1020"/>
      <c r="FT63" s="503"/>
      <c r="FU63" s="956"/>
      <c r="FV63" s="503"/>
      <c r="FW63" s="503"/>
      <c r="FX63" s="1040"/>
      <c r="FY63" s="503"/>
      <c r="FZ63" s="503"/>
      <c r="GA63" s="503"/>
      <c r="GB63" s="1059"/>
      <c r="GE63" s="503"/>
      <c r="GF63" s="1059"/>
      <c r="GG63" s="956"/>
      <c r="GH63" s="945"/>
      <c r="GI63" s="1024">
        <f t="shared" si="78"/>
        <v>3529585.1782207265</v>
      </c>
      <c r="GJ63" s="1025">
        <f t="shared" si="79"/>
        <v>0.125</v>
      </c>
      <c r="GK63" s="1024">
        <f t="shared" si="80"/>
        <v>441198.14727759082</v>
      </c>
      <c r="GL63" s="1024">
        <f t="shared" si="81"/>
        <v>30000</v>
      </c>
      <c r="GM63" s="1024">
        <f t="shared" si="82"/>
        <v>411198.14727759082</v>
      </c>
      <c r="GN63" s="1024">
        <f t="shared" si="83"/>
        <v>1</v>
      </c>
      <c r="GO63" s="1024">
        <f t="shared" si="84"/>
        <v>411198.14727759082</v>
      </c>
      <c r="GP63" s="1025">
        <f t="shared" si="85"/>
        <v>0.875</v>
      </c>
      <c r="GQ63" s="1024">
        <f t="shared" si="86"/>
        <v>3088387.0309431357</v>
      </c>
      <c r="GR63" s="1024">
        <f t="shared" si="87"/>
        <v>23944.231778693495</v>
      </c>
      <c r="GS63" s="1024">
        <f t="shared" si="88"/>
        <v>27759.295747456799</v>
      </c>
      <c r="GT63" s="1024">
        <f t="shared" si="89"/>
        <v>35858.792140132915</v>
      </c>
      <c r="GU63" s="1024">
        <f t="shared" si="90"/>
        <v>61153.764769145651</v>
      </c>
      <c r="GV63" s="945"/>
      <c r="GW63" s="1024">
        <f t="shared" si="91"/>
        <v>3529585.1782207265</v>
      </c>
      <c r="GX63" s="1025">
        <f t="shared" si="92"/>
        <v>0.125</v>
      </c>
      <c r="GY63" s="1024">
        <f t="shared" si="93"/>
        <v>441198.14727759082</v>
      </c>
      <c r="GZ63" s="1024">
        <f t="shared" si="94"/>
        <v>30000</v>
      </c>
      <c r="HA63" s="1024">
        <f t="shared" si="95"/>
        <v>411198.14727759082</v>
      </c>
      <c r="HB63" s="1026">
        <f t="shared" si="96"/>
        <v>25</v>
      </c>
      <c r="HC63" s="1009">
        <f t="shared" si="97"/>
        <v>16447.925891103634</v>
      </c>
      <c r="HD63" s="1027">
        <f t="shared" si="98"/>
        <v>0.875</v>
      </c>
      <c r="HE63" s="1009">
        <f t="shared" si="99"/>
        <v>3088387.0309431357</v>
      </c>
      <c r="HF63" s="1008">
        <f t="shared" si="100"/>
        <v>23944.231778693495</v>
      </c>
      <c r="HG63" s="1008">
        <f t="shared" si="101"/>
        <v>27759.295747456799</v>
      </c>
      <c r="HH63" s="1008">
        <f t="shared" si="102"/>
        <v>35858.792140132915</v>
      </c>
      <c r="HI63" s="1008">
        <f t="shared" si="103"/>
        <v>61153.764769145651</v>
      </c>
      <c r="HJ63" s="945"/>
      <c r="HK63" s="1009">
        <f t="shared" si="104"/>
        <v>-394750.22138648719</v>
      </c>
      <c r="HL63" s="503"/>
      <c r="HM63" s="503"/>
      <c r="HN63" s="503"/>
      <c r="HO63" s="503"/>
      <c r="HP63" s="503"/>
      <c r="HQ63" s="503"/>
      <c r="HR63" s="956">
        <f t="shared" si="105"/>
        <v>0</v>
      </c>
      <c r="HS63" s="503"/>
      <c r="HT63" s="503"/>
      <c r="HU63" s="956"/>
      <c r="HV63" s="503"/>
      <c r="HW63" s="956"/>
      <c r="HX63" s="956"/>
      <c r="HY63" s="503"/>
      <c r="HZ63" s="503"/>
      <c r="IA63" s="503"/>
      <c r="ID63" s="1394"/>
    </row>
    <row r="64" spans="1:238" s="1051" customFormat="1" ht="14.25" hidden="1" customHeight="1">
      <c r="A64" s="1018">
        <f t="shared" si="155"/>
        <v>58</v>
      </c>
      <c r="B64" s="716" t="s">
        <v>264</v>
      </c>
      <c r="C64" s="741">
        <f t="shared" si="197"/>
        <v>10</v>
      </c>
      <c r="D64" s="716" t="s">
        <v>261</v>
      </c>
      <c r="E64" s="743" t="str">
        <f t="shared" si="36"/>
        <v>5th Floor</v>
      </c>
      <c r="F64" s="1048"/>
      <c r="G64" s="745" t="s">
        <v>433</v>
      </c>
      <c r="H64" s="745" t="s">
        <v>325</v>
      </c>
      <c r="I64" s="745" t="s">
        <v>267</v>
      </c>
      <c r="J64" s="1005">
        <v>22</v>
      </c>
      <c r="K64" s="1049"/>
      <c r="L64" s="1006" t="s">
        <v>268</v>
      </c>
      <c r="M64" s="745" t="s">
        <v>79</v>
      </c>
      <c r="N64" s="1050">
        <v>95909.091</v>
      </c>
      <c r="O64" s="934">
        <f t="shared" si="132"/>
        <v>2110000.0019999999</v>
      </c>
      <c r="P64" s="934">
        <f t="shared" si="156"/>
        <v>22400</v>
      </c>
      <c r="Q64" s="934">
        <f t="shared" si="119"/>
        <v>50000</v>
      </c>
      <c r="R64" s="934"/>
      <c r="S64" s="934"/>
      <c r="T64" s="934"/>
      <c r="U64" s="934"/>
      <c r="V64" s="934"/>
      <c r="W64" s="934"/>
      <c r="X64" s="934"/>
      <c r="Y64" s="934">
        <f t="shared" si="198"/>
        <v>20000</v>
      </c>
      <c r="Z64" s="934">
        <f t="shared" si="133"/>
        <v>75000</v>
      </c>
      <c r="AA64" s="934"/>
      <c r="AB64" s="934"/>
      <c r="AC64" s="934"/>
      <c r="AD64" s="934"/>
      <c r="AE64" s="934">
        <f t="shared" si="14"/>
        <v>167400</v>
      </c>
      <c r="AF64" s="1005">
        <f t="shared" si="15"/>
        <v>2277400.0019999999</v>
      </c>
      <c r="AG64" s="1005">
        <f t="shared" si="37"/>
        <v>56935.000050000002</v>
      </c>
      <c r="AH64" s="1005">
        <f t="shared" si="38"/>
        <v>2334335.0020499998</v>
      </c>
      <c r="AI64" s="1005">
        <f t="shared" si="39"/>
        <v>58358.375051249997</v>
      </c>
      <c r="AJ64" s="1005">
        <f t="shared" si="40"/>
        <v>2392693.37710125</v>
      </c>
      <c r="AK64" s="1005">
        <f t="shared" si="41"/>
        <v>119634.66885506251</v>
      </c>
      <c r="AL64" s="1005">
        <f t="shared" si="157"/>
        <v>2512328.0459563127</v>
      </c>
      <c r="AM64" s="934">
        <f t="shared" si="43"/>
        <v>25123.280459563128</v>
      </c>
      <c r="AN64" s="934">
        <f t="shared" si="44"/>
        <v>27537.409960060559</v>
      </c>
      <c r="AO64" s="934"/>
      <c r="AP64" s="934">
        <f t="shared" si="134"/>
        <v>111000.27050858641</v>
      </c>
      <c r="AQ64" s="1005">
        <f t="shared" si="45"/>
        <v>2675989.0068845227</v>
      </c>
      <c r="AR64" s="1005">
        <f t="shared" si="46"/>
        <v>120419.50530980351</v>
      </c>
      <c r="AS64" s="1147">
        <f t="shared" si="47"/>
        <v>2796408.5121943261</v>
      </c>
      <c r="AT64" s="1148">
        <f t="shared" si="135"/>
        <v>2000000</v>
      </c>
      <c r="AU64" s="1148">
        <f t="shared" si="193"/>
        <v>36200.386917923919</v>
      </c>
      <c r="AV64" s="1148">
        <f t="shared" si="136"/>
        <v>796408.51219432615</v>
      </c>
      <c r="AW64" s="1148">
        <f t="shared" si="17"/>
        <v>95569.021463319135</v>
      </c>
      <c r="AX64" s="1148">
        <f t="shared" si="18"/>
        <v>891977.53365764534</v>
      </c>
      <c r="AY64" s="1147">
        <f t="shared" si="48"/>
        <v>2891977.5336576453</v>
      </c>
      <c r="AZ64" s="934">
        <f t="shared" si="49"/>
        <v>36149.719170720571</v>
      </c>
      <c r="BA64" s="716" t="s">
        <v>269</v>
      </c>
      <c r="BB64" s="716">
        <f t="shared" si="194"/>
        <v>2928127.2528283661</v>
      </c>
      <c r="BC64" s="716" t="s">
        <v>269</v>
      </c>
      <c r="BD64" s="716">
        <f t="shared" si="50"/>
        <v>109804.77198106372</v>
      </c>
      <c r="BE64" s="716">
        <f t="shared" si="51"/>
        <v>33600</v>
      </c>
      <c r="BF64" s="716">
        <f t="shared" si="52"/>
        <v>3071532.0248094299</v>
      </c>
      <c r="BG64" s="716"/>
      <c r="BH64" s="716">
        <f t="shared" si="53"/>
        <v>3071532.0248094299</v>
      </c>
      <c r="BI64" s="716"/>
      <c r="BJ64" s="716">
        <f t="shared" si="54"/>
        <v>3071532.0248094299</v>
      </c>
      <c r="BK64" s="716"/>
      <c r="BL64" s="716">
        <f t="shared" si="55"/>
        <v>3071532.0248094299</v>
      </c>
      <c r="BM64" s="716"/>
      <c r="BN64" s="716">
        <f t="shared" si="20"/>
        <v>3071532.0248094299</v>
      </c>
      <c r="BO64" s="716"/>
      <c r="BP64" s="716">
        <f t="shared" si="56"/>
        <v>3071532.0248094299</v>
      </c>
      <c r="BQ64" s="716"/>
      <c r="BR64" s="716">
        <f t="shared" si="57"/>
        <v>3071532.0248094299</v>
      </c>
      <c r="BS64" s="716"/>
      <c r="BT64" s="716">
        <f t="shared" si="58"/>
        <v>3071532.0248094299</v>
      </c>
      <c r="BU64" s="716"/>
      <c r="BV64" s="716">
        <f t="shared" si="21"/>
        <v>3071532.0248094299</v>
      </c>
      <c r="BW64" s="716"/>
      <c r="BX64" s="716">
        <f t="shared" si="167"/>
        <v>31400</v>
      </c>
      <c r="BY64" s="716">
        <f t="shared" si="60"/>
        <v>3102932.0248094299</v>
      </c>
      <c r="BZ64" s="716"/>
      <c r="CA64" s="716">
        <f t="shared" si="61"/>
        <v>3102932.0248094299</v>
      </c>
      <c r="CB64" s="1135">
        <f t="shared" si="121"/>
        <v>3102932.0248094299</v>
      </c>
      <c r="CC64" s="1164">
        <f t="shared" si="109"/>
        <v>3102932.0248094299</v>
      </c>
      <c r="CD64" s="1164"/>
      <c r="CE64" s="1164">
        <f t="shared" si="63"/>
        <v>0</v>
      </c>
      <c r="CF64" s="1164">
        <f t="shared" si="115"/>
        <v>0</v>
      </c>
      <c r="CG64" s="1164">
        <f t="shared" si="116"/>
        <v>0</v>
      </c>
      <c r="CH64" s="1154">
        <f t="shared" si="158"/>
        <v>3102932.0248094299</v>
      </c>
      <c r="CI64" s="935">
        <f t="shared" si="137"/>
        <v>3102932.0248094299</v>
      </c>
      <c r="CJ64" s="935">
        <f t="shared" si="64"/>
        <v>0</v>
      </c>
      <c r="CK64" s="935">
        <f t="shared" si="65"/>
        <v>318050.53254296654</v>
      </c>
      <c r="CL64" s="935">
        <f t="shared" si="66"/>
        <v>108602.62086833005</v>
      </c>
      <c r="CM64" s="1006">
        <f t="shared" si="138"/>
        <v>3529585.1782207265</v>
      </c>
      <c r="CN64" s="1007">
        <f t="shared" si="139"/>
        <v>0.125</v>
      </c>
      <c r="CO64" s="935">
        <f t="shared" si="24"/>
        <v>441198.14727759082</v>
      </c>
      <c r="CP64" s="935">
        <f t="shared" si="170"/>
        <v>30000</v>
      </c>
      <c r="CQ64" s="935">
        <f t="shared" si="25"/>
        <v>411198.14727759082</v>
      </c>
      <c r="CR64" s="745">
        <f t="shared" si="141"/>
        <v>1</v>
      </c>
      <c r="CS64" s="935">
        <f t="shared" si="26"/>
        <v>411198.14727759082</v>
      </c>
      <c r="CT64" s="1007">
        <f t="shared" si="68"/>
        <v>0.875</v>
      </c>
      <c r="CU64" s="935">
        <f t="shared" si="69"/>
        <v>3088387.0309431357</v>
      </c>
      <c r="CV64" s="1008">
        <f t="shared" si="110"/>
        <v>23944.231778693495</v>
      </c>
      <c r="CW64" s="1008">
        <f t="shared" si="70"/>
        <v>27759.295747456799</v>
      </c>
      <c r="CX64" s="1008">
        <f t="shared" si="71"/>
        <v>35858.792140132915</v>
      </c>
      <c r="CY64" s="1008">
        <f t="shared" si="72"/>
        <v>61153.764769145651</v>
      </c>
      <c r="CZ64" s="1119">
        <f t="shared" si="122"/>
        <v>250879.4950058086</v>
      </c>
      <c r="DA64" s="1119">
        <f t="shared" si="123"/>
        <v>99271.794069613563</v>
      </c>
      <c r="DB64" s="1119">
        <f t="shared" si="124"/>
        <v>71702.610850744008</v>
      </c>
      <c r="DC64" s="1119">
        <f t="shared" si="125"/>
        <v>54568.987875129271</v>
      </c>
      <c r="DD64" s="1028">
        <f t="shared" si="126"/>
        <v>0.39820425609716309</v>
      </c>
      <c r="DE64" s="1028">
        <f t="shared" si="142"/>
        <v>0</v>
      </c>
      <c r="DF64" s="1009" t="s">
        <v>270</v>
      </c>
      <c r="DG64" s="1009" t="s">
        <v>271</v>
      </c>
      <c r="DH64" s="966">
        <f t="shared" si="111"/>
        <v>45658</v>
      </c>
      <c r="DI64" s="912">
        <f t="shared" si="73"/>
        <v>14</v>
      </c>
      <c r="DJ64" s="939"/>
      <c r="DK64" s="913">
        <f t="shared" si="74"/>
        <v>45723</v>
      </c>
      <c r="DL64" s="912">
        <f t="shared" si="75"/>
        <v>16</v>
      </c>
      <c r="DM64" s="750" t="s">
        <v>272</v>
      </c>
      <c r="DN64" s="750" t="s">
        <v>273</v>
      </c>
      <c r="DO64" s="751">
        <f t="shared" si="31"/>
        <v>40544.433348074788</v>
      </c>
      <c r="DP64" s="751">
        <f t="shared" si="32"/>
        <v>891977.53365764534</v>
      </c>
      <c r="DQ64" s="752">
        <f t="shared" si="127"/>
        <v>0.44598876682882266</v>
      </c>
      <c r="DR64" s="503"/>
      <c r="DS64" s="751">
        <f t="shared" si="128"/>
        <v>3102932.0248094299</v>
      </c>
      <c r="DT64" s="751">
        <f>'[4]INTERNAL PRICELIST'!N58</f>
        <v>2061900</v>
      </c>
      <c r="DU64" s="751">
        <f t="shared" si="33"/>
        <v>1041032.0248094299</v>
      </c>
      <c r="DV64" s="503"/>
      <c r="DW64" s="951">
        <f t="shared" si="129"/>
        <v>141042.36476406499</v>
      </c>
      <c r="DX64" s="503"/>
      <c r="DZ64" s="1010" t="s">
        <v>433</v>
      </c>
      <c r="EA64" s="1052" t="b">
        <f t="shared" si="35"/>
        <v>1</v>
      </c>
      <c r="EB64" s="1072" t="s">
        <v>434</v>
      </c>
      <c r="EC64" s="1053" t="s">
        <v>410</v>
      </c>
      <c r="ED64" s="503"/>
      <c r="EE64" s="1029"/>
      <c r="EF64" s="503"/>
      <c r="EG64" s="503"/>
      <c r="EH64" s="930"/>
      <c r="EI64" s="930"/>
      <c r="EJ64" s="503"/>
      <c r="EK64" s="503"/>
      <c r="EL64" s="503"/>
      <c r="EM64" s="503"/>
      <c r="EN64" s="503"/>
      <c r="EO64" s="503"/>
      <c r="EP64" s="503"/>
      <c r="EQ64" s="503"/>
      <c r="ER64" s="1017" t="s">
        <v>264</v>
      </c>
      <c r="ES64" s="1391" t="s">
        <v>264</v>
      </c>
      <c r="ET64" s="1018" t="b">
        <f t="shared" si="76"/>
        <v>1</v>
      </c>
      <c r="EU64" s="940"/>
      <c r="EV64" s="941"/>
      <c r="EW64" s="940"/>
      <c r="EX64" s="1019">
        <v>2901967.8564336314</v>
      </c>
      <c r="EY64" s="1019">
        <f t="shared" si="143"/>
        <v>435295.17846504471</v>
      </c>
      <c r="EZ64" s="1019">
        <f t="shared" si="144"/>
        <v>2466672.6779685868</v>
      </c>
      <c r="FA64" s="1019">
        <f t="shared" si="145"/>
        <v>290196.78564336314</v>
      </c>
      <c r="FB64" s="1019">
        <f t="shared" si="146"/>
        <v>2611771.0707902685</v>
      </c>
      <c r="FC64" s="1019">
        <f t="shared" si="147"/>
        <v>145098.39282168169</v>
      </c>
      <c r="FD64" s="1020"/>
      <c r="FE64" s="1021"/>
      <c r="FF64" s="1022">
        <f t="shared" si="148"/>
        <v>2466672.6779685868</v>
      </c>
      <c r="FG64" s="1022">
        <f t="shared" si="149"/>
        <v>209667.17762732989</v>
      </c>
      <c r="FH64" s="1022">
        <f t="shared" si="161"/>
        <v>104833.58881366494</v>
      </c>
      <c r="FI64" s="1023">
        <f t="shared" si="150"/>
        <v>2611771.0707902685</v>
      </c>
      <c r="FJ64" s="1023">
        <f t="shared" si="151"/>
        <v>222000.54101717283</v>
      </c>
      <c r="FK64" s="1023">
        <f t="shared" si="152"/>
        <v>111000.27050858641</v>
      </c>
      <c r="FL64" s="1019">
        <f t="shared" si="162"/>
        <v>12333.36338984294</v>
      </c>
      <c r="FM64" s="1019">
        <f t="shared" si="163"/>
        <v>6166.6816949214699</v>
      </c>
      <c r="FN64" s="1019" t="str">
        <f t="shared" si="153"/>
        <v>VS</v>
      </c>
      <c r="FO64" s="1019">
        <f t="shared" si="159"/>
        <v>27537.409960060559</v>
      </c>
      <c r="FP64" s="1019">
        <f t="shared" si="164"/>
        <v>-21370.728265139089</v>
      </c>
      <c r="FQ64" s="1021"/>
      <c r="FR64" s="1021"/>
      <c r="FS64" s="1020"/>
      <c r="FT64" s="503"/>
      <c r="FU64" s="956"/>
      <c r="FV64" s="503"/>
      <c r="FW64" s="503"/>
      <c r="FX64" s="1040"/>
      <c r="FY64" s="503"/>
      <c r="FZ64" s="503"/>
      <c r="GA64" s="503"/>
      <c r="GB64" s="1059"/>
      <c r="GE64" s="503"/>
      <c r="GF64" s="1059"/>
      <c r="GG64" s="956"/>
      <c r="GH64" s="945"/>
      <c r="GI64" s="1024">
        <f t="shared" si="78"/>
        <v>3529585.1782207265</v>
      </c>
      <c r="GJ64" s="1025">
        <f t="shared" si="79"/>
        <v>0.125</v>
      </c>
      <c r="GK64" s="1024">
        <f t="shared" si="80"/>
        <v>441198.14727759082</v>
      </c>
      <c r="GL64" s="1024">
        <f t="shared" si="81"/>
        <v>30000</v>
      </c>
      <c r="GM64" s="1024">
        <f t="shared" si="82"/>
        <v>411198.14727759082</v>
      </c>
      <c r="GN64" s="1024">
        <f t="shared" si="83"/>
        <v>1</v>
      </c>
      <c r="GO64" s="1024">
        <f t="shared" si="84"/>
        <v>411198.14727759082</v>
      </c>
      <c r="GP64" s="1025">
        <f t="shared" si="85"/>
        <v>0.875</v>
      </c>
      <c r="GQ64" s="1024">
        <f t="shared" si="86"/>
        <v>3088387.0309431357</v>
      </c>
      <c r="GR64" s="1024">
        <f t="shared" si="87"/>
        <v>23944.231778693495</v>
      </c>
      <c r="GS64" s="1024">
        <f t="shared" si="88"/>
        <v>27759.295747456799</v>
      </c>
      <c r="GT64" s="1024">
        <f t="shared" si="89"/>
        <v>35858.792140132915</v>
      </c>
      <c r="GU64" s="1024">
        <f t="shared" si="90"/>
        <v>61153.764769145651</v>
      </c>
      <c r="GV64" s="945"/>
      <c r="GW64" s="1024">
        <f t="shared" si="91"/>
        <v>3529585.1782207265</v>
      </c>
      <c r="GX64" s="1025">
        <f t="shared" si="92"/>
        <v>0.125</v>
      </c>
      <c r="GY64" s="1024">
        <f t="shared" si="93"/>
        <v>441198.14727759082</v>
      </c>
      <c r="GZ64" s="1024">
        <f t="shared" si="94"/>
        <v>30000</v>
      </c>
      <c r="HA64" s="1024">
        <f t="shared" si="95"/>
        <v>411198.14727759082</v>
      </c>
      <c r="HB64" s="1026">
        <f t="shared" si="96"/>
        <v>25</v>
      </c>
      <c r="HC64" s="1009">
        <f t="shared" si="97"/>
        <v>16447.925891103634</v>
      </c>
      <c r="HD64" s="1027">
        <f t="shared" si="98"/>
        <v>0.875</v>
      </c>
      <c r="HE64" s="1009">
        <f t="shared" si="99"/>
        <v>3088387.0309431357</v>
      </c>
      <c r="HF64" s="1008">
        <f t="shared" si="100"/>
        <v>23944.231778693495</v>
      </c>
      <c r="HG64" s="1008">
        <f t="shared" si="101"/>
        <v>27759.295747456799</v>
      </c>
      <c r="HH64" s="1008">
        <f t="shared" si="102"/>
        <v>35858.792140132915</v>
      </c>
      <c r="HI64" s="1008">
        <f t="shared" si="103"/>
        <v>61153.764769145651</v>
      </c>
      <c r="HJ64" s="945"/>
      <c r="HK64" s="1009">
        <f t="shared" si="104"/>
        <v>-394750.22138648719</v>
      </c>
      <c r="HL64" s="503"/>
      <c r="HM64" s="503"/>
      <c r="HN64" s="503"/>
      <c r="HO64" s="503"/>
      <c r="HP64" s="503"/>
      <c r="HQ64" s="503"/>
      <c r="HR64" s="956">
        <f t="shared" si="105"/>
        <v>0</v>
      </c>
      <c r="HS64" s="503"/>
      <c r="HT64" s="503"/>
      <c r="HU64" s="956"/>
      <c r="HV64" s="503"/>
      <c r="HW64" s="956"/>
      <c r="HX64" s="956"/>
      <c r="HY64" s="503"/>
      <c r="HZ64" s="503"/>
      <c r="IA64" s="503"/>
      <c r="ID64" s="1394"/>
    </row>
    <row r="65" spans="1:238" s="1051" customFormat="1" ht="14.25" hidden="1" customHeight="1">
      <c r="A65" s="1018">
        <f t="shared" si="155"/>
        <v>59</v>
      </c>
      <c r="B65" s="716" t="s">
        <v>264</v>
      </c>
      <c r="C65" s="741">
        <f t="shared" si="197"/>
        <v>11</v>
      </c>
      <c r="D65" s="716" t="s">
        <v>261</v>
      </c>
      <c r="E65" s="743" t="str">
        <f t="shared" si="36"/>
        <v>5th Floor</v>
      </c>
      <c r="F65" s="1048"/>
      <c r="G65" s="745" t="s">
        <v>435</v>
      </c>
      <c r="H65" s="745" t="s">
        <v>328</v>
      </c>
      <c r="I65" s="745" t="s">
        <v>267</v>
      </c>
      <c r="J65" s="1005">
        <v>22</v>
      </c>
      <c r="K65" s="1049"/>
      <c r="L65" s="1006" t="s">
        <v>268</v>
      </c>
      <c r="M65" s="745" t="s">
        <v>79</v>
      </c>
      <c r="N65" s="1050">
        <v>95909.091</v>
      </c>
      <c r="O65" s="934">
        <f t="shared" si="132"/>
        <v>2110000.0019999999</v>
      </c>
      <c r="P65" s="934">
        <f t="shared" si="156"/>
        <v>22400</v>
      </c>
      <c r="Q65" s="934">
        <f t="shared" si="119"/>
        <v>50000</v>
      </c>
      <c r="R65" s="934"/>
      <c r="S65" s="934"/>
      <c r="T65" s="934"/>
      <c r="U65" s="934"/>
      <c r="V65" s="749"/>
      <c r="W65" s="934"/>
      <c r="X65" s="934"/>
      <c r="Y65" s="934">
        <f t="shared" si="198"/>
        <v>20000</v>
      </c>
      <c r="Z65" s="934">
        <f t="shared" si="133"/>
        <v>75000</v>
      </c>
      <c r="AA65" s="934"/>
      <c r="AB65" s="934"/>
      <c r="AC65" s="934"/>
      <c r="AD65" s="934"/>
      <c r="AE65" s="934">
        <f t="shared" si="14"/>
        <v>167400</v>
      </c>
      <c r="AF65" s="1005">
        <f t="shared" si="15"/>
        <v>2277400.0019999999</v>
      </c>
      <c r="AG65" s="1005">
        <f t="shared" si="37"/>
        <v>56935.000050000002</v>
      </c>
      <c r="AH65" s="1005">
        <f t="shared" si="38"/>
        <v>2334335.0020499998</v>
      </c>
      <c r="AI65" s="1005">
        <f t="shared" si="39"/>
        <v>58358.375051249997</v>
      </c>
      <c r="AJ65" s="1005">
        <f t="shared" si="40"/>
        <v>2392693.37710125</v>
      </c>
      <c r="AK65" s="1005">
        <f t="shared" si="41"/>
        <v>119634.66885506251</v>
      </c>
      <c r="AL65" s="1005">
        <f t="shared" si="157"/>
        <v>2512328.0459563127</v>
      </c>
      <c r="AM65" s="934">
        <f t="shared" si="43"/>
        <v>25123.280459563128</v>
      </c>
      <c r="AN65" s="934">
        <f t="shared" si="44"/>
        <v>27537.409960060559</v>
      </c>
      <c r="AO65" s="934"/>
      <c r="AP65" s="934">
        <f t="shared" si="134"/>
        <v>111000.27050858641</v>
      </c>
      <c r="AQ65" s="1005">
        <f t="shared" si="45"/>
        <v>2675989.0068845227</v>
      </c>
      <c r="AR65" s="1005">
        <f t="shared" si="46"/>
        <v>120419.50530980351</v>
      </c>
      <c r="AS65" s="1147">
        <f t="shared" si="47"/>
        <v>2796408.5121943261</v>
      </c>
      <c r="AT65" s="1148">
        <f t="shared" si="135"/>
        <v>2000000</v>
      </c>
      <c r="AU65" s="1148">
        <f t="shared" si="193"/>
        <v>36200.386917923919</v>
      </c>
      <c r="AV65" s="1148">
        <f t="shared" si="136"/>
        <v>796408.51219432615</v>
      </c>
      <c r="AW65" s="1148">
        <f t="shared" si="17"/>
        <v>95569.021463319135</v>
      </c>
      <c r="AX65" s="1148">
        <f t="shared" si="18"/>
        <v>891977.53365764534</v>
      </c>
      <c r="AY65" s="1147">
        <f t="shared" si="48"/>
        <v>2891977.5336576453</v>
      </c>
      <c r="AZ65" s="934">
        <f t="shared" si="49"/>
        <v>36149.719170720571</v>
      </c>
      <c r="BA65" s="716" t="s">
        <v>269</v>
      </c>
      <c r="BB65" s="716">
        <f t="shared" si="194"/>
        <v>2928127.2528283661</v>
      </c>
      <c r="BC65" s="716" t="s">
        <v>269</v>
      </c>
      <c r="BD65" s="716">
        <f t="shared" si="50"/>
        <v>109804.77198106372</v>
      </c>
      <c r="BE65" s="716">
        <f t="shared" si="51"/>
        <v>33600</v>
      </c>
      <c r="BF65" s="716">
        <f t="shared" si="52"/>
        <v>3071532.0248094299</v>
      </c>
      <c r="BG65" s="716"/>
      <c r="BH65" s="716">
        <f t="shared" si="53"/>
        <v>3071532.0248094299</v>
      </c>
      <c r="BI65" s="716"/>
      <c r="BJ65" s="716">
        <f t="shared" si="54"/>
        <v>3071532.0248094299</v>
      </c>
      <c r="BK65" s="716"/>
      <c r="BL65" s="716">
        <f t="shared" si="55"/>
        <v>3071532.0248094299</v>
      </c>
      <c r="BM65" s="716"/>
      <c r="BN65" s="716">
        <f t="shared" si="20"/>
        <v>3071532.0248094299</v>
      </c>
      <c r="BO65" s="716"/>
      <c r="BP65" s="716">
        <f t="shared" si="56"/>
        <v>3071532.0248094299</v>
      </c>
      <c r="BQ65" s="716"/>
      <c r="BR65" s="716">
        <f t="shared" si="57"/>
        <v>3071532.0248094299</v>
      </c>
      <c r="BS65" s="716"/>
      <c r="BT65" s="716">
        <f t="shared" si="58"/>
        <v>3071532.0248094299</v>
      </c>
      <c r="BU65" s="716"/>
      <c r="BV65" s="716">
        <f t="shared" si="21"/>
        <v>3071532.0248094299</v>
      </c>
      <c r="BW65" s="716"/>
      <c r="BX65" s="716">
        <f t="shared" si="167"/>
        <v>31400</v>
      </c>
      <c r="BY65" s="716">
        <f t="shared" si="60"/>
        <v>3102932.0248094299</v>
      </c>
      <c r="BZ65" s="716"/>
      <c r="CA65" s="716">
        <f t="shared" si="61"/>
        <v>3102932.0248094299</v>
      </c>
      <c r="CB65" s="1135">
        <f t="shared" si="121"/>
        <v>3102932.0248094299</v>
      </c>
      <c r="CC65" s="1164">
        <f t="shared" si="109"/>
        <v>3102932.0248094299</v>
      </c>
      <c r="CD65" s="1164"/>
      <c r="CE65" s="1164">
        <f t="shared" si="63"/>
        <v>0</v>
      </c>
      <c r="CF65" s="1164">
        <f t="shared" si="115"/>
        <v>0</v>
      </c>
      <c r="CG65" s="1164">
        <f t="shared" si="116"/>
        <v>0</v>
      </c>
      <c r="CH65" s="1154">
        <f t="shared" si="158"/>
        <v>3102932.0248094299</v>
      </c>
      <c r="CI65" s="935">
        <f t="shared" si="137"/>
        <v>3102932.0248094299</v>
      </c>
      <c r="CJ65" s="935">
        <f t="shared" si="64"/>
        <v>0</v>
      </c>
      <c r="CK65" s="935">
        <f t="shared" si="65"/>
        <v>318050.53254296654</v>
      </c>
      <c r="CL65" s="935">
        <f t="shared" si="66"/>
        <v>108602.62086833005</v>
      </c>
      <c r="CM65" s="1006">
        <f t="shared" si="138"/>
        <v>3529585.1782207265</v>
      </c>
      <c r="CN65" s="1007">
        <f t="shared" si="139"/>
        <v>0.125</v>
      </c>
      <c r="CO65" s="935">
        <f t="shared" si="24"/>
        <v>441198.14727759082</v>
      </c>
      <c r="CP65" s="935">
        <f t="shared" si="170"/>
        <v>30000</v>
      </c>
      <c r="CQ65" s="935">
        <f t="shared" si="25"/>
        <v>411198.14727759082</v>
      </c>
      <c r="CR65" s="745">
        <f t="shared" si="141"/>
        <v>1</v>
      </c>
      <c r="CS65" s="935">
        <f t="shared" si="26"/>
        <v>411198.14727759082</v>
      </c>
      <c r="CT65" s="1007">
        <f t="shared" si="68"/>
        <v>0.875</v>
      </c>
      <c r="CU65" s="935">
        <f t="shared" si="69"/>
        <v>3088387.0309431357</v>
      </c>
      <c r="CV65" s="1008">
        <f t="shared" si="110"/>
        <v>23944.231778693495</v>
      </c>
      <c r="CW65" s="1008">
        <f t="shared" si="70"/>
        <v>27759.295747456799</v>
      </c>
      <c r="CX65" s="1008">
        <f t="shared" si="71"/>
        <v>35858.792140132915</v>
      </c>
      <c r="CY65" s="1008">
        <f t="shared" si="72"/>
        <v>61153.764769145651</v>
      </c>
      <c r="CZ65" s="1119">
        <f t="shared" si="122"/>
        <v>250879.4950058086</v>
      </c>
      <c r="DA65" s="1119">
        <f t="shared" si="123"/>
        <v>99271.794069613563</v>
      </c>
      <c r="DB65" s="1119">
        <f t="shared" si="124"/>
        <v>71702.610850744008</v>
      </c>
      <c r="DC65" s="1119">
        <f t="shared" si="125"/>
        <v>54568.987875129271</v>
      </c>
      <c r="DD65" s="1028">
        <f t="shared" si="126"/>
        <v>0.39820425609716309</v>
      </c>
      <c r="DE65" s="1028">
        <f t="shared" si="142"/>
        <v>0</v>
      </c>
      <c r="DF65" s="1009" t="s">
        <v>270</v>
      </c>
      <c r="DG65" s="1009" t="s">
        <v>271</v>
      </c>
      <c r="DH65" s="966">
        <f t="shared" si="111"/>
        <v>45658</v>
      </c>
      <c r="DI65" s="912">
        <f t="shared" si="73"/>
        <v>14</v>
      </c>
      <c r="DJ65" s="939"/>
      <c r="DK65" s="913">
        <f t="shared" si="74"/>
        <v>45723</v>
      </c>
      <c r="DL65" s="912">
        <f t="shared" si="75"/>
        <v>16</v>
      </c>
      <c r="DM65" s="750" t="s">
        <v>272</v>
      </c>
      <c r="DN65" s="750" t="s">
        <v>273</v>
      </c>
      <c r="DO65" s="751">
        <f t="shared" si="31"/>
        <v>40544.433348074788</v>
      </c>
      <c r="DP65" s="751">
        <f t="shared" si="32"/>
        <v>891977.53365764534</v>
      </c>
      <c r="DQ65" s="752">
        <f t="shared" si="127"/>
        <v>0.44598876682882266</v>
      </c>
      <c r="DR65" s="503"/>
      <c r="DS65" s="751">
        <f t="shared" si="128"/>
        <v>3102932.0248094299</v>
      </c>
      <c r="DT65" s="751">
        <f>'[4]INTERNAL PRICELIST'!N59</f>
        <v>2063804</v>
      </c>
      <c r="DU65" s="751">
        <f t="shared" si="33"/>
        <v>1039128.0248094299</v>
      </c>
      <c r="DV65" s="503"/>
      <c r="DW65" s="951">
        <f t="shared" si="129"/>
        <v>141042.36476406499</v>
      </c>
      <c r="DX65" s="503"/>
      <c r="DZ65" s="1010" t="s">
        <v>435</v>
      </c>
      <c r="EA65" s="1052" t="b">
        <f t="shared" si="35"/>
        <v>1</v>
      </c>
      <c r="EB65" s="1072" t="s">
        <v>436</v>
      </c>
      <c r="EC65" s="1053" t="s">
        <v>410</v>
      </c>
      <c r="ED65" s="503"/>
      <c r="EE65" s="1029"/>
      <c r="EF65" s="503"/>
      <c r="EG65" s="503"/>
      <c r="EH65" s="930"/>
      <c r="EI65" s="930"/>
      <c r="EJ65" s="503"/>
      <c r="EK65" s="503"/>
      <c r="EL65" s="503"/>
      <c r="EM65" s="503"/>
      <c r="EN65" s="503"/>
      <c r="EO65" s="503"/>
      <c r="EP65" s="503"/>
      <c r="EQ65" s="503"/>
      <c r="ER65" s="1017" t="s">
        <v>264</v>
      </c>
      <c r="ES65" s="1391" t="s">
        <v>264</v>
      </c>
      <c r="ET65" s="1018" t="b">
        <f t="shared" si="76"/>
        <v>1</v>
      </c>
      <c r="EU65" s="940"/>
      <c r="EV65" s="941"/>
      <c r="EW65" s="940"/>
      <c r="EX65" s="1019">
        <v>2901967.8564336314</v>
      </c>
      <c r="EY65" s="1019">
        <f t="shared" si="143"/>
        <v>435295.17846504471</v>
      </c>
      <c r="EZ65" s="1019">
        <f t="shared" si="144"/>
        <v>2466672.6779685868</v>
      </c>
      <c r="FA65" s="1019">
        <f t="shared" si="145"/>
        <v>290196.78564336314</v>
      </c>
      <c r="FB65" s="1019">
        <f t="shared" si="146"/>
        <v>2611771.0707902685</v>
      </c>
      <c r="FC65" s="1019">
        <f t="shared" si="147"/>
        <v>145098.39282168169</v>
      </c>
      <c r="FD65" s="1020"/>
      <c r="FE65" s="1021"/>
      <c r="FF65" s="1022">
        <f t="shared" si="148"/>
        <v>2466672.6779685868</v>
      </c>
      <c r="FG65" s="1022">
        <f t="shared" si="149"/>
        <v>209667.17762732989</v>
      </c>
      <c r="FH65" s="1022">
        <f t="shared" si="161"/>
        <v>104833.58881366494</v>
      </c>
      <c r="FI65" s="1023">
        <f t="shared" si="150"/>
        <v>2611771.0707902685</v>
      </c>
      <c r="FJ65" s="1023">
        <f t="shared" si="151"/>
        <v>222000.54101717283</v>
      </c>
      <c r="FK65" s="1023">
        <f t="shared" si="152"/>
        <v>111000.27050858641</v>
      </c>
      <c r="FL65" s="1019">
        <f t="shared" si="162"/>
        <v>12333.36338984294</v>
      </c>
      <c r="FM65" s="1019">
        <f t="shared" si="163"/>
        <v>6166.6816949214699</v>
      </c>
      <c r="FN65" s="1019" t="str">
        <f t="shared" si="153"/>
        <v>VS</v>
      </c>
      <c r="FO65" s="1019">
        <f t="shared" si="159"/>
        <v>27537.409960060559</v>
      </c>
      <c r="FP65" s="1019">
        <f t="shared" si="164"/>
        <v>-21370.728265139089</v>
      </c>
      <c r="FQ65" s="1021"/>
      <c r="FR65" s="1021"/>
      <c r="FS65" s="1020"/>
      <c r="FT65" s="503"/>
      <c r="FU65" s="956"/>
      <c r="FV65" s="503"/>
      <c r="FW65" s="503"/>
      <c r="FX65" s="1040"/>
      <c r="FY65" s="503"/>
      <c r="FZ65" s="503"/>
      <c r="GA65" s="503"/>
      <c r="GB65" s="1059"/>
      <c r="GE65" s="503"/>
      <c r="GF65" s="1059"/>
      <c r="GG65" s="956"/>
      <c r="GH65" s="945"/>
      <c r="GI65" s="1024">
        <f t="shared" si="78"/>
        <v>3529585.1782207265</v>
      </c>
      <c r="GJ65" s="1025">
        <f t="shared" si="79"/>
        <v>0.125</v>
      </c>
      <c r="GK65" s="1024">
        <f t="shared" si="80"/>
        <v>441198.14727759082</v>
      </c>
      <c r="GL65" s="1024">
        <f t="shared" si="81"/>
        <v>30000</v>
      </c>
      <c r="GM65" s="1024">
        <f t="shared" si="82"/>
        <v>411198.14727759082</v>
      </c>
      <c r="GN65" s="1024">
        <f t="shared" si="83"/>
        <v>1</v>
      </c>
      <c r="GO65" s="1024">
        <f t="shared" si="84"/>
        <v>411198.14727759082</v>
      </c>
      <c r="GP65" s="1025">
        <f t="shared" si="85"/>
        <v>0.875</v>
      </c>
      <c r="GQ65" s="1024">
        <f t="shared" si="86"/>
        <v>3088387.0309431357</v>
      </c>
      <c r="GR65" s="1024">
        <f t="shared" si="87"/>
        <v>23944.231778693495</v>
      </c>
      <c r="GS65" s="1024">
        <f t="shared" si="88"/>
        <v>27759.295747456799</v>
      </c>
      <c r="GT65" s="1024">
        <f t="shared" si="89"/>
        <v>35858.792140132915</v>
      </c>
      <c r="GU65" s="1024">
        <f t="shared" si="90"/>
        <v>61153.764769145651</v>
      </c>
      <c r="GV65" s="945"/>
      <c r="GW65" s="1024">
        <f t="shared" si="91"/>
        <v>3529585.1782207265</v>
      </c>
      <c r="GX65" s="1025">
        <f t="shared" si="92"/>
        <v>0.125</v>
      </c>
      <c r="GY65" s="1024">
        <f t="shared" si="93"/>
        <v>441198.14727759082</v>
      </c>
      <c r="GZ65" s="1024">
        <f t="shared" si="94"/>
        <v>30000</v>
      </c>
      <c r="HA65" s="1024">
        <f t="shared" si="95"/>
        <v>411198.14727759082</v>
      </c>
      <c r="HB65" s="1026">
        <f t="shared" si="96"/>
        <v>25</v>
      </c>
      <c r="HC65" s="1009">
        <f t="shared" si="97"/>
        <v>16447.925891103634</v>
      </c>
      <c r="HD65" s="1027">
        <f t="shared" si="98"/>
        <v>0.875</v>
      </c>
      <c r="HE65" s="1009">
        <f t="shared" si="99"/>
        <v>3088387.0309431357</v>
      </c>
      <c r="HF65" s="1008">
        <f t="shared" si="100"/>
        <v>23944.231778693495</v>
      </c>
      <c r="HG65" s="1008">
        <f t="shared" si="101"/>
        <v>27759.295747456799</v>
      </c>
      <c r="HH65" s="1008">
        <f t="shared" si="102"/>
        <v>35858.792140132915</v>
      </c>
      <c r="HI65" s="1008">
        <f t="shared" si="103"/>
        <v>61153.764769145651</v>
      </c>
      <c r="HJ65" s="945"/>
      <c r="HK65" s="1009">
        <f t="shared" si="104"/>
        <v>-394750.22138648719</v>
      </c>
      <c r="HL65" s="503"/>
      <c r="HM65" s="503"/>
      <c r="HN65" s="503"/>
      <c r="HO65" s="503"/>
      <c r="HP65" s="503"/>
      <c r="HQ65" s="503"/>
      <c r="HR65" s="956">
        <f t="shared" si="105"/>
        <v>0</v>
      </c>
      <c r="HS65" s="503"/>
      <c r="HT65" s="503"/>
      <c r="HU65" s="956"/>
      <c r="HV65" s="503"/>
      <c r="HW65" s="956"/>
      <c r="HX65" s="956"/>
      <c r="HY65" s="503"/>
      <c r="HZ65" s="503"/>
      <c r="IA65" s="503"/>
      <c r="ID65" s="1394"/>
    </row>
    <row r="66" spans="1:238" s="1051" customFormat="1" ht="14.25" hidden="1" customHeight="1">
      <c r="A66" s="1018">
        <f t="shared" si="155"/>
        <v>60</v>
      </c>
      <c r="B66" s="716" t="s">
        <v>264</v>
      </c>
      <c r="C66" s="741">
        <f t="shared" si="197"/>
        <v>12</v>
      </c>
      <c r="D66" s="716" t="s">
        <v>261</v>
      </c>
      <c r="E66" s="743" t="str">
        <f t="shared" si="36"/>
        <v>5th Floor</v>
      </c>
      <c r="F66" s="1048"/>
      <c r="G66" s="745" t="s">
        <v>437</v>
      </c>
      <c r="H66" s="745" t="s">
        <v>331</v>
      </c>
      <c r="I66" s="745" t="s">
        <v>267</v>
      </c>
      <c r="J66" s="1005">
        <v>22</v>
      </c>
      <c r="K66" s="1049"/>
      <c r="L66" s="1006" t="s">
        <v>268</v>
      </c>
      <c r="M66" s="745" t="s">
        <v>79</v>
      </c>
      <c r="N66" s="1050">
        <v>95909.091</v>
      </c>
      <c r="O66" s="934">
        <f t="shared" si="132"/>
        <v>2110000.0019999999</v>
      </c>
      <c r="P66" s="934">
        <f t="shared" si="156"/>
        <v>22400</v>
      </c>
      <c r="Q66" s="934">
        <f t="shared" si="119"/>
        <v>50000</v>
      </c>
      <c r="R66" s="934"/>
      <c r="S66" s="934"/>
      <c r="T66" s="934"/>
      <c r="U66" s="934"/>
      <c r="V66" s="749"/>
      <c r="W66" s="934"/>
      <c r="X66" s="934"/>
      <c r="Y66" s="934">
        <f t="shared" si="198"/>
        <v>20000</v>
      </c>
      <c r="Z66" s="934">
        <f t="shared" si="133"/>
        <v>75000</v>
      </c>
      <c r="AA66" s="934"/>
      <c r="AB66" s="934"/>
      <c r="AC66" s="934"/>
      <c r="AD66" s="934"/>
      <c r="AE66" s="934">
        <f t="shared" si="14"/>
        <v>167400</v>
      </c>
      <c r="AF66" s="1005">
        <f t="shared" si="15"/>
        <v>2277400.0019999999</v>
      </c>
      <c r="AG66" s="1005">
        <f t="shared" si="37"/>
        <v>56935.000050000002</v>
      </c>
      <c r="AH66" s="1005">
        <f t="shared" si="38"/>
        <v>2334335.0020499998</v>
      </c>
      <c r="AI66" s="1005">
        <f t="shared" si="39"/>
        <v>58358.375051249997</v>
      </c>
      <c r="AJ66" s="1005">
        <f t="shared" si="40"/>
        <v>2392693.37710125</v>
      </c>
      <c r="AK66" s="1005">
        <f t="shared" si="41"/>
        <v>119634.66885506251</v>
      </c>
      <c r="AL66" s="1005">
        <f t="shared" si="157"/>
        <v>2512328.0459563127</v>
      </c>
      <c r="AM66" s="934">
        <f t="shared" si="43"/>
        <v>25123.280459563128</v>
      </c>
      <c r="AN66" s="934">
        <f t="shared" si="44"/>
        <v>27537.409960060559</v>
      </c>
      <c r="AO66" s="934"/>
      <c r="AP66" s="934">
        <f t="shared" si="134"/>
        <v>111000.27050858641</v>
      </c>
      <c r="AQ66" s="1005">
        <f t="shared" si="45"/>
        <v>2675989.0068845227</v>
      </c>
      <c r="AR66" s="1005">
        <f t="shared" si="46"/>
        <v>120419.50530980351</v>
      </c>
      <c r="AS66" s="1147">
        <f t="shared" si="47"/>
        <v>2796408.5121943261</v>
      </c>
      <c r="AT66" s="1148">
        <f t="shared" si="135"/>
        <v>2000000</v>
      </c>
      <c r="AU66" s="1148">
        <f t="shared" si="193"/>
        <v>36200.386917923919</v>
      </c>
      <c r="AV66" s="1148">
        <f t="shared" si="136"/>
        <v>796408.51219432615</v>
      </c>
      <c r="AW66" s="1148">
        <f t="shared" si="17"/>
        <v>95569.021463319135</v>
      </c>
      <c r="AX66" s="1148">
        <f t="shared" si="18"/>
        <v>891977.53365764534</v>
      </c>
      <c r="AY66" s="1147">
        <f t="shared" si="48"/>
        <v>2891977.5336576453</v>
      </c>
      <c r="AZ66" s="934">
        <f t="shared" si="49"/>
        <v>36149.719170720571</v>
      </c>
      <c r="BA66" s="716" t="s">
        <v>269</v>
      </c>
      <c r="BB66" s="716">
        <f t="shared" si="194"/>
        <v>2928127.2528283661</v>
      </c>
      <c r="BC66" s="716" t="s">
        <v>269</v>
      </c>
      <c r="BD66" s="716">
        <f t="shared" si="50"/>
        <v>109804.77198106372</v>
      </c>
      <c r="BE66" s="716">
        <f t="shared" si="51"/>
        <v>33600</v>
      </c>
      <c r="BF66" s="716">
        <f t="shared" si="52"/>
        <v>3071532.0248094299</v>
      </c>
      <c r="BG66" s="716"/>
      <c r="BH66" s="716">
        <f t="shared" si="53"/>
        <v>3071532.0248094299</v>
      </c>
      <c r="BI66" s="716"/>
      <c r="BJ66" s="716">
        <f t="shared" si="54"/>
        <v>3071532.0248094299</v>
      </c>
      <c r="BK66" s="716"/>
      <c r="BL66" s="716">
        <f t="shared" si="55"/>
        <v>3071532.0248094299</v>
      </c>
      <c r="BM66" s="716"/>
      <c r="BN66" s="716">
        <f t="shared" si="20"/>
        <v>3071532.0248094299</v>
      </c>
      <c r="BO66" s="716"/>
      <c r="BP66" s="716">
        <f t="shared" si="56"/>
        <v>3071532.0248094299</v>
      </c>
      <c r="BQ66" s="716"/>
      <c r="BR66" s="716">
        <f t="shared" si="57"/>
        <v>3071532.0248094299</v>
      </c>
      <c r="BS66" s="716"/>
      <c r="BT66" s="716">
        <f t="shared" si="58"/>
        <v>3071532.0248094299</v>
      </c>
      <c r="BU66" s="716"/>
      <c r="BV66" s="716">
        <f t="shared" si="21"/>
        <v>3071532.0248094299</v>
      </c>
      <c r="BW66" s="716"/>
      <c r="BX66" s="716">
        <f t="shared" si="167"/>
        <v>31400</v>
      </c>
      <c r="BY66" s="716">
        <f t="shared" si="60"/>
        <v>3102932.0248094299</v>
      </c>
      <c r="BZ66" s="716"/>
      <c r="CA66" s="716">
        <f t="shared" si="61"/>
        <v>3102932.0248094299</v>
      </c>
      <c r="CB66" s="1135">
        <f t="shared" si="121"/>
        <v>3102932.0248094299</v>
      </c>
      <c r="CC66" s="1164">
        <f t="shared" si="109"/>
        <v>3102932.0248094299</v>
      </c>
      <c r="CD66" s="1164"/>
      <c r="CE66" s="1164">
        <f t="shared" si="63"/>
        <v>0</v>
      </c>
      <c r="CF66" s="1164">
        <f t="shared" si="115"/>
        <v>0</v>
      </c>
      <c r="CG66" s="1164">
        <f t="shared" si="116"/>
        <v>0</v>
      </c>
      <c r="CH66" s="1154">
        <f t="shared" si="158"/>
        <v>3102932.0248094299</v>
      </c>
      <c r="CI66" s="935">
        <f t="shared" si="137"/>
        <v>3102932.0248094299</v>
      </c>
      <c r="CJ66" s="935">
        <f t="shared" si="64"/>
        <v>0</v>
      </c>
      <c r="CK66" s="935">
        <f t="shared" si="65"/>
        <v>318050.53254296654</v>
      </c>
      <c r="CL66" s="935">
        <f t="shared" si="66"/>
        <v>108602.62086833005</v>
      </c>
      <c r="CM66" s="1006">
        <f t="shared" si="138"/>
        <v>3529585.1782207265</v>
      </c>
      <c r="CN66" s="1007">
        <f t="shared" si="139"/>
        <v>0.125</v>
      </c>
      <c r="CO66" s="935">
        <f t="shared" si="24"/>
        <v>441198.14727759082</v>
      </c>
      <c r="CP66" s="935">
        <f t="shared" si="170"/>
        <v>30000</v>
      </c>
      <c r="CQ66" s="935">
        <f t="shared" si="25"/>
        <v>411198.14727759082</v>
      </c>
      <c r="CR66" s="745">
        <f t="shared" si="141"/>
        <v>1</v>
      </c>
      <c r="CS66" s="935">
        <f t="shared" si="26"/>
        <v>411198.14727759082</v>
      </c>
      <c r="CT66" s="1007">
        <f t="shared" si="68"/>
        <v>0.875</v>
      </c>
      <c r="CU66" s="935">
        <f t="shared" si="69"/>
        <v>3088387.0309431357</v>
      </c>
      <c r="CV66" s="1008">
        <f t="shared" si="110"/>
        <v>23944.231778693495</v>
      </c>
      <c r="CW66" s="1008">
        <f t="shared" si="70"/>
        <v>27759.295747456799</v>
      </c>
      <c r="CX66" s="1008">
        <f t="shared" si="71"/>
        <v>35858.792140132915</v>
      </c>
      <c r="CY66" s="1008">
        <f t="shared" si="72"/>
        <v>61153.764769145651</v>
      </c>
      <c r="CZ66" s="1119">
        <f t="shared" si="122"/>
        <v>250879.4950058086</v>
      </c>
      <c r="DA66" s="1119">
        <f t="shared" si="123"/>
        <v>99271.794069613563</v>
      </c>
      <c r="DB66" s="1119">
        <f t="shared" si="124"/>
        <v>71702.610850744008</v>
      </c>
      <c r="DC66" s="1119">
        <f t="shared" si="125"/>
        <v>54568.987875129271</v>
      </c>
      <c r="DD66" s="1028">
        <f t="shared" si="126"/>
        <v>0.39820425609716309</v>
      </c>
      <c r="DE66" s="1028">
        <f t="shared" si="142"/>
        <v>0</v>
      </c>
      <c r="DF66" s="1009" t="s">
        <v>270</v>
      </c>
      <c r="DG66" s="1009" t="s">
        <v>271</v>
      </c>
      <c r="DH66" s="966">
        <f t="shared" si="111"/>
        <v>45658</v>
      </c>
      <c r="DI66" s="912">
        <f t="shared" si="73"/>
        <v>14</v>
      </c>
      <c r="DJ66" s="939"/>
      <c r="DK66" s="913">
        <f t="shared" si="74"/>
        <v>45723</v>
      </c>
      <c r="DL66" s="912">
        <f t="shared" si="75"/>
        <v>16</v>
      </c>
      <c r="DM66" s="750" t="s">
        <v>272</v>
      </c>
      <c r="DN66" s="750" t="s">
        <v>273</v>
      </c>
      <c r="DO66" s="751">
        <f t="shared" si="31"/>
        <v>40544.433348074788</v>
      </c>
      <c r="DP66" s="751">
        <f t="shared" si="32"/>
        <v>891977.53365764534</v>
      </c>
      <c r="DQ66" s="752">
        <f t="shared" si="127"/>
        <v>0.44598876682882266</v>
      </c>
      <c r="DR66" s="503"/>
      <c r="DS66" s="751">
        <f t="shared" si="128"/>
        <v>3102932.0248094299</v>
      </c>
      <c r="DT66" s="751">
        <f>'[4]INTERNAL PRICELIST'!N60</f>
        <v>2061900</v>
      </c>
      <c r="DU66" s="751">
        <f t="shared" si="33"/>
        <v>1041032.0248094299</v>
      </c>
      <c r="DV66" s="503"/>
      <c r="DW66" s="951">
        <f t="shared" si="129"/>
        <v>141042.36476406499</v>
      </c>
      <c r="DX66" s="503"/>
      <c r="DZ66" s="1010" t="s">
        <v>437</v>
      </c>
      <c r="EA66" s="1052" t="b">
        <f t="shared" si="35"/>
        <v>1</v>
      </c>
      <c r="EB66" s="1072" t="s">
        <v>438</v>
      </c>
      <c r="EC66" s="1053" t="s">
        <v>410</v>
      </c>
      <c r="ED66" s="503"/>
      <c r="EE66" s="1029"/>
      <c r="EF66" s="503"/>
      <c r="EG66" s="503"/>
      <c r="EH66" s="930"/>
      <c r="EI66" s="930"/>
      <c r="EJ66" s="503"/>
      <c r="EK66" s="503"/>
      <c r="EL66" s="503"/>
      <c r="EM66" s="503"/>
      <c r="EN66" s="503"/>
      <c r="EO66" s="503"/>
      <c r="EP66" s="503"/>
      <c r="EQ66" s="503"/>
      <c r="ER66" s="1017" t="s">
        <v>264</v>
      </c>
      <c r="ES66" s="1391" t="s">
        <v>264</v>
      </c>
      <c r="ET66" s="1018" t="b">
        <f t="shared" si="76"/>
        <v>1</v>
      </c>
      <c r="EU66" s="940"/>
      <c r="EV66" s="941"/>
      <c r="EW66" s="940"/>
      <c r="EX66" s="1019">
        <v>2901967.8564336314</v>
      </c>
      <c r="EY66" s="1019">
        <f t="shared" si="143"/>
        <v>435295.17846504471</v>
      </c>
      <c r="EZ66" s="1019">
        <f t="shared" si="144"/>
        <v>2466672.6779685868</v>
      </c>
      <c r="FA66" s="1019">
        <f t="shared" si="145"/>
        <v>290196.78564336314</v>
      </c>
      <c r="FB66" s="1019">
        <f t="shared" si="146"/>
        <v>2611771.0707902685</v>
      </c>
      <c r="FC66" s="1019">
        <f t="shared" si="147"/>
        <v>145098.39282168169</v>
      </c>
      <c r="FD66" s="1020"/>
      <c r="FE66" s="1021"/>
      <c r="FF66" s="1022">
        <f t="shared" si="148"/>
        <v>2466672.6779685868</v>
      </c>
      <c r="FG66" s="1022">
        <f t="shared" si="149"/>
        <v>209667.17762732989</v>
      </c>
      <c r="FH66" s="1022">
        <f t="shared" si="161"/>
        <v>104833.58881366494</v>
      </c>
      <c r="FI66" s="1023">
        <f t="shared" si="150"/>
        <v>2611771.0707902685</v>
      </c>
      <c r="FJ66" s="1023">
        <f t="shared" si="151"/>
        <v>222000.54101717283</v>
      </c>
      <c r="FK66" s="1023">
        <f t="shared" si="152"/>
        <v>111000.27050858641</v>
      </c>
      <c r="FL66" s="1019">
        <f t="shared" si="162"/>
        <v>12333.36338984294</v>
      </c>
      <c r="FM66" s="1019">
        <f t="shared" si="163"/>
        <v>6166.6816949214699</v>
      </c>
      <c r="FN66" s="1019" t="str">
        <f t="shared" si="153"/>
        <v>VS</v>
      </c>
      <c r="FO66" s="1019">
        <f t="shared" si="159"/>
        <v>27537.409960060559</v>
      </c>
      <c r="FP66" s="1019">
        <f t="shared" si="164"/>
        <v>-21370.728265139089</v>
      </c>
      <c r="FQ66" s="1021"/>
      <c r="FR66" s="1021"/>
      <c r="FS66" s="1020"/>
      <c r="FT66" s="503"/>
      <c r="FU66" s="956"/>
      <c r="FV66" s="503"/>
      <c r="FW66" s="503"/>
      <c r="FX66" s="1040"/>
      <c r="FY66" s="503"/>
      <c r="FZ66" s="503"/>
      <c r="GA66" s="503"/>
      <c r="GB66" s="1059"/>
      <c r="GE66" s="503"/>
      <c r="GF66" s="1059"/>
      <c r="GG66" s="956"/>
      <c r="GH66" s="945"/>
      <c r="GI66" s="1024">
        <f t="shared" si="78"/>
        <v>3529585.1782207265</v>
      </c>
      <c r="GJ66" s="1025">
        <f t="shared" si="79"/>
        <v>0.125</v>
      </c>
      <c r="GK66" s="1024">
        <f t="shared" si="80"/>
        <v>441198.14727759082</v>
      </c>
      <c r="GL66" s="1024">
        <f t="shared" si="81"/>
        <v>30000</v>
      </c>
      <c r="GM66" s="1024">
        <f t="shared" si="82"/>
        <v>411198.14727759082</v>
      </c>
      <c r="GN66" s="1024">
        <f t="shared" si="83"/>
        <v>1</v>
      </c>
      <c r="GO66" s="1024">
        <f t="shared" si="84"/>
        <v>411198.14727759082</v>
      </c>
      <c r="GP66" s="1025">
        <f t="shared" si="85"/>
        <v>0.875</v>
      </c>
      <c r="GQ66" s="1024">
        <f t="shared" si="86"/>
        <v>3088387.0309431357</v>
      </c>
      <c r="GR66" s="1024">
        <f t="shared" si="87"/>
        <v>23944.231778693495</v>
      </c>
      <c r="GS66" s="1024">
        <f t="shared" si="88"/>
        <v>27759.295747456799</v>
      </c>
      <c r="GT66" s="1024">
        <f t="shared" si="89"/>
        <v>35858.792140132915</v>
      </c>
      <c r="GU66" s="1024">
        <f t="shared" si="90"/>
        <v>61153.764769145651</v>
      </c>
      <c r="GV66" s="945"/>
      <c r="GW66" s="1024">
        <f t="shared" si="91"/>
        <v>3529585.1782207265</v>
      </c>
      <c r="GX66" s="1025">
        <f t="shared" si="92"/>
        <v>0.125</v>
      </c>
      <c r="GY66" s="1024">
        <f t="shared" si="93"/>
        <v>441198.14727759082</v>
      </c>
      <c r="GZ66" s="1024">
        <f t="shared" si="94"/>
        <v>30000</v>
      </c>
      <c r="HA66" s="1024">
        <f t="shared" si="95"/>
        <v>411198.14727759082</v>
      </c>
      <c r="HB66" s="1026">
        <f t="shared" si="96"/>
        <v>25</v>
      </c>
      <c r="HC66" s="1009">
        <f t="shared" si="97"/>
        <v>16447.925891103634</v>
      </c>
      <c r="HD66" s="1027">
        <f t="shared" si="98"/>
        <v>0.875</v>
      </c>
      <c r="HE66" s="1009">
        <f t="shared" si="99"/>
        <v>3088387.0309431357</v>
      </c>
      <c r="HF66" s="1008">
        <f t="shared" si="100"/>
        <v>23944.231778693495</v>
      </c>
      <c r="HG66" s="1008">
        <f t="shared" si="101"/>
        <v>27759.295747456799</v>
      </c>
      <c r="HH66" s="1008">
        <f t="shared" si="102"/>
        <v>35858.792140132915</v>
      </c>
      <c r="HI66" s="1008">
        <f t="shared" si="103"/>
        <v>61153.764769145651</v>
      </c>
      <c r="HJ66" s="945"/>
      <c r="HK66" s="1009">
        <f t="shared" si="104"/>
        <v>-394750.22138648719</v>
      </c>
      <c r="HL66" s="503"/>
      <c r="HM66" s="503"/>
      <c r="HN66" s="503"/>
      <c r="HO66" s="503"/>
      <c r="HP66" s="503"/>
      <c r="HQ66" s="503"/>
      <c r="HR66" s="956">
        <f t="shared" si="105"/>
        <v>0</v>
      </c>
      <c r="HS66" s="503"/>
      <c r="HT66" s="503"/>
      <c r="HU66" s="956"/>
      <c r="HV66" s="503"/>
      <c r="HW66" s="956"/>
      <c r="HX66" s="956"/>
      <c r="HY66" s="503"/>
      <c r="HZ66" s="503"/>
      <c r="IA66" s="503"/>
      <c r="ID66" s="1394"/>
    </row>
    <row r="67" spans="1:238" s="1051" customFormat="1" ht="14.25" hidden="1" customHeight="1">
      <c r="A67" s="1018">
        <f t="shared" si="155"/>
        <v>61</v>
      </c>
      <c r="B67" s="716" t="s">
        <v>264</v>
      </c>
      <c r="C67" s="741">
        <f t="shared" si="197"/>
        <v>13</v>
      </c>
      <c r="D67" s="716" t="s">
        <v>261</v>
      </c>
      <c r="E67" s="743" t="str">
        <f>D67</f>
        <v>5th Floor</v>
      </c>
      <c r="F67" s="1048"/>
      <c r="G67" s="745" t="s">
        <v>439</v>
      </c>
      <c r="H67" s="745" t="s">
        <v>336</v>
      </c>
      <c r="I67" s="745" t="s">
        <v>267</v>
      </c>
      <c r="J67" s="1005">
        <v>22</v>
      </c>
      <c r="K67" s="1049"/>
      <c r="L67" s="1006" t="s">
        <v>268</v>
      </c>
      <c r="M67" s="745" t="s">
        <v>79</v>
      </c>
      <c r="N67" s="1050">
        <v>95909.091</v>
      </c>
      <c r="O67" s="934">
        <f t="shared" si="132"/>
        <v>2110000.0019999999</v>
      </c>
      <c r="P67" s="934">
        <f t="shared" si="156"/>
        <v>22400</v>
      </c>
      <c r="Q67" s="934">
        <f t="shared" si="119"/>
        <v>50000</v>
      </c>
      <c r="R67" s="934"/>
      <c r="S67" s="934"/>
      <c r="T67" s="934"/>
      <c r="U67" s="934"/>
      <c r="V67" s="934"/>
      <c r="W67" s="749"/>
      <c r="X67" s="934"/>
      <c r="Y67" s="934">
        <f t="shared" si="198"/>
        <v>20000</v>
      </c>
      <c r="Z67" s="934">
        <f t="shared" si="133"/>
        <v>75000</v>
      </c>
      <c r="AA67" s="934"/>
      <c r="AB67" s="934">
        <v>15000</v>
      </c>
      <c r="AC67" s="934"/>
      <c r="AD67" s="934"/>
      <c r="AE67" s="934">
        <f>SUM(P67:AD67)</f>
        <v>182400</v>
      </c>
      <c r="AF67" s="1005">
        <f t="shared" si="15"/>
        <v>2292400.0019999999</v>
      </c>
      <c r="AG67" s="1005">
        <f t="shared" si="37"/>
        <v>57310.000050000002</v>
      </c>
      <c r="AH67" s="1005">
        <f t="shared" si="38"/>
        <v>2349710.0020499998</v>
      </c>
      <c r="AI67" s="1005">
        <f t="shared" si="39"/>
        <v>58742.750051249997</v>
      </c>
      <c r="AJ67" s="1005">
        <f t="shared" si="40"/>
        <v>2408452.75210125</v>
      </c>
      <c r="AK67" s="1005">
        <f t="shared" si="41"/>
        <v>120422.63760506251</v>
      </c>
      <c r="AL67" s="1005">
        <f t="shared" si="157"/>
        <v>2528875.3897063127</v>
      </c>
      <c r="AM67" s="934">
        <f t="shared" si="43"/>
        <v>25288.753897063129</v>
      </c>
      <c r="AN67" s="934">
        <f t="shared" si="44"/>
        <v>27537.409960060559</v>
      </c>
      <c r="AO67" s="934"/>
      <c r="AP67" s="934">
        <f t="shared" si="134"/>
        <v>111000.27050858641</v>
      </c>
      <c r="AQ67" s="1005">
        <f t="shared" si="45"/>
        <v>2692701.8240720225</v>
      </c>
      <c r="AR67" s="1005">
        <f t="shared" si="46"/>
        <v>121171.58208324101</v>
      </c>
      <c r="AS67" s="1147">
        <f t="shared" si="47"/>
        <v>2813873.4061552635</v>
      </c>
      <c r="AT67" s="1148">
        <f t="shared" si="135"/>
        <v>2000000</v>
      </c>
      <c r="AU67" s="1148">
        <f t="shared" si="193"/>
        <v>36994.245734330158</v>
      </c>
      <c r="AV67" s="1148">
        <f t="shared" si="136"/>
        <v>813873.40615526354</v>
      </c>
      <c r="AW67" s="1148">
        <f t="shared" si="17"/>
        <v>97664.808738631618</v>
      </c>
      <c r="AX67" s="1148">
        <f t="shared" si="18"/>
        <v>911538.2148938952</v>
      </c>
      <c r="AY67" s="1147">
        <f t="shared" si="48"/>
        <v>2911538.2148938952</v>
      </c>
      <c r="AZ67" s="934">
        <f t="shared" si="49"/>
        <v>36394.22768617369</v>
      </c>
      <c r="BA67" s="716">
        <v>13774.897733333333</v>
      </c>
      <c r="BB67" s="716">
        <f t="shared" si="194"/>
        <v>2961707.3403134025</v>
      </c>
      <c r="BC67" s="716">
        <v>2710.4000000000005</v>
      </c>
      <c r="BD67" s="716">
        <f t="shared" si="50"/>
        <v>111064.02526175258</v>
      </c>
      <c r="BE67" s="716">
        <f t="shared" si="51"/>
        <v>33600</v>
      </c>
      <c r="BF67" s="716">
        <f t="shared" si="52"/>
        <v>3109081.7655751552</v>
      </c>
      <c r="BG67" s="716"/>
      <c r="BH67" s="716">
        <f t="shared" si="53"/>
        <v>3109081.7655751552</v>
      </c>
      <c r="BI67" s="716"/>
      <c r="BJ67" s="716">
        <f t="shared" si="54"/>
        <v>3109081.7655751552</v>
      </c>
      <c r="BK67" s="716"/>
      <c r="BL67" s="716">
        <f t="shared" si="55"/>
        <v>3109081.7655751552</v>
      </c>
      <c r="BM67" s="716"/>
      <c r="BN67" s="716">
        <f t="shared" si="20"/>
        <v>3109081.7655751552</v>
      </c>
      <c r="BO67" s="716"/>
      <c r="BP67" s="716">
        <f t="shared" si="56"/>
        <v>3109081.7655751552</v>
      </c>
      <c r="BQ67" s="716"/>
      <c r="BR67" s="716">
        <f t="shared" si="57"/>
        <v>3109081.7655751552</v>
      </c>
      <c r="BS67" s="716"/>
      <c r="BT67" s="716">
        <f t="shared" si="58"/>
        <v>3109081.7655751552</v>
      </c>
      <c r="BU67" s="716"/>
      <c r="BV67" s="716">
        <f t="shared" si="21"/>
        <v>3109081.7655751552</v>
      </c>
      <c r="BW67" s="716"/>
      <c r="BX67" s="716">
        <f t="shared" si="167"/>
        <v>31400</v>
      </c>
      <c r="BY67" s="716">
        <f t="shared" si="60"/>
        <v>3140481.7655751552</v>
      </c>
      <c r="BZ67" s="716"/>
      <c r="CA67" s="716">
        <f t="shared" si="61"/>
        <v>3140481.7655751552</v>
      </c>
      <c r="CB67" s="1135">
        <f t="shared" si="121"/>
        <v>3140481.7655751552</v>
      </c>
      <c r="CC67" s="1164">
        <f t="shared" si="109"/>
        <v>3140481.7655751552</v>
      </c>
      <c r="CD67" s="1164"/>
      <c r="CE67" s="1164">
        <f t="shared" si="63"/>
        <v>0</v>
      </c>
      <c r="CF67" s="1164">
        <f t="shared" si="115"/>
        <v>0</v>
      </c>
      <c r="CG67" s="1164">
        <f t="shared" si="116"/>
        <v>0</v>
      </c>
      <c r="CH67" s="1154">
        <f t="shared" si="158"/>
        <v>3140481.7655751552</v>
      </c>
      <c r="CI67" s="935">
        <f t="shared" si="137"/>
        <v>3140481.7655751552</v>
      </c>
      <c r="CJ67" s="935">
        <f t="shared" si="64"/>
        <v>0</v>
      </c>
      <c r="CK67" s="935">
        <f t="shared" si="65"/>
        <v>321899.38097145339</v>
      </c>
      <c r="CL67" s="935">
        <f t="shared" si="66"/>
        <v>109916.86179513045</v>
      </c>
      <c r="CM67" s="1006">
        <f t="shared" si="138"/>
        <v>3572298.0083417394</v>
      </c>
      <c r="CN67" s="1007">
        <f t="shared" si="139"/>
        <v>0.125</v>
      </c>
      <c r="CO67" s="935">
        <f t="shared" si="24"/>
        <v>446537.25104271743</v>
      </c>
      <c r="CP67" s="935">
        <f t="shared" si="170"/>
        <v>30000</v>
      </c>
      <c r="CQ67" s="935">
        <f t="shared" si="25"/>
        <v>416537.25104271743</v>
      </c>
      <c r="CR67" s="745">
        <f t="shared" si="141"/>
        <v>1</v>
      </c>
      <c r="CS67" s="935">
        <f t="shared" si="26"/>
        <v>416537.25104271743</v>
      </c>
      <c r="CT67" s="1007">
        <f t="shared" si="68"/>
        <v>0.875</v>
      </c>
      <c r="CU67" s="935">
        <f t="shared" si="69"/>
        <v>3125760.7572990218</v>
      </c>
      <c r="CV67" s="1008">
        <f t="shared" si="110"/>
        <v>24233.989881331789</v>
      </c>
      <c r="CW67" s="1008">
        <f t="shared" si="70"/>
        <v>28095.221365814527</v>
      </c>
      <c r="CX67" s="1008">
        <f t="shared" si="71"/>
        <v>36292.732793124407</v>
      </c>
      <c r="CY67" s="1008">
        <f t="shared" si="72"/>
        <v>61893.809344911242</v>
      </c>
      <c r="CZ67" s="1119">
        <f t="shared" si="122"/>
        <v>253915.48159062039</v>
      </c>
      <c r="DA67" s="1119">
        <f t="shared" si="123"/>
        <v>100473.11917208385</v>
      </c>
      <c r="DB67" s="1119">
        <f t="shared" si="124"/>
        <v>72570.310957657086</v>
      </c>
      <c r="DC67" s="1119">
        <f t="shared" si="125"/>
        <v>55229.347603339877</v>
      </c>
      <c r="DD67" s="1028">
        <f t="shared" si="126"/>
        <v>0.40693670307763175</v>
      </c>
      <c r="DE67" s="1028">
        <f t="shared" si="142"/>
        <v>0</v>
      </c>
      <c r="DF67" s="1009" t="s">
        <v>270</v>
      </c>
      <c r="DG67" s="1009" t="s">
        <v>271</v>
      </c>
      <c r="DH67" s="966">
        <f t="shared" si="111"/>
        <v>45658</v>
      </c>
      <c r="DI67" s="912">
        <f t="shared" si="73"/>
        <v>14</v>
      </c>
      <c r="DJ67" s="939"/>
      <c r="DK67" s="913">
        <f t="shared" si="74"/>
        <v>45723</v>
      </c>
      <c r="DL67" s="912">
        <f t="shared" si="75"/>
        <v>16</v>
      </c>
      <c r="DM67" s="750" t="s">
        <v>272</v>
      </c>
      <c r="DN67" s="750" t="s">
        <v>273</v>
      </c>
      <c r="DO67" s="751">
        <f t="shared" si="31"/>
        <v>41433.555222449781</v>
      </c>
      <c r="DP67" s="751">
        <f t="shared" si="32"/>
        <v>911538.2148938952</v>
      </c>
      <c r="DQ67" s="752">
        <f t="shared" si="127"/>
        <v>0.4557691074469476</v>
      </c>
      <c r="DR67" s="503"/>
      <c r="DS67" s="751">
        <f t="shared" si="128"/>
        <v>3140481.7655751552</v>
      </c>
      <c r="DT67" s="751">
        <f>'[4]INTERNAL PRICELIST'!N61</f>
        <v>2061900</v>
      </c>
      <c r="DU67" s="751">
        <f t="shared" si="33"/>
        <v>1078581.7655751552</v>
      </c>
      <c r="DV67" s="503"/>
      <c r="DW67" s="951">
        <f t="shared" si="129"/>
        <v>142749.17116250706</v>
      </c>
      <c r="DX67" s="503"/>
      <c r="DZ67" s="1010" t="s">
        <v>439</v>
      </c>
      <c r="EA67" s="1052" t="b">
        <f t="shared" si="35"/>
        <v>1</v>
      </c>
      <c r="EB67" s="1072" t="s">
        <v>440</v>
      </c>
      <c r="EC67" s="1053" t="s">
        <v>410</v>
      </c>
      <c r="ED67" s="503"/>
      <c r="EE67" s="1029"/>
      <c r="EF67" s="503"/>
      <c r="EG67" s="503"/>
      <c r="EH67" s="930"/>
      <c r="EI67" s="930"/>
      <c r="EJ67" s="503"/>
      <c r="EK67" s="503"/>
      <c r="EL67" s="503"/>
      <c r="EM67" s="503"/>
      <c r="EN67" s="503"/>
      <c r="EO67" s="503"/>
      <c r="EP67" s="503"/>
      <c r="EQ67" s="503"/>
      <c r="ER67" s="1017" t="s">
        <v>264</v>
      </c>
      <c r="ES67" s="1391" t="s">
        <v>264</v>
      </c>
      <c r="ET67" s="1018" t="b">
        <f t="shared" si="76"/>
        <v>1</v>
      </c>
      <c r="EU67" s="940"/>
      <c r="EV67" s="941"/>
      <c r="EW67" s="940"/>
      <c r="EX67" s="1019">
        <v>2901967.8564336314</v>
      </c>
      <c r="EY67" s="1019">
        <f t="shared" si="143"/>
        <v>435295.17846504471</v>
      </c>
      <c r="EZ67" s="1019">
        <f t="shared" si="144"/>
        <v>2466672.6779685868</v>
      </c>
      <c r="FA67" s="1019">
        <f t="shared" si="145"/>
        <v>290196.78564336314</v>
      </c>
      <c r="FB67" s="1019">
        <f t="shared" si="146"/>
        <v>2611771.0707902685</v>
      </c>
      <c r="FC67" s="1019">
        <f t="shared" si="147"/>
        <v>145098.39282168169</v>
      </c>
      <c r="FD67" s="1020"/>
      <c r="FE67" s="1021"/>
      <c r="FF67" s="1022">
        <f t="shared" si="148"/>
        <v>2466672.6779685868</v>
      </c>
      <c r="FG67" s="1022">
        <f t="shared" si="149"/>
        <v>209667.17762732989</v>
      </c>
      <c r="FH67" s="1022">
        <f t="shared" si="161"/>
        <v>104833.58881366494</v>
      </c>
      <c r="FI67" s="1023">
        <f t="shared" si="150"/>
        <v>2611771.0707902685</v>
      </c>
      <c r="FJ67" s="1023">
        <f t="shared" si="151"/>
        <v>222000.54101717283</v>
      </c>
      <c r="FK67" s="1023">
        <f t="shared" si="152"/>
        <v>111000.27050858641</v>
      </c>
      <c r="FL67" s="1019">
        <f t="shared" si="162"/>
        <v>12333.36338984294</v>
      </c>
      <c r="FM67" s="1019">
        <f t="shared" si="163"/>
        <v>6166.6816949214699</v>
      </c>
      <c r="FN67" s="1019" t="str">
        <f t="shared" si="153"/>
        <v>VS</v>
      </c>
      <c r="FO67" s="1019">
        <f t="shared" si="159"/>
        <v>27537.409960060559</v>
      </c>
      <c r="FP67" s="1019">
        <f t="shared" si="164"/>
        <v>-21370.728265139089</v>
      </c>
      <c r="FQ67" s="1021"/>
      <c r="FR67" s="1021"/>
      <c r="FS67" s="1020"/>
      <c r="FT67" s="1055">
        <f>FB67</f>
        <v>2611771.0707902685</v>
      </c>
      <c r="FU67" s="956"/>
      <c r="FV67" s="503"/>
      <c r="FW67" s="503"/>
      <c r="FX67" s="1040"/>
      <c r="FY67" s="503"/>
      <c r="FZ67" s="503"/>
      <c r="GA67" s="503"/>
      <c r="GB67" s="1059"/>
      <c r="GE67" s="503"/>
      <c r="GF67" s="1059"/>
      <c r="GG67" s="956"/>
      <c r="GH67" s="945"/>
      <c r="GI67" s="1024">
        <f t="shared" si="78"/>
        <v>3572298.0083417394</v>
      </c>
      <c r="GJ67" s="1025">
        <f t="shared" si="79"/>
        <v>0.125</v>
      </c>
      <c r="GK67" s="1024">
        <f t="shared" si="80"/>
        <v>446537.25104271743</v>
      </c>
      <c r="GL67" s="1024">
        <f t="shared" si="81"/>
        <v>30000</v>
      </c>
      <c r="GM67" s="1024">
        <f t="shared" si="82"/>
        <v>416537.25104271743</v>
      </c>
      <c r="GN67" s="1024">
        <f t="shared" si="83"/>
        <v>1</v>
      </c>
      <c r="GO67" s="1024">
        <f t="shared" si="84"/>
        <v>416537.25104271743</v>
      </c>
      <c r="GP67" s="1025">
        <f t="shared" si="85"/>
        <v>0.875</v>
      </c>
      <c r="GQ67" s="1024">
        <f t="shared" si="86"/>
        <v>3125760.7572990218</v>
      </c>
      <c r="GR67" s="1024">
        <f t="shared" si="87"/>
        <v>24233.989881331789</v>
      </c>
      <c r="GS67" s="1024">
        <f t="shared" si="88"/>
        <v>28095.221365814527</v>
      </c>
      <c r="GT67" s="1024">
        <f t="shared" si="89"/>
        <v>36292.732793124407</v>
      </c>
      <c r="GU67" s="1024">
        <f t="shared" si="90"/>
        <v>61893.809344911242</v>
      </c>
      <c r="GV67" s="945"/>
      <c r="GW67" s="1024">
        <f t="shared" si="91"/>
        <v>3572298.0083417394</v>
      </c>
      <c r="GX67" s="1025">
        <f t="shared" si="92"/>
        <v>0.125</v>
      </c>
      <c r="GY67" s="1024">
        <f t="shared" si="93"/>
        <v>446537.25104271743</v>
      </c>
      <c r="GZ67" s="1024">
        <f t="shared" si="94"/>
        <v>30000</v>
      </c>
      <c r="HA67" s="1024">
        <f t="shared" si="95"/>
        <v>416537.25104271743</v>
      </c>
      <c r="HB67" s="1026">
        <f t="shared" si="96"/>
        <v>25</v>
      </c>
      <c r="HC67" s="1009">
        <f t="shared" si="97"/>
        <v>16661.490041708697</v>
      </c>
      <c r="HD67" s="1027">
        <f t="shared" si="98"/>
        <v>0.875</v>
      </c>
      <c r="HE67" s="1009">
        <f t="shared" si="99"/>
        <v>3125760.7572990218</v>
      </c>
      <c r="HF67" s="1008">
        <f t="shared" si="100"/>
        <v>24233.989881331789</v>
      </c>
      <c r="HG67" s="1008">
        <f t="shared" si="101"/>
        <v>28095.221365814527</v>
      </c>
      <c r="HH67" s="1008">
        <f t="shared" si="102"/>
        <v>36292.732793124407</v>
      </c>
      <c r="HI67" s="1008">
        <f t="shared" si="103"/>
        <v>61893.809344911242</v>
      </c>
      <c r="HJ67" s="945"/>
      <c r="HK67" s="1009">
        <f t="shared" si="104"/>
        <v>-399875.76100100874</v>
      </c>
      <c r="HL67" s="503"/>
      <c r="HM67" s="503"/>
      <c r="HN67" s="503"/>
      <c r="HO67" s="503"/>
      <c r="HP67" s="503"/>
      <c r="HQ67" s="503"/>
      <c r="HR67" s="956">
        <f t="shared" si="105"/>
        <v>0</v>
      </c>
      <c r="HS67" s="503"/>
      <c r="HT67" s="503"/>
      <c r="HU67" s="956"/>
      <c r="HV67" s="503"/>
      <c r="HW67" s="956"/>
      <c r="HX67" s="956"/>
      <c r="HY67" s="503"/>
      <c r="HZ67" s="503"/>
      <c r="IA67" s="503"/>
      <c r="ID67" s="1394"/>
    </row>
    <row r="68" spans="1:238" s="1051" customFormat="1" ht="14.25" hidden="1" customHeight="1">
      <c r="A68" s="1018">
        <f t="shared" si="155"/>
        <v>62</v>
      </c>
      <c r="B68" s="716" t="s">
        <v>264</v>
      </c>
      <c r="C68" s="741">
        <f t="shared" si="197"/>
        <v>14</v>
      </c>
      <c r="D68" s="716" t="s">
        <v>261</v>
      </c>
      <c r="E68" s="743" t="str">
        <f t="shared" si="36"/>
        <v>5th Floor</v>
      </c>
      <c r="F68" s="1048"/>
      <c r="G68" s="745" t="s">
        <v>441</v>
      </c>
      <c r="H68" s="745" t="s">
        <v>338</v>
      </c>
      <c r="I68" s="745" t="s">
        <v>267</v>
      </c>
      <c r="J68" s="1005">
        <v>22</v>
      </c>
      <c r="K68" s="1049"/>
      <c r="L68" s="1006" t="s">
        <v>268</v>
      </c>
      <c r="M68" s="745" t="s">
        <v>79</v>
      </c>
      <c r="N68" s="1050">
        <v>95909.091</v>
      </c>
      <c r="O68" s="934">
        <f t="shared" si="132"/>
        <v>2110000.0019999999</v>
      </c>
      <c r="P68" s="934">
        <f t="shared" si="156"/>
        <v>22400</v>
      </c>
      <c r="Q68" s="934">
        <f t="shared" si="119"/>
        <v>50000</v>
      </c>
      <c r="R68" s="934"/>
      <c r="S68" s="934"/>
      <c r="T68" s="934"/>
      <c r="U68" s="934"/>
      <c r="V68" s="934"/>
      <c r="W68" s="749"/>
      <c r="X68" s="934"/>
      <c r="Y68" s="934">
        <f t="shared" si="198"/>
        <v>20000</v>
      </c>
      <c r="Z68" s="934">
        <f t="shared" si="133"/>
        <v>75000</v>
      </c>
      <c r="AA68" s="934"/>
      <c r="AB68" s="934"/>
      <c r="AC68" s="934"/>
      <c r="AD68" s="934"/>
      <c r="AE68" s="934">
        <f t="shared" si="14"/>
        <v>167400</v>
      </c>
      <c r="AF68" s="1005">
        <f t="shared" si="15"/>
        <v>2277400.0019999999</v>
      </c>
      <c r="AG68" s="1005">
        <f t="shared" si="37"/>
        <v>56935.000050000002</v>
      </c>
      <c r="AH68" s="1005">
        <f t="shared" si="38"/>
        <v>2334335.0020499998</v>
      </c>
      <c r="AI68" s="1005">
        <f t="shared" si="39"/>
        <v>58358.375051249997</v>
      </c>
      <c r="AJ68" s="1005">
        <f t="shared" si="40"/>
        <v>2392693.37710125</v>
      </c>
      <c r="AK68" s="1005">
        <f t="shared" si="41"/>
        <v>119634.66885506251</v>
      </c>
      <c r="AL68" s="1005">
        <f t="shared" si="157"/>
        <v>2512328.0459563127</v>
      </c>
      <c r="AM68" s="934">
        <f t="shared" si="43"/>
        <v>25123.280459563128</v>
      </c>
      <c r="AN68" s="934">
        <f t="shared" si="44"/>
        <v>27537.409960060559</v>
      </c>
      <c r="AO68" s="934"/>
      <c r="AP68" s="934">
        <f t="shared" si="134"/>
        <v>111000.27050858641</v>
      </c>
      <c r="AQ68" s="1005">
        <f t="shared" si="45"/>
        <v>2675989.0068845227</v>
      </c>
      <c r="AR68" s="1005">
        <f t="shared" si="46"/>
        <v>120419.50530980351</v>
      </c>
      <c r="AS68" s="1147">
        <f t="shared" si="47"/>
        <v>2796408.5121943261</v>
      </c>
      <c r="AT68" s="1148">
        <f t="shared" si="135"/>
        <v>2000000</v>
      </c>
      <c r="AU68" s="1148">
        <f t="shared" si="193"/>
        <v>36200.386917923919</v>
      </c>
      <c r="AV68" s="1148">
        <f t="shared" si="136"/>
        <v>796408.51219432615</v>
      </c>
      <c r="AW68" s="1148">
        <f t="shared" si="17"/>
        <v>95569.021463319135</v>
      </c>
      <c r="AX68" s="1148">
        <f t="shared" si="18"/>
        <v>891977.53365764534</v>
      </c>
      <c r="AY68" s="1147">
        <f t="shared" si="48"/>
        <v>2891977.5336576453</v>
      </c>
      <c r="AZ68" s="934">
        <f t="shared" si="49"/>
        <v>36149.719170720571</v>
      </c>
      <c r="BA68" s="716" t="s">
        <v>269</v>
      </c>
      <c r="BB68" s="716">
        <f t="shared" si="194"/>
        <v>2928127.2528283661</v>
      </c>
      <c r="BC68" s="716" t="s">
        <v>269</v>
      </c>
      <c r="BD68" s="716">
        <f t="shared" si="50"/>
        <v>109804.77198106372</v>
      </c>
      <c r="BE68" s="716">
        <f t="shared" si="51"/>
        <v>33600</v>
      </c>
      <c r="BF68" s="716">
        <f t="shared" si="52"/>
        <v>3071532.0248094299</v>
      </c>
      <c r="BG68" s="716"/>
      <c r="BH68" s="716">
        <f t="shared" si="53"/>
        <v>3071532.0248094299</v>
      </c>
      <c r="BI68" s="716"/>
      <c r="BJ68" s="716">
        <f t="shared" si="54"/>
        <v>3071532.0248094299</v>
      </c>
      <c r="BK68" s="716"/>
      <c r="BL68" s="716">
        <f t="shared" si="55"/>
        <v>3071532.0248094299</v>
      </c>
      <c r="BM68" s="716"/>
      <c r="BN68" s="716">
        <f t="shared" si="20"/>
        <v>3071532.0248094299</v>
      </c>
      <c r="BO68" s="716"/>
      <c r="BP68" s="716">
        <f t="shared" si="56"/>
        <v>3071532.0248094299</v>
      </c>
      <c r="BQ68" s="716"/>
      <c r="BR68" s="716">
        <f t="shared" si="57"/>
        <v>3071532.0248094299</v>
      </c>
      <c r="BS68" s="716"/>
      <c r="BT68" s="716">
        <f t="shared" si="58"/>
        <v>3071532.0248094299</v>
      </c>
      <c r="BU68" s="716"/>
      <c r="BV68" s="716">
        <f t="shared" si="21"/>
        <v>3071532.0248094299</v>
      </c>
      <c r="BW68" s="716"/>
      <c r="BX68" s="716">
        <f t="shared" si="167"/>
        <v>31400</v>
      </c>
      <c r="BY68" s="716">
        <f t="shared" si="60"/>
        <v>3102932.0248094299</v>
      </c>
      <c r="BZ68" s="716"/>
      <c r="CA68" s="716">
        <f t="shared" si="61"/>
        <v>3102932.0248094299</v>
      </c>
      <c r="CB68" s="1135">
        <f t="shared" si="121"/>
        <v>3102932.0248094299</v>
      </c>
      <c r="CC68" s="1164">
        <f t="shared" si="109"/>
        <v>3102932.0248094299</v>
      </c>
      <c r="CD68" s="1164"/>
      <c r="CE68" s="1164">
        <f t="shared" si="63"/>
        <v>0</v>
      </c>
      <c r="CF68" s="1164">
        <f t="shared" si="115"/>
        <v>0</v>
      </c>
      <c r="CG68" s="1164">
        <f t="shared" si="116"/>
        <v>0</v>
      </c>
      <c r="CH68" s="1154">
        <f t="shared" si="158"/>
        <v>3102932.0248094299</v>
      </c>
      <c r="CI68" s="935">
        <f t="shared" si="137"/>
        <v>3102932.0248094299</v>
      </c>
      <c r="CJ68" s="935">
        <f t="shared" si="64"/>
        <v>0</v>
      </c>
      <c r="CK68" s="935">
        <f t="shared" si="65"/>
        <v>318050.53254296654</v>
      </c>
      <c r="CL68" s="935">
        <f t="shared" si="66"/>
        <v>108602.62086833005</v>
      </c>
      <c r="CM68" s="1006">
        <f t="shared" si="138"/>
        <v>3529585.1782207265</v>
      </c>
      <c r="CN68" s="1007">
        <f t="shared" si="139"/>
        <v>0.125</v>
      </c>
      <c r="CO68" s="935">
        <f t="shared" si="24"/>
        <v>441198.14727759082</v>
      </c>
      <c r="CP68" s="935">
        <f t="shared" si="170"/>
        <v>30000</v>
      </c>
      <c r="CQ68" s="935">
        <f t="shared" si="25"/>
        <v>411198.14727759082</v>
      </c>
      <c r="CR68" s="745">
        <f t="shared" si="141"/>
        <v>1</v>
      </c>
      <c r="CS68" s="935">
        <f t="shared" si="26"/>
        <v>411198.14727759082</v>
      </c>
      <c r="CT68" s="1007">
        <f t="shared" si="68"/>
        <v>0.875</v>
      </c>
      <c r="CU68" s="935">
        <f t="shared" si="69"/>
        <v>3088387.0309431357</v>
      </c>
      <c r="CV68" s="1008">
        <f t="shared" si="110"/>
        <v>23944.231778693495</v>
      </c>
      <c r="CW68" s="1008">
        <f t="shared" si="70"/>
        <v>27759.295747456799</v>
      </c>
      <c r="CX68" s="1008">
        <f t="shared" si="71"/>
        <v>35858.792140132915</v>
      </c>
      <c r="CY68" s="1008">
        <f t="shared" si="72"/>
        <v>61153.764769145651</v>
      </c>
      <c r="CZ68" s="1119">
        <f t="shared" si="122"/>
        <v>250879.4950058086</v>
      </c>
      <c r="DA68" s="1119">
        <f t="shared" si="123"/>
        <v>99271.794069613563</v>
      </c>
      <c r="DB68" s="1119">
        <f t="shared" si="124"/>
        <v>71702.610850744008</v>
      </c>
      <c r="DC68" s="1119">
        <f t="shared" si="125"/>
        <v>54568.987875129271</v>
      </c>
      <c r="DD68" s="1028">
        <f t="shared" si="126"/>
        <v>0.39820425609716309</v>
      </c>
      <c r="DE68" s="1028">
        <f t="shared" si="142"/>
        <v>0</v>
      </c>
      <c r="DF68" s="1009" t="s">
        <v>270</v>
      </c>
      <c r="DG68" s="1009" t="s">
        <v>271</v>
      </c>
      <c r="DH68" s="966">
        <f t="shared" si="111"/>
        <v>45658</v>
      </c>
      <c r="DI68" s="912">
        <f t="shared" si="73"/>
        <v>14</v>
      </c>
      <c r="DJ68" s="939"/>
      <c r="DK68" s="913">
        <f t="shared" si="74"/>
        <v>45723</v>
      </c>
      <c r="DL68" s="912">
        <f t="shared" si="75"/>
        <v>16</v>
      </c>
      <c r="DM68" s="750" t="s">
        <v>272</v>
      </c>
      <c r="DN68" s="750" t="s">
        <v>273</v>
      </c>
      <c r="DO68" s="751">
        <f t="shared" si="31"/>
        <v>40544.433348074788</v>
      </c>
      <c r="DP68" s="751">
        <f t="shared" si="32"/>
        <v>891977.53365764534</v>
      </c>
      <c r="DQ68" s="752">
        <f t="shared" si="127"/>
        <v>0.44598876682882266</v>
      </c>
      <c r="DR68" s="503"/>
      <c r="DS68" s="751">
        <f t="shared" si="128"/>
        <v>3102932.0248094299</v>
      </c>
      <c r="DT68" s="751">
        <f>'[4]INTERNAL PRICELIST'!N62</f>
        <v>2061900</v>
      </c>
      <c r="DU68" s="751">
        <f t="shared" si="33"/>
        <v>1041032.0248094299</v>
      </c>
      <c r="DV68" s="503"/>
      <c r="DW68" s="951">
        <f t="shared" si="129"/>
        <v>141042.36476406499</v>
      </c>
      <c r="DX68" s="503"/>
      <c r="DZ68" s="1010" t="s">
        <v>441</v>
      </c>
      <c r="EA68" s="1052" t="b">
        <f t="shared" si="35"/>
        <v>1</v>
      </c>
      <c r="EB68" s="1072" t="s">
        <v>442</v>
      </c>
      <c r="EC68" s="1053" t="s">
        <v>410</v>
      </c>
      <c r="ED68" s="503"/>
      <c r="EE68" s="1029"/>
      <c r="EF68" s="503"/>
      <c r="EG68" s="503"/>
      <c r="EH68" s="930"/>
      <c r="EI68" s="930"/>
      <c r="EJ68" s="503"/>
      <c r="EK68" s="503"/>
      <c r="EL68" s="503"/>
      <c r="EM68" s="503"/>
      <c r="EN68" s="503"/>
      <c r="EO68" s="503"/>
      <c r="EP68" s="503"/>
      <c r="EQ68" s="503"/>
      <c r="ER68" s="1017" t="s">
        <v>264</v>
      </c>
      <c r="ES68" s="1391" t="s">
        <v>264</v>
      </c>
      <c r="ET68" s="1018" t="b">
        <f t="shared" si="76"/>
        <v>1</v>
      </c>
      <c r="EU68" s="940"/>
      <c r="EV68" s="941"/>
      <c r="EW68" s="940"/>
      <c r="EX68" s="1019">
        <v>2901967.8564336314</v>
      </c>
      <c r="EY68" s="1019">
        <f t="shared" si="143"/>
        <v>435295.17846504471</v>
      </c>
      <c r="EZ68" s="1019">
        <f t="shared" si="144"/>
        <v>2466672.6779685868</v>
      </c>
      <c r="FA68" s="1019">
        <f t="shared" si="145"/>
        <v>290196.78564336314</v>
      </c>
      <c r="FB68" s="1019">
        <f t="shared" si="146"/>
        <v>2611771.0707902685</v>
      </c>
      <c r="FC68" s="1019">
        <f t="shared" si="147"/>
        <v>145098.39282168169</v>
      </c>
      <c r="FD68" s="1020"/>
      <c r="FE68" s="1021"/>
      <c r="FF68" s="1022">
        <f t="shared" si="148"/>
        <v>2466672.6779685868</v>
      </c>
      <c r="FG68" s="1022">
        <f t="shared" si="149"/>
        <v>209667.17762732989</v>
      </c>
      <c r="FH68" s="1022">
        <f t="shared" si="161"/>
        <v>104833.58881366494</v>
      </c>
      <c r="FI68" s="1023">
        <f t="shared" si="150"/>
        <v>2611771.0707902685</v>
      </c>
      <c r="FJ68" s="1023">
        <f t="shared" si="151"/>
        <v>222000.54101717283</v>
      </c>
      <c r="FK68" s="1023">
        <f t="shared" si="152"/>
        <v>111000.27050858641</v>
      </c>
      <c r="FL68" s="1019">
        <f t="shared" si="162"/>
        <v>12333.36338984294</v>
      </c>
      <c r="FM68" s="1019">
        <f t="shared" si="163"/>
        <v>6166.6816949214699</v>
      </c>
      <c r="FN68" s="1019" t="str">
        <f t="shared" si="153"/>
        <v>VS</v>
      </c>
      <c r="FO68" s="1019">
        <f t="shared" si="159"/>
        <v>27537.409960060559</v>
      </c>
      <c r="FP68" s="1019">
        <f t="shared" si="164"/>
        <v>-21370.728265139089</v>
      </c>
      <c r="FQ68" s="1021"/>
      <c r="FR68" s="1021"/>
      <c r="FS68" s="1020"/>
      <c r="FT68" s="503"/>
      <c r="FU68" s="956"/>
      <c r="FV68" s="503"/>
      <c r="FW68" s="503"/>
      <c r="FX68" s="1040"/>
      <c r="FY68" s="503"/>
      <c r="FZ68" s="503"/>
      <c r="GA68" s="503"/>
      <c r="GB68" s="1059"/>
      <c r="GE68" s="503"/>
      <c r="GF68" s="1059"/>
      <c r="GG68" s="956"/>
      <c r="GH68" s="945"/>
      <c r="GI68" s="1024">
        <f t="shared" si="78"/>
        <v>3529585.1782207265</v>
      </c>
      <c r="GJ68" s="1025">
        <f t="shared" si="79"/>
        <v>0.125</v>
      </c>
      <c r="GK68" s="1024">
        <f t="shared" si="80"/>
        <v>441198.14727759082</v>
      </c>
      <c r="GL68" s="1024">
        <f t="shared" si="81"/>
        <v>30000</v>
      </c>
      <c r="GM68" s="1024">
        <f t="shared" si="82"/>
        <v>411198.14727759082</v>
      </c>
      <c r="GN68" s="1024">
        <f t="shared" si="83"/>
        <v>1</v>
      </c>
      <c r="GO68" s="1024">
        <f t="shared" si="84"/>
        <v>411198.14727759082</v>
      </c>
      <c r="GP68" s="1025">
        <f t="shared" si="85"/>
        <v>0.875</v>
      </c>
      <c r="GQ68" s="1024">
        <f t="shared" si="86"/>
        <v>3088387.0309431357</v>
      </c>
      <c r="GR68" s="1024">
        <f t="shared" si="87"/>
        <v>23944.231778693495</v>
      </c>
      <c r="GS68" s="1024">
        <f t="shared" si="88"/>
        <v>27759.295747456799</v>
      </c>
      <c r="GT68" s="1024">
        <f t="shared" si="89"/>
        <v>35858.792140132915</v>
      </c>
      <c r="GU68" s="1024">
        <f t="shared" si="90"/>
        <v>61153.764769145651</v>
      </c>
      <c r="GV68" s="945"/>
      <c r="GW68" s="1024">
        <f t="shared" si="91"/>
        <v>3529585.1782207265</v>
      </c>
      <c r="GX68" s="1025">
        <f t="shared" si="92"/>
        <v>0.125</v>
      </c>
      <c r="GY68" s="1024">
        <f t="shared" si="93"/>
        <v>441198.14727759082</v>
      </c>
      <c r="GZ68" s="1024">
        <f t="shared" si="94"/>
        <v>30000</v>
      </c>
      <c r="HA68" s="1024">
        <f t="shared" si="95"/>
        <v>411198.14727759082</v>
      </c>
      <c r="HB68" s="1026">
        <f t="shared" si="96"/>
        <v>25</v>
      </c>
      <c r="HC68" s="1009">
        <f t="shared" si="97"/>
        <v>16447.925891103634</v>
      </c>
      <c r="HD68" s="1027">
        <f t="shared" si="98"/>
        <v>0.875</v>
      </c>
      <c r="HE68" s="1009">
        <f t="shared" si="99"/>
        <v>3088387.0309431357</v>
      </c>
      <c r="HF68" s="1008">
        <f t="shared" si="100"/>
        <v>23944.231778693495</v>
      </c>
      <c r="HG68" s="1008">
        <f t="shared" si="101"/>
        <v>27759.295747456799</v>
      </c>
      <c r="HH68" s="1008">
        <f t="shared" si="102"/>
        <v>35858.792140132915</v>
      </c>
      <c r="HI68" s="1008">
        <f t="shared" si="103"/>
        <v>61153.764769145651</v>
      </c>
      <c r="HJ68" s="945"/>
      <c r="HK68" s="1009">
        <f t="shared" si="104"/>
        <v>-394750.22138648719</v>
      </c>
      <c r="HL68" s="503"/>
      <c r="HM68" s="503"/>
      <c r="HN68" s="503"/>
      <c r="HO68" s="503"/>
      <c r="HP68" s="503"/>
      <c r="HQ68" s="503"/>
      <c r="HR68" s="956">
        <f t="shared" si="105"/>
        <v>0</v>
      </c>
      <c r="HS68" s="503"/>
      <c r="HT68" s="503"/>
      <c r="HU68" s="956"/>
      <c r="HV68" s="503"/>
      <c r="HW68" s="956"/>
      <c r="HX68" s="956"/>
      <c r="HY68" s="503"/>
      <c r="HZ68" s="503"/>
      <c r="IA68" s="503"/>
      <c r="ID68" s="1394"/>
    </row>
    <row r="69" spans="1:238" s="1051" customFormat="1" ht="14.25" customHeight="1">
      <c r="A69" s="1018">
        <f t="shared" si="155"/>
        <v>63</v>
      </c>
      <c r="B69" s="716" t="s">
        <v>264</v>
      </c>
      <c r="C69" s="741">
        <f t="shared" si="197"/>
        <v>15</v>
      </c>
      <c r="D69" s="716" t="s">
        <v>261</v>
      </c>
      <c r="E69" s="743" t="str">
        <f t="shared" si="36"/>
        <v>5th Floor</v>
      </c>
      <c r="F69" s="1048"/>
      <c r="G69" s="745" t="s">
        <v>443</v>
      </c>
      <c r="H69" s="745" t="s">
        <v>342</v>
      </c>
      <c r="I69" s="745" t="s">
        <v>267</v>
      </c>
      <c r="J69" s="1005">
        <v>22</v>
      </c>
      <c r="K69" s="1049"/>
      <c r="L69" s="1006" t="s">
        <v>268</v>
      </c>
      <c r="M69" s="745" t="s">
        <v>79</v>
      </c>
      <c r="N69" s="1050">
        <v>95909.091</v>
      </c>
      <c r="O69" s="934">
        <f t="shared" si="132"/>
        <v>2110000.0019999999</v>
      </c>
      <c r="P69" s="934">
        <f t="shared" si="156"/>
        <v>22400</v>
      </c>
      <c r="Q69" s="934">
        <f t="shared" si="119"/>
        <v>50000</v>
      </c>
      <c r="R69" s="934"/>
      <c r="S69" s="934"/>
      <c r="T69" s="934"/>
      <c r="U69" s="934"/>
      <c r="V69" s="934"/>
      <c r="W69" s="749"/>
      <c r="X69" s="934"/>
      <c r="Y69" s="934">
        <f t="shared" si="198"/>
        <v>20000</v>
      </c>
      <c r="Z69" s="934">
        <f t="shared" si="133"/>
        <v>75000</v>
      </c>
      <c r="AA69" s="934"/>
      <c r="AB69" s="934"/>
      <c r="AC69" s="934"/>
      <c r="AD69" s="934"/>
      <c r="AE69" s="934">
        <f t="shared" si="14"/>
        <v>167400</v>
      </c>
      <c r="AF69" s="1005">
        <f t="shared" si="15"/>
        <v>2277400.0019999999</v>
      </c>
      <c r="AG69" s="1005">
        <f t="shared" si="37"/>
        <v>56935.000050000002</v>
      </c>
      <c r="AH69" s="1005">
        <f t="shared" si="38"/>
        <v>2334335.0020499998</v>
      </c>
      <c r="AI69" s="1005">
        <f t="shared" si="39"/>
        <v>58358.375051249997</v>
      </c>
      <c r="AJ69" s="1005">
        <f t="shared" si="40"/>
        <v>2392693.37710125</v>
      </c>
      <c r="AK69" s="1005">
        <f t="shared" si="41"/>
        <v>119634.66885506251</v>
      </c>
      <c r="AL69" s="1005">
        <f t="shared" si="157"/>
        <v>2512328.0459563127</v>
      </c>
      <c r="AM69" s="934">
        <f t="shared" si="43"/>
        <v>25123.280459563128</v>
      </c>
      <c r="AN69" s="934">
        <f t="shared" si="44"/>
        <v>27537.409960060559</v>
      </c>
      <c r="AO69" s="934"/>
      <c r="AP69" s="934">
        <f t="shared" si="134"/>
        <v>111000.27050858641</v>
      </c>
      <c r="AQ69" s="1005">
        <f t="shared" si="45"/>
        <v>2675989.0068845227</v>
      </c>
      <c r="AR69" s="1005">
        <f t="shared" si="46"/>
        <v>120419.50530980351</v>
      </c>
      <c r="AS69" s="1147">
        <f t="shared" si="47"/>
        <v>2796408.5121943261</v>
      </c>
      <c r="AT69" s="1148">
        <f t="shared" si="135"/>
        <v>2000000</v>
      </c>
      <c r="AU69" s="1148">
        <f t="shared" si="193"/>
        <v>36200.386917923919</v>
      </c>
      <c r="AV69" s="1148">
        <f t="shared" si="136"/>
        <v>796408.51219432615</v>
      </c>
      <c r="AW69" s="1148">
        <f t="shared" si="17"/>
        <v>95569.021463319135</v>
      </c>
      <c r="AX69" s="1148">
        <f t="shared" si="18"/>
        <v>891977.53365764534</v>
      </c>
      <c r="AY69" s="1147">
        <f t="shared" si="48"/>
        <v>2891977.5336576453</v>
      </c>
      <c r="AZ69" s="934">
        <f t="shared" si="49"/>
        <v>36149.719170720571</v>
      </c>
      <c r="BA69" s="716" t="s">
        <v>269</v>
      </c>
      <c r="BB69" s="716">
        <f t="shared" si="194"/>
        <v>2928127.2528283661</v>
      </c>
      <c r="BC69" s="716" t="s">
        <v>269</v>
      </c>
      <c r="BD69" s="716">
        <f t="shared" si="50"/>
        <v>109804.77198106372</v>
      </c>
      <c r="BE69" s="716">
        <f t="shared" si="51"/>
        <v>33600</v>
      </c>
      <c r="BF69" s="716">
        <f t="shared" si="52"/>
        <v>3071532.0248094299</v>
      </c>
      <c r="BG69" s="716"/>
      <c r="BH69" s="716">
        <f t="shared" si="53"/>
        <v>3071532.0248094299</v>
      </c>
      <c r="BI69" s="716"/>
      <c r="BJ69" s="716">
        <f t="shared" si="54"/>
        <v>3071532.0248094299</v>
      </c>
      <c r="BK69" s="716"/>
      <c r="BL69" s="716">
        <f t="shared" si="55"/>
        <v>3071532.0248094299</v>
      </c>
      <c r="BM69" s="716"/>
      <c r="BN69" s="716">
        <f t="shared" si="20"/>
        <v>3071532.0248094299</v>
      </c>
      <c r="BO69" s="716"/>
      <c r="BP69" s="716">
        <f t="shared" si="56"/>
        <v>3071532.0248094299</v>
      </c>
      <c r="BQ69" s="716"/>
      <c r="BR69" s="716">
        <f t="shared" si="57"/>
        <v>3071532.0248094299</v>
      </c>
      <c r="BS69" s="716"/>
      <c r="BT69" s="716">
        <f t="shared" si="58"/>
        <v>3071532.0248094299</v>
      </c>
      <c r="BU69" s="716">
        <f>$BU$5/24</f>
        <v>546.00000000000011</v>
      </c>
      <c r="BV69" s="716">
        <f t="shared" si="21"/>
        <v>3072078.0248094299</v>
      </c>
      <c r="BW69" s="716"/>
      <c r="BX69" s="716">
        <f t="shared" si="167"/>
        <v>31400</v>
      </c>
      <c r="BY69" s="716">
        <f t="shared" si="60"/>
        <v>3103478.0248094299</v>
      </c>
      <c r="BZ69" s="716">
        <f>$BZ$5/20</f>
        <v>33654.337039807535</v>
      </c>
      <c r="CA69" s="716">
        <f t="shared" si="61"/>
        <v>3137132.3618492372</v>
      </c>
      <c r="CB69" s="1135">
        <f>CA69</f>
        <v>3137132.3618492372</v>
      </c>
      <c r="CC69" s="1164">
        <f t="shared" si="109"/>
        <v>3137132.3618492372</v>
      </c>
      <c r="CD69" s="1164"/>
      <c r="CE69" s="1164">
        <f t="shared" si="63"/>
        <v>0</v>
      </c>
      <c r="CF69" s="1164">
        <f t="shared" si="115"/>
        <v>0</v>
      </c>
      <c r="CG69" s="1164">
        <f t="shared" si="116"/>
        <v>0</v>
      </c>
      <c r="CH69" s="1154">
        <f t="shared" si="158"/>
        <v>3137132.3618492372</v>
      </c>
      <c r="CI69" s="935">
        <f t="shared" si="137"/>
        <v>3137132.3618492372</v>
      </c>
      <c r="CJ69" s="935">
        <f t="shared" si="64"/>
        <v>0</v>
      </c>
      <c r="CK69" s="935">
        <f t="shared" si="65"/>
        <v>321556.06708954682</v>
      </c>
      <c r="CL69" s="935">
        <f t="shared" si="66"/>
        <v>109799.63266472331</v>
      </c>
      <c r="CM69" s="1006">
        <f t="shared" si="138"/>
        <v>3568488.0616035075</v>
      </c>
      <c r="CN69" s="1007">
        <f t="shared" si="139"/>
        <v>0.125</v>
      </c>
      <c r="CO69" s="935">
        <f t="shared" si="24"/>
        <v>446061.00770043844</v>
      </c>
      <c r="CP69" s="935">
        <f t="shared" si="170"/>
        <v>30000</v>
      </c>
      <c r="CQ69" s="935">
        <f t="shared" si="25"/>
        <v>416061.00770043844</v>
      </c>
      <c r="CR69" s="745">
        <v>1</v>
      </c>
      <c r="CS69" s="935">
        <f t="shared" si="26"/>
        <v>416061.00770043844</v>
      </c>
      <c r="CT69" s="1007">
        <f t="shared" si="68"/>
        <v>0.875</v>
      </c>
      <c r="CU69" s="935">
        <f t="shared" si="69"/>
        <v>3122427.0539030689</v>
      </c>
      <c r="CV69" s="1008">
        <f t="shared" si="110"/>
        <v>24208.143714386279</v>
      </c>
      <c r="CW69" s="1008">
        <f t="shared" si="70"/>
        <v>28065.257097225334</v>
      </c>
      <c r="CX69" s="1008">
        <f t="shared" si="71"/>
        <v>36254.025669977404</v>
      </c>
      <c r="CY69" s="1008">
        <f t="shared" si="72"/>
        <v>61827.798022093346</v>
      </c>
      <c r="CZ69" s="1119">
        <f t="shared" si="122"/>
        <v>253644.67426754325</v>
      </c>
      <c r="DA69" s="1119">
        <f t="shared" si="123"/>
        <v>100365.96203352044</v>
      </c>
      <c r="DB69" s="1119">
        <f t="shared" si="124"/>
        <v>72492.912874160145</v>
      </c>
      <c r="DC69" s="1119">
        <f t="shared" si="125"/>
        <v>55170.444098574975</v>
      </c>
      <c r="DD69" s="1028">
        <f t="shared" si="126"/>
        <v>0.39820425609716309</v>
      </c>
      <c r="DE69" s="1028">
        <f t="shared" si="142"/>
        <v>0</v>
      </c>
      <c r="DF69" s="1009" t="s">
        <v>270</v>
      </c>
      <c r="DG69" s="1009" t="s">
        <v>271</v>
      </c>
      <c r="DH69" s="966">
        <f t="shared" si="111"/>
        <v>45658</v>
      </c>
      <c r="DI69" s="912">
        <f t="shared" si="73"/>
        <v>14</v>
      </c>
      <c r="DJ69" s="939"/>
      <c r="DK69" s="913">
        <f t="shared" si="74"/>
        <v>45723</v>
      </c>
      <c r="DL69" s="912">
        <f t="shared" si="75"/>
        <v>16</v>
      </c>
      <c r="DM69" s="750" t="s">
        <v>272</v>
      </c>
      <c r="DN69" s="750" t="s">
        <v>273</v>
      </c>
      <c r="DO69" s="751">
        <f t="shared" si="31"/>
        <v>40544.433348074788</v>
      </c>
      <c r="DP69" s="751">
        <f t="shared" si="32"/>
        <v>891977.53365764534</v>
      </c>
      <c r="DQ69" s="752">
        <f t="shared" si="127"/>
        <v>0.44598876682882266</v>
      </c>
      <c r="DR69" s="503"/>
      <c r="DS69" s="751">
        <f t="shared" si="128"/>
        <v>3137132.3618492372</v>
      </c>
      <c r="DT69" s="751">
        <f>'[4]INTERNAL PRICELIST'!N63</f>
        <v>2061900</v>
      </c>
      <c r="DU69" s="751">
        <f t="shared" si="33"/>
        <v>1075232.3618492372</v>
      </c>
      <c r="DV69" s="503"/>
      <c r="DW69" s="951">
        <f t="shared" si="129"/>
        <v>142596.9255386017</v>
      </c>
      <c r="DX69" s="503"/>
      <c r="DZ69" s="1010" t="s">
        <v>443</v>
      </c>
      <c r="EA69" s="1052" t="b">
        <f t="shared" si="35"/>
        <v>1</v>
      </c>
      <c r="EB69" s="1072" t="s">
        <v>444</v>
      </c>
      <c r="EC69" s="1053" t="s">
        <v>410</v>
      </c>
      <c r="ED69" s="503"/>
      <c r="EE69" s="1029"/>
      <c r="EF69" s="503"/>
      <c r="EG69" s="503"/>
      <c r="EH69" s="930"/>
      <c r="EI69" s="930"/>
      <c r="EJ69" s="503"/>
      <c r="EK69" s="503"/>
      <c r="EL69" s="503"/>
      <c r="EM69" s="503"/>
      <c r="EN69" s="503"/>
      <c r="EO69" s="503"/>
      <c r="EP69" s="503"/>
      <c r="EQ69" s="503"/>
      <c r="ER69" s="1017" t="s">
        <v>243</v>
      </c>
      <c r="ES69" s="1391" t="s">
        <v>243</v>
      </c>
      <c r="ET69" s="1018" t="b">
        <f t="shared" si="76"/>
        <v>1</v>
      </c>
      <c r="EU69" s="940"/>
      <c r="EV69" s="941"/>
      <c r="EW69" s="940"/>
      <c r="EX69" s="1019">
        <v>2901967.8564336314</v>
      </c>
      <c r="EY69" s="1019">
        <f t="shared" si="143"/>
        <v>435295.17846504471</v>
      </c>
      <c r="EZ69" s="1019">
        <f t="shared" si="144"/>
        <v>2466672.6779685868</v>
      </c>
      <c r="FA69" s="1019">
        <f t="shared" si="145"/>
        <v>290196.78564336314</v>
      </c>
      <c r="FB69" s="1019">
        <f t="shared" si="146"/>
        <v>2611771.0707902685</v>
      </c>
      <c r="FC69" s="1019">
        <f t="shared" si="147"/>
        <v>145098.39282168169</v>
      </c>
      <c r="FD69" s="1020"/>
      <c r="FE69" s="1021"/>
      <c r="FF69" s="1022">
        <f t="shared" si="148"/>
        <v>2466672.6779685868</v>
      </c>
      <c r="FG69" s="1022">
        <f t="shared" si="149"/>
        <v>209667.17762732989</v>
      </c>
      <c r="FH69" s="1022">
        <f t="shared" si="161"/>
        <v>104833.58881366494</v>
      </c>
      <c r="FI69" s="1023">
        <f t="shared" si="150"/>
        <v>2611771.0707902685</v>
      </c>
      <c r="FJ69" s="1023">
        <f t="shared" si="151"/>
        <v>222000.54101717283</v>
      </c>
      <c r="FK69" s="1023">
        <f t="shared" si="152"/>
        <v>111000.27050858641</v>
      </c>
      <c r="FL69" s="1019">
        <f t="shared" si="162"/>
        <v>12333.36338984294</v>
      </c>
      <c r="FM69" s="1019">
        <f t="shared" si="163"/>
        <v>6166.6816949214699</v>
      </c>
      <c r="FN69" s="1019" t="str">
        <f t="shared" si="153"/>
        <v>VS</v>
      </c>
      <c r="FO69" s="1019">
        <f t="shared" si="159"/>
        <v>27537.409960060559</v>
      </c>
      <c r="FP69" s="1019">
        <f t="shared" si="164"/>
        <v>-21370.728265139089</v>
      </c>
      <c r="FQ69" s="1021"/>
      <c r="FR69" s="1021"/>
      <c r="FS69" s="1020"/>
      <c r="FT69" s="503"/>
      <c r="FU69" s="956"/>
      <c r="FV69" s="503"/>
      <c r="FW69" s="503"/>
      <c r="FX69" s="1040"/>
      <c r="FY69" s="503"/>
      <c r="FZ69" s="503"/>
      <c r="GA69" s="503"/>
      <c r="GB69" s="1059"/>
      <c r="GE69" s="503"/>
      <c r="GF69" s="1059"/>
      <c r="GG69" s="956"/>
      <c r="GH69" s="1058"/>
      <c r="GI69" s="1024">
        <f t="shared" si="78"/>
        <v>3568488.0616035075</v>
      </c>
      <c r="GJ69" s="1025">
        <f t="shared" si="79"/>
        <v>0.125</v>
      </c>
      <c r="GK69" s="1024">
        <f t="shared" si="80"/>
        <v>446061.00770043844</v>
      </c>
      <c r="GL69" s="1024">
        <f t="shared" si="81"/>
        <v>30000</v>
      </c>
      <c r="GM69" s="1024">
        <f t="shared" si="82"/>
        <v>416061.00770043844</v>
      </c>
      <c r="GN69" s="1024">
        <f t="shared" si="83"/>
        <v>1</v>
      </c>
      <c r="GO69" s="1024">
        <f t="shared" si="84"/>
        <v>416061.00770043844</v>
      </c>
      <c r="GP69" s="1025">
        <f t="shared" si="85"/>
        <v>0.875</v>
      </c>
      <c r="GQ69" s="1024">
        <f t="shared" si="86"/>
        <v>3122427.0539030689</v>
      </c>
      <c r="GR69" s="1024">
        <f t="shared" si="87"/>
        <v>24208.143714386279</v>
      </c>
      <c r="GS69" s="1024">
        <f t="shared" si="88"/>
        <v>28065.257097225334</v>
      </c>
      <c r="GT69" s="1024">
        <f t="shared" si="89"/>
        <v>36254.025669977404</v>
      </c>
      <c r="GU69" s="1024">
        <f t="shared" si="90"/>
        <v>61827.798022093346</v>
      </c>
      <c r="GV69" s="945"/>
      <c r="GW69" s="1024">
        <f t="shared" si="91"/>
        <v>3568488.0616035075</v>
      </c>
      <c r="GX69" s="1025">
        <f t="shared" si="92"/>
        <v>0.125</v>
      </c>
      <c r="GY69" s="1024">
        <f t="shared" si="93"/>
        <v>446061.00770043844</v>
      </c>
      <c r="GZ69" s="1024">
        <f t="shared" si="94"/>
        <v>30000</v>
      </c>
      <c r="HA69" s="1024">
        <f t="shared" si="95"/>
        <v>416061.00770043844</v>
      </c>
      <c r="HB69" s="1026">
        <f t="shared" si="96"/>
        <v>25</v>
      </c>
      <c r="HC69" s="1009">
        <f t="shared" si="97"/>
        <v>16642.440308017536</v>
      </c>
      <c r="HD69" s="1027">
        <f t="shared" si="98"/>
        <v>0.875</v>
      </c>
      <c r="HE69" s="1009">
        <f t="shared" si="99"/>
        <v>3122427.0539030689</v>
      </c>
      <c r="HF69" s="1008">
        <f t="shared" si="100"/>
        <v>24208.143714386279</v>
      </c>
      <c r="HG69" s="1008">
        <f t="shared" si="101"/>
        <v>28065.257097225334</v>
      </c>
      <c r="HH69" s="1008">
        <f t="shared" si="102"/>
        <v>36254.025669977404</v>
      </c>
      <c r="HI69" s="1008">
        <f t="shared" si="103"/>
        <v>61827.798022093346</v>
      </c>
      <c r="HJ69" s="945"/>
      <c r="HK69" s="1009">
        <f t="shared" si="104"/>
        <v>-399418.5673924209</v>
      </c>
      <c r="HL69" s="503"/>
      <c r="HM69" s="503"/>
      <c r="HN69" s="503"/>
      <c r="HO69" s="503"/>
      <c r="HP69" s="503"/>
      <c r="HQ69" s="503"/>
      <c r="HR69" s="956">
        <f t="shared" si="105"/>
        <v>0</v>
      </c>
      <c r="HS69" s="503"/>
      <c r="HT69" s="503"/>
      <c r="HU69" s="956"/>
      <c r="HV69" s="503"/>
      <c r="HW69" s="956"/>
      <c r="HX69" s="956"/>
      <c r="HY69" s="503"/>
      <c r="HZ69" s="503"/>
      <c r="IA69" s="503"/>
      <c r="ID69" s="1394"/>
    </row>
    <row r="70" spans="1:238" s="1051" customFormat="1" ht="14.25" hidden="1" customHeight="1">
      <c r="A70" s="1018">
        <f t="shared" si="155"/>
        <v>64</v>
      </c>
      <c r="B70" s="716" t="s">
        <v>264</v>
      </c>
      <c r="C70" s="741">
        <f t="shared" si="197"/>
        <v>16</v>
      </c>
      <c r="D70" s="716" t="s">
        <v>261</v>
      </c>
      <c r="E70" s="743" t="str">
        <f t="shared" si="36"/>
        <v>5th Floor</v>
      </c>
      <c r="F70" s="1048"/>
      <c r="G70" s="745" t="s">
        <v>445</v>
      </c>
      <c r="H70" s="745" t="s">
        <v>345</v>
      </c>
      <c r="I70" s="745" t="s">
        <v>267</v>
      </c>
      <c r="J70" s="1005">
        <v>22</v>
      </c>
      <c r="K70" s="1049"/>
      <c r="L70" s="1006" t="s">
        <v>268</v>
      </c>
      <c r="M70" s="745" t="s">
        <v>79</v>
      </c>
      <c r="N70" s="1050">
        <v>95909.091</v>
      </c>
      <c r="O70" s="934">
        <f t="shared" si="132"/>
        <v>2110000.0019999999</v>
      </c>
      <c r="P70" s="934">
        <f t="shared" si="156"/>
        <v>22400</v>
      </c>
      <c r="Q70" s="934">
        <f t="shared" si="119"/>
        <v>50000</v>
      </c>
      <c r="R70" s="934"/>
      <c r="S70" s="934"/>
      <c r="T70" s="934"/>
      <c r="U70" s="934"/>
      <c r="V70" s="934"/>
      <c r="W70" s="749"/>
      <c r="X70" s="934"/>
      <c r="Y70" s="934">
        <f t="shared" si="198"/>
        <v>20000</v>
      </c>
      <c r="Z70" s="934">
        <f t="shared" si="133"/>
        <v>75000</v>
      </c>
      <c r="AA70" s="934"/>
      <c r="AB70" s="934"/>
      <c r="AC70" s="934"/>
      <c r="AD70" s="934"/>
      <c r="AE70" s="934">
        <f t="shared" si="14"/>
        <v>167400</v>
      </c>
      <c r="AF70" s="1005">
        <f t="shared" si="15"/>
        <v>2277400.0019999999</v>
      </c>
      <c r="AG70" s="1005">
        <f t="shared" si="37"/>
        <v>56935.000050000002</v>
      </c>
      <c r="AH70" s="1005">
        <f t="shared" si="38"/>
        <v>2334335.0020499998</v>
      </c>
      <c r="AI70" s="1005">
        <f t="shared" si="39"/>
        <v>58358.375051249997</v>
      </c>
      <c r="AJ70" s="1005">
        <f t="shared" si="40"/>
        <v>2392693.37710125</v>
      </c>
      <c r="AK70" s="1005">
        <f t="shared" si="41"/>
        <v>119634.66885506251</v>
      </c>
      <c r="AL70" s="1005">
        <f t="shared" si="157"/>
        <v>2512328.0459563127</v>
      </c>
      <c r="AM70" s="934">
        <f t="shared" si="43"/>
        <v>25123.280459563128</v>
      </c>
      <c r="AN70" s="934">
        <f t="shared" si="44"/>
        <v>27537.409960060559</v>
      </c>
      <c r="AO70" s="934"/>
      <c r="AP70" s="934">
        <f t="shared" si="134"/>
        <v>111000.27050858641</v>
      </c>
      <c r="AQ70" s="1005">
        <f t="shared" si="45"/>
        <v>2675989.0068845227</v>
      </c>
      <c r="AR70" s="1005">
        <f t="shared" si="46"/>
        <v>120419.50530980351</v>
      </c>
      <c r="AS70" s="1147">
        <f t="shared" si="47"/>
        <v>2796408.5121943261</v>
      </c>
      <c r="AT70" s="1148">
        <f t="shared" si="135"/>
        <v>2000000</v>
      </c>
      <c r="AU70" s="1148">
        <f t="shared" si="193"/>
        <v>36200.386917923919</v>
      </c>
      <c r="AV70" s="1148">
        <f t="shared" si="136"/>
        <v>796408.51219432615</v>
      </c>
      <c r="AW70" s="1148">
        <f t="shared" si="17"/>
        <v>95569.021463319135</v>
      </c>
      <c r="AX70" s="1148">
        <f t="shared" si="18"/>
        <v>891977.53365764534</v>
      </c>
      <c r="AY70" s="1147">
        <f t="shared" si="48"/>
        <v>2891977.5336576453</v>
      </c>
      <c r="AZ70" s="934">
        <f t="shared" si="49"/>
        <v>36149.719170720571</v>
      </c>
      <c r="BA70" s="716" t="s">
        <v>269</v>
      </c>
      <c r="BB70" s="716">
        <f t="shared" si="194"/>
        <v>2928127.2528283661</v>
      </c>
      <c r="BC70" s="716" t="s">
        <v>269</v>
      </c>
      <c r="BD70" s="716">
        <f t="shared" si="50"/>
        <v>109804.77198106372</v>
      </c>
      <c r="BE70" s="716">
        <f t="shared" si="51"/>
        <v>33600</v>
      </c>
      <c r="BF70" s="716">
        <f t="shared" si="52"/>
        <v>3071532.0248094299</v>
      </c>
      <c r="BG70" s="716"/>
      <c r="BH70" s="716">
        <f t="shared" si="53"/>
        <v>3071532.0248094299</v>
      </c>
      <c r="BI70" s="716"/>
      <c r="BJ70" s="716">
        <f t="shared" si="54"/>
        <v>3071532.0248094299</v>
      </c>
      <c r="BK70" s="716"/>
      <c r="BL70" s="716">
        <f t="shared" si="55"/>
        <v>3071532.0248094299</v>
      </c>
      <c r="BM70" s="716"/>
      <c r="BN70" s="716">
        <f t="shared" si="20"/>
        <v>3071532.0248094299</v>
      </c>
      <c r="BO70" s="716"/>
      <c r="BP70" s="716">
        <f t="shared" si="56"/>
        <v>3071532.0248094299</v>
      </c>
      <c r="BQ70" s="716"/>
      <c r="BR70" s="716">
        <f t="shared" si="57"/>
        <v>3071532.0248094299</v>
      </c>
      <c r="BS70" s="716"/>
      <c r="BT70" s="716">
        <f t="shared" si="58"/>
        <v>3071532.0248094299</v>
      </c>
      <c r="BU70" s="716"/>
      <c r="BV70" s="716">
        <f t="shared" si="21"/>
        <v>3071532.0248094299</v>
      </c>
      <c r="BW70" s="716"/>
      <c r="BX70" s="716">
        <f t="shared" si="167"/>
        <v>31400</v>
      </c>
      <c r="BY70" s="716">
        <f t="shared" si="60"/>
        <v>3102932.0248094299</v>
      </c>
      <c r="BZ70" s="716"/>
      <c r="CA70" s="716">
        <f t="shared" si="61"/>
        <v>3102932.0248094299</v>
      </c>
      <c r="CB70" s="1135">
        <f t="shared" si="121"/>
        <v>3102932.0248094299</v>
      </c>
      <c r="CC70" s="1164">
        <f t="shared" si="109"/>
        <v>3102932.0248094299</v>
      </c>
      <c r="CD70" s="1164"/>
      <c r="CE70" s="1164">
        <f t="shared" si="63"/>
        <v>0</v>
      </c>
      <c r="CF70" s="1164">
        <f t="shared" si="115"/>
        <v>0</v>
      </c>
      <c r="CG70" s="1164">
        <f t="shared" si="116"/>
        <v>0</v>
      </c>
      <c r="CH70" s="1154">
        <f t="shared" si="158"/>
        <v>3102932.0248094299</v>
      </c>
      <c r="CI70" s="935">
        <f t="shared" si="137"/>
        <v>3102932.0248094299</v>
      </c>
      <c r="CJ70" s="935">
        <f t="shared" si="64"/>
        <v>0</v>
      </c>
      <c r="CK70" s="935">
        <f t="shared" si="65"/>
        <v>318050.53254296654</v>
      </c>
      <c r="CL70" s="935">
        <f t="shared" si="66"/>
        <v>108602.62086833005</v>
      </c>
      <c r="CM70" s="1006">
        <f t="shared" si="138"/>
        <v>3529585.1782207265</v>
      </c>
      <c r="CN70" s="1007">
        <f t="shared" si="139"/>
        <v>0.125</v>
      </c>
      <c r="CO70" s="935">
        <f t="shared" si="24"/>
        <v>441198.14727759082</v>
      </c>
      <c r="CP70" s="935">
        <f t="shared" si="170"/>
        <v>30000</v>
      </c>
      <c r="CQ70" s="935">
        <f t="shared" si="25"/>
        <v>411198.14727759082</v>
      </c>
      <c r="CR70" s="745">
        <f t="shared" si="141"/>
        <v>1</v>
      </c>
      <c r="CS70" s="935">
        <f t="shared" si="26"/>
        <v>411198.14727759082</v>
      </c>
      <c r="CT70" s="1007">
        <f t="shared" si="68"/>
        <v>0.875</v>
      </c>
      <c r="CU70" s="935">
        <f t="shared" si="69"/>
        <v>3088387.0309431357</v>
      </c>
      <c r="CV70" s="1008">
        <f t="shared" si="110"/>
        <v>23944.231778693495</v>
      </c>
      <c r="CW70" s="1008">
        <f t="shared" si="70"/>
        <v>27759.295747456799</v>
      </c>
      <c r="CX70" s="1008">
        <f t="shared" si="71"/>
        <v>35858.792140132915</v>
      </c>
      <c r="CY70" s="1008">
        <f t="shared" si="72"/>
        <v>61153.764769145651</v>
      </c>
      <c r="CZ70" s="1119">
        <f t="shared" si="122"/>
        <v>250879.4950058086</v>
      </c>
      <c r="DA70" s="1119">
        <f t="shared" si="123"/>
        <v>99271.794069613563</v>
      </c>
      <c r="DB70" s="1119">
        <f t="shared" si="124"/>
        <v>71702.610850744008</v>
      </c>
      <c r="DC70" s="1119">
        <f t="shared" si="125"/>
        <v>54568.987875129271</v>
      </c>
      <c r="DD70" s="1028">
        <f t="shared" si="126"/>
        <v>0.39820425609716309</v>
      </c>
      <c r="DE70" s="1028">
        <f t="shared" si="142"/>
        <v>0</v>
      </c>
      <c r="DF70" s="1009" t="s">
        <v>270</v>
      </c>
      <c r="DG70" s="1009" t="s">
        <v>271</v>
      </c>
      <c r="DH70" s="966">
        <f t="shared" si="111"/>
        <v>45658</v>
      </c>
      <c r="DI70" s="912">
        <f t="shared" si="73"/>
        <v>14</v>
      </c>
      <c r="DJ70" s="939"/>
      <c r="DK70" s="913">
        <f t="shared" si="74"/>
        <v>45723</v>
      </c>
      <c r="DL70" s="912">
        <f t="shared" si="75"/>
        <v>16</v>
      </c>
      <c r="DM70" s="750" t="s">
        <v>272</v>
      </c>
      <c r="DN70" s="750" t="s">
        <v>273</v>
      </c>
      <c r="DO70" s="751">
        <f t="shared" si="31"/>
        <v>40544.433348074788</v>
      </c>
      <c r="DP70" s="751">
        <f t="shared" si="32"/>
        <v>891977.53365764534</v>
      </c>
      <c r="DQ70" s="752">
        <f t="shared" si="127"/>
        <v>0.44598876682882266</v>
      </c>
      <c r="DR70" s="503"/>
      <c r="DS70" s="751">
        <f t="shared" si="128"/>
        <v>3102932.0248094299</v>
      </c>
      <c r="DT70" s="751">
        <f>'[4]INTERNAL PRICELIST'!N64</f>
        <v>2061900</v>
      </c>
      <c r="DU70" s="751">
        <f t="shared" si="33"/>
        <v>1041032.0248094299</v>
      </c>
      <c r="DV70" s="503"/>
      <c r="DW70" s="951">
        <f t="shared" si="129"/>
        <v>141042.36476406499</v>
      </c>
      <c r="DX70" s="503"/>
      <c r="DZ70" s="1010" t="s">
        <v>445</v>
      </c>
      <c r="EA70" s="1052" t="b">
        <f t="shared" si="35"/>
        <v>1</v>
      </c>
      <c r="EB70" s="1072" t="s">
        <v>446</v>
      </c>
      <c r="EC70" s="1053" t="s">
        <v>410</v>
      </c>
      <c r="ED70" s="503"/>
      <c r="EE70" s="1029"/>
      <c r="EF70" s="503"/>
      <c r="EG70" s="503"/>
      <c r="EH70" s="930"/>
      <c r="EI70" s="930"/>
      <c r="EJ70" s="503"/>
      <c r="EK70" s="503"/>
      <c r="EL70" s="503"/>
      <c r="EM70" s="503"/>
      <c r="EN70" s="503"/>
      <c r="EO70" s="503"/>
      <c r="EP70" s="503"/>
      <c r="EQ70" s="503"/>
      <c r="ER70" s="1017" t="s">
        <v>264</v>
      </c>
      <c r="ES70" s="1391" t="s">
        <v>264</v>
      </c>
      <c r="ET70" s="1018" t="b">
        <f t="shared" si="76"/>
        <v>1</v>
      </c>
      <c r="EU70" s="940"/>
      <c r="EV70" s="941"/>
      <c r="EW70" s="940"/>
      <c r="EX70" s="1019">
        <v>2901967.8564336314</v>
      </c>
      <c r="EY70" s="1019">
        <f t="shared" si="143"/>
        <v>435295.17846504471</v>
      </c>
      <c r="EZ70" s="1019">
        <f t="shared" si="144"/>
        <v>2466672.6779685868</v>
      </c>
      <c r="FA70" s="1019">
        <f t="shared" si="145"/>
        <v>290196.78564336314</v>
      </c>
      <c r="FB70" s="1019">
        <f t="shared" si="146"/>
        <v>2611771.0707902685</v>
      </c>
      <c r="FC70" s="1019">
        <f t="shared" si="147"/>
        <v>145098.39282168169</v>
      </c>
      <c r="FD70" s="1020"/>
      <c r="FE70" s="1021"/>
      <c r="FF70" s="1022">
        <f t="shared" si="148"/>
        <v>2466672.6779685868</v>
      </c>
      <c r="FG70" s="1022">
        <f t="shared" si="149"/>
        <v>209667.17762732989</v>
      </c>
      <c r="FH70" s="1022">
        <f t="shared" si="161"/>
        <v>104833.58881366494</v>
      </c>
      <c r="FI70" s="1023">
        <f t="shared" si="150"/>
        <v>2611771.0707902685</v>
      </c>
      <c r="FJ70" s="1023">
        <f t="shared" si="151"/>
        <v>222000.54101717283</v>
      </c>
      <c r="FK70" s="1023">
        <f t="shared" si="152"/>
        <v>111000.27050858641</v>
      </c>
      <c r="FL70" s="1019">
        <f t="shared" si="162"/>
        <v>12333.36338984294</v>
      </c>
      <c r="FM70" s="1019">
        <f t="shared" si="163"/>
        <v>6166.6816949214699</v>
      </c>
      <c r="FN70" s="1019" t="str">
        <f t="shared" si="153"/>
        <v>VS</v>
      </c>
      <c r="FO70" s="1019">
        <f t="shared" si="159"/>
        <v>27537.409960060559</v>
      </c>
      <c r="FP70" s="1019">
        <f t="shared" si="164"/>
        <v>-21370.728265139089</v>
      </c>
      <c r="FQ70" s="1021"/>
      <c r="FR70" s="1021"/>
      <c r="FS70" s="1020"/>
      <c r="FT70" s="503"/>
      <c r="FU70" s="956"/>
      <c r="FV70" s="503"/>
      <c r="FW70" s="503"/>
      <c r="FX70" s="1040"/>
      <c r="FY70" s="503"/>
      <c r="FZ70" s="503"/>
      <c r="GA70" s="503"/>
      <c r="GB70" s="1059"/>
      <c r="GE70" s="503"/>
      <c r="GF70" s="1059"/>
      <c r="GG70" s="956"/>
      <c r="GH70" s="945"/>
      <c r="GI70" s="1024">
        <f t="shared" si="78"/>
        <v>3529585.1782207265</v>
      </c>
      <c r="GJ70" s="1025">
        <f t="shared" si="79"/>
        <v>0.125</v>
      </c>
      <c r="GK70" s="1024">
        <f t="shared" si="80"/>
        <v>441198.14727759082</v>
      </c>
      <c r="GL70" s="1024">
        <f t="shared" si="81"/>
        <v>30000</v>
      </c>
      <c r="GM70" s="1024">
        <f t="shared" si="82"/>
        <v>411198.14727759082</v>
      </c>
      <c r="GN70" s="1024">
        <f t="shared" si="83"/>
        <v>1</v>
      </c>
      <c r="GO70" s="1024">
        <f t="shared" si="84"/>
        <v>411198.14727759082</v>
      </c>
      <c r="GP70" s="1025">
        <f t="shared" si="85"/>
        <v>0.875</v>
      </c>
      <c r="GQ70" s="1024">
        <f t="shared" si="86"/>
        <v>3088387.0309431357</v>
      </c>
      <c r="GR70" s="1024">
        <f t="shared" si="87"/>
        <v>23944.231778693495</v>
      </c>
      <c r="GS70" s="1024">
        <f t="shared" si="88"/>
        <v>27759.295747456799</v>
      </c>
      <c r="GT70" s="1024">
        <f t="shared" si="89"/>
        <v>35858.792140132915</v>
      </c>
      <c r="GU70" s="1024">
        <f t="shared" si="90"/>
        <v>61153.764769145651</v>
      </c>
      <c r="GV70" s="945"/>
      <c r="GW70" s="1024">
        <f t="shared" si="91"/>
        <v>3529585.1782207265</v>
      </c>
      <c r="GX70" s="1025">
        <f t="shared" si="92"/>
        <v>0.125</v>
      </c>
      <c r="GY70" s="1024">
        <f t="shared" si="93"/>
        <v>441198.14727759082</v>
      </c>
      <c r="GZ70" s="1024">
        <f t="shared" si="94"/>
        <v>30000</v>
      </c>
      <c r="HA70" s="1024">
        <f t="shared" si="95"/>
        <v>411198.14727759082</v>
      </c>
      <c r="HB70" s="1026">
        <f t="shared" si="96"/>
        <v>25</v>
      </c>
      <c r="HC70" s="1009">
        <f t="shared" si="97"/>
        <v>16447.925891103634</v>
      </c>
      <c r="HD70" s="1027">
        <f t="shared" si="98"/>
        <v>0.875</v>
      </c>
      <c r="HE70" s="1009">
        <f t="shared" si="99"/>
        <v>3088387.0309431357</v>
      </c>
      <c r="HF70" s="1008">
        <f t="shared" si="100"/>
        <v>23944.231778693495</v>
      </c>
      <c r="HG70" s="1008">
        <f t="shared" si="101"/>
        <v>27759.295747456799</v>
      </c>
      <c r="HH70" s="1008">
        <f t="shared" si="102"/>
        <v>35858.792140132915</v>
      </c>
      <c r="HI70" s="1008">
        <f t="shared" si="103"/>
        <v>61153.764769145651</v>
      </c>
      <c r="HJ70" s="945"/>
      <c r="HK70" s="1009">
        <f t="shared" si="104"/>
        <v>-394750.22138648719</v>
      </c>
      <c r="HL70" s="503"/>
      <c r="HM70" s="503"/>
      <c r="HN70" s="503"/>
      <c r="HO70" s="503"/>
      <c r="HP70" s="503"/>
      <c r="HQ70" s="503"/>
      <c r="HR70" s="956">
        <f t="shared" si="105"/>
        <v>0</v>
      </c>
      <c r="HS70" s="503"/>
      <c r="HT70" s="503"/>
      <c r="HU70" s="956"/>
      <c r="HV70" s="503"/>
      <c r="HW70" s="956"/>
      <c r="HX70" s="956"/>
      <c r="HY70" s="503"/>
      <c r="HZ70" s="503"/>
      <c r="IA70" s="503"/>
      <c r="ID70" s="1394"/>
    </row>
    <row r="71" spans="1:238" s="1051" customFormat="1" ht="14.25" hidden="1" customHeight="1">
      <c r="A71" s="1018">
        <f t="shared" si="155"/>
        <v>65</v>
      </c>
      <c r="B71" s="716" t="s">
        <v>264</v>
      </c>
      <c r="C71" s="741">
        <f t="shared" si="197"/>
        <v>17</v>
      </c>
      <c r="D71" s="716" t="s">
        <v>261</v>
      </c>
      <c r="E71" s="743" t="str">
        <f t="shared" si="36"/>
        <v>5th Floor</v>
      </c>
      <c r="F71" s="1048"/>
      <c r="G71" s="745" t="s">
        <v>447</v>
      </c>
      <c r="H71" s="745" t="s">
        <v>349</v>
      </c>
      <c r="I71" s="745" t="s">
        <v>267</v>
      </c>
      <c r="J71" s="1005">
        <v>22</v>
      </c>
      <c r="K71" s="1049"/>
      <c r="L71" s="1006" t="s">
        <v>268</v>
      </c>
      <c r="M71" s="745" t="s">
        <v>79</v>
      </c>
      <c r="N71" s="1050">
        <v>95909.091</v>
      </c>
      <c r="O71" s="934">
        <f t="shared" si="132"/>
        <v>2110000.0019999999</v>
      </c>
      <c r="P71" s="934">
        <f t="shared" si="156"/>
        <v>22400</v>
      </c>
      <c r="Q71" s="934">
        <f t="shared" si="119"/>
        <v>50000</v>
      </c>
      <c r="R71" s="934"/>
      <c r="S71" s="934"/>
      <c r="T71" s="934"/>
      <c r="U71" s="934"/>
      <c r="V71" s="934"/>
      <c r="W71" s="934"/>
      <c r="X71" s="934"/>
      <c r="Y71" s="934">
        <f t="shared" si="198"/>
        <v>20000</v>
      </c>
      <c r="Z71" s="934">
        <f t="shared" si="133"/>
        <v>75000</v>
      </c>
      <c r="AA71" s="934"/>
      <c r="AB71" s="934"/>
      <c r="AC71" s="934"/>
      <c r="AD71" s="934"/>
      <c r="AE71" s="934">
        <f t="shared" ref="AE71:AE134" si="199">SUM(P71:AD71)</f>
        <v>167400</v>
      </c>
      <c r="AF71" s="1005">
        <f t="shared" ref="AF71:AF134" si="200">O71+AE71</f>
        <v>2277400.0019999999</v>
      </c>
      <c r="AG71" s="1005">
        <f t="shared" si="37"/>
        <v>56935.000050000002</v>
      </c>
      <c r="AH71" s="1005">
        <f t="shared" si="38"/>
        <v>2334335.0020499998</v>
      </c>
      <c r="AI71" s="1005">
        <f t="shared" si="39"/>
        <v>58358.375051249997</v>
      </c>
      <c r="AJ71" s="1005">
        <f t="shared" si="40"/>
        <v>2392693.37710125</v>
      </c>
      <c r="AK71" s="1005">
        <f t="shared" si="41"/>
        <v>119634.66885506251</v>
      </c>
      <c r="AL71" s="1005">
        <f t="shared" si="157"/>
        <v>2512328.0459563127</v>
      </c>
      <c r="AM71" s="934">
        <f t="shared" si="43"/>
        <v>25123.280459563128</v>
      </c>
      <c r="AN71" s="934">
        <f t="shared" si="44"/>
        <v>27537.409960060559</v>
      </c>
      <c r="AO71" s="934"/>
      <c r="AP71" s="934">
        <f t="shared" si="134"/>
        <v>111000.27050858641</v>
      </c>
      <c r="AQ71" s="1005">
        <f t="shared" ref="AQ71:AQ134" si="201">AL71+AM71+AP71+AN71+AO71</f>
        <v>2675989.0068845227</v>
      </c>
      <c r="AR71" s="1005">
        <f t="shared" si="46"/>
        <v>120419.50530980351</v>
      </c>
      <c r="AS71" s="1147">
        <f t="shared" si="47"/>
        <v>2796408.5121943261</v>
      </c>
      <c r="AT71" s="1148">
        <f t="shared" si="135"/>
        <v>2000000</v>
      </c>
      <c r="AU71" s="1148">
        <f t="shared" ref="AU71:AU102" si="202">AV71/J71</f>
        <v>36200.386917923919</v>
      </c>
      <c r="AV71" s="1148">
        <f t="shared" si="136"/>
        <v>796408.51219432615</v>
      </c>
      <c r="AW71" s="1148">
        <f t="shared" ref="AW71:AW133" si="203">AV71*$AW$5</f>
        <v>95569.021463319135</v>
      </c>
      <c r="AX71" s="1148">
        <f t="shared" ref="AX71:AX133" si="204">AV71+AW71</f>
        <v>891977.53365764534</v>
      </c>
      <c r="AY71" s="1147">
        <f t="shared" si="48"/>
        <v>2891977.5336576453</v>
      </c>
      <c r="AZ71" s="934">
        <f t="shared" si="49"/>
        <v>36149.719170720571</v>
      </c>
      <c r="BA71" s="716" t="s">
        <v>269</v>
      </c>
      <c r="BB71" s="716">
        <f t="shared" ref="BB71:BB102" si="205">SUM(AY71:BA71)</f>
        <v>2928127.2528283661</v>
      </c>
      <c r="BC71" s="716" t="s">
        <v>269</v>
      </c>
      <c r="BD71" s="716">
        <f t="shared" si="50"/>
        <v>109804.77198106372</v>
      </c>
      <c r="BE71" s="716">
        <f t="shared" si="51"/>
        <v>33600</v>
      </c>
      <c r="BF71" s="716">
        <f t="shared" si="52"/>
        <v>3071532.0248094299</v>
      </c>
      <c r="BG71" s="716"/>
      <c r="BH71" s="716">
        <f t="shared" si="53"/>
        <v>3071532.0248094299</v>
      </c>
      <c r="BI71" s="716"/>
      <c r="BJ71" s="716">
        <f t="shared" si="54"/>
        <v>3071532.0248094299</v>
      </c>
      <c r="BK71" s="716"/>
      <c r="BL71" s="716">
        <f t="shared" si="55"/>
        <v>3071532.0248094299</v>
      </c>
      <c r="BM71" s="716"/>
      <c r="BN71" s="716">
        <f t="shared" ref="BN71:BN134" si="206">BL71+BM71</f>
        <v>3071532.0248094299</v>
      </c>
      <c r="BO71" s="716"/>
      <c r="BP71" s="716">
        <f t="shared" si="56"/>
        <v>3071532.0248094299</v>
      </c>
      <c r="BQ71" s="716"/>
      <c r="BR71" s="716">
        <f t="shared" si="57"/>
        <v>3071532.0248094299</v>
      </c>
      <c r="BS71" s="716"/>
      <c r="BT71" s="716">
        <f t="shared" si="58"/>
        <v>3071532.0248094299</v>
      </c>
      <c r="BU71" s="716"/>
      <c r="BV71" s="716">
        <f t="shared" ref="BV71:BV134" si="207">BT71+BU71</f>
        <v>3071532.0248094299</v>
      </c>
      <c r="BW71" s="716"/>
      <c r="BX71" s="716">
        <f t="shared" si="167"/>
        <v>31400</v>
      </c>
      <c r="BY71" s="716">
        <f t="shared" si="60"/>
        <v>3102932.0248094299</v>
      </c>
      <c r="BZ71" s="716"/>
      <c r="CA71" s="716">
        <f t="shared" si="61"/>
        <v>3102932.0248094299</v>
      </c>
      <c r="CB71" s="1135">
        <f t="shared" si="121"/>
        <v>3102932.0248094299</v>
      </c>
      <c r="CC71" s="1164">
        <f t="shared" si="109"/>
        <v>3102932.0248094299</v>
      </c>
      <c r="CD71" s="1164"/>
      <c r="CE71" s="1164">
        <f t="shared" si="63"/>
        <v>0</v>
      </c>
      <c r="CF71" s="1164">
        <f t="shared" si="115"/>
        <v>0</v>
      </c>
      <c r="CG71" s="1164">
        <f t="shared" si="116"/>
        <v>0</v>
      </c>
      <c r="CH71" s="1154">
        <f t="shared" si="158"/>
        <v>3102932.0248094299</v>
      </c>
      <c r="CI71" s="935">
        <f t="shared" si="137"/>
        <v>3102932.0248094299</v>
      </c>
      <c r="CJ71" s="935">
        <f t="shared" si="64"/>
        <v>0</v>
      </c>
      <c r="CK71" s="935">
        <f t="shared" ref="CK71:CK134" si="208">CI71*CK$5</f>
        <v>318050.53254296654</v>
      </c>
      <c r="CL71" s="935">
        <f t="shared" ref="CL71:CL134" si="209">CI71*CL$5</f>
        <v>108602.62086833005</v>
      </c>
      <c r="CM71" s="1006">
        <f t="shared" si="138"/>
        <v>3529585.1782207265</v>
      </c>
      <c r="CN71" s="1007">
        <f t="shared" si="139"/>
        <v>0.125</v>
      </c>
      <c r="CO71" s="935">
        <f t="shared" ref="CO71:CO155" si="210">CM71*CN71</f>
        <v>441198.14727759082</v>
      </c>
      <c r="CP71" s="935">
        <f t="shared" si="170"/>
        <v>30000</v>
      </c>
      <c r="CQ71" s="935">
        <f t="shared" ref="CQ71:CQ155" si="211">CO71-CP71</f>
        <v>411198.14727759082</v>
      </c>
      <c r="CR71" s="745">
        <f t="shared" si="141"/>
        <v>1</v>
      </c>
      <c r="CS71" s="935">
        <f t="shared" ref="CS71:CS155" si="212">CQ71/CR71</f>
        <v>411198.14727759082</v>
      </c>
      <c r="CT71" s="1007">
        <f t="shared" si="68"/>
        <v>0.875</v>
      </c>
      <c r="CU71" s="935">
        <f t="shared" si="69"/>
        <v>3088387.0309431357</v>
      </c>
      <c r="CV71" s="1008">
        <f t="shared" si="110"/>
        <v>23944.231778693495</v>
      </c>
      <c r="CW71" s="1008">
        <f t="shared" si="70"/>
        <v>27759.295747456799</v>
      </c>
      <c r="CX71" s="1008">
        <f t="shared" si="71"/>
        <v>35858.792140132915</v>
      </c>
      <c r="CY71" s="1008">
        <f t="shared" si="72"/>
        <v>61153.764769145651</v>
      </c>
      <c r="CZ71" s="1119">
        <f t="shared" si="122"/>
        <v>250879.4950058086</v>
      </c>
      <c r="DA71" s="1119">
        <f t="shared" si="123"/>
        <v>99271.794069613563</v>
      </c>
      <c r="DB71" s="1119">
        <f t="shared" si="124"/>
        <v>71702.610850744008</v>
      </c>
      <c r="DC71" s="1119">
        <f t="shared" si="125"/>
        <v>54568.987875129271</v>
      </c>
      <c r="DD71" s="1028">
        <f t="shared" si="126"/>
        <v>0.39820425609716309</v>
      </c>
      <c r="DE71" s="1028">
        <f t="shared" si="142"/>
        <v>0</v>
      </c>
      <c r="DF71" s="1009" t="s">
        <v>270</v>
      </c>
      <c r="DG71" s="1009" t="s">
        <v>271</v>
      </c>
      <c r="DH71" s="966">
        <f t="shared" si="111"/>
        <v>45658</v>
      </c>
      <c r="DI71" s="912">
        <f t="shared" si="73"/>
        <v>14</v>
      </c>
      <c r="DJ71" s="939"/>
      <c r="DK71" s="913">
        <f t="shared" ref="DK71:DK134" si="213">DH71+65</f>
        <v>45723</v>
      </c>
      <c r="DL71" s="912">
        <f t="shared" si="75"/>
        <v>16</v>
      </c>
      <c r="DM71" s="750" t="s">
        <v>272</v>
      </c>
      <c r="DN71" s="750" t="s">
        <v>273</v>
      </c>
      <c r="DO71" s="751">
        <f t="shared" ref="DO71:DO134" si="214">DP71/J71</f>
        <v>40544.433348074788</v>
      </c>
      <c r="DP71" s="751">
        <f t="shared" ref="DP71:DP134" si="215">AX71</f>
        <v>891977.53365764534</v>
      </c>
      <c r="DQ71" s="752">
        <f t="shared" si="127"/>
        <v>0.44598876682882266</v>
      </c>
      <c r="DR71" s="503"/>
      <c r="DS71" s="751">
        <f t="shared" si="128"/>
        <v>3102932.0248094299</v>
      </c>
      <c r="DT71" s="751">
        <f>'[4]INTERNAL PRICELIST'!N65</f>
        <v>2061900</v>
      </c>
      <c r="DU71" s="751">
        <f t="shared" ref="DU71:DU134" si="216">DS71-DT71</f>
        <v>1041032.0248094299</v>
      </c>
      <c r="DV71" s="503"/>
      <c r="DW71" s="951">
        <f t="shared" si="129"/>
        <v>141042.36476406499</v>
      </c>
      <c r="DX71" s="503"/>
      <c r="DZ71" s="1010" t="s">
        <v>447</v>
      </c>
      <c r="EA71" s="1052" t="b">
        <f t="shared" ref="EA71:EA134" si="217">G71=DZ71</f>
        <v>1</v>
      </c>
      <c r="EB71" s="1072" t="s">
        <v>448</v>
      </c>
      <c r="EC71" s="1053" t="s">
        <v>410</v>
      </c>
      <c r="ED71" s="503"/>
      <c r="EE71" s="1029"/>
      <c r="EF71" s="503"/>
      <c r="EG71" s="503"/>
      <c r="EH71" s="930"/>
      <c r="EI71" s="930"/>
      <c r="EJ71" s="503"/>
      <c r="EK71" s="503"/>
      <c r="EL71" s="503"/>
      <c r="EM71" s="503"/>
      <c r="EN71" s="503"/>
      <c r="EO71" s="503"/>
      <c r="EP71" s="503"/>
      <c r="EQ71" s="503"/>
      <c r="ER71" s="1017" t="s">
        <v>264</v>
      </c>
      <c r="ES71" s="1391" t="s">
        <v>264</v>
      </c>
      <c r="ET71" s="1018" t="b">
        <f t="shared" si="76"/>
        <v>1</v>
      </c>
      <c r="EU71" s="940"/>
      <c r="EV71" s="941"/>
      <c r="EW71" s="940"/>
      <c r="EX71" s="1019">
        <v>2901967.8564336314</v>
      </c>
      <c r="EY71" s="1019">
        <f t="shared" si="143"/>
        <v>435295.17846504471</v>
      </c>
      <c r="EZ71" s="1019">
        <f t="shared" si="144"/>
        <v>2466672.6779685868</v>
      </c>
      <c r="FA71" s="1019">
        <f t="shared" si="145"/>
        <v>290196.78564336314</v>
      </c>
      <c r="FB71" s="1019">
        <f t="shared" si="146"/>
        <v>2611771.0707902685</v>
      </c>
      <c r="FC71" s="1019">
        <f t="shared" si="147"/>
        <v>145098.39282168169</v>
      </c>
      <c r="FD71" s="1020"/>
      <c r="FE71" s="1021"/>
      <c r="FF71" s="1022">
        <f t="shared" si="148"/>
        <v>2466672.6779685868</v>
      </c>
      <c r="FG71" s="1022">
        <f t="shared" si="149"/>
        <v>209667.17762732989</v>
      </c>
      <c r="FH71" s="1022">
        <f t="shared" si="161"/>
        <v>104833.58881366494</v>
      </c>
      <c r="FI71" s="1023">
        <f t="shared" si="150"/>
        <v>2611771.0707902685</v>
      </c>
      <c r="FJ71" s="1023">
        <f t="shared" si="151"/>
        <v>222000.54101717283</v>
      </c>
      <c r="FK71" s="1023">
        <f t="shared" si="152"/>
        <v>111000.27050858641</v>
      </c>
      <c r="FL71" s="1019">
        <f t="shared" si="162"/>
        <v>12333.36338984294</v>
      </c>
      <c r="FM71" s="1019">
        <f t="shared" si="163"/>
        <v>6166.6816949214699</v>
      </c>
      <c r="FN71" s="1019" t="str">
        <f t="shared" si="153"/>
        <v>VS</v>
      </c>
      <c r="FO71" s="1019">
        <f t="shared" si="159"/>
        <v>27537.409960060559</v>
      </c>
      <c r="FP71" s="1019">
        <f t="shared" si="164"/>
        <v>-21370.728265139089</v>
      </c>
      <c r="FQ71" s="1021"/>
      <c r="FR71" s="1021"/>
      <c r="FS71" s="1020"/>
      <c r="FT71" s="503"/>
      <c r="FU71" s="956"/>
      <c r="FV71" s="503"/>
      <c r="FW71" s="503"/>
      <c r="FX71" s="1040"/>
      <c r="FY71" s="503"/>
      <c r="FZ71" s="503"/>
      <c r="GA71" s="503"/>
      <c r="GB71" s="1059"/>
      <c r="GE71" s="503"/>
      <c r="GF71" s="1059"/>
      <c r="GG71" s="956"/>
      <c r="GH71" s="945"/>
      <c r="GI71" s="1024">
        <f t="shared" si="78"/>
        <v>3529585.1782207265</v>
      </c>
      <c r="GJ71" s="1025">
        <f t="shared" si="79"/>
        <v>0.125</v>
      </c>
      <c r="GK71" s="1024">
        <f t="shared" si="80"/>
        <v>441198.14727759082</v>
      </c>
      <c r="GL71" s="1024">
        <f t="shared" si="81"/>
        <v>30000</v>
      </c>
      <c r="GM71" s="1024">
        <f t="shared" si="82"/>
        <v>411198.14727759082</v>
      </c>
      <c r="GN71" s="1024">
        <f t="shared" si="83"/>
        <v>1</v>
      </c>
      <c r="GO71" s="1024">
        <f t="shared" si="84"/>
        <v>411198.14727759082</v>
      </c>
      <c r="GP71" s="1025">
        <f t="shared" si="85"/>
        <v>0.875</v>
      </c>
      <c r="GQ71" s="1024">
        <f t="shared" si="86"/>
        <v>3088387.0309431357</v>
      </c>
      <c r="GR71" s="1024">
        <f t="shared" si="87"/>
        <v>23944.231778693495</v>
      </c>
      <c r="GS71" s="1024">
        <f t="shared" si="88"/>
        <v>27759.295747456799</v>
      </c>
      <c r="GT71" s="1024">
        <f t="shared" si="89"/>
        <v>35858.792140132915</v>
      </c>
      <c r="GU71" s="1024">
        <f t="shared" si="90"/>
        <v>61153.764769145651</v>
      </c>
      <c r="GV71" s="945"/>
      <c r="GW71" s="1024">
        <f t="shared" si="91"/>
        <v>3529585.1782207265</v>
      </c>
      <c r="GX71" s="1025">
        <f t="shared" si="92"/>
        <v>0.125</v>
      </c>
      <c r="GY71" s="1024">
        <f t="shared" si="93"/>
        <v>441198.14727759082</v>
      </c>
      <c r="GZ71" s="1024">
        <f t="shared" si="94"/>
        <v>30000</v>
      </c>
      <c r="HA71" s="1024">
        <f t="shared" si="95"/>
        <v>411198.14727759082</v>
      </c>
      <c r="HB71" s="1026">
        <f t="shared" si="96"/>
        <v>25</v>
      </c>
      <c r="HC71" s="1009">
        <f t="shared" si="97"/>
        <v>16447.925891103634</v>
      </c>
      <c r="HD71" s="1027">
        <f t="shared" si="98"/>
        <v>0.875</v>
      </c>
      <c r="HE71" s="1009">
        <f t="shared" si="99"/>
        <v>3088387.0309431357</v>
      </c>
      <c r="HF71" s="1008">
        <f t="shared" si="100"/>
        <v>23944.231778693495</v>
      </c>
      <c r="HG71" s="1008">
        <f t="shared" si="101"/>
        <v>27759.295747456799</v>
      </c>
      <c r="HH71" s="1008">
        <f t="shared" si="102"/>
        <v>35858.792140132915</v>
      </c>
      <c r="HI71" s="1008">
        <f t="shared" si="103"/>
        <v>61153.764769145651</v>
      </c>
      <c r="HJ71" s="945"/>
      <c r="HK71" s="1009">
        <f t="shared" si="104"/>
        <v>-394750.22138648719</v>
      </c>
      <c r="HL71" s="503"/>
      <c r="HM71" s="503"/>
      <c r="HN71" s="503"/>
      <c r="HO71" s="503"/>
      <c r="HP71" s="503"/>
      <c r="HQ71" s="503"/>
      <c r="HR71" s="956">
        <f t="shared" si="105"/>
        <v>0</v>
      </c>
      <c r="HS71" s="503"/>
      <c r="HT71" s="503"/>
      <c r="HU71" s="956"/>
      <c r="HV71" s="503"/>
      <c r="HW71" s="956"/>
      <c r="HX71" s="956"/>
      <c r="HY71" s="503"/>
      <c r="HZ71" s="503"/>
      <c r="IA71" s="503"/>
      <c r="ID71" s="1394"/>
    </row>
    <row r="72" spans="1:238" s="1051" customFormat="1" ht="14.25" hidden="1" customHeight="1">
      <c r="A72" s="1018">
        <f t="shared" si="155"/>
        <v>66</v>
      </c>
      <c r="B72" s="716" t="s">
        <v>264</v>
      </c>
      <c r="C72" s="741">
        <f t="shared" si="197"/>
        <v>18</v>
      </c>
      <c r="D72" s="716" t="s">
        <v>261</v>
      </c>
      <c r="E72" s="743" t="str">
        <f t="shared" ref="E72:E78" si="218">D72</f>
        <v>5th Floor</v>
      </c>
      <c r="F72" s="1048"/>
      <c r="G72" s="745" t="s">
        <v>449</v>
      </c>
      <c r="H72" s="745" t="s">
        <v>353</v>
      </c>
      <c r="I72" s="745" t="s">
        <v>267</v>
      </c>
      <c r="J72" s="1005">
        <v>22</v>
      </c>
      <c r="K72" s="1049"/>
      <c r="L72" s="1006" t="s">
        <v>268</v>
      </c>
      <c r="M72" s="745" t="s">
        <v>65</v>
      </c>
      <c r="N72" s="1050">
        <v>95909.091</v>
      </c>
      <c r="O72" s="934">
        <f t="shared" si="132"/>
        <v>2110000.0019999999</v>
      </c>
      <c r="P72" s="934">
        <f t="shared" si="156"/>
        <v>22400</v>
      </c>
      <c r="Q72" s="934">
        <f t="shared" si="119"/>
        <v>50000</v>
      </c>
      <c r="R72" s="934"/>
      <c r="S72" s="934"/>
      <c r="T72" s="934"/>
      <c r="U72" s="934"/>
      <c r="V72" s="749">
        <f t="shared" ref="V72:V73" si="219">J72*$V$5</f>
        <v>55000</v>
      </c>
      <c r="W72" s="749"/>
      <c r="X72" s="934"/>
      <c r="Y72" s="934">
        <f t="shared" si="198"/>
        <v>20000</v>
      </c>
      <c r="Z72" s="934">
        <f t="shared" si="133"/>
        <v>75000</v>
      </c>
      <c r="AA72" s="934"/>
      <c r="AB72" s="934"/>
      <c r="AC72" s="934"/>
      <c r="AD72" s="934"/>
      <c r="AE72" s="934">
        <f t="shared" si="199"/>
        <v>222400</v>
      </c>
      <c r="AF72" s="1005">
        <f t="shared" si="200"/>
        <v>2332400.0019999999</v>
      </c>
      <c r="AG72" s="1005">
        <f t="shared" ref="AG72:AG135" si="220">AF72*$AG$5</f>
        <v>58310.000050000002</v>
      </c>
      <c r="AH72" s="1005">
        <f t="shared" ref="AH72:AH135" si="221">AF72+AG72</f>
        <v>2390710.0020499998</v>
      </c>
      <c r="AI72" s="1005">
        <f t="shared" ref="AI72:AI135" si="222">AH72*$AI$5</f>
        <v>59767.750051249997</v>
      </c>
      <c r="AJ72" s="1005">
        <f t="shared" ref="AJ72:AJ135" si="223">AH72+AI72</f>
        <v>2450477.75210125</v>
      </c>
      <c r="AK72" s="1005">
        <f t="shared" ref="AK72:AK135" si="224">AJ72*$AK$5</f>
        <v>122523.88760506251</v>
      </c>
      <c r="AL72" s="1005">
        <f t="shared" si="157"/>
        <v>2573001.6397063127</v>
      </c>
      <c r="AM72" s="934">
        <f t="shared" ref="AM72:AM135" si="225">AL72*$AM$5</f>
        <v>25730.016397063126</v>
      </c>
      <c r="AN72" s="934">
        <f t="shared" ref="AN72:AN135" si="226">$AN$5</f>
        <v>27537.409960060559</v>
      </c>
      <c r="AO72" s="934"/>
      <c r="AP72" s="934">
        <f t="shared" si="134"/>
        <v>116133.28866026513</v>
      </c>
      <c r="AQ72" s="1005">
        <f t="shared" si="201"/>
        <v>2742402.3547237013</v>
      </c>
      <c r="AR72" s="1005">
        <f t="shared" ref="AR72:AR135" si="227">AQ72*$AR$5</f>
        <v>123408.10596256655</v>
      </c>
      <c r="AS72" s="1147">
        <f t="shared" ref="AS72:AS135" si="228">AQ72+AR72</f>
        <v>2865810.4606862678</v>
      </c>
      <c r="AT72" s="1148">
        <f t="shared" si="135"/>
        <v>2000000</v>
      </c>
      <c r="AU72" s="1148">
        <f t="shared" si="202"/>
        <v>39355.0209402849</v>
      </c>
      <c r="AV72" s="1148">
        <f t="shared" si="136"/>
        <v>865810.46068626782</v>
      </c>
      <c r="AW72" s="1148">
        <f t="shared" si="203"/>
        <v>103897.25528235214</v>
      </c>
      <c r="AX72" s="1148">
        <f t="shared" si="204"/>
        <v>969707.71596861992</v>
      </c>
      <c r="AY72" s="1147">
        <f t="shared" ref="AY72:AY135" si="229">AS72+AW72</f>
        <v>2969707.71596862</v>
      </c>
      <c r="AZ72" s="934">
        <f t="shared" ref="AZ72:AZ135" si="230">AY72*$AZ$5</f>
        <v>37121.34644960775</v>
      </c>
      <c r="BA72" s="716" t="s">
        <v>269</v>
      </c>
      <c r="BB72" s="716">
        <f t="shared" si="205"/>
        <v>3006829.062418228</v>
      </c>
      <c r="BC72" s="716" t="s">
        <v>269</v>
      </c>
      <c r="BD72" s="716">
        <f t="shared" ref="BD72:BD135" si="231">BB72*$BD$5</f>
        <v>112756.08984068355</v>
      </c>
      <c r="BE72" s="716">
        <f t="shared" ref="BE72:BE135" si="232">$BE$5*1.12</f>
        <v>33600</v>
      </c>
      <c r="BF72" s="716">
        <f t="shared" ref="BF72:BF135" si="233">BB72+BC72+BD72+BE72</f>
        <v>3153185.1522589116</v>
      </c>
      <c r="BG72" s="716"/>
      <c r="BH72" s="716">
        <f t="shared" ref="BH72:BH135" si="234">BF72+BG72</f>
        <v>3153185.1522589116</v>
      </c>
      <c r="BI72" s="716"/>
      <c r="BJ72" s="716">
        <f t="shared" ref="BJ72:BJ135" si="235">BH72+BI72</f>
        <v>3153185.1522589116</v>
      </c>
      <c r="BK72" s="716"/>
      <c r="BL72" s="716">
        <f t="shared" ref="BL72:BL135" si="236">BJ72+BK72</f>
        <v>3153185.1522589116</v>
      </c>
      <c r="BM72" s="716"/>
      <c r="BN72" s="716">
        <f t="shared" si="206"/>
        <v>3153185.1522589116</v>
      </c>
      <c r="BO72" s="716"/>
      <c r="BP72" s="716">
        <f t="shared" ref="BP72:BP135" si="237">BN72+BO72</f>
        <v>3153185.1522589116</v>
      </c>
      <c r="BQ72" s="716"/>
      <c r="BR72" s="716">
        <f t="shared" ref="BR72:BR135" si="238">BP72+BQ72</f>
        <v>3153185.1522589116</v>
      </c>
      <c r="BS72" s="716"/>
      <c r="BT72" s="716">
        <f t="shared" ref="BT72:BT135" si="239">BR72+BS72</f>
        <v>3153185.1522589116</v>
      </c>
      <c r="BU72" s="716"/>
      <c r="BV72" s="716">
        <f t="shared" si="207"/>
        <v>3153185.1522589116</v>
      </c>
      <c r="BW72" s="716"/>
      <c r="BX72" s="716">
        <f t="shared" si="167"/>
        <v>31400</v>
      </c>
      <c r="BY72" s="716">
        <f t="shared" ref="BY72:BY135" si="240">SUM(BV72:BX72)</f>
        <v>3184585.1522589116</v>
      </c>
      <c r="BZ72" s="716"/>
      <c r="CA72" s="716">
        <f t="shared" ref="CA72:CA135" si="241">BY72+BZ72</f>
        <v>3184585.1522589116</v>
      </c>
      <c r="CB72" s="1135">
        <f t="shared" ref="CB72:CB135" si="242">BY72</f>
        <v>3184585.1522589116</v>
      </c>
      <c r="CC72" s="1164">
        <f t="shared" si="109"/>
        <v>3184585.1522589116</v>
      </c>
      <c r="CD72" s="1164"/>
      <c r="CE72" s="1164">
        <f t="shared" ref="CE72:CE135" si="243">CD72*J72</f>
        <v>0</v>
      </c>
      <c r="CF72" s="1164">
        <f t="shared" si="115"/>
        <v>0</v>
      </c>
      <c r="CG72" s="1164">
        <f t="shared" si="116"/>
        <v>0</v>
      </c>
      <c r="CH72" s="1154">
        <f t="shared" si="158"/>
        <v>3184585.1522589116</v>
      </c>
      <c r="CI72" s="935">
        <f t="shared" si="137"/>
        <v>3184585.1522589116</v>
      </c>
      <c r="CJ72" s="935">
        <f t="shared" ref="CJ72:CJ135" si="244">IF(CC72&lt;=$CC$3,0,12%*CC72)</f>
        <v>0</v>
      </c>
      <c r="CK72" s="935">
        <f t="shared" si="208"/>
        <v>326419.97810653842</v>
      </c>
      <c r="CL72" s="935">
        <f t="shared" si="209"/>
        <v>111460.48032906192</v>
      </c>
      <c r="CM72" s="1006">
        <f t="shared" si="138"/>
        <v>3622465.6106945118</v>
      </c>
      <c r="CN72" s="1007">
        <f t="shared" si="139"/>
        <v>0.125</v>
      </c>
      <c r="CO72" s="935">
        <f t="shared" si="210"/>
        <v>452808.20133681397</v>
      </c>
      <c r="CP72" s="935">
        <f t="shared" si="170"/>
        <v>30000</v>
      </c>
      <c r="CQ72" s="935">
        <f t="shared" si="211"/>
        <v>422808.20133681397</v>
      </c>
      <c r="CR72" s="745">
        <f t="shared" si="141"/>
        <v>1</v>
      </c>
      <c r="CS72" s="935">
        <f t="shared" si="212"/>
        <v>422808.20133681397</v>
      </c>
      <c r="CT72" s="1007">
        <f t="shared" ref="CT72:CT135" si="245">100%-CN72</f>
        <v>0.875</v>
      </c>
      <c r="CU72" s="935">
        <f t="shared" ref="CU72:CU135" si="246">CM72*CT72</f>
        <v>3169657.4093576977</v>
      </c>
      <c r="CV72" s="1008">
        <f t="shared" ref="CV72:CV135" si="247">-PMT($CV$5/12,240,CU72,0)</f>
        <v>24574.320157515023</v>
      </c>
      <c r="CW72" s="1008">
        <f t="shared" ref="CW72:CW135" si="248">-PMT($CV$5/12,180,CU72,0)</f>
        <v>28489.776884475628</v>
      </c>
      <c r="CX72" s="1008">
        <f t="shared" ref="CX72:CX135" si="249">-PMT($CV$5/12,120,CU72,0)</f>
        <v>36802.410144456604</v>
      </c>
      <c r="CY72" s="1008">
        <f t="shared" ref="CY72:CY135" si="250">-PMT($CV$5/12,60,CU72,0)</f>
        <v>62763.015667581742</v>
      </c>
      <c r="CZ72" s="1119">
        <f t="shared" ref="CZ72:CZ135" si="251">(CM72*80%)*$CZ$5</f>
        <v>257481.34616348229</v>
      </c>
      <c r="DA72" s="1119">
        <f t="shared" ref="DA72:DA135" si="252">(CM72*80%)*$DA$5</f>
        <v>101884.11441324168</v>
      </c>
      <c r="DB72" s="1119">
        <f t="shared" ref="DB72:DB135" si="253">(CM72*80%)*$DB$5</f>
        <v>73589.45283614521</v>
      </c>
      <c r="DC72" s="1119">
        <f t="shared" ref="DC72:DC135" si="254">(CM72*80%)*$DC$5</f>
        <v>56004.961491738162</v>
      </c>
      <c r="DD72" s="1028">
        <f t="shared" si="126"/>
        <v>0.43290523034313388</v>
      </c>
      <c r="DE72" s="1028">
        <f t="shared" si="142"/>
        <v>0</v>
      </c>
      <c r="DF72" s="1009" t="s">
        <v>270</v>
      </c>
      <c r="DG72" s="1009" t="s">
        <v>271</v>
      </c>
      <c r="DH72" s="966">
        <f t="shared" si="111"/>
        <v>45658</v>
      </c>
      <c r="DI72" s="912">
        <f t="shared" ref="DI72:DI135" si="255">(YEAR(DH72)-YEAR($DI$5))*12+MONTH(DH72)-MONTH($DI$5)</f>
        <v>14</v>
      </c>
      <c r="DJ72" s="939"/>
      <c r="DK72" s="913">
        <f t="shared" si="213"/>
        <v>45723</v>
      </c>
      <c r="DL72" s="912">
        <f t="shared" ref="DL72:DL135" si="256">(YEAR(DK72)-YEAR($DL$5))*12+MONTH(DK72)-MONTH($DL$5)+$DL$4+$DL$3</f>
        <v>16</v>
      </c>
      <c r="DM72" s="750" t="s">
        <v>272</v>
      </c>
      <c r="DN72" s="750" t="s">
        <v>273</v>
      </c>
      <c r="DO72" s="751">
        <f t="shared" si="214"/>
        <v>44077.623453119086</v>
      </c>
      <c r="DP72" s="751">
        <f t="shared" si="215"/>
        <v>969707.71596861992</v>
      </c>
      <c r="DQ72" s="752">
        <f t="shared" si="127"/>
        <v>0.48485385798430997</v>
      </c>
      <c r="DR72" s="503"/>
      <c r="DS72" s="751">
        <f t="shared" si="128"/>
        <v>3184585.1522589116</v>
      </c>
      <c r="DT72" s="751">
        <f>'[4]INTERNAL PRICELIST'!N66</f>
        <v>2061900</v>
      </c>
      <c r="DU72" s="751">
        <f t="shared" si="216"/>
        <v>1122685.1522589116</v>
      </c>
      <c r="DV72" s="503"/>
      <c r="DW72" s="951">
        <f t="shared" si="129"/>
        <v>144753.87055722324</v>
      </c>
      <c r="DX72" s="503"/>
      <c r="DZ72" s="1010" t="s">
        <v>449</v>
      </c>
      <c r="EA72" s="1052" t="b">
        <f t="shared" si="217"/>
        <v>1</v>
      </c>
      <c r="EB72" s="1072" t="s">
        <v>450</v>
      </c>
      <c r="EC72" s="1053" t="s">
        <v>410</v>
      </c>
      <c r="ED72" s="503"/>
      <c r="EE72" s="1029"/>
      <c r="EF72" s="503"/>
      <c r="EG72" s="503"/>
      <c r="EH72" s="930"/>
      <c r="EI72" s="930"/>
      <c r="EJ72" s="503"/>
      <c r="EK72" s="503"/>
      <c r="EL72" s="503"/>
      <c r="EM72" s="503"/>
      <c r="EN72" s="503"/>
      <c r="EO72" s="503"/>
      <c r="EP72" s="503"/>
      <c r="EQ72" s="503"/>
      <c r="ER72" s="1017" t="s">
        <v>264</v>
      </c>
      <c r="ES72" s="1391" t="s">
        <v>264</v>
      </c>
      <c r="ET72" s="1018" t="b">
        <f t="shared" ref="ET72:ET135" si="257">ER72=ES72</f>
        <v>1</v>
      </c>
      <c r="EU72" s="940"/>
      <c r="EV72" s="941"/>
      <c r="EW72" s="940"/>
      <c r="EX72" s="1019">
        <v>3036164.4094186961</v>
      </c>
      <c r="EY72" s="1019">
        <f t="shared" si="143"/>
        <v>455424.66141280439</v>
      </c>
      <c r="EZ72" s="1019">
        <f t="shared" si="144"/>
        <v>2580739.7480058917</v>
      </c>
      <c r="FA72" s="1019">
        <f t="shared" si="145"/>
        <v>303616.44094186963</v>
      </c>
      <c r="FB72" s="1019">
        <f t="shared" si="146"/>
        <v>2732547.9684768263</v>
      </c>
      <c r="FC72" s="1019">
        <f t="shared" si="147"/>
        <v>151808.22047093464</v>
      </c>
      <c r="FD72" s="1020"/>
      <c r="FE72" s="1021"/>
      <c r="FF72" s="1022">
        <f t="shared" si="148"/>
        <v>2580739.7480058917</v>
      </c>
      <c r="FG72" s="1022">
        <f t="shared" si="149"/>
        <v>219362.87858050081</v>
      </c>
      <c r="FH72" s="1022">
        <f t="shared" si="161"/>
        <v>109681.4392902504</v>
      </c>
      <c r="FI72" s="1023">
        <f t="shared" si="150"/>
        <v>2732547.9684768263</v>
      </c>
      <c r="FJ72" s="1023">
        <f t="shared" si="151"/>
        <v>232266.57732053025</v>
      </c>
      <c r="FK72" s="1023">
        <f t="shared" si="152"/>
        <v>116133.28866026513</v>
      </c>
      <c r="FL72" s="1019">
        <f t="shared" si="162"/>
        <v>12903.698740029446</v>
      </c>
      <c r="FM72" s="1019">
        <f t="shared" si="163"/>
        <v>6451.8493700147228</v>
      </c>
      <c r="FN72" s="1019" t="str">
        <f t="shared" si="153"/>
        <v>VS</v>
      </c>
      <c r="FO72" s="1019">
        <f t="shared" si="159"/>
        <v>27537.409960060559</v>
      </c>
      <c r="FP72" s="1019">
        <f t="shared" si="164"/>
        <v>-21085.560590045836</v>
      </c>
      <c r="FQ72" s="1021"/>
      <c r="FR72" s="1021"/>
      <c r="FS72" s="1020"/>
      <c r="FT72" s="503"/>
      <c r="FU72" s="956"/>
      <c r="FV72" s="503"/>
      <c r="FW72" s="503"/>
      <c r="FX72" s="1040"/>
      <c r="FY72" s="503"/>
      <c r="FZ72" s="503"/>
      <c r="GA72" s="503"/>
      <c r="GB72" s="1059"/>
      <c r="GE72" s="503"/>
      <c r="GF72" s="1059"/>
      <c r="GG72" s="956"/>
      <c r="GH72" s="945"/>
      <c r="GI72" s="1024">
        <f t="shared" ref="GI72:GI135" si="258">CM72</f>
        <v>3622465.6106945118</v>
      </c>
      <c r="GJ72" s="1025">
        <f t="shared" ref="GJ72:GJ135" si="259">CN72</f>
        <v>0.125</v>
      </c>
      <c r="GK72" s="1024">
        <f t="shared" ref="GK72:GK135" si="260">CO72</f>
        <v>452808.20133681397</v>
      </c>
      <c r="GL72" s="1024">
        <f t="shared" ref="GL72:GL135" si="261">CP72</f>
        <v>30000</v>
      </c>
      <c r="GM72" s="1024">
        <f t="shared" ref="GM72:GM135" si="262">CQ72</f>
        <v>422808.20133681397</v>
      </c>
      <c r="GN72" s="1024">
        <f t="shared" ref="GN72:GN135" si="263">CR72</f>
        <v>1</v>
      </c>
      <c r="GO72" s="1024">
        <f t="shared" ref="GO72:GO135" si="264">CS72</f>
        <v>422808.20133681397</v>
      </c>
      <c r="GP72" s="1025">
        <f t="shared" ref="GP72:GP135" si="265">CT72</f>
        <v>0.875</v>
      </c>
      <c r="GQ72" s="1024">
        <f t="shared" ref="GQ72:GQ135" si="266">CU72</f>
        <v>3169657.4093576977</v>
      </c>
      <c r="GR72" s="1024">
        <f t="shared" ref="GR72:GR135" si="267">CV72</f>
        <v>24574.320157515023</v>
      </c>
      <c r="GS72" s="1024">
        <f t="shared" ref="GS72:GS135" si="268">CW72</f>
        <v>28489.776884475628</v>
      </c>
      <c r="GT72" s="1024">
        <f t="shared" ref="GT72:GT135" si="269">CX72</f>
        <v>36802.410144456604</v>
      </c>
      <c r="GU72" s="1024">
        <f t="shared" ref="GU72:GU135" si="270">CY72</f>
        <v>62763.015667581742</v>
      </c>
      <c r="GV72" s="945"/>
      <c r="GW72" s="1024">
        <f t="shared" ref="GW72:GW135" si="271">GI72</f>
        <v>3622465.6106945118</v>
      </c>
      <c r="GX72" s="1025">
        <f t="shared" ref="GX72:GX135" si="272">GJ72</f>
        <v>0.125</v>
      </c>
      <c r="GY72" s="1024">
        <f t="shared" ref="GY72:GY135" si="273">GK72</f>
        <v>452808.20133681397</v>
      </c>
      <c r="GZ72" s="1024">
        <f t="shared" ref="GZ72:GZ135" si="274">GL72</f>
        <v>30000</v>
      </c>
      <c r="HA72" s="1024">
        <f t="shared" ref="HA72:HA135" si="275">GM72</f>
        <v>422808.20133681397</v>
      </c>
      <c r="HB72" s="1026">
        <f t="shared" ref="HB72:HB135" si="276">$HB$5</f>
        <v>25</v>
      </c>
      <c r="HC72" s="1009">
        <f t="shared" ref="HC72:HC135" si="277">HA72/HB72</f>
        <v>16912.32805347256</v>
      </c>
      <c r="HD72" s="1027">
        <f t="shared" ref="HD72:HD135" si="278">100%-GX72</f>
        <v>0.875</v>
      </c>
      <c r="HE72" s="1009">
        <f t="shared" ref="HE72:HE135" si="279">GW72*HD72</f>
        <v>3169657.4093576977</v>
      </c>
      <c r="HF72" s="1008">
        <f t="shared" ref="HF72:HF135" si="280">-PMT(7%/12,240,HE72,0)</f>
        <v>24574.320157515023</v>
      </c>
      <c r="HG72" s="1008">
        <f t="shared" ref="HG72:HG135" si="281">-PMT(7%/12,180,HE72,0)</f>
        <v>28489.776884475628</v>
      </c>
      <c r="HH72" s="1008">
        <f t="shared" ref="HH72:HH135" si="282">-PMT(7%/12,120,HE72,0)</f>
        <v>36802.410144456604</v>
      </c>
      <c r="HI72" s="1008">
        <f t="shared" ref="HI72:HI135" si="283">-PMT(7%/12,60,HE72,0)</f>
        <v>62763.015667581742</v>
      </c>
      <c r="HJ72" s="945"/>
      <c r="HK72" s="1009">
        <f t="shared" ref="HK72:HK135" si="284">HC72-GO72</f>
        <v>-405895.87328334141</v>
      </c>
      <c r="HL72" s="503"/>
      <c r="HM72" s="503"/>
      <c r="HN72" s="503"/>
      <c r="HO72" s="503"/>
      <c r="HP72" s="503"/>
      <c r="HQ72" s="503"/>
      <c r="HR72" s="956">
        <f t="shared" ref="HR72:HR135" si="285">CB72-CH72</f>
        <v>0</v>
      </c>
      <c r="HS72" s="503"/>
      <c r="HT72" s="503"/>
      <c r="HU72" s="956"/>
      <c r="HV72" s="503"/>
      <c r="HW72" s="956"/>
      <c r="HX72" s="956"/>
      <c r="HY72" s="503"/>
      <c r="HZ72" s="503"/>
      <c r="IA72" s="503"/>
      <c r="ID72" s="1394"/>
    </row>
    <row r="73" spans="1:238" s="1051" customFormat="1" ht="14.25" customHeight="1">
      <c r="A73" s="1018">
        <f t="shared" si="155"/>
        <v>67</v>
      </c>
      <c r="B73" s="716" t="s">
        <v>264</v>
      </c>
      <c r="C73" s="741">
        <v>1</v>
      </c>
      <c r="D73" s="716" t="s">
        <v>263</v>
      </c>
      <c r="E73" s="743" t="str">
        <f t="shared" si="218"/>
        <v>6th Floor</v>
      </c>
      <c r="F73" s="1048"/>
      <c r="G73" s="745" t="s">
        <v>451</v>
      </c>
      <c r="H73" s="745" t="s">
        <v>266</v>
      </c>
      <c r="I73" s="745" t="s">
        <v>267</v>
      </c>
      <c r="J73" s="1005">
        <v>22</v>
      </c>
      <c r="K73" s="1049"/>
      <c r="L73" s="1006" t="s">
        <v>73</v>
      </c>
      <c r="M73" s="745" t="s">
        <v>65</v>
      </c>
      <c r="N73" s="1050">
        <v>95909.091</v>
      </c>
      <c r="O73" s="934">
        <f t="shared" si="132"/>
        <v>2110000.0019999999</v>
      </c>
      <c r="P73" s="934">
        <f t="shared" si="156"/>
        <v>22400</v>
      </c>
      <c r="Q73" s="934">
        <f t="shared" si="119"/>
        <v>50000</v>
      </c>
      <c r="R73" s="934"/>
      <c r="S73" s="934"/>
      <c r="T73" s="934"/>
      <c r="U73" s="934"/>
      <c r="V73" s="749">
        <f t="shared" si="219"/>
        <v>55000</v>
      </c>
      <c r="W73" s="749"/>
      <c r="X73" s="934"/>
      <c r="Y73" s="934">
        <f>Y72+Y5</f>
        <v>40000</v>
      </c>
      <c r="Z73" s="934">
        <f t="shared" si="133"/>
        <v>75000</v>
      </c>
      <c r="AA73" s="934"/>
      <c r="AB73" s="934"/>
      <c r="AC73" s="934"/>
      <c r="AD73" s="934"/>
      <c r="AE73" s="934">
        <f t="shared" si="199"/>
        <v>242400</v>
      </c>
      <c r="AF73" s="1005">
        <f t="shared" si="200"/>
        <v>2352400.0019999999</v>
      </c>
      <c r="AG73" s="1005">
        <f t="shared" si="220"/>
        <v>58810.000050000002</v>
      </c>
      <c r="AH73" s="1005">
        <f t="shared" si="221"/>
        <v>2411210.0020499998</v>
      </c>
      <c r="AI73" s="1005">
        <f t="shared" si="222"/>
        <v>60280.250051249997</v>
      </c>
      <c r="AJ73" s="1005">
        <f t="shared" si="223"/>
        <v>2471490.25210125</v>
      </c>
      <c r="AK73" s="1005">
        <f t="shared" si="224"/>
        <v>123574.51260506251</v>
      </c>
      <c r="AL73" s="1005">
        <f t="shared" si="157"/>
        <v>2595064.7647063127</v>
      </c>
      <c r="AM73" s="934">
        <f t="shared" si="225"/>
        <v>25950.647647063128</v>
      </c>
      <c r="AN73" s="934">
        <f t="shared" si="226"/>
        <v>27537.409960060559</v>
      </c>
      <c r="AO73" s="934"/>
      <c r="AP73" s="934">
        <f t="shared" si="134"/>
        <v>117198.98393032761</v>
      </c>
      <c r="AQ73" s="1005">
        <f t="shared" si="201"/>
        <v>2765751.8062437638</v>
      </c>
      <c r="AR73" s="1005">
        <f t="shared" si="227"/>
        <v>124458.83128096936</v>
      </c>
      <c r="AS73" s="1147">
        <f t="shared" si="228"/>
        <v>2890210.6375247333</v>
      </c>
      <c r="AT73" s="1148">
        <f t="shared" si="135"/>
        <v>2000000</v>
      </c>
      <c r="AU73" s="1148">
        <f t="shared" si="202"/>
        <v>40464.119887487876</v>
      </c>
      <c r="AV73" s="1148">
        <f t="shared" si="136"/>
        <v>890210.63752473332</v>
      </c>
      <c r="AW73" s="1148">
        <f t="shared" si="203"/>
        <v>106825.276502968</v>
      </c>
      <c r="AX73" s="1148">
        <f>AV73+AW73</f>
        <v>997035.91402770136</v>
      </c>
      <c r="AY73" s="1147">
        <f t="shared" si="229"/>
        <v>2997035.9140277011</v>
      </c>
      <c r="AZ73" s="934">
        <f t="shared" si="230"/>
        <v>37462.948925346267</v>
      </c>
      <c r="BA73" s="716" t="s">
        <v>269</v>
      </c>
      <c r="BB73" s="716">
        <f t="shared" si="205"/>
        <v>3034498.8629530473</v>
      </c>
      <c r="BC73" s="716" t="s">
        <v>269</v>
      </c>
      <c r="BD73" s="716">
        <f t="shared" si="231"/>
        <v>113793.70736073927</v>
      </c>
      <c r="BE73" s="716">
        <f t="shared" si="232"/>
        <v>33600</v>
      </c>
      <c r="BF73" s="716">
        <f t="shared" si="233"/>
        <v>3181892.5703137866</v>
      </c>
      <c r="BG73" s="716"/>
      <c r="BH73" s="716">
        <f t="shared" si="234"/>
        <v>3181892.5703137866</v>
      </c>
      <c r="BI73" s="716"/>
      <c r="BJ73" s="716">
        <f t="shared" si="235"/>
        <v>3181892.5703137866</v>
      </c>
      <c r="BK73" s="716"/>
      <c r="BL73" s="716">
        <f t="shared" si="236"/>
        <v>3181892.5703137866</v>
      </c>
      <c r="BM73" s="716"/>
      <c r="BN73" s="716">
        <f t="shared" si="206"/>
        <v>3181892.5703137866</v>
      </c>
      <c r="BO73" s="716"/>
      <c r="BP73" s="716">
        <f t="shared" si="237"/>
        <v>3181892.5703137866</v>
      </c>
      <c r="BQ73" s="716"/>
      <c r="BR73" s="716">
        <f t="shared" si="238"/>
        <v>3181892.5703137866</v>
      </c>
      <c r="BS73" s="716"/>
      <c r="BT73" s="716">
        <f t="shared" si="239"/>
        <v>3181892.5703137866</v>
      </c>
      <c r="BU73" s="716">
        <f>$BU$5/24</f>
        <v>546.00000000000011</v>
      </c>
      <c r="BV73" s="716">
        <f t="shared" si="207"/>
        <v>3182438.5703137866</v>
      </c>
      <c r="BW73" s="716"/>
      <c r="BX73" s="716">
        <f t="shared" si="167"/>
        <v>31400</v>
      </c>
      <c r="BY73" s="716">
        <f t="shared" si="240"/>
        <v>3213838.5703137866</v>
      </c>
      <c r="BZ73" s="716">
        <f>$BZ$5/20</f>
        <v>33654.337039807535</v>
      </c>
      <c r="CA73" s="716">
        <f t="shared" si="241"/>
        <v>3247492.907353594</v>
      </c>
      <c r="CB73" s="1135">
        <f>CA73</f>
        <v>3247492.907353594</v>
      </c>
      <c r="CC73" s="1164">
        <f t="shared" ref="CC73:CC136" si="286">CB73-CE73-CF73</f>
        <v>3247492.907353594</v>
      </c>
      <c r="CD73" s="1164"/>
      <c r="CE73" s="1164">
        <f t="shared" si="243"/>
        <v>0</v>
      </c>
      <c r="CF73" s="1164">
        <f t="shared" si="115"/>
        <v>0</v>
      </c>
      <c r="CG73" s="1164">
        <f t="shared" si="116"/>
        <v>0</v>
      </c>
      <c r="CH73" s="1154">
        <f t="shared" si="158"/>
        <v>3247492.907353594</v>
      </c>
      <c r="CI73" s="935">
        <f t="shared" si="137"/>
        <v>3247492.907353594</v>
      </c>
      <c r="CJ73" s="935">
        <f t="shared" si="244"/>
        <v>0</v>
      </c>
      <c r="CK73" s="935">
        <f t="shared" si="208"/>
        <v>332868.02300374338</v>
      </c>
      <c r="CL73" s="935">
        <f t="shared" si="209"/>
        <v>113662.25175737579</v>
      </c>
      <c r="CM73" s="1006">
        <f t="shared" si="138"/>
        <v>3694023.1821147134</v>
      </c>
      <c r="CN73" s="1007">
        <f t="shared" si="139"/>
        <v>0.125</v>
      </c>
      <c r="CO73" s="935">
        <f t="shared" si="210"/>
        <v>461752.89776433917</v>
      </c>
      <c r="CP73" s="935">
        <f t="shared" si="170"/>
        <v>30000</v>
      </c>
      <c r="CQ73" s="935">
        <f t="shared" si="211"/>
        <v>431752.89776433917</v>
      </c>
      <c r="CR73" s="745">
        <v>1</v>
      </c>
      <c r="CS73" s="935">
        <f t="shared" si="212"/>
        <v>431752.89776433917</v>
      </c>
      <c r="CT73" s="1007">
        <f t="shared" si="245"/>
        <v>0.875</v>
      </c>
      <c r="CU73" s="935">
        <f t="shared" si="246"/>
        <v>3232270.2843503742</v>
      </c>
      <c r="CV73" s="1008">
        <f t="shared" si="247"/>
        <v>25059.757110893624</v>
      </c>
      <c r="CW73" s="1008">
        <f t="shared" si="248"/>
        <v>29052.559106103294</v>
      </c>
      <c r="CX73" s="1008">
        <f t="shared" si="249"/>
        <v>37529.39871394715</v>
      </c>
      <c r="CY73" s="1008">
        <f t="shared" si="250"/>
        <v>64002.825636493806</v>
      </c>
      <c r="CZ73" s="1119">
        <f t="shared" si="251"/>
        <v>262567.58901505498</v>
      </c>
      <c r="DA73" s="1119">
        <f t="shared" si="252"/>
        <v>103896.71593309758</v>
      </c>
      <c r="DB73" s="1119">
        <f t="shared" si="253"/>
        <v>75043.126409070144</v>
      </c>
      <c r="DC73" s="1119">
        <f t="shared" si="254"/>
        <v>57111.274004408879</v>
      </c>
      <c r="DD73" s="1028">
        <f t="shared" si="126"/>
        <v>0.44510531876236664</v>
      </c>
      <c r="DE73" s="1028">
        <f t="shared" si="142"/>
        <v>0</v>
      </c>
      <c r="DF73" s="1009" t="s">
        <v>270</v>
      </c>
      <c r="DG73" s="1009" t="s">
        <v>271</v>
      </c>
      <c r="DH73" s="966">
        <f t="shared" ref="DH73:DH136" si="287">$DH$7</f>
        <v>45658</v>
      </c>
      <c r="DI73" s="912">
        <f t="shared" si="255"/>
        <v>14</v>
      </c>
      <c r="DJ73" s="939"/>
      <c r="DK73" s="913">
        <f t="shared" si="213"/>
        <v>45723</v>
      </c>
      <c r="DL73" s="912">
        <f t="shared" si="256"/>
        <v>16</v>
      </c>
      <c r="DM73" s="750" t="s">
        <v>272</v>
      </c>
      <c r="DN73" s="750" t="s">
        <v>273</v>
      </c>
      <c r="DO73" s="751">
        <f t="shared" si="214"/>
        <v>45319.814273986427</v>
      </c>
      <c r="DP73" s="751">
        <f t="shared" si="215"/>
        <v>997035.91402770136</v>
      </c>
      <c r="DQ73" s="752">
        <f t="shared" si="127"/>
        <v>0.49851795701385071</v>
      </c>
      <c r="DR73" s="503"/>
      <c r="DS73" s="751">
        <f t="shared" si="128"/>
        <v>3247492.907353594</v>
      </c>
      <c r="DT73" s="751">
        <f>'[4]INTERNAL PRICELIST'!N67</f>
        <v>2063804</v>
      </c>
      <c r="DU73" s="751">
        <f t="shared" si="216"/>
        <v>1183688.907353594</v>
      </c>
      <c r="DV73" s="503"/>
      <c r="DW73" s="951">
        <f t="shared" si="129"/>
        <v>147613.31397061792</v>
      </c>
      <c r="DX73" s="503"/>
      <c r="DZ73" s="1010" t="s">
        <v>451</v>
      </c>
      <c r="EA73" s="1052" t="b">
        <f t="shared" si="217"/>
        <v>1</v>
      </c>
      <c r="EB73" s="1072" t="s">
        <v>452</v>
      </c>
      <c r="EC73" s="1072" t="s">
        <v>453</v>
      </c>
      <c r="ED73" s="503"/>
      <c r="EE73" s="1029"/>
      <c r="EF73" s="503"/>
      <c r="EG73" s="503"/>
      <c r="EH73" s="930"/>
      <c r="EI73" s="930"/>
      <c r="EJ73" s="503"/>
      <c r="EK73" s="503"/>
      <c r="EL73" s="503"/>
      <c r="EM73" s="503"/>
      <c r="EN73" s="503"/>
      <c r="EO73" s="503"/>
      <c r="EP73" s="503"/>
      <c r="EQ73" s="503"/>
      <c r="ER73" s="1017" t="s">
        <v>243</v>
      </c>
      <c r="ES73" s="1391" t="s">
        <v>243</v>
      </c>
      <c r="ET73" s="1018" t="b">
        <f t="shared" si="257"/>
        <v>1</v>
      </c>
      <c r="EU73" s="940"/>
      <c r="EV73" s="941"/>
      <c r="EW73" s="940"/>
      <c r="EX73" s="1019">
        <v>3064025.7236686954</v>
      </c>
      <c r="EY73" s="1019">
        <f t="shared" si="143"/>
        <v>459603.85855030431</v>
      </c>
      <c r="EZ73" s="1019">
        <f t="shared" si="144"/>
        <v>2604421.8651183909</v>
      </c>
      <c r="FA73" s="1019">
        <f t="shared" si="145"/>
        <v>306402.57236686954</v>
      </c>
      <c r="FB73" s="1019">
        <f t="shared" si="146"/>
        <v>2757623.1513018259</v>
      </c>
      <c r="FC73" s="1019">
        <f t="shared" si="147"/>
        <v>153201.286183435</v>
      </c>
      <c r="FD73" s="1020"/>
      <c r="FE73" s="1021"/>
      <c r="FF73" s="1022">
        <f t="shared" si="148"/>
        <v>2604421.8651183909</v>
      </c>
      <c r="FG73" s="1022">
        <f t="shared" si="149"/>
        <v>221375.85853506325</v>
      </c>
      <c r="FH73" s="1022">
        <f t="shared" si="161"/>
        <v>110687.92926753162</v>
      </c>
      <c r="FI73" s="1023">
        <f t="shared" si="150"/>
        <v>2757623.1513018259</v>
      </c>
      <c r="FJ73" s="1023">
        <f t="shared" si="151"/>
        <v>234397.96786065522</v>
      </c>
      <c r="FK73" s="1023">
        <f t="shared" si="152"/>
        <v>117198.98393032761</v>
      </c>
      <c r="FL73" s="1019">
        <f t="shared" si="162"/>
        <v>13022.10932559197</v>
      </c>
      <c r="FM73" s="1019">
        <f t="shared" si="163"/>
        <v>6511.0546627959848</v>
      </c>
      <c r="FN73" s="1019" t="str">
        <f t="shared" si="153"/>
        <v>VS</v>
      </c>
      <c r="FO73" s="1019">
        <f t="shared" si="159"/>
        <v>27537.409960060559</v>
      </c>
      <c r="FP73" s="1019">
        <f t="shared" si="164"/>
        <v>-21026.355297264574</v>
      </c>
      <c r="FQ73" s="1021"/>
      <c r="FR73" s="1021"/>
      <c r="FS73" s="1020"/>
      <c r="FT73" s="503"/>
      <c r="FU73" s="956"/>
      <c r="FV73" s="503"/>
      <c r="FW73" s="503"/>
      <c r="FX73" s="1040"/>
      <c r="FY73" s="503"/>
      <c r="FZ73" s="503"/>
      <c r="GA73" s="503"/>
      <c r="GB73" s="1059"/>
      <c r="GE73" s="503"/>
      <c r="GF73" s="1059"/>
      <c r="GG73" s="956"/>
      <c r="GH73" s="945"/>
      <c r="GI73" s="1024">
        <f t="shared" si="258"/>
        <v>3694023.1821147134</v>
      </c>
      <c r="GJ73" s="1025">
        <f t="shared" si="259"/>
        <v>0.125</v>
      </c>
      <c r="GK73" s="1024">
        <f t="shared" si="260"/>
        <v>461752.89776433917</v>
      </c>
      <c r="GL73" s="1024">
        <f t="shared" si="261"/>
        <v>30000</v>
      </c>
      <c r="GM73" s="1024">
        <f t="shared" si="262"/>
        <v>431752.89776433917</v>
      </c>
      <c r="GN73" s="1024">
        <f t="shared" si="263"/>
        <v>1</v>
      </c>
      <c r="GO73" s="1024">
        <f t="shared" si="264"/>
        <v>431752.89776433917</v>
      </c>
      <c r="GP73" s="1025">
        <f t="shared" si="265"/>
        <v>0.875</v>
      </c>
      <c r="GQ73" s="1024">
        <f t="shared" si="266"/>
        <v>3232270.2843503742</v>
      </c>
      <c r="GR73" s="1024">
        <f t="shared" si="267"/>
        <v>25059.757110893624</v>
      </c>
      <c r="GS73" s="1024">
        <f t="shared" si="268"/>
        <v>29052.559106103294</v>
      </c>
      <c r="GT73" s="1024">
        <f t="shared" si="269"/>
        <v>37529.39871394715</v>
      </c>
      <c r="GU73" s="1024">
        <f t="shared" si="270"/>
        <v>64002.825636493806</v>
      </c>
      <c r="GV73" s="945"/>
      <c r="GW73" s="1024">
        <f t="shared" si="271"/>
        <v>3694023.1821147134</v>
      </c>
      <c r="GX73" s="1025">
        <f t="shared" si="272"/>
        <v>0.125</v>
      </c>
      <c r="GY73" s="1024">
        <f t="shared" si="273"/>
        <v>461752.89776433917</v>
      </c>
      <c r="GZ73" s="1024">
        <f t="shared" si="274"/>
        <v>30000</v>
      </c>
      <c r="HA73" s="1024">
        <f t="shared" si="275"/>
        <v>431752.89776433917</v>
      </c>
      <c r="HB73" s="1026">
        <f t="shared" si="276"/>
        <v>25</v>
      </c>
      <c r="HC73" s="1009">
        <f t="shared" si="277"/>
        <v>17270.115910573568</v>
      </c>
      <c r="HD73" s="1027">
        <f t="shared" si="278"/>
        <v>0.875</v>
      </c>
      <c r="HE73" s="1009">
        <f t="shared" si="279"/>
        <v>3232270.2843503742</v>
      </c>
      <c r="HF73" s="1008">
        <f t="shared" si="280"/>
        <v>25059.757110893624</v>
      </c>
      <c r="HG73" s="1008">
        <f t="shared" si="281"/>
        <v>29052.559106103294</v>
      </c>
      <c r="HH73" s="1008">
        <f t="shared" si="282"/>
        <v>37529.39871394715</v>
      </c>
      <c r="HI73" s="1008">
        <f t="shared" si="283"/>
        <v>64002.825636493806</v>
      </c>
      <c r="HJ73" s="945"/>
      <c r="HK73" s="1009">
        <f t="shared" si="284"/>
        <v>-414482.7818537656</v>
      </c>
      <c r="HL73" s="503"/>
      <c r="HM73" s="503"/>
      <c r="HN73" s="503"/>
      <c r="HO73" s="503"/>
      <c r="HP73" s="503"/>
      <c r="HQ73" s="503"/>
      <c r="HR73" s="956">
        <f t="shared" si="285"/>
        <v>0</v>
      </c>
      <c r="HS73" s="503"/>
      <c r="HT73" s="503"/>
      <c r="HU73" s="956"/>
      <c r="HV73" s="503"/>
      <c r="HW73" s="956"/>
      <c r="HX73" s="956"/>
      <c r="HY73" s="503"/>
      <c r="HZ73" s="503"/>
      <c r="IA73" s="503"/>
      <c r="ID73" s="1394"/>
    </row>
    <row r="74" spans="1:238" s="1051" customFormat="1" ht="14.25" hidden="1" customHeight="1">
      <c r="A74" s="1018">
        <f t="shared" si="155"/>
        <v>68</v>
      </c>
      <c r="B74" s="716" t="s">
        <v>264</v>
      </c>
      <c r="C74" s="741">
        <f>C73+1</f>
        <v>2</v>
      </c>
      <c r="D74" s="716" t="s">
        <v>263</v>
      </c>
      <c r="E74" s="743" t="str">
        <f t="shared" si="218"/>
        <v>6th Floor</v>
      </c>
      <c r="F74" s="1048"/>
      <c r="G74" s="745" t="s">
        <v>454</v>
      </c>
      <c r="H74" s="745" t="s">
        <v>278</v>
      </c>
      <c r="I74" s="745" t="s">
        <v>267</v>
      </c>
      <c r="J74" s="1005">
        <v>22</v>
      </c>
      <c r="K74" s="1049"/>
      <c r="L74" s="1006" t="s">
        <v>73</v>
      </c>
      <c r="M74" s="745" t="s">
        <v>240</v>
      </c>
      <c r="N74" s="1050">
        <v>95909.091</v>
      </c>
      <c r="O74" s="934">
        <f t="shared" si="132"/>
        <v>2110000.0019999999</v>
      </c>
      <c r="P74" s="934">
        <f t="shared" si="156"/>
        <v>22400</v>
      </c>
      <c r="Q74" s="934">
        <f t="shared" si="119"/>
        <v>50000</v>
      </c>
      <c r="R74" s="934"/>
      <c r="S74" s="934"/>
      <c r="T74" s="934"/>
      <c r="U74" s="934"/>
      <c r="V74" s="934"/>
      <c r="W74" s="749">
        <f t="shared" ref="W74:W77" si="288">J74*$W$5</f>
        <v>22000</v>
      </c>
      <c r="X74" s="934"/>
      <c r="Y74" s="934">
        <f>$Y$73</f>
        <v>40000</v>
      </c>
      <c r="Z74" s="934">
        <f t="shared" si="133"/>
        <v>75000</v>
      </c>
      <c r="AA74" s="934"/>
      <c r="AB74" s="934"/>
      <c r="AC74" s="934"/>
      <c r="AD74" s="934"/>
      <c r="AE74" s="934">
        <f t="shared" si="199"/>
        <v>209400</v>
      </c>
      <c r="AF74" s="1005">
        <f t="shared" si="200"/>
        <v>2319400.0019999999</v>
      </c>
      <c r="AG74" s="1005">
        <f t="shared" si="220"/>
        <v>57985.000050000002</v>
      </c>
      <c r="AH74" s="1005">
        <f t="shared" si="221"/>
        <v>2377385.0020499998</v>
      </c>
      <c r="AI74" s="1005">
        <f t="shared" si="222"/>
        <v>59434.625051249997</v>
      </c>
      <c r="AJ74" s="1005">
        <f t="shared" si="223"/>
        <v>2436819.62710125</v>
      </c>
      <c r="AK74" s="1005">
        <f t="shared" si="224"/>
        <v>121840.98135506251</v>
      </c>
      <c r="AL74" s="1005">
        <f t="shared" si="157"/>
        <v>2558660.6084563127</v>
      </c>
      <c r="AM74" s="934">
        <f t="shared" si="225"/>
        <v>25586.606084563129</v>
      </c>
      <c r="AN74" s="934">
        <f t="shared" si="226"/>
        <v>27537.409960060559</v>
      </c>
      <c r="AO74" s="934"/>
      <c r="AP74" s="934">
        <f t="shared" si="134"/>
        <v>113238.23057571768</v>
      </c>
      <c r="AQ74" s="1005">
        <f t="shared" si="201"/>
        <v>2725022.8550766539</v>
      </c>
      <c r="AR74" s="1005">
        <f t="shared" si="227"/>
        <v>122626.02847844941</v>
      </c>
      <c r="AS74" s="1147">
        <f t="shared" si="228"/>
        <v>2847648.8835551031</v>
      </c>
      <c r="AT74" s="1148">
        <f t="shared" si="135"/>
        <v>2000000</v>
      </c>
      <c r="AU74" s="1148">
        <f t="shared" si="202"/>
        <v>38529.494707050144</v>
      </c>
      <c r="AV74" s="1148">
        <f t="shared" si="136"/>
        <v>847648.88355510309</v>
      </c>
      <c r="AW74" s="1148">
        <f t="shared" si="203"/>
        <v>101717.86602661236</v>
      </c>
      <c r="AX74" s="1148">
        <f t="shared" si="204"/>
        <v>949366.74958171544</v>
      </c>
      <c r="AY74" s="1147">
        <f t="shared" si="229"/>
        <v>2949366.7495817156</v>
      </c>
      <c r="AZ74" s="934">
        <f t="shared" si="230"/>
        <v>36867.084369771444</v>
      </c>
      <c r="BA74" s="716" t="s">
        <v>269</v>
      </c>
      <c r="BB74" s="716">
        <f t="shared" si="205"/>
        <v>2986233.8339514872</v>
      </c>
      <c r="BC74" s="716" t="s">
        <v>269</v>
      </c>
      <c r="BD74" s="716">
        <f t="shared" si="231"/>
        <v>111983.76877318077</v>
      </c>
      <c r="BE74" s="716">
        <f t="shared" si="232"/>
        <v>33600</v>
      </c>
      <c r="BF74" s="716">
        <f t="shared" si="233"/>
        <v>3131817.6027246681</v>
      </c>
      <c r="BG74" s="716"/>
      <c r="BH74" s="716">
        <f t="shared" si="234"/>
        <v>3131817.6027246681</v>
      </c>
      <c r="BI74" s="716"/>
      <c r="BJ74" s="716">
        <f t="shared" si="235"/>
        <v>3131817.6027246681</v>
      </c>
      <c r="BK74" s="716"/>
      <c r="BL74" s="716">
        <f t="shared" si="236"/>
        <v>3131817.6027246681</v>
      </c>
      <c r="BM74" s="716"/>
      <c r="BN74" s="716">
        <f t="shared" si="206"/>
        <v>3131817.6027246681</v>
      </c>
      <c r="BO74" s="716"/>
      <c r="BP74" s="716">
        <f t="shared" si="237"/>
        <v>3131817.6027246681</v>
      </c>
      <c r="BQ74" s="716"/>
      <c r="BR74" s="716">
        <f t="shared" si="238"/>
        <v>3131817.6027246681</v>
      </c>
      <c r="BS74" s="716"/>
      <c r="BT74" s="716">
        <f t="shared" si="239"/>
        <v>3131817.6027246681</v>
      </c>
      <c r="BU74" s="716"/>
      <c r="BV74" s="716">
        <f t="shared" si="207"/>
        <v>3131817.6027246681</v>
      </c>
      <c r="BW74" s="716"/>
      <c r="BX74" s="716">
        <f t="shared" si="167"/>
        <v>31400</v>
      </c>
      <c r="BY74" s="716">
        <f t="shared" si="240"/>
        <v>3163217.6027246681</v>
      </c>
      <c r="BZ74" s="716"/>
      <c r="CA74" s="716">
        <f t="shared" si="241"/>
        <v>3163217.6027246681</v>
      </c>
      <c r="CB74" s="1135">
        <f t="shared" si="242"/>
        <v>3163217.6027246681</v>
      </c>
      <c r="CC74" s="1164">
        <f t="shared" si="286"/>
        <v>3163217.6027246681</v>
      </c>
      <c r="CD74" s="1164"/>
      <c r="CE74" s="1164">
        <f t="shared" si="243"/>
        <v>0</v>
      </c>
      <c r="CF74" s="1164">
        <f t="shared" si="115"/>
        <v>0</v>
      </c>
      <c r="CG74" s="1164">
        <f t="shared" si="116"/>
        <v>0</v>
      </c>
      <c r="CH74" s="1154">
        <f t="shared" si="158"/>
        <v>3163217.6027246681</v>
      </c>
      <c r="CI74" s="935">
        <f t="shared" si="137"/>
        <v>3163217.6027246681</v>
      </c>
      <c r="CJ74" s="935">
        <f t="shared" si="244"/>
        <v>0</v>
      </c>
      <c r="CK74" s="935">
        <f t="shared" si="208"/>
        <v>324229.80427927844</v>
      </c>
      <c r="CL74" s="935">
        <f t="shared" si="209"/>
        <v>110712.6160953634</v>
      </c>
      <c r="CM74" s="1006">
        <f t="shared" si="138"/>
        <v>3598160.0230993098</v>
      </c>
      <c r="CN74" s="1007">
        <f t="shared" si="139"/>
        <v>0.125</v>
      </c>
      <c r="CO74" s="935">
        <f t="shared" si="210"/>
        <v>449770.00288741372</v>
      </c>
      <c r="CP74" s="935">
        <f t="shared" si="170"/>
        <v>30000</v>
      </c>
      <c r="CQ74" s="935">
        <f t="shared" si="211"/>
        <v>419770.00288741372</v>
      </c>
      <c r="CR74" s="745">
        <f t="shared" si="141"/>
        <v>1</v>
      </c>
      <c r="CS74" s="935">
        <f t="shared" si="212"/>
        <v>419770.00288741372</v>
      </c>
      <c r="CT74" s="1007">
        <f t="shared" si="245"/>
        <v>0.875</v>
      </c>
      <c r="CU74" s="935">
        <f t="shared" si="246"/>
        <v>3148390.0202118959</v>
      </c>
      <c r="CV74" s="1008">
        <f t="shared" si="247"/>
        <v>24409.4343158337</v>
      </c>
      <c r="CW74" s="1008">
        <f t="shared" si="248"/>
        <v>28298.619578360966</v>
      </c>
      <c r="CX74" s="1008">
        <f t="shared" si="249"/>
        <v>36555.477723389631</v>
      </c>
      <c r="CY74" s="1008">
        <f t="shared" si="250"/>
        <v>62341.895872670837</v>
      </c>
      <c r="CZ74" s="1119">
        <f t="shared" si="251"/>
        <v>255753.72854446855</v>
      </c>
      <c r="DA74" s="1119">
        <f t="shared" si="252"/>
        <v>101200.50453710655</v>
      </c>
      <c r="DB74" s="1119">
        <f t="shared" si="253"/>
        <v>73095.691104712503</v>
      </c>
      <c r="DC74" s="1119">
        <f t="shared" si="254"/>
        <v>55629.186082501801</v>
      </c>
      <c r="DD74" s="1028">
        <f t="shared" si="126"/>
        <v>0.42382444177755152</v>
      </c>
      <c r="DE74" s="1028">
        <f t="shared" si="142"/>
        <v>0</v>
      </c>
      <c r="DF74" s="1009" t="s">
        <v>270</v>
      </c>
      <c r="DG74" s="1009" t="s">
        <v>271</v>
      </c>
      <c r="DH74" s="966">
        <f t="shared" si="287"/>
        <v>45658</v>
      </c>
      <c r="DI74" s="912">
        <f t="shared" si="255"/>
        <v>14</v>
      </c>
      <c r="DJ74" s="939"/>
      <c r="DK74" s="913">
        <f t="shared" si="213"/>
        <v>45723</v>
      </c>
      <c r="DL74" s="912">
        <f t="shared" si="256"/>
        <v>16</v>
      </c>
      <c r="DM74" s="750" t="s">
        <v>272</v>
      </c>
      <c r="DN74" s="750" t="s">
        <v>273</v>
      </c>
      <c r="DO74" s="751">
        <f t="shared" si="214"/>
        <v>43153.03407189616</v>
      </c>
      <c r="DP74" s="751">
        <f t="shared" si="215"/>
        <v>949366.74958171544</v>
      </c>
      <c r="DQ74" s="752">
        <f t="shared" si="127"/>
        <v>0.4746833747908577</v>
      </c>
      <c r="DR74" s="503"/>
      <c r="DS74" s="751">
        <f t="shared" si="128"/>
        <v>3163217.6027246681</v>
      </c>
      <c r="DT74" s="751">
        <f>'[4]INTERNAL PRICELIST'!N68</f>
        <v>2061900</v>
      </c>
      <c r="DU74" s="751">
        <f t="shared" si="216"/>
        <v>1101317.6027246681</v>
      </c>
      <c r="DV74" s="503"/>
      <c r="DW74" s="951">
        <f t="shared" si="129"/>
        <v>143782.61830566672</v>
      </c>
      <c r="DX74" s="503"/>
      <c r="DZ74" s="1010" t="s">
        <v>454</v>
      </c>
      <c r="EA74" s="1052" t="b">
        <f t="shared" si="217"/>
        <v>1</v>
      </c>
      <c r="EB74" s="1072" t="s">
        <v>413</v>
      </c>
      <c r="EC74" s="1072" t="s">
        <v>453</v>
      </c>
      <c r="ED74" s="503"/>
      <c r="EE74" s="1029"/>
      <c r="EF74" s="503"/>
      <c r="EG74" s="503"/>
      <c r="EH74" s="930"/>
      <c r="EI74" s="930"/>
      <c r="EJ74" s="503"/>
      <c r="EK74" s="503"/>
      <c r="EL74" s="503"/>
      <c r="EM74" s="503"/>
      <c r="EN74" s="503"/>
      <c r="EO74" s="503"/>
      <c r="EP74" s="503"/>
      <c r="EQ74" s="503"/>
      <c r="ER74" s="1017" t="s">
        <v>264</v>
      </c>
      <c r="ES74" s="1391" t="s">
        <v>264</v>
      </c>
      <c r="ET74" s="1018" t="b">
        <f t="shared" si="257"/>
        <v>1</v>
      </c>
      <c r="EU74" s="940"/>
      <c r="EV74" s="941"/>
      <c r="EW74" s="940"/>
      <c r="EX74" s="1019">
        <v>2960476.6163586318</v>
      </c>
      <c r="EY74" s="1019">
        <f t="shared" si="143"/>
        <v>444071.49245379475</v>
      </c>
      <c r="EZ74" s="1019">
        <f t="shared" si="144"/>
        <v>2516405.1239048368</v>
      </c>
      <c r="FA74" s="1019">
        <f t="shared" si="145"/>
        <v>296047.66163586319</v>
      </c>
      <c r="FB74" s="1019">
        <f t="shared" si="146"/>
        <v>2664428.9547227686</v>
      </c>
      <c r="FC74" s="1019">
        <f t="shared" si="147"/>
        <v>148023.8308179318</v>
      </c>
      <c r="FD74" s="1020"/>
      <c r="FE74" s="1021"/>
      <c r="FF74" s="1022">
        <f t="shared" si="148"/>
        <v>2516405.1239048368</v>
      </c>
      <c r="FG74" s="1022">
        <f t="shared" si="149"/>
        <v>213894.43553191115</v>
      </c>
      <c r="FH74" s="1022">
        <f t="shared" si="161"/>
        <v>106947.21776595557</v>
      </c>
      <c r="FI74" s="1023">
        <f t="shared" si="150"/>
        <v>2664428.9547227686</v>
      </c>
      <c r="FJ74" s="1023">
        <f t="shared" si="151"/>
        <v>226476.46115143536</v>
      </c>
      <c r="FK74" s="1023">
        <f t="shared" si="152"/>
        <v>113238.23057571768</v>
      </c>
      <c r="FL74" s="1019">
        <f t="shared" si="162"/>
        <v>12582.025619524211</v>
      </c>
      <c r="FM74" s="1019">
        <f t="shared" si="163"/>
        <v>6291.0128097621055</v>
      </c>
      <c r="FN74" s="1019" t="str">
        <f t="shared" si="153"/>
        <v>VS</v>
      </c>
      <c r="FO74" s="1019">
        <f t="shared" si="159"/>
        <v>27537.409960060559</v>
      </c>
      <c r="FP74" s="1019">
        <f t="shared" si="164"/>
        <v>-21246.397150298453</v>
      </c>
      <c r="FQ74" s="1021"/>
      <c r="FR74" s="1021"/>
      <c r="FS74" s="1020"/>
      <c r="FT74" s="503"/>
      <c r="FU74" s="956"/>
      <c r="FV74" s="503"/>
      <c r="FW74" s="503"/>
      <c r="FX74" s="1040"/>
      <c r="FY74" s="503"/>
      <c r="FZ74" s="503"/>
      <c r="GA74" s="503"/>
      <c r="GB74" s="1059"/>
      <c r="GE74" s="503"/>
      <c r="GF74" s="1059"/>
      <c r="GG74" s="956"/>
      <c r="GH74" s="945"/>
      <c r="GI74" s="1024">
        <f t="shared" si="258"/>
        <v>3598160.0230993098</v>
      </c>
      <c r="GJ74" s="1025">
        <f t="shared" si="259"/>
        <v>0.125</v>
      </c>
      <c r="GK74" s="1024">
        <f t="shared" si="260"/>
        <v>449770.00288741372</v>
      </c>
      <c r="GL74" s="1024">
        <f t="shared" si="261"/>
        <v>30000</v>
      </c>
      <c r="GM74" s="1024">
        <f t="shared" si="262"/>
        <v>419770.00288741372</v>
      </c>
      <c r="GN74" s="1024">
        <f t="shared" si="263"/>
        <v>1</v>
      </c>
      <c r="GO74" s="1024">
        <f t="shared" si="264"/>
        <v>419770.00288741372</v>
      </c>
      <c r="GP74" s="1025">
        <f t="shared" si="265"/>
        <v>0.875</v>
      </c>
      <c r="GQ74" s="1024">
        <f t="shared" si="266"/>
        <v>3148390.0202118959</v>
      </c>
      <c r="GR74" s="1024">
        <f t="shared" si="267"/>
        <v>24409.4343158337</v>
      </c>
      <c r="GS74" s="1024">
        <f t="shared" si="268"/>
        <v>28298.619578360966</v>
      </c>
      <c r="GT74" s="1024">
        <f t="shared" si="269"/>
        <v>36555.477723389631</v>
      </c>
      <c r="GU74" s="1024">
        <f t="shared" si="270"/>
        <v>62341.895872670837</v>
      </c>
      <c r="GV74" s="945"/>
      <c r="GW74" s="1024">
        <f t="shared" si="271"/>
        <v>3598160.0230993098</v>
      </c>
      <c r="GX74" s="1025">
        <f t="shared" si="272"/>
        <v>0.125</v>
      </c>
      <c r="GY74" s="1024">
        <f t="shared" si="273"/>
        <v>449770.00288741372</v>
      </c>
      <c r="GZ74" s="1024">
        <f t="shared" si="274"/>
        <v>30000</v>
      </c>
      <c r="HA74" s="1024">
        <f t="shared" si="275"/>
        <v>419770.00288741372</v>
      </c>
      <c r="HB74" s="1026">
        <f t="shared" si="276"/>
        <v>25</v>
      </c>
      <c r="HC74" s="1009">
        <f t="shared" si="277"/>
        <v>16790.80011549655</v>
      </c>
      <c r="HD74" s="1027">
        <f t="shared" si="278"/>
        <v>0.875</v>
      </c>
      <c r="HE74" s="1009">
        <f t="shared" si="279"/>
        <v>3148390.0202118959</v>
      </c>
      <c r="HF74" s="1008">
        <f t="shared" si="280"/>
        <v>24409.4343158337</v>
      </c>
      <c r="HG74" s="1008">
        <f t="shared" si="281"/>
        <v>28298.619578360966</v>
      </c>
      <c r="HH74" s="1008">
        <f t="shared" si="282"/>
        <v>36555.477723389631</v>
      </c>
      <c r="HI74" s="1008">
        <f t="shared" si="283"/>
        <v>62341.895872670837</v>
      </c>
      <c r="HJ74" s="945"/>
      <c r="HK74" s="1009">
        <f t="shared" si="284"/>
        <v>-402979.20277191716</v>
      </c>
      <c r="HL74" s="503"/>
      <c r="HM74" s="503"/>
      <c r="HN74" s="503"/>
      <c r="HO74" s="503"/>
      <c r="HP74" s="503"/>
      <c r="HQ74" s="503"/>
      <c r="HR74" s="956">
        <f t="shared" si="285"/>
        <v>0</v>
      </c>
      <c r="HS74" s="503"/>
      <c r="HT74" s="503"/>
      <c r="HU74" s="956"/>
      <c r="HV74" s="503"/>
      <c r="HW74" s="956"/>
      <c r="HX74" s="956"/>
      <c r="HY74" s="503"/>
      <c r="HZ74" s="503"/>
      <c r="IA74" s="503"/>
      <c r="ID74" s="1394"/>
    </row>
    <row r="75" spans="1:238" s="1051" customFormat="1" ht="14.25" hidden="1" customHeight="1">
      <c r="A75" s="1018">
        <f t="shared" si="155"/>
        <v>69</v>
      </c>
      <c r="B75" s="716" t="s">
        <v>264</v>
      </c>
      <c r="C75" s="741">
        <f t="shared" ref="C75:C90" si="289">C74+1</f>
        <v>3</v>
      </c>
      <c r="D75" s="716" t="s">
        <v>263</v>
      </c>
      <c r="E75" s="743" t="str">
        <f t="shared" si="218"/>
        <v>6th Floor</v>
      </c>
      <c r="F75" s="1048"/>
      <c r="G75" s="745" t="s">
        <v>455</v>
      </c>
      <c r="H75" s="745" t="s">
        <v>283</v>
      </c>
      <c r="I75" s="745" t="s">
        <v>267</v>
      </c>
      <c r="J75" s="1005">
        <v>22</v>
      </c>
      <c r="K75" s="1049"/>
      <c r="L75" s="1006" t="s">
        <v>73</v>
      </c>
      <c r="M75" s="745" t="s">
        <v>240</v>
      </c>
      <c r="N75" s="1050">
        <v>95909.091</v>
      </c>
      <c r="O75" s="934">
        <f t="shared" si="132"/>
        <v>2110000.0019999999</v>
      </c>
      <c r="P75" s="934">
        <f t="shared" si="156"/>
        <v>22400</v>
      </c>
      <c r="Q75" s="934">
        <f t="shared" si="119"/>
        <v>50000</v>
      </c>
      <c r="R75" s="934"/>
      <c r="S75" s="934"/>
      <c r="T75" s="934"/>
      <c r="U75" s="934"/>
      <c r="V75" s="934"/>
      <c r="W75" s="749">
        <f t="shared" si="288"/>
        <v>22000</v>
      </c>
      <c r="X75" s="934"/>
      <c r="Y75" s="934">
        <f t="shared" ref="Y75:Y90" si="290">$Y$73</f>
        <v>40000</v>
      </c>
      <c r="Z75" s="934">
        <f t="shared" si="133"/>
        <v>75000</v>
      </c>
      <c r="AA75" s="934"/>
      <c r="AB75" s="934"/>
      <c r="AC75" s="934"/>
      <c r="AD75" s="934"/>
      <c r="AE75" s="934">
        <f t="shared" si="199"/>
        <v>209400</v>
      </c>
      <c r="AF75" s="1005">
        <f t="shared" si="200"/>
        <v>2319400.0019999999</v>
      </c>
      <c r="AG75" s="1005">
        <f t="shared" si="220"/>
        <v>57985.000050000002</v>
      </c>
      <c r="AH75" s="1005">
        <f t="shared" si="221"/>
        <v>2377385.0020499998</v>
      </c>
      <c r="AI75" s="1005">
        <f t="shared" si="222"/>
        <v>59434.625051249997</v>
      </c>
      <c r="AJ75" s="1005">
        <f t="shared" si="223"/>
        <v>2436819.62710125</v>
      </c>
      <c r="AK75" s="1005">
        <f t="shared" si="224"/>
        <v>121840.98135506251</v>
      </c>
      <c r="AL75" s="1005">
        <f t="shared" si="157"/>
        <v>2558660.6084563127</v>
      </c>
      <c r="AM75" s="934">
        <f t="shared" si="225"/>
        <v>25586.606084563129</v>
      </c>
      <c r="AN75" s="934">
        <f t="shared" si="226"/>
        <v>27537.409960060559</v>
      </c>
      <c r="AO75" s="934"/>
      <c r="AP75" s="934">
        <f t="shared" si="134"/>
        <v>113238.23057571768</v>
      </c>
      <c r="AQ75" s="1005">
        <f t="shared" si="201"/>
        <v>2725022.8550766539</v>
      </c>
      <c r="AR75" s="1005">
        <f t="shared" si="227"/>
        <v>122626.02847844941</v>
      </c>
      <c r="AS75" s="1147">
        <f t="shared" si="228"/>
        <v>2847648.8835551031</v>
      </c>
      <c r="AT75" s="1148">
        <f t="shared" si="135"/>
        <v>2000000</v>
      </c>
      <c r="AU75" s="1148">
        <f t="shared" si="202"/>
        <v>38529.494707050144</v>
      </c>
      <c r="AV75" s="1148">
        <f t="shared" si="136"/>
        <v>847648.88355510309</v>
      </c>
      <c r="AW75" s="1148">
        <f t="shared" si="203"/>
        <v>101717.86602661236</v>
      </c>
      <c r="AX75" s="1148">
        <f t="shared" si="204"/>
        <v>949366.74958171544</v>
      </c>
      <c r="AY75" s="1147">
        <f t="shared" si="229"/>
        <v>2949366.7495817156</v>
      </c>
      <c r="AZ75" s="934">
        <f t="shared" si="230"/>
        <v>36867.084369771444</v>
      </c>
      <c r="BA75" s="716" t="s">
        <v>269</v>
      </c>
      <c r="BB75" s="716">
        <f t="shared" si="205"/>
        <v>2986233.8339514872</v>
      </c>
      <c r="BC75" s="716" t="s">
        <v>269</v>
      </c>
      <c r="BD75" s="716">
        <f t="shared" si="231"/>
        <v>111983.76877318077</v>
      </c>
      <c r="BE75" s="716">
        <f t="shared" si="232"/>
        <v>33600</v>
      </c>
      <c r="BF75" s="716">
        <f t="shared" si="233"/>
        <v>3131817.6027246681</v>
      </c>
      <c r="BG75" s="716"/>
      <c r="BH75" s="716">
        <f t="shared" si="234"/>
        <v>3131817.6027246681</v>
      </c>
      <c r="BI75" s="716"/>
      <c r="BJ75" s="716">
        <f t="shared" si="235"/>
        <v>3131817.6027246681</v>
      </c>
      <c r="BK75" s="716"/>
      <c r="BL75" s="716">
        <f t="shared" si="236"/>
        <v>3131817.6027246681</v>
      </c>
      <c r="BM75" s="716"/>
      <c r="BN75" s="716">
        <f t="shared" si="206"/>
        <v>3131817.6027246681</v>
      </c>
      <c r="BO75" s="716"/>
      <c r="BP75" s="716">
        <f t="shared" si="237"/>
        <v>3131817.6027246681</v>
      </c>
      <c r="BQ75" s="716"/>
      <c r="BR75" s="716">
        <f t="shared" si="238"/>
        <v>3131817.6027246681</v>
      </c>
      <c r="BS75" s="716"/>
      <c r="BT75" s="716">
        <f t="shared" si="239"/>
        <v>3131817.6027246681</v>
      </c>
      <c r="BU75" s="716"/>
      <c r="BV75" s="716">
        <f t="shared" si="207"/>
        <v>3131817.6027246681</v>
      </c>
      <c r="BW75" s="716"/>
      <c r="BX75" s="716">
        <f t="shared" si="167"/>
        <v>31400</v>
      </c>
      <c r="BY75" s="716">
        <f t="shared" si="240"/>
        <v>3163217.6027246681</v>
      </c>
      <c r="BZ75" s="716"/>
      <c r="CA75" s="716">
        <f t="shared" si="241"/>
        <v>3163217.6027246681</v>
      </c>
      <c r="CB75" s="1135">
        <f t="shared" si="242"/>
        <v>3163217.6027246681</v>
      </c>
      <c r="CC75" s="1164">
        <f t="shared" si="286"/>
        <v>3163217.6027246681</v>
      </c>
      <c r="CD75" s="1164"/>
      <c r="CE75" s="1164">
        <f t="shared" si="243"/>
        <v>0</v>
      </c>
      <c r="CF75" s="1164">
        <f t="shared" ref="CF75:CF138" si="291">CE75*$AW$5</f>
        <v>0</v>
      </c>
      <c r="CG75" s="1164">
        <f t="shared" ref="CG75:CG138" si="292">CE75+CF75</f>
        <v>0</v>
      </c>
      <c r="CH75" s="1154">
        <f t="shared" si="158"/>
        <v>3163217.6027246681</v>
      </c>
      <c r="CI75" s="935">
        <f t="shared" si="137"/>
        <v>3163217.6027246681</v>
      </c>
      <c r="CJ75" s="935">
        <f t="shared" si="244"/>
        <v>0</v>
      </c>
      <c r="CK75" s="935">
        <f t="shared" si="208"/>
        <v>324229.80427927844</v>
      </c>
      <c r="CL75" s="935">
        <f t="shared" si="209"/>
        <v>110712.6160953634</v>
      </c>
      <c r="CM75" s="1006">
        <f t="shared" si="138"/>
        <v>3598160.0230993098</v>
      </c>
      <c r="CN75" s="1007">
        <f t="shared" si="139"/>
        <v>0.125</v>
      </c>
      <c r="CO75" s="935">
        <f t="shared" si="210"/>
        <v>449770.00288741372</v>
      </c>
      <c r="CP75" s="935">
        <f t="shared" si="170"/>
        <v>30000</v>
      </c>
      <c r="CQ75" s="935">
        <f t="shared" si="211"/>
        <v>419770.00288741372</v>
      </c>
      <c r="CR75" s="745">
        <f t="shared" si="141"/>
        <v>1</v>
      </c>
      <c r="CS75" s="935">
        <f t="shared" si="212"/>
        <v>419770.00288741372</v>
      </c>
      <c r="CT75" s="1007">
        <f t="shared" si="245"/>
        <v>0.875</v>
      </c>
      <c r="CU75" s="935">
        <f t="shared" si="246"/>
        <v>3148390.0202118959</v>
      </c>
      <c r="CV75" s="1008">
        <f t="shared" si="247"/>
        <v>24409.4343158337</v>
      </c>
      <c r="CW75" s="1008">
        <f t="shared" si="248"/>
        <v>28298.619578360966</v>
      </c>
      <c r="CX75" s="1008">
        <f t="shared" si="249"/>
        <v>36555.477723389631</v>
      </c>
      <c r="CY75" s="1008">
        <f t="shared" si="250"/>
        <v>62341.895872670837</v>
      </c>
      <c r="CZ75" s="1119">
        <f t="shared" si="251"/>
        <v>255753.72854446855</v>
      </c>
      <c r="DA75" s="1119">
        <f t="shared" si="252"/>
        <v>101200.50453710655</v>
      </c>
      <c r="DB75" s="1119">
        <f t="shared" si="253"/>
        <v>73095.691104712503</v>
      </c>
      <c r="DC75" s="1119">
        <f t="shared" si="254"/>
        <v>55629.186082501801</v>
      </c>
      <c r="DD75" s="1028">
        <f t="shared" si="126"/>
        <v>0.42382444177755152</v>
      </c>
      <c r="DE75" s="1028">
        <f t="shared" si="142"/>
        <v>0</v>
      </c>
      <c r="DF75" s="1009" t="s">
        <v>270</v>
      </c>
      <c r="DG75" s="1009" t="s">
        <v>271</v>
      </c>
      <c r="DH75" s="966">
        <f t="shared" si="287"/>
        <v>45658</v>
      </c>
      <c r="DI75" s="912">
        <f t="shared" si="255"/>
        <v>14</v>
      </c>
      <c r="DJ75" s="939"/>
      <c r="DK75" s="913">
        <f t="shared" si="213"/>
        <v>45723</v>
      </c>
      <c r="DL75" s="912">
        <f t="shared" si="256"/>
        <v>16</v>
      </c>
      <c r="DM75" s="750" t="s">
        <v>272</v>
      </c>
      <c r="DN75" s="750" t="s">
        <v>273</v>
      </c>
      <c r="DO75" s="751">
        <f t="shared" si="214"/>
        <v>43153.03407189616</v>
      </c>
      <c r="DP75" s="751">
        <f t="shared" si="215"/>
        <v>949366.74958171544</v>
      </c>
      <c r="DQ75" s="752">
        <f t="shared" si="127"/>
        <v>0.4746833747908577</v>
      </c>
      <c r="DR75" s="503"/>
      <c r="DS75" s="751">
        <f t="shared" si="128"/>
        <v>3163217.6027246681</v>
      </c>
      <c r="DT75" s="751">
        <f>'[4]INTERNAL PRICELIST'!N69</f>
        <v>2061900</v>
      </c>
      <c r="DU75" s="751">
        <f t="shared" si="216"/>
        <v>1101317.6027246681</v>
      </c>
      <c r="DV75" s="503"/>
      <c r="DW75" s="951">
        <f t="shared" si="129"/>
        <v>143782.61830566672</v>
      </c>
      <c r="DX75" s="503"/>
      <c r="DZ75" s="1010" t="s">
        <v>455</v>
      </c>
      <c r="EA75" s="1052" t="b">
        <f t="shared" si="217"/>
        <v>1</v>
      </c>
      <c r="EB75" s="1072" t="s">
        <v>456</v>
      </c>
      <c r="EC75" s="1072" t="s">
        <v>453</v>
      </c>
      <c r="ED75" s="503"/>
      <c r="EE75" s="1029"/>
      <c r="EF75" s="503"/>
      <c r="EG75" s="503"/>
      <c r="EH75" s="930"/>
      <c r="EI75" s="930"/>
      <c r="EJ75" s="503"/>
      <c r="EK75" s="503"/>
      <c r="EL75" s="503"/>
      <c r="EM75" s="503"/>
      <c r="EN75" s="503"/>
      <c r="EO75" s="503"/>
      <c r="EP75" s="503"/>
      <c r="EQ75" s="503"/>
      <c r="ER75" s="1017" t="s">
        <v>264</v>
      </c>
      <c r="ES75" s="1391" t="s">
        <v>264</v>
      </c>
      <c r="ET75" s="1018" t="b">
        <f t="shared" si="257"/>
        <v>1</v>
      </c>
      <c r="EU75" s="940"/>
      <c r="EV75" s="941"/>
      <c r="EW75" s="940"/>
      <c r="EX75" s="1019">
        <v>2960476.6163586318</v>
      </c>
      <c r="EY75" s="1019">
        <f t="shared" si="143"/>
        <v>444071.49245379475</v>
      </c>
      <c r="EZ75" s="1019">
        <f t="shared" si="144"/>
        <v>2516405.1239048368</v>
      </c>
      <c r="FA75" s="1019">
        <f t="shared" si="145"/>
        <v>296047.66163586319</v>
      </c>
      <c r="FB75" s="1019">
        <f t="shared" si="146"/>
        <v>2664428.9547227686</v>
      </c>
      <c r="FC75" s="1019">
        <f t="shared" si="147"/>
        <v>148023.8308179318</v>
      </c>
      <c r="FD75" s="1020"/>
      <c r="FE75" s="1021"/>
      <c r="FF75" s="1022">
        <f t="shared" si="148"/>
        <v>2516405.1239048368</v>
      </c>
      <c r="FG75" s="1022">
        <f t="shared" si="149"/>
        <v>213894.43553191115</v>
      </c>
      <c r="FH75" s="1022">
        <f t="shared" si="161"/>
        <v>106947.21776595557</v>
      </c>
      <c r="FI75" s="1023">
        <f t="shared" si="150"/>
        <v>2664428.9547227686</v>
      </c>
      <c r="FJ75" s="1023">
        <f t="shared" si="151"/>
        <v>226476.46115143536</v>
      </c>
      <c r="FK75" s="1023">
        <f t="shared" si="152"/>
        <v>113238.23057571768</v>
      </c>
      <c r="FL75" s="1019">
        <f t="shared" si="162"/>
        <v>12582.025619524211</v>
      </c>
      <c r="FM75" s="1019">
        <f t="shared" si="163"/>
        <v>6291.0128097621055</v>
      </c>
      <c r="FN75" s="1019" t="str">
        <f t="shared" si="153"/>
        <v>VS</v>
      </c>
      <c r="FO75" s="1019">
        <f t="shared" si="159"/>
        <v>27537.409960060559</v>
      </c>
      <c r="FP75" s="1019">
        <f t="shared" si="164"/>
        <v>-21246.397150298453</v>
      </c>
      <c r="FQ75" s="1021"/>
      <c r="FR75" s="1021"/>
      <c r="FS75" s="1020"/>
      <c r="FT75" s="503"/>
      <c r="FU75" s="956"/>
      <c r="FV75" s="503"/>
      <c r="FW75" s="503"/>
      <c r="FX75" s="1040"/>
      <c r="FY75" s="503"/>
      <c r="FZ75" s="503"/>
      <c r="GA75" s="503"/>
      <c r="GB75" s="1059"/>
      <c r="GE75" s="503"/>
      <c r="GF75" s="1059"/>
      <c r="GG75" s="956"/>
      <c r="GH75" s="945"/>
      <c r="GI75" s="1024">
        <f t="shared" si="258"/>
        <v>3598160.0230993098</v>
      </c>
      <c r="GJ75" s="1025">
        <f t="shared" si="259"/>
        <v>0.125</v>
      </c>
      <c r="GK75" s="1024">
        <f t="shared" si="260"/>
        <v>449770.00288741372</v>
      </c>
      <c r="GL75" s="1024">
        <f t="shared" si="261"/>
        <v>30000</v>
      </c>
      <c r="GM75" s="1024">
        <f t="shared" si="262"/>
        <v>419770.00288741372</v>
      </c>
      <c r="GN75" s="1024">
        <f t="shared" si="263"/>
        <v>1</v>
      </c>
      <c r="GO75" s="1024">
        <f t="shared" si="264"/>
        <v>419770.00288741372</v>
      </c>
      <c r="GP75" s="1025">
        <f t="shared" si="265"/>
        <v>0.875</v>
      </c>
      <c r="GQ75" s="1024">
        <f t="shared" si="266"/>
        <v>3148390.0202118959</v>
      </c>
      <c r="GR75" s="1024">
        <f t="shared" si="267"/>
        <v>24409.4343158337</v>
      </c>
      <c r="GS75" s="1024">
        <f t="shared" si="268"/>
        <v>28298.619578360966</v>
      </c>
      <c r="GT75" s="1024">
        <f t="shared" si="269"/>
        <v>36555.477723389631</v>
      </c>
      <c r="GU75" s="1024">
        <f t="shared" si="270"/>
        <v>62341.895872670837</v>
      </c>
      <c r="GV75" s="945"/>
      <c r="GW75" s="1024">
        <f t="shared" si="271"/>
        <v>3598160.0230993098</v>
      </c>
      <c r="GX75" s="1025">
        <f t="shared" si="272"/>
        <v>0.125</v>
      </c>
      <c r="GY75" s="1024">
        <f t="shared" si="273"/>
        <v>449770.00288741372</v>
      </c>
      <c r="GZ75" s="1024">
        <f t="shared" si="274"/>
        <v>30000</v>
      </c>
      <c r="HA75" s="1024">
        <f t="shared" si="275"/>
        <v>419770.00288741372</v>
      </c>
      <c r="HB75" s="1026">
        <f t="shared" si="276"/>
        <v>25</v>
      </c>
      <c r="HC75" s="1009">
        <f t="shared" si="277"/>
        <v>16790.80011549655</v>
      </c>
      <c r="HD75" s="1027">
        <f t="shared" si="278"/>
        <v>0.875</v>
      </c>
      <c r="HE75" s="1009">
        <f t="shared" si="279"/>
        <v>3148390.0202118959</v>
      </c>
      <c r="HF75" s="1008">
        <f t="shared" si="280"/>
        <v>24409.4343158337</v>
      </c>
      <c r="HG75" s="1008">
        <f t="shared" si="281"/>
        <v>28298.619578360966</v>
      </c>
      <c r="HH75" s="1008">
        <f t="shared" si="282"/>
        <v>36555.477723389631</v>
      </c>
      <c r="HI75" s="1008">
        <f t="shared" si="283"/>
        <v>62341.895872670837</v>
      </c>
      <c r="HJ75" s="945"/>
      <c r="HK75" s="1009">
        <f t="shared" si="284"/>
        <v>-402979.20277191716</v>
      </c>
      <c r="HL75" s="503"/>
      <c r="HM75" s="503"/>
      <c r="HN75" s="503"/>
      <c r="HO75" s="503"/>
      <c r="HP75" s="503"/>
      <c r="HQ75" s="503"/>
      <c r="HR75" s="956">
        <f t="shared" si="285"/>
        <v>0</v>
      </c>
      <c r="HS75" s="503"/>
      <c r="HT75" s="503"/>
      <c r="HU75" s="956"/>
      <c r="HV75" s="503"/>
      <c r="HW75" s="956"/>
      <c r="HX75" s="956"/>
      <c r="HY75" s="503"/>
      <c r="HZ75" s="503"/>
      <c r="IA75" s="503"/>
      <c r="ID75" s="1394"/>
    </row>
    <row r="76" spans="1:238" s="1051" customFormat="1" ht="14.25" hidden="1" customHeight="1">
      <c r="A76" s="1018">
        <f t="shared" si="155"/>
        <v>70</v>
      </c>
      <c r="B76" s="716" t="s">
        <v>264</v>
      </c>
      <c r="C76" s="741">
        <f t="shared" si="289"/>
        <v>4</v>
      </c>
      <c r="D76" s="716" t="s">
        <v>263</v>
      </c>
      <c r="E76" s="743" t="str">
        <f t="shared" si="218"/>
        <v>6th Floor</v>
      </c>
      <c r="F76" s="1048"/>
      <c r="G76" s="745" t="s">
        <v>457</v>
      </c>
      <c r="H76" s="745" t="s">
        <v>288</v>
      </c>
      <c r="I76" s="745" t="s">
        <v>267</v>
      </c>
      <c r="J76" s="1005">
        <v>22</v>
      </c>
      <c r="K76" s="1049"/>
      <c r="L76" s="1006" t="s">
        <v>73</v>
      </c>
      <c r="M76" s="745" t="s">
        <v>240</v>
      </c>
      <c r="N76" s="1050">
        <v>95909.091</v>
      </c>
      <c r="O76" s="934">
        <f t="shared" si="132"/>
        <v>2110000.0019999999</v>
      </c>
      <c r="P76" s="934">
        <f t="shared" si="156"/>
        <v>22400</v>
      </c>
      <c r="Q76" s="934">
        <f t="shared" si="119"/>
        <v>50000</v>
      </c>
      <c r="R76" s="934"/>
      <c r="S76" s="934"/>
      <c r="T76" s="934"/>
      <c r="U76" s="934"/>
      <c r="V76" s="934"/>
      <c r="W76" s="749">
        <f t="shared" si="288"/>
        <v>22000</v>
      </c>
      <c r="X76" s="934"/>
      <c r="Y76" s="934">
        <f t="shared" si="290"/>
        <v>40000</v>
      </c>
      <c r="Z76" s="934">
        <f t="shared" si="133"/>
        <v>75000</v>
      </c>
      <c r="AA76" s="934"/>
      <c r="AB76" s="934"/>
      <c r="AC76" s="934"/>
      <c r="AD76" s="934"/>
      <c r="AE76" s="934">
        <f t="shared" si="199"/>
        <v>209400</v>
      </c>
      <c r="AF76" s="1005">
        <f t="shared" si="200"/>
        <v>2319400.0019999999</v>
      </c>
      <c r="AG76" s="1005">
        <f t="shared" si="220"/>
        <v>57985.000050000002</v>
      </c>
      <c r="AH76" s="1005">
        <f t="shared" si="221"/>
        <v>2377385.0020499998</v>
      </c>
      <c r="AI76" s="1005">
        <f t="shared" si="222"/>
        <v>59434.625051249997</v>
      </c>
      <c r="AJ76" s="1005">
        <f t="shared" si="223"/>
        <v>2436819.62710125</v>
      </c>
      <c r="AK76" s="1005">
        <f t="shared" si="224"/>
        <v>121840.98135506251</v>
      </c>
      <c r="AL76" s="1005">
        <f t="shared" si="157"/>
        <v>2558660.6084563127</v>
      </c>
      <c r="AM76" s="934">
        <f t="shared" si="225"/>
        <v>25586.606084563129</v>
      </c>
      <c r="AN76" s="934">
        <f t="shared" si="226"/>
        <v>27537.409960060559</v>
      </c>
      <c r="AO76" s="934"/>
      <c r="AP76" s="934">
        <f t="shared" si="134"/>
        <v>113238.23057571768</v>
      </c>
      <c r="AQ76" s="1005">
        <f t="shared" si="201"/>
        <v>2725022.8550766539</v>
      </c>
      <c r="AR76" s="1005">
        <f t="shared" si="227"/>
        <v>122626.02847844941</v>
      </c>
      <c r="AS76" s="1147">
        <f t="shared" si="228"/>
        <v>2847648.8835551031</v>
      </c>
      <c r="AT76" s="1148">
        <f t="shared" si="135"/>
        <v>2000000</v>
      </c>
      <c r="AU76" s="1148">
        <f t="shared" si="202"/>
        <v>38529.494707050144</v>
      </c>
      <c r="AV76" s="1148">
        <f t="shared" si="136"/>
        <v>847648.88355510309</v>
      </c>
      <c r="AW76" s="1148">
        <f t="shared" si="203"/>
        <v>101717.86602661236</v>
      </c>
      <c r="AX76" s="1148">
        <f t="shared" si="204"/>
        <v>949366.74958171544</v>
      </c>
      <c r="AY76" s="1147">
        <f t="shared" si="229"/>
        <v>2949366.7495817156</v>
      </c>
      <c r="AZ76" s="934">
        <f t="shared" si="230"/>
        <v>36867.084369771444</v>
      </c>
      <c r="BA76" s="716" t="s">
        <v>269</v>
      </c>
      <c r="BB76" s="716">
        <f t="shared" si="205"/>
        <v>2986233.8339514872</v>
      </c>
      <c r="BC76" s="716" t="s">
        <v>269</v>
      </c>
      <c r="BD76" s="716">
        <f t="shared" si="231"/>
        <v>111983.76877318077</v>
      </c>
      <c r="BE76" s="716">
        <f t="shared" si="232"/>
        <v>33600</v>
      </c>
      <c r="BF76" s="716">
        <f t="shared" si="233"/>
        <v>3131817.6027246681</v>
      </c>
      <c r="BG76" s="716"/>
      <c r="BH76" s="716">
        <f t="shared" si="234"/>
        <v>3131817.6027246681</v>
      </c>
      <c r="BI76" s="716"/>
      <c r="BJ76" s="716">
        <f t="shared" si="235"/>
        <v>3131817.6027246681</v>
      </c>
      <c r="BK76" s="716"/>
      <c r="BL76" s="716">
        <f t="shared" si="236"/>
        <v>3131817.6027246681</v>
      </c>
      <c r="BM76" s="716"/>
      <c r="BN76" s="716">
        <f t="shared" si="206"/>
        <v>3131817.6027246681</v>
      </c>
      <c r="BO76" s="716"/>
      <c r="BP76" s="716">
        <f t="shared" si="237"/>
        <v>3131817.6027246681</v>
      </c>
      <c r="BQ76" s="716"/>
      <c r="BR76" s="716">
        <f t="shared" si="238"/>
        <v>3131817.6027246681</v>
      </c>
      <c r="BS76" s="716"/>
      <c r="BT76" s="716">
        <f t="shared" si="239"/>
        <v>3131817.6027246681</v>
      </c>
      <c r="BU76" s="716"/>
      <c r="BV76" s="716">
        <f t="shared" si="207"/>
        <v>3131817.6027246681</v>
      </c>
      <c r="BW76" s="716"/>
      <c r="BX76" s="716">
        <f t="shared" si="167"/>
        <v>31400</v>
      </c>
      <c r="BY76" s="716">
        <f t="shared" si="240"/>
        <v>3163217.6027246681</v>
      </c>
      <c r="BZ76" s="716"/>
      <c r="CA76" s="716">
        <f t="shared" si="241"/>
        <v>3163217.6027246681</v>
      </c>
      <c r="CB76" s="1135">
        <f t="shared" si="242"/>
        <v>3163217.6027246681</v>
      </c>
      <c r="CC76" s="1164">
        <f t="shared" si="286"/>
        <v>3163217.6027246681</v>
      </c>
      <c r="CD76" s="1164"/>
      <c r="CE76" s="1164">
        <f t="shared" si="243"/>
        <v>0</v>
      </c>
      <c r="CF76" s="1164">
        <f t="shared" si="291"/>
        <v>0</v>
      </c>
      <c r="CG76" s="1164">
        <f t="shared" si="292"/>
        <v>0</v>
      </c>
      <c r="CH76" s="1154">
        <f t="shared" si="158"/>
        <v>3163217.6027246681</v>
      </c>
      <c r="CI76" s="935">
        <f t="shared" si="137"/>
        <v>3163217.6027246681</v>
      </c>
      <c r="CJ76" s="935">
        <f t="shared" si="244"/>
        <v>0</v>
      </c>
      <c r="CK76" s="935">
        <f t="shared" si="208"/>
        <v>324229.80427927844</v>
      </c>
      <c r="CL76" s="935">
        <f t="shared" si="209"/>
        <v>110712.6160953634</v>
      </c>
      <c r="CM76" s="1006">
        <f t="shared" si="138"/>
        <v>3598160.0230993098</v>
      </c>
      <c r="CN76" s="1007">
        <f t="shared" si="139"/>
        <v>0.125</v>
      </c>
      <c r="CO76" s="935">
        <f t="shared" si="210"/>
        <v>449770.00288741372</v>
      </c>
      <c r="CP76" s="935">
        <f t="shared" si="170"/>
        <v>30000</v>
      </c>
      <c r="CQ76" s="935">
        <f t="shared" si="211"/>
        <v>419770.00288741372</v>
      </c>
      <c r="CR76" s="745">
        <f t="shared" si="141"/>
        <v>1</v>
      </c>
      <c r="CS76" s="935">
        <f t="shared" si="212"/>
        <v>419770.00288741372</v>
      </c>
      <c r="CT76" s="1007">
        <f t="shared" si="245"/>
        <v>0.875</v>
      </c>
      <c r="CU76" s="935">
        <f t="shared" si="246"/>
        <v>3148390.0202118959</v>
      </c>
      <c r="CV76" s="1008">
        <f t="shared" si="247"/>
        <v>24409.4343158337</v>
      </c>
      <c r="CW76" s="1008">
        <f t="shared" si="248"/>
        <v>28298.619578360966</v>
      </c>
      <c r="CX76" s="1008">
        <f t="shared" si="249"/>
        <v>36555.477723389631</v>
      </c>
      <c r="CY76" s="1008">
        <f t="shared" si="250"/>
        <v>62341.895872670837</v>
      </c>
      <c r="CZ76" s="1119">
        <f t="shared" si="251"/>
        <v>255753.72854446855</v>
      </c>
      <c r="DA76" s="1119">
        <f t="shared" si="252"/>
        <v>101200.50453710655</v>
      </c>
      <c r="DB76" s="1119">
        <f t="shared" si="253"/>
        <v>73095.691104712503</v>
      </c>
      <c r="DC76" s="1119">
        <f t="shared" si="254"/>
        <v>55629.186082501801</v>
      </c>
      <c r="DD76" s="1028">
        <f t="shared" si="126"/>
        <v>0.42382444177755152</v>
      </c>
      <c r="DE76" s="1028">
        <f t="shared" si="142"/>
        <v>0</v>
      </c>
      <c r="DF76" s="1009" t="s">
        <v>270</v>
      </c>
      <c r="DG76" s="1009" t="s">
        <v>271</v>
      </c>
      <c r="DH76" s="966">
        <f t="shared" si="287"/>
        <v>45658</v>
      </c>
      <c r="DI76" s="912">
        <f t="shared" si="255"/>
        <v>14</v>
      </c>
      <c r="DJ76" s="939"/>
      <c r="DK76" s="913">
        <f t="shared" si="213"/>
        <v>45723</v>
      </c>
      <c r="DL76" s="912">
        <f t="shared" si="256"/>
        <v>16</v>
      </c>
      <c r="DM76" s="750" t="s">
        <v>272</v>
      </c>
      <c r="DN76" s="750" t="s">
        <v>273</v>
      </c>
      <c r="DO76" s="751">
        <f t="shared" si="214"/>
        <v>43153.03407189616</v>
      </c>
      <c r="DP76" s="751">
        <f t="shared" si="215"/>
        <v>949366.74958171544</v>
      </c>
      <c r="DQ76" s="752">
        <f t="shared" si="127"/>
        <v>0.4746833747908577</v>
      </c>
      <c r="DR76" s="503"/>
      <c r="DS76" s="751">
        <f t="shared" si="128"/>
        <v>3163217.6027246681</v>
      </c>
      <c r="DT76" s="751">
        <f>'[4]INTERNAL PRICELIST'!N70</f>
        <v>2061900</v>
      </c>
      <c r="DU76" s="751">
        <f t="shared" si="216"/>
        <v>1101317.6027246681</v>
      </c>
      <c r="DV76" s="503"/>
      <c r="DW76" s="951">
        <f t="shared" si="129"/>
        <v>143782.61830566672</v>
      </c>
      <c r="DX76" s="503"/>
      <c r="DZ76" s="1010" t="s">
        <v>457</v>
      </c>
      <c r="EA76" s="1052" t="b">
        <f t="shared" si="217"/>
        <v>1</v>
      </c>
      <c r="EB76" s="1072" t="s">
        <v>458</v>
      </c>
      <c r="EC76" s="1072" t="s">
        <v>453</v>
      </c>
      <c r="ED76" s="503"/>
      <c r="EE76" s="1029"/>
      <c r="EF76" s="503"/>
      <c r="EG76" s="503"/>
      <c r="EH76" s="930"/>
      <c r="EI76" s="930"/>
      <c r="EJ76" s="503"/>
      <c r="EK76" s="503"/>
      <c r="EL76" s="503"/>
      <c r="EM76" s="503"/>
      <c r="EN76" s="503"/>
      <c r="EO76" s="503"/>
      <c r="EP76" s="503"/>
      <c r="EQ76" s="503"/>
      <c r="ER76" s="1017" t="s">
        <v>264</v>
      </c>
      <c r="ES76" s="1391" t="s">
        <v>264</v>
      </c>
      <c r="ET76" s="1018" t="b">
        <f t="shared" si="257"/>
        <v>1</v>
      </c>
      <c r="EU76" s="940"/>
      <c r="EV76" s="941"/>
      <c r="EW76" s="940"/>
      <c r="EX76" s="1019">
        <v>2960476.6163586318</v>
      </c>
      <c r="EY76" s="1019">
        <f t="shared" si="143"/>
        <v>444071.49245379475</v>
      </c>
      <c r="EZ76" s="1019">
        <f t="shared" si="144"/>
        <v>2516405.1239048368</v>
      </c>
      <c r="FA76" s="1019">
        <f t="shared" si="145"/>
        <v>296047.66163586319</v>
      </c>
      <c r="FB76" s="1019">
        <f t="shared" si="146"/>
        <v>2664428.9547227686</v>
      </c>
      <c r="FC76" s="1019">
        <f t="shared" si="147"/>
        <v>148023.8308179318</v>
      </c>
      <c r="FD76" s="1020"/>
      <c r="FE76" s="1021"/>
      <c r="FF76" s="1022">
        <f t="shared" si="148"/>
        <v>2516405.1239048368</v>
      </c>
      <c r="FG76" s="1022">
        <f t="shared" si="149"/>
        <v>213894.43553191115</v>
      </c>
      <c r="FH76" s="1022">
        <f t="shared" si="161"/>
        <v>106947.21776595557</v>
      </c>
      <c r="FI76" s="1023">
        <f t="shared" si="150"/>
        <v>2664428.9547227686</v>
      </c>
      <c r="FJ76" s="1023">
        <f t="shared" si="151"/>
        <v>226476.46115143536</v>
      </c>
      <c r="FK76" s="1023">
        <f t="shared" si="152"/>
        <v>113238.23057571768</v>
      </c>
      <c r="FL76" s="1019">
        <f t="shared" si="162"/>
        <v>12582.025619524211</v>
      </c>
      <c r="FM76" s="1019">
        <f t="shared" si="163"/>
        <v>6291.0128097621055</v>
      </c>
      <c r="FN76" s="1019" t="str">
        <f t="shared" si="153"/>
        <v>VS</v>
      </c>
      <c r="FO76" s="1019">
        <f t="shared" si="159"/>
        <v>27537.409960060559</v>
      </c>
      <c r="FP76" s="1019">
        <f t="shared" si="164"/>
        <v>-21246.397150298453</v>
      </c>
      <c r="FQ76" s="1021"/>
      <c r="FR76" s="1021"/>
      <c r="FS76" s="1020"/>
      <c r="FT76" s="1055">
        <f>FB76</f>
        <v>2664428.9547227686</v>
      </c>
      <c r="FU76" s="1056"/>
      <c r="FV76" s="1056"/>
      <c r="FW76" s="503"/>
      <c r="FX76" s="1040"/>
      <c r="FY76" s="503"/>
      <c r="FZ76" s="503"/>
      <c r="GA76" s="503"/>
      <c r="GB76" s="1059"/>
      <c r="GE76" s="503"/>
      <c r="GF76" s="1059"/>
      <c r="GG76" s="956"/>
      <c r="GH76" s="1058"/>
      <c r="GI76" s="1024">
        <f t="shared" si="258"/>
        <v>3598160.0230993098</v>
      </c>
      <c r="GJ76" s="1025">
        <f t="shared" si="259"/>
        <v>0.125</v>
      </c>
      <c r="GK76" s="1024">
        <f t="shared" si="260"/>
        <v>449770.00288741372</v>
      </c>
      <c r="GL76" s="1024">
        <f t="shared" si="261"/>
        <v>30000</v>
      </c>
      <c r="GM76" s="1024">
        <f t="shared" si="262"/>
        <v>419770.00288741372</v>
      </c>
      <c r="GN76" s="1024">
        <f t="shared" si="263"/>
        <v>1</v>
      </c>
      <c r="GO76" s="1024">
        <f t="shared" si="264"/>
        <v>419770.00288741372</v>
      </c>
      <c r="GP76" s="1025">
        <f t="shared" si="265"/>
        <v>0.875</v>
      </c>
      <c r="GQ76" s="1024">
        <f t="shared" si="266"/>
        <v>3148390.0202118959</v>
      </c>
      <c r="GR76" s="1024">
        <f t="shared" si="267"/>
        <v>24409.4343158337</v>
      </c>
      <c r="GS76" s="1024">
        <f t="shared" si="268"/>
        <v>28298.619578360966</v>
      </c>
      <c r="GT76" s="1024">
        <f t="shared" si="269"/>
        <v>36555.477723389631</v>
      </c>
      <c r="GU76" s="1024">
        <f t="shared" si="270"/>
        <v>62341.895872670837</v>
      </c>
      <c r="GV76" s="945"/>
      <c r="GW76" s="1024">
        <f t="shared" si="271"/>
        <v>3598160.0230993098</v>
      </c>
      <c r="GX76" s="1025">
        <f t="shared" si="272"/>
        <v>0.125</v>
      </c>
      <c r="GY76" s="1024">
        <f t="shared" si="273"/>
        <v>449770.00288741372</v>
      </c>
      <c r="GZ76" s="1024">
        <f t="shared" si="274"/>
        <v>30000</v>
      </c>
      <c r="HA76" s="1024">
        <f t="shared" si="275"/>
        <v>419770.00288741372</v>
      </c>
      <c r="HB76" s="1026">
        <f t="shared" si="276"/>
        <v>25</v>
      </c>
      <c r="HC76" s="1009">
        <f t="shared" si="277"/>
        <v>16790.80011549655</v>
      </c>
      <c r="HD76" s="1027">
        <f t="shared" si="278"/>
        <v>0.875</v>
      </c>
      <c r="HE76" s="1009">
        <f t="shared" si="279"/>
        <v>3148390.0202118959</v>
      </c>
      <c r="HF76" s="1008">
        <f t="shared" si="280"/>
        <v>24409.4343158337</v>
      </c>
      <c r="HG76" s="1008">
        <f t="shared" si="281"/>
        <v>28298.619578360966</v>
      </c>
      <c r="HH76" s="1008">
        <f t="shared" si="282"/>
        <v>36555.477723389631</v>
      </c>
      <c r="HI76" s="1008">
        <f t="shared" si="283"/>
        <v>62341.895872670837</v>
      </c>
      <c r="HJ76" s="945"/>
      <c r="HK76" s="1009">
        <f t="shared" si="284"/>
        <v>-402979.20277191716</v>
      </c>
      <c r="HL76" s="503"/>
      <c r="HM76" s="503"/>
      <c r="HN76" s="503"/>
      <c r="HO76" s="503"/>
      <c r="HP76" s="503"/>
      <c r="HQ76" s="503"/>
      <c r="HR76" s="956">
        <f t="shared" si="285"/>
        <v>0</v>
      </c>
      <c r="HS76" s="503"/>
      <c r="HT76" s="503"/>
      <c r="HU76" s="956"/>
      <c r="HV76" s="503"/>
      <c r="HW76" s="956"/>
      <c r="HX76" s="956"/>
      <c r="HY76" s="503"/>
      <c r="HZ76" s="503"/>
      <c r="IA76" s="503"/>
      <c r="ID76" s="1394"/>
    </row>
    <row r="77" spans="1:238" s="1051" customFormat="1" ht="14.25" hidden="1" customHeight="1">
      <c r="A77" s="1018">
        <f t="shared" si="155"/>
        <v>71</v>
      </c>
      <c r="B77" s="716" t="s">
        <v>264</v>
      </c>
      <c r="C77" s="741">
        <f t="shared" si="289"/>
        <v>5</v>
      </c>
      <c r="D77" s="716" t="s">
        <v>263</v>
      </c>
      <c r="E77" s="743" t="str">
        <f t="shared" si="218"/>
        <v>6th Floor</v>
      </c>
      <c r="F77" s="1048"/>
      <c r="G77" s="745" t="s">
        <v>459</v>
      </c>
      <c r="H77" s="745" t="s">
        <v>292</v>
      </c>
      <c r="I77" s="745" t="s">
        <v>267</v>
      </c>
      <c r="J77" s="1005">
        <v>22</v>
      </c>
      <c r="K77" s="1049"/>
      <c r="L77" s="1006" t="s">
        <v>73</v>
      </c>
      <c r="M77" s="745" t="s">
        <v>240</v>
      </c>
      <c r="N77" s="1050">
        <v>95909.091</v>
      </c>
      <c r="O77" s="934">
        <f t="shared" si="132"/>
        <v>2110000.0019999999</v>
      </c>
      <c r="P77" s="934">
        <f t="shared" si="156"/>
        <v>22400</v>
      </c>
      <c r="Q77" s="934">
        <f t="shared" ref="Q77:Q140" si="293">$Q$5</f>
        <v>50000</v>
      </c>
      <c r="R77" s="934"/>
      <c r="S77" s="934"/>
      <c r="T77" s="934"/>
      <c r="U77" s="934"/>
      <c r="V77" s="934"/>
      <c r="W77" s="749">
        <f t="shared" si="288"/>
        <v>22000</v>
      </c>
      <c r="X77" s="934"/>
      <c r="Y77" s="934">
        <f t="shared" si="290"/>
        <v>40000</v>
      </c>
      <c r="Z77" s="934">
        <f t="shared" si="133"/>
        <v>75000</v>
      </c>
      <c r="AA77" s="934"/>
      <c r="AB77" s="934"/>
      <c r="AC77" s="934"/>
      <c r="AD77" s="934"/>
      <c r="AE77" s="934">
        <f t="shared" si="199"/>
        <v>209400</v>
      </c>
      <c r="AF77" s="1005">
        <f t="shared" si="200"/>
        <v>2319400.0019999999</v>
      </c>
      <c r="AG77" s="1005">
        <f t="shared" si="220"/>
        <v>57985.000050000002</v>
      </c>
      <c r="AH77" s="1005">
        <f t="shared" si="221"/>
        <v>2377385.0020499998</v>
      </c>
      <c r="AI77" s="1005">
        <f t="shared" si="222"/>
        <v>59434.625051249997</v>
      </c>
      <c r="AJ77" s="1005">
        <f t="shared" si="223"/>
        <v>2436819.62710125</v>
      </c>
      <c r="AK77" s="1005">
        <f t="shared" si="224"/>
        <v>121840.98135506251</v>
      </c>
      <c r="AL77" s="1005">
        <f t="shared" si="157"/>
        <v>2558660.6084563127</v>
      </c>
      <c r="AM77" s="934">
        <f t="shared" si="225"/>
        <v>25586.606084563129</v>
      </c>
      <c r="AN77" s="934">
        <f t="shared" si="226"/>
        <v>27537.409960060559</v>
      </c>
      <c r="AO77" s="934"/>
      <c r="AP77" s="934">
        <f t="shared" si="134"/>
        <v>113238.23057571768</v>
      </c>
      <c r="AQ77" s="1005">
        <f t="shared" si="201"/>
        <v>2725022.8550766539</v>
      </c>
      <c r="AR77" s="1005">
        <f t="shared" si="227"/>
        <v>122626.02847844941</v>
      </c>
      <c r="AS77" s="1147">
        <f t="shared" si="228"/>
        <v>2847648.8835551031</v>
      </c>
      <c r="AT77" s="1148">
        <f t="shared" si="135"/>
        <v>2000000</v>
      </c>
      <c r="AU77" s="1148">
        <f t="shared" si="202"/>
        <v>38529.494707050144</v>
      </c>
      <c r="AV77" s="1148">
        <f t="shared" si="136"/>
        <v>847648.88355510309</v>
      </c>
      <c r="AW77" s="1148">
        <f t="shared" si="203"/>
        <v>101717.86602661236</v>
      </c>
      <c r="AX77" s="1148">
        <f t="shared" si="204"/>
        <v>949366.74958171544</v>
      </c>
      <c r="AY77" s="1147">
        <f t="shared" si="229"/>
        <v>2949366.7495817156</v>
      </c>
      <c r="AZ77" s="934">
        <f t="shared" si="230"/>
        <v>36867.084369771444</v>
      </c>
      <c r="BA77" s="716" t="s">
        <v>269</v>
      </c>
      <c r="BB77" s="716">
        <f t="shared" si="205"/>
        <v>2986233.8339514872</v>
      </c>
      <c r="BC77" s="716" t="s">
        <v>269</v>
      </c>
      <c r="BD77" s="716">
        <f t="shared" si="231"/>
        <v>111983.76877318077</v>
      </c>
      <c r="BE77" s="716">
        <f t="shared" si="232"/>
        <v>33600</v>
      </c>
      <c r="BF77" s="716">
        <f t="shared" si="233"/>
        <v>3131817.6027246681</v>
      </c>
      <c r="BG77" s="716"/>
      <c r="BH77" s="716">
        <f t="shared" si="234"/>
        <v>3131817.6027246681</v>
      </c>
      <c r="BI77" s="716"/>
      <c r="BJ77" s="716">
        <f t="shared" si="235"/>
        <v>3131817.6027246681</v>
      </c>
      <c r="BK77" s="716"/>
      <c r="BL77" s="716">
        <f t="shared" si="236"/>
        <v>3131817.6027246681</v>
      </c>
      <c r="BM77" s="716"/>
      <c r="BN77" s="716">
        <f t="shared" si="206"/>
        <v>3131817.6027246681</v>
      </c>
      <c r="BO77" s="716"/>
      <c r="BP77" s="716">
        <f t="shared" si="237"/>
        <v>3131817.6027246681</v>
      </c>
      <c r="BQ77" s="716"/>
      <c r="BR77" s="716">
        <f t="shared" si="238"/>
        <v>3131817.6027246681</v>
      </c>
      <c r="BS77" s="716"/>
      <c r="BT77" s="716">
        <f t="shared" si="239"/>
        <v>3131817.6027246681</v>
      </c>
      <c r="BU77" s="716"/>
      <c r="BV77" s="716">
        <f t="shared" si="207"/>
        <v>3131817.6027246681</v>
      </c>
      <c r="BW77" s="716"/>
      <c r="BX77" s="716">
        <f t="shared" si="167"/>
        <v>31400</v>
      </c>
      <c r="BY77" s="716">
        <f t="shared" si="240"/>
        <v>3163217.6027246681</v>
      </c>
      <c r="BZ77" s="716"/>
      <c r="CA77" s="716">
        <f t="shared" si="241"/>
        <v>3163217.6027246681</v>
      </c>
      <c r="CB77" s="1135">
        <f t="shared" si="242"/>
        <v>3163217.6027246681</v>
      </c>
      <c r="CC77" s="1164">
        <f t="shared" si="286"/>
        <v>3163217.6027246681</v>
      </c>
      <c r="CD77" s="1164"/>
      <c r="CE77" s="1164">
        <f t="shared" si="243"/>
        <v>0</v>
      </c>
      <c r="CF77" s="1164">
        <f t="shared" si="291"/>
        <v>0</v>
      </c>
      <c r="CG77" s="1164">
        <f t="shared" si="292"/>
        <v>0</v>
      </c>
      <c r="CH77" s="1154">
        <f t="shared" si="158"/>
        <v>3163217.6027246681</v>
      </c>
      <c r="CI77" s="935">
        <f t="shared" si="137"/>
        <v>3163217.6027246681</v>
      </c>
      <c r="CJ77" s="935">
        <f t="shared" si="244"/>
        <v>0</v>
      </c>
      <c r="CK77" s="935">
        <f t="shared" si="208"/>
        <v>324229.80427927844</v>
      </c>
      <c r="CL77" s="935">
        <f t="shared" si="209"/>
        <v>110712.6160953634</v>
      </c>
      <c r="CM77" s="1006">
        <f t="shared" si="138"/>
        <v>3598160.0230993098</v>
      </c>
      <c r="CN77" s="1007">
        <f t="shared" si="139"/>
        <v>0.125</v>
      </c>
      <c r="CO77" s="935">
        <f t="shared" si="210"/>
        <v>449770.00288741372</v>
      </c>
      <c r="CP77" s="935">
        <f t="shared" si="170"/>
        <v>30000</v>
      </c>
      <c r="CQ77" s="935">
        <f t="shared" si="211"/>
        <v>419770.00288741372</v>
      </c>
      <c r="CR77" s="745">
        <f t="shared" si="141"/>
        <v>1</v>
      </c>
      <c r="CS77" s="935">
        <f t="shared" si="212"/>
        <v>419770.00288741372</v>
      </c>
      <c r="CT77" s="1007">
        <f t="shared" si="245"/>
        <v>0.875</v>
      </c>
      <c r="CU77" s="935">
        <f t="shared" si="246"/>
        <v>3148390.0202118959</v>
      </c>
      <c r="CV77" s="1008">
        <f t="shared" si="247"/>
        <v>24409.4343158337</v>
      </c>
      <c r="CW77" s="1008">
        <f t="shared" si="248"/>
        <v>28298.619578360966</v>
      </c>
      <c r="CX77" s="1008">
        <f t="shared" si="249"/>
        <v>36555.477723389631</v>
      </c>
      <c r="CY77" s="1008">
        <f t="shared" si="250"/>
        <v>62341.895872670837</v>
      </c>
      <c r="CZ77" s="1119">
        <f t="shared" si="251"/>
        <v>255753.72854446855</v>
      </c>
      <c r="DA77" s="1119">
        <f t="shared" si="252"/>
        <v>101200.50453710655</v>
      </c>
      <c r="DB77" s="1119">
        <f t="shared" si="253"/>
        <v>73095.691104712503</v>
      </c>
      <c r="DC77" s="1119">
        <f t="shared" si="254"/>
        <v>55629.186082501801</v>
      </c>
      <c r="DD77" s="1028">
        <f t="shared" ref="DD77:DD140" si="294">AV77/AT77</f>
        <v>0.42382444177755152</v>
      </c>
      <c r="DE77" s="1028">
        <f t="shared" si="142"/>
        <v>0</v>
      </c>
      <c r="DF77" s="1009" t="s">
        <v>270</v>
      </c>
      <c r="DG77" s="1009" t="s">
        <v>271</v>
      </c>
      <c r="DH77" s="966">
        <f t="shared" si="287"/>
        <v>45658</v>
      </c>
      <c r="DI77" s="912">
        <f t="shared" si="255"/>
        <v>14</v>
      </c>
      <c r="DJ77" s="939"/>
      <c r="DK77" s="913">
        <f t="shared" si="213"/>
        <v>45723</v>
      </c>
      <c r="DL77" s="912">
        <f t="shared" si="256"/>
        <v>16</v>
      </c>
      <c r="DM77" s="750" t="s">
        <v>272</v>
      </c>
      <c r="DN77" s="750" t="s">
        <v>273</v>
      </c>
      <c r="DO77" s="751">
        <f t="shared" si="214"/>
        <v>43153.03407189616</v>
      </c>
      <c r="DP77" s="751">
        <f t="shared" si="215"/>
        <v>949366.74958171544</v>
      </c>
      <c r="DQ77" s="752">
        <f t="shared" ref="DQ77:DQ140" si="295">AX77/AT77</f>
        <v>0.4746833747908577</v>
      </c>
      <c r="DR77" s="503"/>
      <c r="DS77" s="751">
        <f t="shared" ref="DS77:DS140" si="296">CI77</f>
        <v>3163217.6027246681</v>
      </c>
      <c r="DT77" s="751">
        <f>'[4]INTERNAL PRICELIST'!N71</f>
        <v>2061900</v>
      </c>
      <c r="DU77" s="751">
        <f t="shared" si="216"/>
        <v>1101317.6027246681</v>
      </c>
      <c r="DV77" s="503"/>
      <c r="DW77" s="951">
        <f t="shared" ref="DW77:DW140" si="297">DS77/J77</f>
        <v>143782.61830566672</v>
      </c>
      <c r="DX77" s="503"/>
      <c r="DZ77" s="1010" t="s">
        <v>459</v>
      </c>
      <c r="EA77" s="1052" t="b">
        <f t="shared" si="217"/>
        <v>1</v>
      </c>
      <c r="EB77" s="1072" t="s">
        <v>460</v>
      </c>
      <c r="EC77" s="1072" t="s">
        <v>453</v>
      </c>
      <c r="ED77" s="503"/>
      <c r="EE77" s="1029"/>
      <c r="EF77" s="503"/>
      <c r="EG77" s="503"/>
      <c r="EH77" s="930"/>
      <c r="EI77" s="930"/>
      <c r="EJ77" s="503"/>
      <c r="EK77" s="503"/>
      <c r="EL77" s="503"/>
      <c r="EM77" s="503"/>
      <c r="EN77" s="503"/>
      <c r="EO77" s="503"/>
      <c r="EP77" s="503"/>
      <c r="EQ77" s="503"/>
      <c r="ER77" s="1017" t="s">
        <v>264</v>
      </c>
      <c r="ES77" s="1391" t="s">
        <v>264</v>
      </c>
      <c r="ET77" s="1018" t="b">
        <f t="shared" si="257"/>
        <v>1</v>
      </c>
      <c r="EU77" s="940"/>
      <c r="EV77" s="941"/>
      <c r="EW77" s="940"/>
      <c r="EX77" s="1019">
        <v>2960476.6163586318</v>
      </c>
      <c r="EY77" s="1019">
        <f t="shared" si="143"/>
        <v>444071.49245379475</v>
      </c>
      <c r="EZ77" s="1019">
        <f t="shared" si="144"/>
        <v>2516405.1239048368</v>
      </c>
      <c r="FA77" s="1019">
        <f t="shared" si="145"/>
        <v>296047.66163586319</v>
      </c>
      <c r="FB77" s="1019">
        <f t="shared" si="146"/>
        <v>2664428.9547227686</v>
      </c>
      <c r="FC77" s="1019">
        <f t="shared" si="147"/>
        <v>148023.8308179318</v>
      </c>
      <c r="FD77" s="1020"/>
      <c r="FE77" s="1021"/>
      <c r="FF77" s="1022">
        <f t="shared" si="148"/>
        <v>2516405.1239048368</v>
      </c>
      <c r="FG77" s="1022">
        <f t="shared" si="149"/>
        <v>213894.43553191115</v>
      </c>
      <c r="FH77" s="1022">
        <f t="shared" si="161"/>
        <v>106947.21776595557</v>
      </c>
      <c r="FI77" s="1023">
        <f t="shared" si="150"/>
        <v>2664428.9547227686</v>
      </c>
      <c r="FJ77" s="1023">
        <f t="shared" si="151"/>
        <v>226476.46115143536</v>
      </c>
      <c r="FK77" s="1023">
        <f t="shared" si="152"/>
        <v>113238.23057571768</v>
      </c>
      <c r="FL77" s="1019">
        <f t="shared" si="162"/>
        <v>12582.025619524211</v>
      </c>
      <c r="FM77" s="1019">
        <f t="shared" si="163"/>
        <v>6291.0128097621055</v>
      </c>
      <c r="FN77" s="1019" t="str">
        <f t="shared" si="153"/>
        <v>VS</v>
      </c>
      <c r="FO77" s="1019">
        <f t="shared" si="159"/>
        <v>27537.409960060559</v>
      </c>
      <c r="FP77" s="1019">
        <f t="shared" si="164"/>
        <v>-21246.397150298453</v>
      </c>
      <c r="FQ77" s="1021"/>
      <c r="FR77" s="1021"/>
      <c r="FS77" s="1020"/>
      <c r="FT77" s="503"/>
      <c r="FU77" s="956"/>
      <c r="FV77" s="503"/>
      <c r="FW77" s="503"/>
      <c r="FX77" s="1040"/>
      <c r="FY77" s="503"/>
      <c r="FZ77" s="503"/>
      <c r="GA77" s="503"/>
      <c r="GB77" s="1059"/>
      <c r="GE77" s="503"/>
      <c r="GF77" s="1059"/>
      <c r="GG77" s="956"/>
      <c r="GH77" s="945"/>
      <c r="GI77" s="1024">
        <f t="shared" si="258"/>
        <v>3598160.0230993098</v>
      </c>
      <c r="GJ77" s="1025">
        <f t="shared" si="259"/>
        <v>0.125</v>
      </c>
      <c r="GK77" s="1024">
        <f t="shared" si="260"/>
        <v>449770.00288741372</v>
      </c>
      <c r="GL77" s="1024">
        <f t="shared" si="261"/>
        <v>30000</v>
      </c>
      <c r="GM77" s="1024">
        <f t="shared" si="262"/>
        <v>419770.00288741372</v>
      </c>
      <c r="GN77" s="1024">
        <f t="shared" si="263"/>
        <v>1</v>
      </c>
      <c r="GO77" s="1024">
        <f t="shared" si="264"/>
        <v>419770.00288741372</v>
      </c>
      <c r="GP77" s="1025">
        <f t="shared" si="265"/>
        <v>0.875</v>
      </c>
      <c r="GQ77" s="1024">
        <f t="shared" si="266"/>
        <v>3148390.0202118959</v>
      </c>
      <c r="GR77" s="1024">
        <f t="shared" si="267"/>
        <v>24409.4343158337</v>
      </c>
      <c r="GS77" s="1024">
        <f t="shared" si="268"/>
        <v>28298.619578360966</v>
      </c>
      <c r="GT77" s="1024">
        <f t="shared" si="269"/>
        <v>36555.477723389631</v>
      </c>
      <c r="GU77" s="1024">
        <f t="shared" si="270"/>
        <v>62341.895872670837</v>
      </c>
      <c r="GV77" s="945"/>
      <c r="GW77" s="1024">
        <f t="shared" si="271"/>
        <v>3598160.0230993098</v>
      </c>
      <c r="GX77" s="1025">
        <f t="shared" si="272"/>
        <v>0.125</v>
      </c>
      <c r="GY77" s="1024">
        <f t="shared" si="273"/>
        <v>449770.00288741372</v>
      </c>
      <c r="GZ77" s="1024">
        <f t="shared" si="274"/>
        <v>30000</v>
      </c>
      <c r="HA77" s="1024">
        <f t="shared" si="275"/>
        <v>419770.00288741372</v>
      </c>
      <c r="HB77" s="1026">
        <f t="shared" si="276"/>
        <v>25</v>
      </c>
      <c r="HC77" s="1009">
        <f t="shared" si="277"/>
        <v>16790.80011549655</v>
      </c>
      <c r="HD77" s="1027">
        <f t="shared" si="278"/>
        <v>0.875</v>
      </c>
      <c r="HE77" s="1009">
        <f t="shared" si="279"/>
        <v>3148390.0202118959</v>
      </c>
      <c r="HF77" s="1008">
        <f t="shared" si="280"/>
        <v>24409.4343158337</v>
      </c>
      <c r="HG77" s="1008">
        <f t="shared" si="281"/>
        <v>28298.619578360966</v>
      </c>
      <c r="HH77" s="1008">
        <f t="shared" si="282"/>
        <v>36555.477723389631</v>
      </c>
      <c r="HI77" s="1008">
        <f t="shared" si="283"/>
        <v>62341.895872670837</v>
      </c>
      <c r="HJ77" s="945"/>
      <c r="HK77" s="1009">
        <f t="shared" si="284"/>
        <v>-402979.20277191716</v>
      </c>
      <c r="HL77" s="503"/>
      <c r="HM77" s="503"/>
      <c r="HN77" s="503"/>
      <c r="HO77" s="503"/>
      <c r="HP77" s="503"/>
      <c r="HQ77" s="503"/>
      <c r="HR77" s="956">
        <f t="shared" si="285"/>
        <v>0</v>
      </c>
      <c r="HS77" s="503"/>
      <c r="HT77" s="503"/>
      <c r="HU77" s="956"/>
      <c r="HV77" s="503"/>
      <c r="HW77" s="956"/>
      <c r="HX77" s="956"/>
      <c r="HY77" s="503"/>
      <c r="HZ77" s="503"/>
      <c r="IA77" s="503"/>
      <c r="ID77" s="1394"/>
    </row>
    <row r="78" spans="1:238" ht="14.25" hidden="1" customHeight="1">
      <c r="A78" s="1018">
        <f t="shared" si="155"/>
        <v>72</v>
      </c>
      <c r="B78" s="716"/>
      <c r="C78" s="741">
        <f t="shared" si="289"/>
        <v>6</v>
      </c>
      <c r="D78" s="716" t="s">
        <v>263</v>
      </c>
      <c r="E78" s="743" t="str">
        <f t="shared" si="218"/>
        <v>6th Floor</v>
      </c>
      <c r="F78" s="1048"/>
      <c r="G78" s="745" t="s">
        <v>461</v>
      </c>
      <c r="H78" s="745" t="s">
        <v>296</v>
      </c>
      <c r="I78" s="745" t="s">
        <v>267</v>
      </c>
      <c r="J78" s="1005">
        <v>22</v>
      </c>
      <c r="K78" s="1049"/>
      <c r="L78" s="1006" t="s">
        <v>73</v>
      </c>
      <c r="M78" s="745" t="s">
        <v>79</v>
      </c>
      <c r="N78" s="1050">
        <v>95909.091</v>
      </c>
      <c r="O78" s="934">
        <f t="shared" ref="O78:O141" si="298">J78*N78</f>
        <v>2110000.0019999999</v>
      </c>
      <c r="P78" s="934">
        <f t="shared" si="156"/>
        <v>22400</v>
      </c>
      <c r="Q78" s="934">
        <f t="shared" si="293"/>
        <v>50000</v>
      </c>
      <c r="R78" s="934"/>
      <c r="S78" s="934"/>
      <c r="T78" s="934"/>
      <c r="U78" s="934"/>
      <c r="V78" s="934"/>
      <c r="W78" s="934"/>
      <c r="X78" s="934"/>
      <c r="Y78" s="934">
        <f t="shared" si="290"/>
        <v>40000</v>
      </c>
      <c r="Z78" s="934">
        <f t="shared" ref="Z78:Z141" si="299">$Z$5</f>
        <v>75000</v>
      </c>
      <c r="AA78" s="934"/>
      <c r="AB78" s="934"/>
      <c r="AC78" s="934"/>
      <c r="AD78" s="934"/>
      <c r="AE78" s="934">
        <f t="shared" si="199"/>
        <v>187400</v>
      </c>
      <c r="AF78" s="1005">
        <f t="shared" si="200"/>
        <v>2297400.0019999999</v>
      </c>
      <c r="AG78" s="1005">
        <f t="shared" si="220"/>
        <v>57435.000050000002</v>
      </c>
      <c r="AH78" s="1005">
        <f t="shared" si="221"/>
        <v>2354835.0020499998</v>
      </c>
      <c r="AI78" s="1005">
        <f t="shared" si="222"/>
        <v>58870.875051249997</v>
      </c>
      <c r="AJ78" s="1005">
        <f t="shared" si="223"/>
        <v>2413705.87710125</v>
      </c>
      <c r="AK78" s="1005">
        <f t="shared" si="224"/>
        <v>120685.29385506251</v>
      </c>
      <c r="AL78" s="1005">
        <f t="shared" ref="AL78:AL141" si="300">AJ78+AK78</f>
        <v>2534391.1709563127</v>
      </c>
      <c r="AM78" s="934">
        <f t="shared" si="225"/>
        <v>25343.911709563126</v>
      </c>
      <c r="AN78" s="934">
        <f t="shared" si="226"/>
        <v>27537.409960060559</v>
      </c>
      <c r="AO78" s="934"/>
      <c r="AP78" s="934">
        <f t="shared" ref="AP78:AP141" si="301">FK78</f>
        <v>112065.9657786489</v>
      </c>
      <c r="AQ78" s="1005">
        <f t="shared" si="201"/>
        <v>2699338.4584045853</v>
      </c>
      <c r="AR78" s="1005">
        <f t="shared" si="227"/>
        <v>121470.23062820634</v>
      </c>
      <c r="AS78" s="1147">
        <f t="shared" si="228"/>
        <v>2820808.6890327916</v>
      </c>
      <c r="AT78" s="1148">
        <f t="shared" ref="AT78:AT108" si="302">$AT$5</f>
        <v>2000000</v>
      </c>
      <c r="AU78" s="1148">
        <f t="shared" si="202"/>
        <v>37309.485865126895</v>
      </c>
      <c r="AV78" s="1148">
        <f t="shared" ref="AV78:AV141" si="303">AS78-AT78</f>
        <v>820808.68903279165</v>
      </c>
      <c r="AW78" s="1148">
        <f t="shared" si="203"/>
        <v>98497.042683934997</v>
      </c>
      <c r="AX78" s="1148">
        <f t="shared" si="204"/>
        <v>919305.73171672667</v>
      </c>
      <c r="AY78" s="1147">
        <f t="shared" si="229"/>
        <v>2919305.7317167264</v>
      </c>
      <c r="AZ78" s="934">
        <f t="shared" si="230"/>
        <v>36491.321646459081</v>
      </c>
      <c r="BA78" s="716" t="s">
        <v>269</v>
      </c>
      <c r="BB78" s="716">
        <f t="shared" si="205"/>
        <v>2955797.0533631854</v>
      </c>
      <c r="BC78" s="716" t="s">
        <v>269</v>
      </c>
      <c r="BD78" s="716">
        <f t="shared" si="231"/>
        <v>110842.38950111945</v>
      </c>
      <c r="BE78" s="716">
        <f t="shared" si="232"/>
        <v>33600</v>
      </c>
      <c r="BF78" s="716">
        <f t="shared" si="233"/>
        <v>3100239.4428643049</v>
      </c>
      <c r="BG78" s="716"/>
      <c r="BH78" s="716">
        <f t="shared" si="234"/>
        <v>3100239.4428643049</v>
      </c>
      <c r="BI78" s="716"/>
      <c r="BJ78" s="716">
        <f t="shared" si="235"/>
        <v>3100239.4428643049</v>
      </c>
      <c r="BK78" s="716"/>
      <c r="BL78" s="716">
        <f t="shared" si="236"/>
        <v>3100239.4428643049</v>
      </c>
      <c r="BM78" s="716"/>
      <c r="BN78" s="716">
        <f t="shared" si="206"/>
        <v>3100239.4428643049</v>
      </c>
      <c r="BO78" s="716"/>
      <c r="BP78" s="716">
        <f t="shared" si="237"/>
        <v>3100239.4428643049</v>
      </c>
      <c r="BQ78" s="716"/>
      <c r="BR78" s="716">
        <f t="shared" si="238"/>
        <v>3100239.4428643049</v>
      </c>
      <c r="BS78" s="716"/>
      <c r="BT78" s="716">
        <f t="shared" si="239"/>
        <v>3100239.4428643049</v>
      </c>
      <c r="BU78" s="716"/>
      <c r="BV78" s="716">
        <f t="shared" si="207"/>
        <v>3100239.4428643049</v>
      </c>
      <c r="BW78" s="716"/>
      <c r="BX78" s="716">
        <f t="shared" si="167"/>
        <v>31400</v>
      </c>
      <c r="BY78" s="716">
        <f t="shared" si="240"/>
        <v>3131639.4428643049</v>
      </c>
      <c r="BZ78" s="716"/>
      <c r="CA78" s="716">
        <f t="shared" si="241"/>
        <v>3131639.4428643049</v>
      </c>
      <c r="CB78" s="1135">
        <f t="shared" si="242"/>
        <v>3131639.4428643049</v>
      </c>
      <c r="CC78" s="1164">
        <f t="shared" si="286"/>
        <v>3131639.4428643049</v>
      </c>
      <c r="CD78" s="1164"/>
      <c r="CE78" s="1164">
        <f t="shared" si="243"/>
        <v>0</v>
      </c>
      <c r="CF78" s="1164">
        <f t="shared" si="291"/>
        <v>0</v>
      </c>
      <c r="CG78" s="1164">
        <f t="shared" si="292"/>
        <v>0</v>
      </c>
      <c r="CH78" s="1154">
        <f t="shared" ref="CH78:CH90" si="304">CC78+CE78+CF78</f>
        <v>3131639.4428643049</v>
      </c>
      <c r="CI78" s="935">
        <f t="shared" ref="CI78:CI90" si="305">CH78</f>
        <v>3131639.4428643049</v>
      </c>
      <c r="CJ78" s="935">
        <f t="shared" si="244"/>
        <v>0</v>
      </c>
      <c r="CK78" s="935">
        <f t="shared" si="208"/>
        <v>320993.04289359122</v>
      </c>
      <c r="CL78" s="935">
        <f t="shared" si="209"/>
        <v>109607.38050025069</v>
      </c>
      <c r="CM78" s="1006">
        <f t="shared" ref="CM78:CM141" si="306">SUM(CI78:CL78)</f>
        <v>3562239.8662581467</v>
      </c>
      <c r="CN78" s="1007">
        <f t="shared" ref="CN78:CN141" si="307">$CN$5</f>
        <v>0.125</v>
      </c>
      <c r="CO78" s="935">
        <f t="shared" si="210"/>
        <v>445279.98328226834</v>
      </c>
      <c r="CP78" s="935">
        <f t="shared" si="170"/>
        <v>30000</v>
      </c>
      <c r="CQ78" s="935">
        <f t="shared" si="211"/>
        <v>415279.98328226834</v>
      </c>
      <c r="CR78" s="745">
        <f t="shared" ref="CR78:CR141" si="308">VLOOKUP(E78,$IC$6:$IE$19,3,FALSE)</f>
        <v>1</v>
      </c>
      <c r="CS78" s="935">
        <f t="shared" si="212"/>
        <v>415279.98328226834</v>
      </c>
      <c r="CT78" s="1007">
        <f t="shared" si="245"/>
        <v>0.875</v>
      </c>
      <c r="CU78" s="935">
        <f t="shared" si="246"/>
        <v>3116959.8829758782</v>
      </c>
      <c r="CV78" s="1008">
        <f t="shared" si="247"/>
        <v>24165.756796379304</v>
      </c>
      <c r="CW78" s="1008">
        <f t="shared" si="248"/>
        <v>28016.116619315919</v>
      </c>
      <c r="CX78" s="1008">
        <f t="shared" si="249"/>
        <v>36190.547179778965</v>
      </c>
      <c r="CY78" s="1008">
        <f t="shared" si="250"/>
        <v>61719.541485110021</v>
      </c>
      <c r="CZ78" s="1119">
        <f t="shared" si="251"/>
        <v>253200.55859564664</v>
      </c>
      <c r="DA78" s="1119">
        <f t="shared" si="252"/>
        <v>100190.22762556261</v>
      </c>
      <c r="DB78" s="1119">
        <f t="shared" si="253"/>
        <v>72365.982400252818</v>
      </c>
      <c r="DC78" s="1119">
        <f t="shared" si="254"/>
        <v>55073.844164354283</v>
      </c>
      <c r="DD78" s="1028">
        <f t="shared" si="294"/>
        <v>0.41040434451639585</v>
      </c>
      <c r="DE78" s="1028">
        <f t="shared" ref="DE78:DE90" si="309">CE78/CC78</f>
        <v>0</v>
      </c>
      <c r="DF78" s="1009" t="s">
        <v>270</v>
      </c>
      <c r="DG78" s="1009" t="s">
        <v>271</v>
      </c>
      <c r="DH78" s="966">
        <f t="shared" si="287"/>
        <v>45658</v>
      </c>
      <c r="DI78" s="912">
        <f t="shared" si="255"/>
        <v>14</v>
      </c>
      <c r="DK78" s="913">
        <f t="shared" si="213"/>
        <v>45723</v>
      </c>
      <c r="DL78" s="912">
        <f t="shared" si="256"/>
        <v>16</v>
      </c>
      <c r="DM78" s="750" t="s">
        <v>272</v>
      </c>
      <c r="DN78" s="750" t="s">
        <v>273</v>
      </c>
      <c r="DO78" s="751">
        <f t="shared" si="214"/>
        <v>41786.624168942122</v>
      </c>
      <c r="DP78" s="751">
        <f t="shared" si="215"/>
        <v>919305.73171672667</v>
      </c>
      <c r="DQ78" s="752">
        <f t="shared" si="295"/>
        <v>0.45965286585836335</v>
      </c>
      <c r="DS78" s="751">
        <f t="shared" si="296"/>
        <v>3131639.4428643049</v>
      </c>
      <c r="DT78" s="751">
        <f>'[4]INTERNAL PRICELIST'!N72</f>
        <v>2061900</v>
      </c>
      <c r="DU78" s="751">
        <f t="shared" si="216"/>
        <v>1069739.4428643049</v>
      </c>
      <c r="DW78" s="951">
        <f t="shared" si="297"/>
        <v>142347.24740292295</v>
      </c>
      <c r="DZ78" s="1010" t="s">
        <v>461</v>
      </c>
      <c r="EA78" s="1011" t="b">
        <f t="shared" si="217"/>
        <v>1</v>
      </c>
      <c r="EB78" s="1011"/>
      <c r="EC78" s="1011"/>
      <c r="EE78" s="1029"/>
      <c r="ER78" s="1017" t="s">
        <v>264</v>
      </c>
      <c r="ES78" s="1391" t="s">
        <v>264</v>
      </c>
      <c r="ET78" s="1018" t="b">
        <f t="shared" si="257"/>
        <v>1</v>
      </c>
      <c r="EX78" s="1019">
        <v>2929829.1706836312</v>
      </c>
      <c r="EY78" s="1019">
        <f t="shared" ref="EY78:EY141" si="310">EX78*$EY$5</f>
        <v>439474.37560254469</v>
      </c>
      <c r="EZ78" s="1019">
        <f t="shared" ref="EZ78:EZ141" si="311">EX78*$EZ$5</f>
        <v>2490354.7950810865</v>
      </c>
      <c r="FA78" s="1019">
        <f t="shared" ref="FA78:FA141" si="312">EX78*$FA$5</f>
        <v>292982.91706836311</v>
      </c>
      <c r="FB78" s="1019">
        <f t="shared" ref="FB78:FB141" si="313">EX78*$FB$5</f>
        <v>2636846.253615268</v>
      </c>
      <c r="FC78" s="1019">
        <f t="shared" ref="FC78:FC141" si="314">FB78-EZ78</f>
        <v>146491.45853418158</v>
      </c>
      <c r="FD78" s="1020"/>
      <c r="FE78" s="1021"/>
      <c r="FF78" s="1022">
        <f t="shared" ref="FF78:FF141" si="315">EZ78</f>
        <v>2490354.7950810865</v>
      </c>
      <c r="FG78" s="1022">
        <f t="shared" ref="FG78:FG141" si="316">FF78*$FG$5</f>
        <v>211680.15758189236</v>
      </c>
      <c r="FH78" s="1022">
        <f t="shared" ref="FH78:FH141" si="317">FG78*(6/12)</f>
        <v>105840.07879094618</v>
      </c>
      <c r="FI78" s="1023">
        <f t="shared" ref="FI78:FI141" si="318">FB78</f>
        <v>2636846.253615268</v>
      </c>
      <c r="FJ78" s="1023">
        <f t="shared" ref="FJ78:FJ141" si="319">FI78*$FJ$5</f>
        <v>224131.93155729779</v>
      </c>
      <c r="FK78" s="1023">
        <f t="shared" ref="FK78:FK141" si="320">FJ78*(6/12)</f>
        <v>112065.9657786489</v>
      </c>
      <c r="FL78" s="1019">
        <f t="shared" ref="FL78:FL141" si="321">FJ78-FG78</f>
        <v>12451.773975405435</v>
      </c>
      <c r="FM78" s="1019">
        <f t="shared" ref="FM78:FM141" si="322">FK78-FH78</f>
        <v>6225.8869877027173</v>
      </c>
      <c r="FN78" s="1019" t="str">
        <f t="shared" ref="FN78:FN141" si="323">$FN$6</f>
        <v>VS</v>
      </c>
      <c r="FO78" s="1019">
        <f t="shared" ref="FO78:FO141" si="324">$FO$5</f>
        <v>27537.409960060559</v>
      </c>
      <c r="FP78" s="1019">
        <f t="shared" ref="FP78:FP141" si="325">FM78-FO78</f>
        <v>-21311.522972357841</v>
      </c>
      <c r="FQ78" s="1021"/>
      <c r="FR78" s="1021"/>
      <c r="FS78" s="1020"/>
      <c r="FT78" s="503"/>
      <c r="FU78" s="956"/>
      <c r="FV78" s="503"/>
      <c r="FX78" s="1040"/>
      <c r="GB78" s="1059"/>
      <c r="GF78" s="1059"/>
      <c r="GG78" s="956"/>
      <c r="GI78" s="1024">
        <f t="shared" si="258"/>
        <v>3562239.8662581467</v>
      </c>
      <c r="GJ78" s="1025">
        <f t="shared" si="259"/>
        <v>0.125</v>
      </c>
      <c r="GK78" s="1024">
        <f t="shared" si="260"/>
        <v>445279.98328226834</v>
      </c>
      <c r="GL78" s="1024">
        <f t="shared" si="261"/>
        <v>30000</v>
      </c>
      <c r="GM78" s="1024">
        <f t="shared" si="262"/>
        <v>415279.98328226834</v>
      </c>
      <c r="GN78" s="1024">
        <f t="shared" si="263"/>
        <v>1</v>
      </c>
      <c r="GO78" s="1024">
        <f t="shared" si="264"/>
        <v>415279.98328226834</v>
      </c>
      <c r="GP78" s="1025">
        <f t="shared" si="265"/>
        <v>0.875</v>
      </c>
      <c r="GQ78" s="1024">
        <f t="shared" si="266"/>
        <v>3116959.8829758782</v>
      </c>
      <c r="GR78" s="1024">
        <f t="shared" si="267"/>
        <v>24165.756796379304</v>
      </c>
      <c r="GS78" s="1024">
        <f t="shared" si="268"/>
        <v>28016.116619315919</v>
      </c>
      <c r="GT78" s="1024">
        <f t="shared" si="269"/>
        <v>36190.547179778965</v>
      </c>
      <c r="GU78" s="1024">
        <f t="shared" si="270"/>
        <v>61719.541485110021</v>
      </c>
      <c r="GW78" s="1024">
        <f t="shared" si="271"/>
        <v>3562239.8662581467</v>
      </c>
      <c r="GX78" s="1025">
        <f t="shared" si="272"/>
        <v>0.125</v>
      </c>
      <c r="GY78" s="1024">
        <f t="shared" si="273"/>
        <v>445279.98328226834</v>
      </c>
      <c r="GZ78" s="1024">
        <f t="shared" si="274"/>
        <v>30000</v>
      </c>
      <c r="HA78" s="1024">
        <f t="shared" si="275"/>
        <v>415279.98328226834</v>
      </c>
      <c r="HB78" s="1026">
        <f t="shared" si="276"/>
        <v>25</v>
      </c>
      <c r="HC78" s="1009">
        <f t="shared" si="277"/>
        <v>16611.199331290733</v>
      </c>
      <c r="HD78" s="1027">
        <f t="shared" si="278"/>
        <v>0.875</v>
      </c>
      <c r="HE78" s="1009">
        <f t="shared" si="279"/>
        <v>3116959.8829758782</v>
      </c>
      <c r="HF78" s="1008">
        <f t="shared" si="280"/>
        <v>24165.756796379304</v>
      </c>
      <c r="HG78" s="1008">
        <f t="shared" si="281"/>
        <v>28016.116619315919</v>
      </c>
      <c r="HH78" s="1008">
        <f t="shared" si="282"/>
        <v>36190.547179778965</v>
      </c>
      <c r="HI78" s="1008">
        <f t="shared" si="283"/>
        <v>61719.541485110021</v>
      </c>
      <c r="HK78" s="1009">
        <f t="shared" si="284"/>
        <v>-398668.78395097761</v>
      </c>
      <c r="HR78" s="956">
        <f t="shared" si="285"/>
        <v>0</v>
      </c>
      <c r="HU78" s="956"/>
      <c r="HW78" s="956"/>
      <c r="HX78" s="956"/>
    </row>
    <row r="79" spans="1:238" s="1051" customFormat="1" ht="14.25" hidden="1" customHeight="1">
      <c r="A79" s="1018">
        <f t="shared" ref="A79:A142" si="326">A78+1</f>
        <v>73</v>
      </c>
      <c r="B79" s="716" t="s">
        <v>264</v>
      </c>
      <c r="C79" s="741">
        <f t="shared" si="289"/>
        <v>7</v>
      </c>
      <c r="D79" s="716" t="s">
        <v>263</v>
      </c>
      <c r="E79" s="743" t="str">
        <f>D79</f>
        <v>6th Floor</v>
      </c>
      <c r="F79" s="1048"/>
      <c r="G79" s="745" t="s">
        <v>462</v>
      </c>
      <c r="H79" s="745" t="s">
        <v>310</v>
      </c>
      <c r="I79" s="745" t="s">
        <v>267</v>
      </c>
      <c r="J79" s="1005">
        <v>22</v>
      </c>
      <c r="K79" s="1049"/>
      <c r="L79" s="1006" t="s">
        <v>73</v>
      </c>
      <c r="M79" s="745" t="s">
        <v>240</v>
      </c>
      <c r="N79" s="1050">
        <v>95909.091</v>
      </c>
      <c r="O79" s="934">
        <f t="shared" si="298"/>
        <v>2110000.0019999999</v>
      </c>
      <c r="P79" s="934">
        <f t="shared" ref="P79:P142" si="327">$P$13</f>
        <v>22400</v>
      </c>
      <c r="Q79" s="934">
        <f t="shared" si="293"/>
        <v>50000</v>
      </c>
      <c r="R79" s="934"/>
      <c r="S79" s="934"/>
      <c r="T79" s="934"/>
      <c r="U79" s="934"/>
      <c r="V79" s="934"/>
      <c r="W79" s="749">
        <f>J79*$W$5</f>
        <v>22000</v>
      </c>
      <c r="X79" s="934"/>
      <c r="Y79" s="934">
        <f t="shared" si="290"/>
        <v>40000</v>
      </c>
      <c r="Z79" s="934">
        <f t="shared" si="299"/>
        <v>75000</v>
      </c>
      <c r="AA79" s="934"/>
      <c r="AB79" s="934"/>
      <c r="AC79" s="934"/>
      <c r="AD79" s="934"/>
      <c r="AE79" s="934">
        <f t="shared" si="199"/>
        <v>209400</v>
      </c>
      <c r="AF79" s="1005">
        <f t="shared" si="200"/>
        <v>2319400.0019999999</v>
      </c>
      <c r="AG79" s="1005">
        <f t="shared" si="220"/>
        <v>57985.000050000002</v>
      </c>
      <c r="AH79" s="1005">
        <f t="shared" si="221"/>
        <v>2377385.0020499998</v>
      </c>
      <c r="AI79" s="1005">
        <f t="shared" si="222"/>
        <v>59434.625051249997</v>
      </c>
      <c r="AJ79" s="1005">
        <f t="shared" si="223"/>
        <v>2436819.62710125</v>
      </c>
      <c r="AK79" s="1005">
        <f t="shared" si="224"/>
        <v>121840.98135506251</v>
      </c>
      <c r="AL79" s="1005">
        <f t="shared" si="300"/>
        <v>2558660.6084563127</v>
      </c>
      <c r="AM79" s="934">
        <f t="shared" si="225"/>
        <v>25586.606084563129</v>
      </c>
      <c r="AN79" s="934">
        <f t="shared" si="226"/>
        <v>27537.409960060559</v>
      </c>
      <c r="AO79" s="934"/>
      <c r="AP79" s="934">
        <f t="shared" si="301"/>
        <v>113238.23057571768</v>
      </c>
      <c r="AQ79" s="1005">
        <f t="shared" si="201"/>
        <v>2725022.8550766539</v>
      </c>
      <c r="AR79" s="1005">
        <f t="shared" si="227"/>
        <v>122626.02847844941</v>
      </c>
      <c r="AS79" s="1147">
        <f t="shared" si="228"/>
        <v>2847648.8835551031</v>
      </c>
      <c r="AT79" s="1148">
        <f t="shared" si="302"/>
        <v>2000000</v>
      </c>
      <c r="AU79" s="1148">
        <f t="shared" si="202"/>
        <v>38529.494707050144</v>
      </c>
      <c r="AV79" s="1148">
        <f t="shared" si="303"/>
        <v>847648.88355510309</v>
      </c>
      <c r="AW79" s="1148">
        <f t="shared" si="203"/>
        <v>101717.86602661236</v>
      </c>
      <c r="AX79" s="1148">
        <f t="shared" si="204"/>
        <v>949366.74958171544</v>
      </c>
      <c r="AY79" s="1147">
        <f t="shared" si="229"/>
        <v>2949366.7495817156</v>
      </c>
      <c r="AZ79" s="934">
        <f t="shared" si="230"/>
        <v>36867.084369771444</v>
      </c>
      <c r="BA79" s="716" t="s">
        <v>269</v>
      </c>
      <c r="BB79" s="716">
        <f t="shared" si="205"/>
        <v>2986233.8339514872</v>
      </c>
      <c r="BC79" s="716" t="s">
        <v>269</v>
      </c>
      <c r="BD79" s="716">
        <f t="shared" si="231"/>
        <v>111983.76877318077</v>
      </c>
      <c r="BE79" s="716">
        <f t="shared" si="232"/>
        <v>33600</v>
      </c>
      <c r="BF79" s="716">
        <f t="shared" si="233"/>
        <v>3131817.6027246681</v>
      </c>
      <c r="BG79" s="716"/>
      <c r="BH79" s="716">
        <f t="shared" si="234"/>
        <v>3131817.6027246681</v>
      </c>
      <c r="BI79" s="716"/>
      <c r="BJ79" s="716">
        <f t="shared" si="235"/>
        <v>3131817.6027246681</v>
      </c>
      <c r="BK79" s="716"/>
      <c r="BL79" s="716">
        <f t="shared" si="236"/>
        <v>3131817.6027246681</v>
      </c>
      <c r="BM79" s="716"/>
      <c r="BN79" s="716">
        <f t="shared" si="206"/>
        <v>3131817.6027246681</v>
      </c>
      <c r="BO79" s="716"/>
      <c r="BP79" s="716">
        <f t="shared" si="237"/>
        <v>3131817.6027246681</v>
      </c>
      <c r="BQ79" s="716"/>
      <c r="BR79" s="716">
        <f t="shared" si="238"/>
        <v>3131817.6027246681</v>
      </c>
      <c r="BS79" s="716"/>
      <c r="BT79" s="716">
        <f t="shared" si="239"/>
        <v>3131817.6027246681</v>
      </c>
      <c r="BU79" s="716"/>
      <c r="BV79" s="716">
        <f t="shared" si="207"/>
        <v>3131817.6027246681</v>
      </c>
      <c r="BW79" s="716"/>
      <c r="BX79" s="716">
        <f t="shared" si="167"/>
        <v>31400</v>
      </c>
      <c r="BY79" s="716">
        <f t="shared" si="240"/>
        <v>3163217.6027246681</v>
      </c>
      <c r="BZ79" s="716"/>
      <c r="CA79" s="716">
        <f t="shared" si="241"/>
        <v>3163217.6027246681</v>
      </c>
      <c r="CB79" s="1135">
        <f t="shared" si="242"/>
        <v>3163217.6027246681</v>
      </c>
      <c r="CC79" s="1164">
        <f t="shared" si="286"/>
        <v>3163217.6027246681</v>
      </c>
      <c r="CD79" s="1164"/>
      <c r="CE79" s="1164">
        <f t="shared" si="243"/>
        <v>0</v>
      </c>
      <c r="CF79" s="1164">
        <f t="shared" si="291"/>
        <v>0</v>
      </c>
      <c r="CG79" s="1164">
        <f t="shared" si="292"/>
        <v>0</v>
      </c>
      <c r="CH79" s="1154">
        <f t="shared" si="304"/>
        <v>3163217.6027246681</v>
      </c>
      <c r="CI79" s="935">
        <f t="shared" si="305"/>
        <v>3163217.6027246681</v>
      </c>
      <c r="CJ79" s="935">
        <f t="shared" si="244"/>
        <v>0</v>
      </c>
      <c r="CK79" s="935">
        <f t="shared" si="208"/>
        <v>324229.80427927844</v>
      </c>
      <c r="CL79" s="935">
        <f t="shared" si="209"/>
        <v>110712.6160953634</v>
      </c>
      <c r="CM79" s="1006">
        <f t="shared" si="306"/>
        <v>3598160.0230993098</v>
      </c>
      <c r="CN79" s="1007">
        <f t="shared" si="307"/>
        <v>0.125</v>
      </c>
      <c r="CO79" s="935">
        <f t="shared" si="210"/>
        <v>449770.00288741372</v>
      </c>
      <c r="CP79" s="935">
        <f t="shared" si="170"/>
        <v>30000</v>
      </c>
      <c r="CQ79" s="935">
        <f t="shared" si="211"/>
        <v>419770.00288741372</v>
      </c>
      <c r="CR79" s="745">
        <f t="shared" si="308"/>
        <v>1</v>
      </c>
      <c r="CS79" s="935">
        <f t="shared" si="212"/>
        <v>419770.00288741372</v>
      </c>
      <c r="CT79" s="1007">
        <f t="shared" si="245"/>
        <v>0.875</v>
      </c>
      <c r="CU79" s="935">
        <f t="shared" si="246"/>
        <v>3148390.0202118959</v>
      </c>
      <c r="CV79" s="1008">
        <f t="shared" si="247"/>
        <v>24409.4343158337</v>
      </c>
      <c r="CW79" s="1008">
        <f t="shared" si="248"/>
        <v>28298.619578360966</v>
      </c>
      <c r="CX79" s="1008">
        <f t="shared" si="249"/>
        <v>36555.477723389631</v>
      </c>
      <c r="CY79" s="1008">
        <f t="shared" si="250"/>
        <v>62341.895872670837</v>
      </c>
      <c r="CZ79" s="1119">
        <f t="shared" si="251"/>
        <v>255753.72854446855</v>
      </c>
      <c r="DA79" s="1119">
        <f t="shared" si="252"/>
        <v>101200.50453710655</v>
      </c>
      <c r="DB79" s="1119">
        <f t="shared" si="253"/>
        <v>73095.691104712503</v>
      </c>
      <c r="DC79" s="1119">
        <f t="shared" si="254"/>
        <v>55629.186082501801</v>
      </c>
      <c r="DD79" s="1028">
        <f t="shared" si="294"/>
        <v>0.42382444177755152</v>
      </c>
      <c r="DE79" s="1028">
        <f t="shared" si="309"/>
        <v>0</v>
      </c>
      <c r="DF79" s="1009" t="s">
        <v>270</v>
      </c>
      <c r="DG79" s="1009" t="s">
        <v>271</v>
      </c>
      <c r="DH79" s="966">
        <f t="shared" si="287"/>
        <v>45658</v>
      </c>
      <c r="DI79" s="912">
        <f t="shared" si="255"/>
        <v>14</v>
      </c>
      <c r="DJ79" s="939"/>
      <c r="DK79" s="913">
        <f t="shared" si="213"/>
        <v>45723</v>
      </c>
      <c r="DL79" s="912">
        <f t="shared" si="256"/>
        <v>16</v>
      </c>
      <c r="DM79" s="750" t="s">
        <v>272</v>
      </c>
      <c r="DN79" s="750" t="s">
        <v>273</v>
      </c>
      <c r="DO79" s="751">
        <f t="shared" si="214"/>
        <v>43153.03407189616</v>
      </c>
      <c r="DP79" s="751">
        <f t="shared" si="215"/>
        <v>949366.74958171544</v>
      </c>
      <c r="DQ79" s="752">
        <f t="shared" si="295"/>
        <v>0.4746833747908577</v>
      </c>
      <c r="DR79" s="503"/>
      <c r="DS79" s="751">
        <f t="shared" si="296"/>
        <v>3163217.6027246681</v>
      </c>
      <c r="DT79" s="751">
        <f>'[4]INTERNAL PRICELIST'!N73</f>
        <v>2061900</v>
      </c>
      <c r="DU79" s="751">
        <f t="shared" si="216"/>
        <v>1101317.6027246681</v>
      </c>
      <c r="DV79" s="503"/>
      <c r="DW79" s="951">
        <f t="shared" si="297"/>
        <v>143782.61830566672</v>
      </c>
      <c r="DX79" s="503"/>
      <c r="DZ79" s="1010" t="s">
        <v>462</v>
      </c>
      <c r="EA79" s="1052" t="b">
        <f t="shared" si="217"/>
        <v>1</v>
      </c>
      <c r="EB79" s="1072" t="s">
        <v>463</v>
      </c>
      <c r="EC79" s="1072" t="s">
        <v>453</v>
      </c>
      <c r="ED79" s="503"/>
      <c r="EE79" s="1029"/>
      <c r="EF79" s="503"/>
      <c r="EG79" s="503"/>
      <c r="EH79" s="930"/>
      <c r="EI79" s="930"/>
      <c r="EJ79" s="503"/>
      <c r="EK79" s="503"/>
      <c r="EL79" s="503"/>
      <c r="EM79" s="503"/>
      <c r="EN79" s="503"/>
      <c r="EO79" s="503"/>
      <c r="EP79" s="503"/>
      <c r="EQ79" s="503"/>
      <c r="ER79" s="1017" t="s">
        <v>264</v>
      </c>
      <c r="ES79" s="1391" t="s">
        <v>264</v>
      </c>
      <c r="ET79" s="1018" t="b">
        <f t="shared" si="257"/>
        <v>1</v>
      </c>
      <c r="EU79" s="940"/>
      <c r="EV79" s="941"/>
      <c r="EW79" s="940"/>
      <c r="EX79" s="1019">
        <v>2960476.6163586318</v>
      </c>
      <c r="EY79" s="1019">
        <f t="shared" si="310"/>
        <v>444071.49245379475</v>
      </c>
      <c r="EZ79" s="1019">
        <f t="shared" si="311"/>
        <v>2516405.1239048368</v>
      </c>
      <c r="FA79" s="1019">
        <f t="shared" si="312"/>
        <v>296047.66163586319</v>
      </c>
      <c r="FB79" s="1019">
        <f t="shared" si="313"/>
        <v>2664428.9547227686</v>
      </c>
      <c r="FC79" s="1019">
        <f t="shared" si="314"/>
        <v>148023.8308179318</v>
      </c>
      <c r="FD79" s="1020"/>
      <c r="FE79" s="1021"/>
      <c r="FF79" s="1022">
        <f t="shared" si="315"/>
        <v>2516405.1239048368</v>
      </c>
      <c r="FG79" s="1022">
        <f t="shared" si="316"/>
        <v>213894.43553191115</v>
      </c>
      <c r="FH79" s="1022">
        <f t="shared" si="317"/>
        <v>106947.21776595557</v>
      </c>
      <c r="FI79" s="1023">
        <f t="shared" si="318"/>
        <v>2664428.9547227686</v>
      </c>
      <c r="FJ79" s="1023">
        <f t="shared" si="319"/>
        <v>226476.46115143536</v>
      </c>
      <c r="FK79" s="1023">
        <f t="shared" si="320"/>
        <v>113238.23057571768</v>
      </c>
      <c r="FL79" s="1019">
        <f t="shared" si="321"/>
        <v>12582.025619524211</v>
      </c>
      <c r="FM79" s="1019">
        <f t="shared" si="322"/>
        <v>6291.0128097621055</v>
      </c>
      <c r="FN79" s="1019" t="str">
        <f t="shared" si="323"/>
        <v>VS</v>
      </c>
      <c r="FO79" s="1019">
        <f t="shared" si="324"/>
        <v>27537.409960060559</v>
      </c>
      <c r="FP79" s="1019">
        <f t="shared" si="325"/>
        <v>-21246.397150298453</v>
      </c>
      <c r="FQ79" s="1021"/>
      <c r="FR79" s="1021"/>
      <c r="FS79" s="1020"/>
      <c r="FT79" s="503"/>
      <c r="FU79" s="956"/>
      <c r="FV79" s="503"/>
      <c r="FW79" s="503"/>
      <c r="FX79" s="1040"/>
      <c r="FY79" s="503"/>
      <c r="FZ79" s="503"/>
      <c r="GA79" s="503"/>
      <c r="GB79" s="1059"/>
      <c r="GE79" s="503"/>
      <c r="GF79" s="1059"/>
      <c r="GG79" s="956"/>
      <c r="GH79" s="945"/>
      <c r="GI79" s="1024">
        <f t="shared" si="258"/>
        <v>3598160.0230993098</v>
      </c>
      <c r="GJ79" s="1025">
        <f t="shared" si="259"/>
        <v>0.125</v>
      </c>
      <c r="GK79" s="1024">
        <f t="shared" si="260"/>
        <v>449770.00288741372</v>
      </c>
      <c r="GL79" s="1024">
        <f t="shared" si="261"/>
        <v>30000</v>
      </c>
      <c r="GM79" s="1024">
        <f t="shared" si="262"/>
        <v>419770.00288741372</v>
      </c>
      <c r="GN79" s="1024">
        <f t="shared" si="263"/>
        <v>1</v>
      </c>
      <c r="GO79" s="1024">
        <f t="shared" si="264"/>
        <v>419770.00288741372</v>
      </c>
      <c r="GP79" s="1025">
        <f t="shared" si="265"/>
        <v>0.875</v>
      </c>
      <c r="GQ79" s="1024">
        <f t="shared" si="266"/>
        <v>3148390.0202118959</v>
      </c>
      <c r="GR79" s="1024">
        <f t="shared" si="267"/>
        <v>24409.4343158337</v>
      </c>
      <c r="GS79" s="1024">
        <f t="shared" si="268"/>
        <v>28298.619578360966</v>
      </c>
      <c r="GT79" s="1024">
        <f t="shared" si="269"/>
        <v>36555.477723389631</v>
      </c>
      <c r="GU79" s="1024">
        <f t="shared" si="270"/>
        <v>62341.895872670837</v>
      </c>
      <c r="GV79" s="945"/>
      <c r="GW79" s="1024">
        <f t="shared" si="271"/>
        <v>3598160.0230993098</v>
      </c>
      <c r="GX79" s="1025">
        <f t="shared" si="272"/>
        <v>0.125</v>
      </c>
      <c r="GY79" s="1024">
        <f t="shared" si="273"/>
        <v>449770.00288741372</v>
      </c>
      <c r="GZ79" s="1024">
        <f t="shared" si="274"/>
        <v>30000</v>
      </c>
      <c r="HA79" s="1024">
        <f t="shared" si="275"/>
        <v>419770.00288741372</v>
      </c>
      <c r="HB79" s="1026">
        <f t="shared" si="276"/>
        <v>25</v>
      </c>
      <c r="HC79" s="1009">
        <f t="shared" si="277"/>
        <v>16790.80011549655</v>
      </c>
      <c r="HD79" s="1027">
        <f t="shared" si="278"/>
        <v>0.875</v>
      </c>
      <c r="HE79" s="1009">
        <f t="shared" si="279"/>
        <v>3148390.0202118959</v>
      </c>
      <c r="HF79" s="1008">
        <f t="shared" si="280"/>
        <v>24409.4343158337</v>
      </c>
      <c r="HG79" s="1008">
        <f t="shared" si="281"/>
        <v>28298.619578360966</v>
      </c>
      <c r="HH79" s="1008">
        <f t="shared" si="282"/>
        <v>36555.477723389631</v>
      </c>
      <c r="HI79" s="1008">
        <f t="shared" si="283"/>
        <v>62341.895872670837</v>
      </c>
      <c r="HJ79" s="945"/>
      <c r="HK79" s="1009">
        <f t="shared" si="284"/>
        <v>-402979.20277191716</v>
      </c>
      <c r="HL79" s="503"/>
      <c r="HM79" s="503"/>
      <c r="HN79" s="503"/>
      <c r="HO79" s="503"/>
      <c r="HP79" s="503"/>
      <c r="HQ79" s="503"/>
      <c r="HR79" s="956">
        <f t="shared" si="285"/>
        <v>0</v>
      </c>
      <c r="HS79" s="503"/>
      <c r="HT79" s="503"/>
      <c r="HU79" s="956"/>
      <c r="HV79" s="503"/>
      <c r="HW79" s="956"/>
      <c r="HX79" s="956"/>
      <c r="HY79" s="503"/>
      <c r="HZ79" s="503"/>
      <c r="IA79" s="503"/>
      <c r="ID79" s="1394"/>
    </row>
    <row r="80" spans="1:238" s="1051" customFormat="1" ht="14.25" hidden="1" customHeight="1">
      <c r="A80" s="1018">
        <f t="shared" si="326"/>
        <v>74</v>
      </c>
      <c r="B80" s="716" t="s">
        <v>264</v>
      </c>
      <c r="C80" s="741">
        <f t="shared" si="289"/>
        <v>8</v>
      </c>
      <c r="D80" s="716" t="s">
        <v>263</v>
      </c>
      <c r="E80" s="743" t="str">
        <f t="shared" ref="E80:E90" si="328">D80</f>
        <v>6th Floor</v>
      </c>
      <c r="F80" s="1048"/>
      <c r="G80" s="745" t="s">
        <v>464</v>
      </c>
      <c r="H80" s="745" t="s">
        <v>316</v>
      </c>
      <c r="I80" s="745" t="s">
        <v>267</v>
      </c>
      <c r="J80" s="1005">
        <v>22</v>
      </c>
      <c r="K80" s="1049"/>
      <c r="L80" s="1006" t="s">
        <v>268</v>
      </c>
      <c r="M80" s="745" t="s">
        <v>65</v>
      </c>
      <c r="N80" s="1050">
        <v>95909.091</v>
      </c>
      <c r="O80" s="934">
        <f t="shared" si="298"/>
        <v>2110000.0019999999</v>
      </c>
      <c r="P80" s="934">
        <f t="shared" si="327"/>
        <v>22400</v>
      </c>
      <c r="Q80" s="934">
        <f t="shared" si="293"/>
        <v>50000</v>
      </c>
      <c r="R80" s="934"/>
      <c r="S80" s="934"/>
      <c r="T80" s="934"/>
      <c r="U80" s="934"/>
      <c r="V80" s="749">
        <f>J80*$V$5</f>
        <v>55000</v>
      </c>
      <c r="W80" s="934"/>
      <c r="X80" s="934"/>
      <c r="Y80" s="934">
        <f t="shared" si="290"/>
        <v>40000</v>
      </c>
      <c r="Z80" s="934">
        <f t="shared" si="299"/>
        <v>75000</v>
      </c>
      <c r="AA80" s="934"/>
      <c r="AB80" s="934"/>
      <c r="AC80" s="934"/>
      <c r="AD80" s="934"/>
      <c r="AE80" s="934">
        <f t="shared" si="199"/>
        <v>242400</v>
      </c>
      <c r="AF80" s="1005">
        <f t="shared" si="200"/>
        <v>2352400.0019999999</v>
      </c>
      <c r="AG80" s="1005">
        <f t="shared" si="220"/>
        <v>58810.000050000002</v>
      </c>
      <c r="AH80" s="1005">
        <f t="shared" si="221"/>
        <v>2411210.0020499998</v>
      </c>
      <c r="AI80" s="1005">
        <f t="shared" si="222"/>
        <v>60280.250051249997</v>
      </c>
      <c r="AJ80" s="1005">
        <f t="shared" si="223"/>
        <v>2471490.25210125</v>
      </c>
      <c r="AK80" s="1005">
        <f t="shared" si="224"/>
        <v>123574.51260506251</v>
      </c>
      <c r="AL80" s="1005">
        <f t="shared" si="300"/>
        <v>2595064.7647063127</v>
      </c>
      <c r="AM80" s="934">
        <f t="shared" si="225"/>
        <v>25950.647647063128</v>
      </c>
      <c r="AN80" s="934">
        <f t="shared" si="226"/>
        <v>27537.409960060559</v>
      </c>
      <c r="AO80" s="934"/>
      <c r="AP80" s="934">
        <f t="shared" si="301"/>
        <v>117198.98393032761</v>
      </c>
      <c r="AQ80" s="1005">
        <f t="shared" si="201"/>
        <v>2765751.8062437638</v>
      </c>
      <c r="AR80" s="1005">
        <f t="shared" si="227"/>
        <v>124458.83128096936</v>
      </c>
      <c r="AS80" s="1147">
        <f t="shared" si="228"/>
        <v>2890210.6375247333</v>
      </c>
      <c r="AT80" s="1148">
        <f t="shared" si="302"/>
        <v>2000000</v>
      </c>
      <c r="AU80" s="1148">
        <f t="shared" si="202"/>
        <v>40464.119887487876</v>
      </c>
      <c r="AV80" s="1148">
        <f t="shared" si="303"/>
        <v>890210.63752473332</v>
      </c>
      <c r="AW80" s="1148">
        <f t="shared" si="203"/>
        <v>106825.276502968</v>
      </c>
      <c r="AX80" s="1148">
        <f t="shared" si="204"/>
        <v>997035.91402770136</v>
      </c>
      <c r="AY80" s="1147">
        <f t="shared" si="229"/>
        <v>2997035.9140277011</v>
      </c>
      <c r="AZ80" s="934">
        <f t="shared" si="230"/>
        <v>37462.948925346267</v>
      </c>
      <c r="BA80" s="716" t="s">
        <v>269</v>
      </c>
      <c r="BB80" s="716">
        <f t="shared" si="205"/>
        <v>3034498.8629530473</v>
      </c>
      <c r="BC80" s="716" t="s">
        <v>269</v>
      </c>
      <c r="BD80" s="716">
        <f t="shared" si="231"/>
        <v>113793.70736073927</v>
      </c>
      <c r="BE80" s="716">
        <f t="shared" si="232"/>
        <v>33600</v>
      </c>
      <c r="BF80" s="716">
        <f t="shared" si="233"/>
        <v>3181892.5703137866</v>
      </c>
      <c r="BG80" s="716"/>
      <c r="BH80" s="716">
        <f t="shared" si="234"/>
        <v>3181892.5703137866</v>
      </c>
      <c r="BI80" s="716"/>
      <c r="BJ80" s="716">
        <f t="shared" si="235"/>
        <v>3181892.5703137866</v>
      </c>
      <c r="BK80" s="716"/>
      <c r="BL80" s="716">
        <f t="shared" si="236"/>
        <v>3181892.5703137866</v>
      </c>
      <c r="BM80" s="716"/>
      <c r="BN80" s="716">
        <f t="shared" si="206"/>
        <v>3181892.5703137866</v>
      </c>
      <c r="BO80" s="716"/>
      <c r="BP80" s="716">
        <f t="shared" si="237"/>
        <v>3181892.5703137866</v>
      </c>
      <c r="BQ80" s="716"/>
      <c r="BR80" s="716">
        <f t="shared" si="238"/>
        <v>3181892.5703137866</v>
      </c>
      <c r="BS80" s="716"/>
      <c r="BT80" s="716">
        <f t="shared" si="239"/>
        <v>3181892.5703137866</v>
      </c>
      <c r="BU80" s="716"/>
      <c r="BV80" s="716">
        <f t="shared" si="207"/>
        <v>3181892.5703137866</v>
      </c>
      <c r="BW80" s="716"/>
      <c r="BX80" s="716">
        <f t="shared" si="167"/>
        <v>31400</v>
      </c>
      <c r="BY80" s="716">
        <f t="shared" si="240"/>
        <v>3213292.5703137866</v>
      </c>
      <c r="BZ80" s="716"/>
      <c r="CA80" s="716">
        <f t="shared" si="241"/>
        <v>3213292.5703137866</v>
      </c>
      <c r="CB80" s="1135">
        <f t="shared" si="242"/>
        <v>3213292.5703137866</v>
      </c>
      <c r="CC80" s="1164">
        <f t="shared" si="286"/>
        <v>3213292.5703137866</v>
      </c>
      <c r="CD80" s="1164"/>
      <c r="CE80" s="1164">
        <f t="shared" si="243"/>
        <v>0</v>
      </c>
      <c r="CF80" s="1164">
        <f t="shared" si="291"/>
        <v>0</v>
      </c>
      <c r="CG80" s="1164">
        <f t="shared" si="292"/>
        <v>0</v>
      </c>
      <c r="CH80" s="1154">
        <f t="shared" si="304"/>
        <v>3213292.5703137866</v>
      </c>
      <c r="CI80" s="935">
        <f t="shared" si="305"/>
        <v>3213292.5703137866</v>
      </c>
      <c r="CJ80" s="935">
        <f t="shared" si="244"/>
        <v>0</v>
      </c>
      <c r="CK80" s="935">
        <f t="shared" si="208"/>
        <v>329362.4884571631</v>
      </c>
      <c r="CL80" s="935">
        <f t="shared" si="209"/>
        <v>112465.23996098254</v>
      </c>
      <c r="CM80" s="1006">
        <f t="shared" si="306"/>
        <v>3655120.2987319324</v>
      </c>
      <c r="CN80" s="1007">
        <f t="shared" si="307"/>
        <v>0.125</v>
      </c>
      <c r="CO80" s="935">
        <f t="shared" si="210"/>
        <v>456890.03734149155</v>
      </c>
      <c r="CP80" s="935">
        <f t="shared" si="170"/>
        <v>30000</v>
      </c>
      <c r="CQ80" s="935">
        <f t="shared" si="211"/>
        <v>426890.03734149155</v>
      </c>
      <c r="CR80" s="745">
        <f t="shared" si="308"/>
        <v>1</v>
      </c>
      <c r="CS80" s="935">
        <f t="shared" si="212"/>
        <v>426890.03734149155</v>
      </c>
      <c r="CT80" s="1007">
        <f t="shared" si="245"/>
        <v>0.875</v>
      </c>
      <c r="CU80" s="935">
        <f t="shared" si="246"/>
        <v>3198230.2613904411</v>
      </c>
      <c r="CV80" s="1008">
        <f t="shared" si="247"/>
        <v>24795.845175200844</v>
      </c>
      <c r="CW80" s="1008">
        <f t="shared" si="248"/>
        <v>28746.597756334759</v>
      </c>
      <c r="CX80" s="1008">
        <f t="shared" si="249"/>
        <v>37134.165184102661</v>
      </c>
      <c r="CY80" s="1008">
        <f t="shared" si="250"/>
        <v>63328.792383546119</v>
      </c>
      <c r="CZ80" s="1119">
        <f t="shared" si="251"/>
        <v>259802.40975332033</v>
      </c>
      <c r="DA80" s="1119">
        <f t="shared" si="252"/>
        <v>102802.54796919072</v>
      </c>
      <c r="DB80" s="1119">
        <f t="shared" si="253"/>
        <v>74252.824385654007</v>
      </c>
      <c r="DC80" s="1119">
        <f t="shared" si="254"/>
        <v>56509.817780963174</v>
      </c>
      <c r="DD80" s="1028">
        <f t="shared" si="294"/>
        <v>0.44510531876236664</v>
      </c>
      <c r="DE80" s="1028">
        <f t="shared" si="309"/>
        <v>0</v>
      </c>
      <c r="DF80" s="1009" t="s">
        <v>270</v>
      </c>
      <c r="DG80" s="1009" t="s">
        <v>271</v>
      </c>
      <c r="DH80" s="966">
        <f t="shared" si="287"/>
        <v>45658</v>
      </c>
      <c r="DI80" s="912">
        <f t="shared" si="255"/>
        <v>14</v>
      </c>
      <c r="DJ80" s="939"/>
      <c r="DK80" s="913">
        <f t="shared" si="213"/>
        <v>45723</v>
      </c>
      <c r="DL80" s="912">
        <f t="shared" si="256"/>
        <v>16</v>
      </c>
      <c r="DM80" s="750" t="s">
        <v>272</v>
      </c>
      <c r="DN80" s="750" t="s">
        <v>273</v>
      </c>
      <c r="DO80" s="751">
        <f t="shared" si="214"/>
        <v>45319.814273986427</v>
      </c>
      <c r="DP80" s="751">
        <f t="shared" si="215"/>
        <v>997035.91402770136</v>
      </c>
      <c r="DQ80" s="752">
        <f t="shared" si="295"/>
        <v>0.49851795701385071</v>
      </c>
      <c r="DR80" s="503"/>
      <c r="DS80" s="751">
        <f t="shared" si="296"/>
        <v>3213292.5703137866</v>
      </c>
      <c r="DT80" s="751">
        <f>'[4]INTERNAL PRICELIST'!N74</f>
        <v>2061900</v>
      </c>
      <c r="DU80" s="751">
        <f t="shared" si="216"/>
        <v>1151392.5703137866</v>
      </c>
      <c r="DV80" s="503"/>
      <c r="DW80" s="951">
        <f t="shared" si="297"/>
        <v>146058.7531960812</v>
      </c>
      <c r="DX80" s="503"/>
      <c r="DZ80" s="1010" t="s">
        <v>464</v>
      </c>
      <c r="EA80" s="1052" t="b">
        <f t="shared" si="217"/>
        <v>1</v>
      </c>
      <c r="EB80" s="1072" t="s">
        <v>465</v>
      </c>
      <c r="EC80" s="1072" t="s">
        <v>453</v>
      </c>
      <c r="ED80" s="503"/>
      <c r="EE80" s="1029"/>
      <c r="EF80" s="503"/>
      <c r="EG80" s="503"/>
      <c r="EH80" s="930"/>
      <c r="EI80" s="930"/>
      <c r="EJ80" s="503"/>
      <c r="EK80" s="503"/>
      <c r="EL80" s="503"/>
      <c r="EM80" s="503"/>
      <c r="EN80" s="503"/>
      <c r="EO80" s="503"/>
      <c r="EP80" s="503"/>
      <c r="EQ80" s="503"/>
      <c r="ER80" s="1017" t="s">
        <v>264</v>
      </c>
      <c r="ES80" s="1391" t="s">
        <v>264</v>
      </c>
      <c r="ET80" s="1018" t="b">
        <f t="shared" si="257"/>
        <v>1</v>
      </c>
      <c r="EU80" s="940"/>
      <c r="EV80" s="941"/>
      <c r="EW80" s="940"/>
      <c r="EX80" s="1019">
        <v>3064025.7236686954</v>
      </c>
      <c r="EY80" s="1019">
        <f t="shared" si="310"/>
        <v>459603.85855030431</v>
      </c>
      <c r="EZ80" s="1019">
        <f t="shared" si="311"/>
        <v>2604421.8651183909</v>
      </c>
      <c r="FA80" s="1019">
        <f t="shared" si="312"/>
        <v>306402.57236686954</v>
      </c>
      <c r="FB80" s="1019">
        <f t="shared" si="313"/>
        <v>2757623.1513018259</v>
      </c>
      <c r="FC80" s="1019">
        <f t="shared" si="314"/>
        <v>153201.286183435</v>
      </c>
      <c r="FD80" s="1020"/>
      <c r="FE80" s="1021"/>
      <c r="FF80" s="1022">
        <f t="shared" si="315"/>
        <v>2604421.8651183909</v>
      </c>
      <c r="FG80" s="1022">
        <f t="shared" si="316"/>
        <v>221375.85853506325</v>
      </c>
      <c r="FH80" s="1022">
        <f t="shared" si="317"/>
        <v>110687.92926753162</v>
      </c>
      <c r="FI80" s="1023">
        <f t="shared" si="318"/>
        <v>2757623.1513018259</v>
      </c>
      <c r="FJ80" s="1023">
        <f t="shared" si="319"/>
        <v>234397.96786065522</v>
      </c>
      <c r="FK80" s="1023">
        <f t="shared" si="320"/>
        <v>117198.98393032761</v>
      </c>
      <c r="FL80" s="1019">
        <f t="shared" si="321"/>
        <v>13022.10932559197</v>
      </c>
      <c r="FM80" s="1019">
        <f t="shared" si="322"/>
        <v>6511.0546627959848</v>
      </c>
      <c r="FN80" s="1019" t="str">
        <f t="shared" si="323"/>
        <v>VS</v>
      </c>
      <c r="FO80" s="1019">
        <f t="shared" si="324"/>
        <v>27537.409960060559</v>
      </c>
      <c r="FP80" s="1019">
        <f t="shared" si="325"/>
        <v>-21026.355297264574</v>
      </c>
      <c r="FQ80" s="1021"/>
      <c r="FR80" s="1021"/>
      <c r="FS80" s="1020"/>
      <c r="FT80" s="503"/>
      <c r="FU80" s="956"/>
      <c r="FV80" s="503"/>
      <c r="FW80" s="503"/>
      <c r="FX80" s="1040"/>
      <c r="FY80" s="503"/>
      <c r="FZ80" s="503"/>
      <c r="GA80" s="503"/>
      <c r="GB80" s="1059"/>
      <c r="GE80" s="503"/>
      <c r="GF80" s="1059"/>
      <c r="GG80" s="956"/>
      <c r="GH80" s="945"/>
      <c r="GI80" s="1024">
        <f t="shared" si="258"/>
        <v>3655120.2987319324</v>
      </c>
      <c r="GJ80" s="1025">
        <f t="shared" si="259"/>
        <v>0.125</v>
      </c>
      <c r="GK80" s="1024">
        <f t="shared" si="260"/>
        <v>456890.03734149155</v>
      </c>
      <c r="GL80" s="1024">
        <f t="shared" si="261"/>
        <v>30000</v>
      </c>
      <c r="GM80" s="1024">
        <f t="shared" si="262"/>
        <v>426890.03734149155</v>
      </c>
      <c r="GN80" s="1024">
        <f t="shared" si="263"/>
        <v>1</v>
      </c>
      <c r="GO80" s="1024">
        <f t="shared" si="264"/>
        <v>426890.03734149155</v>
      </c>
      <c r="GP80" s="1025">
        <f t="shared" si="265"/>
        <v>0.875</v>
      </c>
      <c r="GQ80" s="1024">
        <f t="shared" si="266"/>
        <v>3198230.2613904411</v>
      </c>
      <c r="GR80" s="1024">
        <f t="shared" si="267"/>
        <v>24795.845175200844</v>
      </c>
      <c r="GS80" s="1024">
        <f t="shared" si="268"/>
        <v>28746.597756334759</v>
      </c>
      <c r="GT80" s="1024">
        <f t="shared" si="269"/>
        <v>37134.165184102661</v>
      </c>
      <c r="GU80" s="1024">
        <f t="shared" si="270"/>
        <v>63328.792383546119</v>
      </c>
      <c r="GV80" s="945"/>
      <c r="GW80" s="1024">
        <f t="shared" si="271"/>
        <v>3655120.2987319324</v>
      </c>
      <c r="GX80" s="1025">
        <f t="shared" si="272"/>
        <v>0.125</v>
      </c>
      <c r="GY80" s="1024">
        <f t="shared" si="273"/>
        <v>456890.03734149155</v>
      </c>
      <c r="GZ80" s="1024">
        <f t="shared" si="274"/>
        <v>30000</v>
      </c>
      <c r="HA80" s="1024">
        <f t="shared" si="275"/>
        <v>426890.03734149155</v>
      </c>
      <c r="HB80" s="1026">
        <f t="shared" si="276"/>
        <v>25</v>
      </c>
      <c r="HC80" s="1009">
        <f t="shared" si="277"/>
        <v>17075.601493659662</v>
      </c>
      <c r="HD80" s="1027">
        <f t="shared" si="278"/>
        <v>0.875</v>
      </c>
      <c r="HE80" s="1009">
        <f t="shared" si="279"/>
        <v>3198230.2613904411</v>
      </c>
      <c r="HF80" s="1008">
        <f t="shared" si="280"/>
        <v>24795.845175200844</v>
      </c>
      <c r="HG80" s="1008">
        <f t="shared" si="281"/>
        <v>28746.597756334759</v>
      </c>
      <c r="HH80" s="1008">
        <f t="shared" si="282"/>
        <v>37134.165184102661</v>
      </c>
      <c r="HI80" s="1008">
        <f t="shared" si="283"/>
        <v>63328.792383546119</v>
      </c>
      <c r="HJ80" s="945"/>
      <c r="HK80" s="1009">
        <f t="shared" si="284"/>
        <v>-409814.43584783189</v>
      </c>
      <c r="HL80" s="503"/>
      <c r="HM80" s="503"/>
      <c r="HN80" s="503"/>
      <c r="HO80" s="503"/>
      <c r="HP80" s="503"/>
      <c r="HQ80" s="503"/>
      <c r="HR80" s="956">
        <f t="shared" si="285"/>
        <v>0</v>
      </c>
      <c r="HS80" s="503"/>
      <c r="HT80" s="503"/>
      <c r="HU80" s="956"/>
      <c r="HV80" s="503"/>
      <c r="HW80" s="956"/>
      <c r="HX80" s="956"/>
      <c r="HY80" s="503"/>
      <c r="HZ80" s="503"/>
      <c r="IA80" s="503"/>
      <c r="ID80" s="1394"/>
    </row>
    <row r="81" spans="1:238" s="1051" customFormat="1" ht="14.25" hidden="1" customHeight="1">
      <c r="A81" s="1018">
        <f t="shared" si="326"/>
        <v>75</v>
      </c>
      <c r="B81" s="716" t="s">
        <v>264</v>
      </c>
      <c r="C81" s="741">
        <f t="shared" si="289"/>
        <v>9</v>
      </c>
      <c r="D81" s="716" t="s">
        <v>263</v>
      </c>
      <c r="E81" s="743" t="str">
        <f t="shared" si="328"/>
        <v>6th Floor</v>
      </c>
      <c r="F81" s="1048"/>
      <c r="G81" s="745" t="s">
        <v>466</v>
      </c>
      <c r="H81" s="745" t="s">
        <v>321</v>
      </c>
      <c r="I81" s="745" t="s">
        <v>267</v>
      </c>
      <c r="J81" s="1005">
        <v>22</v>
      </c>
      <c r="K81" s="1049"/>
      <c r="L81" s="1006" t="s">
        <v>268</v>
      </c>
      <c r="M81" s="745" t="s">
        <v>79</v>
      </c>
      <c r="N81" s="1050">
        <v>95909.091</v>
      </c>
      <c r="O81" s="934">
        <f t="shared" si="298"/>
        <v>2110000.0019999999</v>
      </c>
      <c r="P81" s="934">
        <f t="shared" si="327"/>
        <v>22400</v>
      </c>
      <c r="Q81" s="934">
        <f t="shared" si="293"/>
        <v>50000</v>
      </c>
      <c r="R81" s="934"/>
      <c r="S81" s="934"/>
      <c r="T81" s="934"/>
      <c r="U81" s="934"/>
      <c r="V81" s="934"/>
      <c r="W81" s="934"/>
      <c r="X81" s="934"/>
      <c r="Y81" s="934">
        <f t="shared" si="290"/>
        <v>40000</v>
      </c>
      <c r="Z81" s="934">
        <f t="shared" si="299"/>
        <v>75000</v>
      </c>
      <c r="AA81" s="934"/>
      <c r="AB81" s="934"/>
      <c r="AC81" s="934"/>
      <c r="AD81" s="934"/>
      <c r="AE81" s="934">
        <f t="shared" si="199"/>
        <v>187400</v>
      </c>
      <c r="AF81" s="1005">
        <f t="shared" si="200"/>
        <v>2297400.0019999999</v>
      </c>
      <c r="AG81" s="1005">
        <f t="shared" si="220"/>
        <v>57435.000050000002</v>
      </c>
      <c r="AH81" s="1005">
        <f t="shared" si="221"/>
        <v>2354835.0020499998</v>
      </c>
      <c r="AI81" s="1005">
        <f t="shared" si="222"/>
        <v>58870.875051249997</v>
      </c>
      <c r="AJ81" s="1005">
        <f t="shared" si="223"/>
        <v>2413705.87710125</v>
      </c>
      <c r="AK81" s="1005">
        <f t="shared" si="224"/>
        <v>120685.29385506251</v>
      </c>
      <c r="AL81" s="1005">
        <f t="shared" si="300"/>
        <v>2534391.1709563127</v>
      </c>
      <c r="AM81" s="934">
        <f t="shared" si="225"/>
        <v>25343.911709563126</v>
      </c>
      <c r="AN81" s="934">
        <f t="shared" si="226"/>
        <v>27537.409960060559</v>
      </c>
      <c r="AO81" s="934"/>
      <c r="AP81" s="934">
        <f t="shared" si="301"/>
        <v>112065.9657786489</v>
      </c>
      <c r="AQ81" s="1005">
        <f t="shared" si="201"/>
        <v>2699338.4584045853</v>
      </c>
      <c r="AR81" s="1005">
        <f t="shared" si="227"/>
        <v>121470.23062820634</v>
      </c>
      <c r="AS81" s="1147">
        <f t="shared" si="228"/>
        <v>2820808.6890327916</v>
      </c>
      <c r="AT81" s="1148">
        <f t="shared" si="302"/>
        <v>2000000</v>
      </c>
      <c r="AU81" s="1148">
        <f t="shared" si="202"/>
        <v>37309.485865126895</v>
      </c>
      <c r="AV81" s="1148">
        <f t="shared" si="303"/>
        <v>820808.68903279165</v>
      </c>
      <c r="AW81" s="1148">
        <f t="shared" si="203"/>
        <v>98497.042683934997</v>
      </c>
      <c r="AX81" s="1148">
        <f t="shared" si="204"/>
        <v>919305.73171672667</v>
      </c>
      <c r="AY81" s="1147">
        <f t="shared" si="229"/>
        <v>2919305.7317167264</v>
      </c>
      <c r="AZ81" s="934">
        <f t="shared" si="230"/>
        <v>36491.321646459081</v>
      </c>
      <c r="BA81" s="716" t="s">
        <v>269</v>
      </c>
      <c r="BB81" s="716">
        <f t="shared" si="205"/>
        <v>2955797.0533631854</v>
      </c>
      <c r="BC81" s="716" t="s">
        <v>269</v>
      </c>
      <c r="BD81" s="716">
        <f t="shared" si="231"/>
        <v>110842.38950111945</v>
      </c>
      <c r="BE81" s="716">
        <f t="shared" si="232"/>
        <v>33600</v>
      </c>
      <c r="BF81" s="716">
        <f t="shared" si="233"/>
        <v>3100239.4428643049</v>
      </c>
      <c r="BG81" s="716"/>
      <c r="BH81" s="716">
        <f t="shared" si="234"/>
        <v>3100239.4428643049</v>
      </c>
      <c r="BI81" s="716"/>
      <c r="BJ81" s="716">
        <f t="shared" si="235"/>
        <v>3100239.4428643049</v>
      </c>
      <c r="BK81" s="716"/>
      <c r="BL81" s="716">
        <f t="shared" si="236"/>
        <v>3100239.4428643049</v>
      </c>
      <c r="BM81" s="716"/>
      <c r="BN81" s="716">
        <f t="shared" si="206"/>
        <v>3100239.4428643049</v>
      </c>
      <c r="BO81" s="716"/>
      <c r="BP81" s="716">
        <f t="shared" si="237"/>
        <v>3100239.4428643049</v>
      </c>
      <c r="BQ81" s="716"/>
      <c r="BR81" s="716">
        <f t="shared" si="238"/>
        <v>3100239.4428643049</v>
      </c>
      <c r="BS81" s="716"/>
      <c r="BT81" s="716">
        <f t="shared" si="239"/>
        <v>3100239.4428643049</v>
      </c>
      <c r="BU81" s="716"/>
      <c r="BV81" s="716">
        <f t="shared" si="207"/>
        <v>3100239.4428643049</v>
      </c>
      <c r="BW81" s="716"/>
      <c r="BX81" s="716">
        <f t="shared" si="167"/>
        <v>31400</v>
      </c>
      <c r="BY81" s="716">
        <f t="shared" si="240"/>
        <v>3131639.4428643049</v>
      </c>
      <c r="BZ81" s="716"/>
      <c r="CA81" s="716">
        <f t="shared" si="241"/>
        <v>3131639.4428643049</v>
      </c>
      <c r="CB81" s="1135">
        <f t="shared" si="242"/>
        <v>3131639.4428643049</v>
      </c>
      <c r="CC81" s="1164">
        <f t="shared" si="286"/>
        <v>3131639.4428643049</v>
      </c>
      <c r="CD81" s="1164"/>
      <c r="CE81" s="1164">
        <f t="shared" si="243"/>
        <v>0</v>
      </c>
      <c r="CF81" s="1164">
        <f t="shared" si="291"/>
        <v>0</v>
      </c>
      <c r="CG81" s="1164">
        <f t="shared" si="292"/>
        <v>0</v>
      </c>
      <c r="CH81" s="1154">
        <f t="shared" si="304"/>
        <v>3131639.4428643049</v>
      </c>
      <c r="CI81" s="935">
        <f t="shared" si="305"/>
        <v>3131639.4428643049</v>
      </c>
      <c r="CJ81" s="935">
        <f t="shared" si="244"/>
        <v>0</v>
      </c>
      <c r="CK81" s="935">
        <f t="shared" si="208"/>
        <v>320993.04289359122</v>
      </c>
      <c r="CL81" s="935">
        <f t="shared" si="209"/>
        <v>109607.38050025069</v>
      </c>
      <c r="CM81" s="1006">
        <f t="shared" si="306"/>
        <v>3562239.8662581467</v>
      </c>
      <c r="CN81" s="1007">
        <f t="shared" si="307"/>
        <v>0.125</v>
      </c>
      <c r="CO81" s="935">
        <f t="shared" si="210"/>
        <v>445279.98328226834</v>
      </c>
      <c r="CP81" s="935">
        <f t="shared" si="170"/>
        <v>30000</v>
      </c>
      <c r="CQ81" s="935">
        <f t="shared" si="211"/>
        <v>415279.98328226834</v>
      </c>
      <c r="CR81" s="745">
        <f t="shared" si="308"/>
        <v>1</v>
      </c>
      <c r="CS81" s="935">
        <f t="shared" si="212"/>
        <v>415279.98328226834</v>
      </c>
      <c r="CT81" s="1007">
        <f t="shared" si="245"/>
        <v>0.875</v>
      </c>
      <c r="CU81" s="935">
        <f t="shared" si="246"/>
        <v>3116959.8829758782</v>
      </c>
      <c r="CV81" s="1008">
        <f t="shared" si="247"/>
        <v>24165.756796379304</v>
      </c>
      <c r="CW81" s="1008">
        <f t="shared" si="248"/>
        <v>28016.116619315919</v>
      </c>
      <c r="CX81" s="1008">
        <f t="shared" si="249"/>
        <v>36190.547179778965</v>
      </c>
      <c r="CY81" s="1008">
        <f t="shared" si="250"/>
        <v>61719.541485110021</v>
      </c>
      <c r="CZ81" s="1119">
        <f t="shared" si="251"/>
        <v>253200.55859564664</v>
      </c>
      <c r="DA81" s="1119">
        <f t="shared" si="252"/>
        <v>100190.22762556261</v>
      </c>
      <c r="DB81" s="1119">
        <f t="shared" si="253"/>
        <v>72365.982400252818</v>
      </c>
      <c r="DC81" s="1119">
        <f t="shared" si="254"/>
        <v>55073.844164354283</v>
      </c>
      <c r="DD81" s="1028">
        <f t="shared" si="294"/>
        <v>0.41040434451639585</v>
      </c>
      <c r="DE81" s="1028">
        <f t="shared" si="309"/>
        <v>0</v>
      </c>
      <c r="DF81" s="1009" t="s">
        <v>270</v>
      </c>
      <c r="DG81" s="1009" t="s">
        <v>271</v>
      </c>
      <c r="DH81" s="966">
        <f t="shared" si="287"/>
        <v>45658</v>
      </c>
      <c r="DI81" s="912">
        <f t="shared" si="255"/>
        <v>14</v>
      </c>
      <c r="DJ81" s="939"/>
      <c r="DK81" s="913">
        <f t="shared" si="213"/>
        <v>45723</v>
      </c>
      <c r="DL81" s="912">
        <f t="shared" si="256"/>
        <v>16</v>
      </c>
      <c r="DM81" s="750" t="s">
        <v>272</v>
      </c>
      <c r="DN81" s="750" t="s">
        <v>273</v>
      </c>
      <c r="DO81" s="751">
        <f t="shared" si="214"/>
        <v>41786.624168942122</v>
      </c>
      <c r="DP81" s="751">
        <f t="shared" si="215"/>
        <v>919305.73171672667</v>
      </c>
      <c r="DQ81" s="752">
        <f t="shared" si="295"/>
        <v>0.45965286585836335</v>
      </c>
      <c r="DR81" s="503"/>
      <c r="DS81" s="751">
        <f t="shared" si="296"/>
        <v>3131639.4428643049</v>
      </c>
      <c r="DT81" s="751">
        <f>'[4]INTERNAL PRICELIST'!N75</f>
        <v>2061900</v>
      </c>
      <c r="DU81" s="751">
        <f t="shared" si="216"/>
        <v>1069739.4428643049</v>
      </c>
      <c r="DV81" s="503"/>
      <c r="DW81" s="951">
        <f t="shared" si="297"/>
        <v>142347.24740292295</v>
      </c>
      <c r="DX81" s="503"/>
      <c r="DZ81" s="1010" t="s">
        <v>466</v>
      </c>
      <c r="EA81" s="1052" t="b">
        <f t="shared" si="217"/>
        <v>1</v>
      </c>
      <c r="EB81" s="1072" t="s">
        <v>467</v>
      </c>
      <c r="EC81" s="1072" t="s">
        <v>453</v>
      </c>
      <c r="ED81" s="503"/>
      <c r="EE81" s="1029"/>
      <c r="EF81" s="503"/>
      <c r="EG81" s="503"/>
      <c r="EH81" s="930"/>
      <c r="EI81" s="930"/>
      <c r="EJ81" s="503"/>
      <c r="EK81" s="503"/>
      <c r="EL81" s="503"/>
      <c r="EM81" s="503"/>
      <c r="EN81" s="503"/>
      <c r="EO81" s="503"/>
      <c r="EP81" s="503"/>
      <c r="EQ81" s="503"/>
      <c r="ER81" s="1017" t="s">
        <v>264</v>
      </c>
      <c r="ES81" s="1391" t="s">
        <v>264</v>
      </c>
      <c r="ET81" s="1018" t="b">
        <f t="shared" si="257"/>
        <v>1</v>
      </c>
      <c r="EU81" s="940"/>
      <c r="EV81" s="941"/>
      <c r="EW81" s="940"/>
      <c r="EX81" s="1019">
        <v>2929829.1706836312</v>
      </c>
      <c r="EY81" s="1019">
        <f t="shared" si="310"/>
        <v>439474.37560254469</v>
      </c>
      <c r="EZ81" s="1019">
        <f t="shared" si="311"/>
        <v>2490354.7950810865</v>
      </c>
      <c r="FA81" s="1019">
        <f t="shared" si="312"/>
        <v>292982.91706836311</v>
      </c>
      <c r="FB81" s="1019">
        <f t="shared" si="313"/>
        <v>2636846.253615268</v>
      </c>
      <c r="FC81" s="1019">
        <f t="shared" si="314"/>
        <v>146491.45853418158</v>
      </c>
      <c r="FD81" s="1020"/>
      <c r="FE81" s="1021"/>
      <c r="FF81" s="1022">
        <f t="shared" si="315"/>
        <v>2490354.7950810865</v>
      </c>
      <c r="FG81" s="1022">
        <f t="shared" si="316"/>
        <v>211680.15758189236</v>
      </c>
      <c r="FH81" s="1022">
        <f t="shared" si="317"/>
        <v>105840.07879094618</v>
      </c>
      <c r="FI81" s="1023">
        <f t="shared" si="318"/>
        <v>2636846.253615268</v>
      </c>
      <c r="FJ81" s="1023">
        <f t="shared" si="319"/>
        <v>224131.93155729779</v>
      </c>
      <c r="FK81" s="1023">
        <f t="shared" si="320"/>
        <v>112065.9657786489</v>
      </c>
      <c r="FL81" s="1019">
        <f t="shared" si="321"/>
        <v>12451.773975405435</v>
      </c>
      <c r="FM81" s="1019">
        <f t="shared" si="322"/>
        <v>6225.8869877027173</v>
      </c>
      <c r="FN81" s="1019" t="str">
        <f t="shared" si="323"/>
        <v>VS</v>
      </c>
      <c r="FO81" s="1019">
        <f t="shared" si="324"/>
        <v>27537.409960060559</v>
      </c>
      <c r="FP81" s="1019">
        <f t="shared" si="325"/>
        <v>-21311.522972357841</v>
      </c>
      <c r="FQ81" s="1021"/>
      <c r="FR81" s="1021"/>
      <c r="FS81" s="1020"/>
      <c r="FT81" s="503"/>
      <c r="FU81" s="956"/>
      <c r="FV81" s="503"/>
      <c r="FW81" s="503"/>
      <c r="FX81" s="1040"/>
      <c r="FY81" s="503"/>
      <c r="FZ81" s="503"/>
      <c r="GA81" s="503"/>
      <c r="GB81" s="1059"/>
      <c r="GE81" s="503"/>
      <c r="GF81" s="1059"/>
      <c r="GG81" s="956"/>
      <c r="GH81" s="945"/>
      <c r="GI81" s="1024">
        <f t="shared" si="258"/>
        <v>3562239.8662581467</v>
      </c>
      <c r="GJ81" s="1025">
        <f t="shared" si="259"/>
        <v>0.125</v>
      </c>
      <c r="GK81" s="1024">
        <f t="shared" si="260"/>
        <v>445279.98328226834</v>
      </c>
      <c r="GL81" s="1024">
        <f t="shared" si="261"/>
        <v>30000</v>
      </c>
      <c r="GM81" s="1024">
        <f t="shared" si="262"/>
        <v>415279.98328226834</v>
      </c>
      <c r="GN81" s="1024">
        <f t="shared" si="263"/>
        <v>1</v>
      </c>
      <c r="GO81" s="1024">
        <f t="shared" si="264"/>
        <v>415279.98328226834</v>
      </c>
      <c r="GP81" s="1025">
        <f t="shared" si="265"/>
        <v>0.875</v>
      </c>
      <c r="GQ81" s="1024">
        <f t="shared" si="266"/>
        <v>3116959.8829758782</v>
      </c>
      <c r="GR81" s="1024">
        <f t="shared" si="267"/>
        <v>24165.756796379304</v>
      </c>
      <c r="GS81" s="1024">
        <f t="shared" si="268"/>
        <v>28016.116619315919</v>
      </c>
      <c r="GT81" s="1024">
        <f t="shared" si="269"/>
        <v>36190.547179778965</v>
      </c>
      <c r="GU81" s="1024">
        <f t="shared" si="270"/>
        <v>61719.541485110021</v>
      </c>
      <c r="GV81" s="945"/>
      <c r="GW81" s="1024">
        <f t="shared" si="271"/>
        <v>3562239.8662581467</v>
      </c>
      <c r="GX81" s="1025">
        <f t="shared" si="272"/>
        <v>0.125</v>
      </c>
      <c r="GY81" s="1024">
        <f t="shared" si="273"/>
        <v>445279.98328226834</v>
      </c>
      <c r="GZ81" s="1024">
        <f t="shared" si="274"/>
        <v>30000</v>
      </c>
      <c r="HA81" s="1024">
        <f t="shared" si="275"/>
        <v>415279.98328226834</v>
      </c>
      <c r="HB81" s="1026">
        <f t="shared" si="276"/>
        <v>25</v>
      </c>
      <c r="HC81" s="1009">
        <f t="shared" si="277"/>
        <v>16611.199331290733</v>
      </c>
      <c r="HD81" s="1027">
        <f t="shared" si="278"/>
        <v>0.875</v>
      </c>
      <c r="HE81" s="1009">
        <f t="shared" si="279"/>
        <v>3116959.8829758782</v>
      </c>
      <c r="HF81" s="1008">
        <f t="shared" si="280"/>
        <v>24165.756796379304</v>
      </c>
      <c r="HG81" s="1008">
        <f t="shared" si="281"/>
        <v>28016.116619315919</v>
      </c>
      <c r="HH81" s="1008">
        <f t="shared" si="282"/>
        <v>36190.547179778965</v>
      </c>
      <c r="HI81" s="1008">
        <f t="shared" si="283"/>
        <v>61719.541485110021</v>
      </c>
      <c r="HJ81" s="945"/>
      <c r="HK81" s="1009">
        <f t="shared" si="284"/>
        <v>-398668.78395097761</v>
      </c>
      <c r="HL81" s="503"/>
      <c r="HM81" s="503"/>
      <c r="HN81" s="503"/>
      <c r="HO81" s="503"/>
      <c r="HP81" s="503"/>
      <c r="HQ81" s="503"/>
      <c r="HR81" s="956">
        <f t="shared" si="285"/>
        <v>0</v>
      </c>
      <c r="HS81" s="503"/>
      <c r="HT81" s="503"/>
      <c r="HU81" s="956"/>
      <c r="HV81" s="503"/>
      <c r="HW81" s="956"/>
      <c r="HX81" s="956"/>
      <c r="HY81" s="503"/>
      <c r="HZ81" s="503"/>
      <c r="IA81" s="503"/>
      <c r="ID81" s="1394"/>
    </row>
    <row r="82" spans="1:238" s="1051" customFormat="1" ht="14.25" hidden="1" customHeight="1">
      <c r="A82" s="1018">
        <f t="shared" si="326"/>
        <v>76</v>
      </c>
      <c r="B82" s="716" t="s">
        <v>264</v>
      </c>
      <c r="C82" s="741">
        <f t="shared" si="289"/>
        <v>10</v>
      </c>
      <c r="D82" s="716" t="s">
        <v>263</v>
      </c>
      <c r="E82" s="743" t="str">
        <f t="shared" si="328"/>
        <v>6th Floor</v>
      </c>
      <c r="F82" s="1048"/>
      <c r="G82" s="745" t="s">
        <v>468</v>
      </c>
      <c r="H82" s="745" t="s">
        <v>325</v>
      </c>
      <c r="I82" s="745" t="s">
        <v>267</v>
      </c>
      <c r="J82" s="1005">
        <v>22</v>
      </c>
      <c r="K82" s="1049"/>
      <c r="L82" s="1006" t="s">
        <v>268</v>
      </c>
      <c r="M82" s="745" t="s">
        <v>79</v>
      </c>
      <c r="N82" s="1050">
        <v>95909.091</v>
      </c>
      <c r="O82" s="934">
        <f t="shared" si="298"/>
        <v>2110000.0019999999</v>
      </c>
      <c r="P82" s="934">
        <f t="shared" si="327"/>
        <v>22400</v>
      </c>
      <c r="Q82" s="934">
        <f t="shared" si="293"/>
        <v>50000</v>
      </c>
      <c r="R82" s="934"/>
      <c r="S82" s="934"/>
      <c r="T82" s="934"/>
      <c r="U82" s="934"/>
      <c r="V82" s="934"/>
      <c r="W82" s="934"/>
      <c r="X82" s="934"/>
      <c r="Y82" s="934">
        <f t="shared" si="290"/>
        <v>40000</v>
      </c>
      <c r="Z82" s="934">
        <f t="shared" si="299"/>
        <v>75000</v>
      </c>
      <c r="AA82" s="934"/>
      <c r="AB82" s="934"/>
      <c r="AC82" s="934"/>
      <c r="AD82" s="934"/>
      <c r="AE82" s="934">
        <f t="shared" si="199"/>
        <v>187400</v>
      </c>
      <c r="AF82" s="1005">
        <f t="shared" si="200"/>
        <v>2297400.0019999999</v>
      </c>
      <c r="AG82" s="1005">
        <f t="shared" si="220"/>
        <v>57435.000050000002</v>
      </c>
      <c r="AH82" s="1005">
        <f t="shared" si="221"/>
        <v>2354835.0020499998</v>
      </c>
      <c r="AI82" s="1005">
        <f t="shared" si="222"/>
        <v>58870.875051249997</v>
      </c>
      <c r="AJ82" s="1005">
        <f t="shared" si="223"/>
        <v>2413705.87710125</v>
      </c>
      <c r="AK82" s="1005">
        <f t="shared" si="224"/>
        <v>120685.29385506251</v>
      </c>
      <c r="AL82" s="1005">
        <f t="shared" si="300"/>
        <v>2534391.1709563127</v>
      </c>
      <c r="AM82" s="934">
        <f t="shared" si="225"/>
        <v>25343.911709563126</v>
      </c>
      <c r="AN82" s="934">
        <f t="shared" si="226"/>
        <v>27537.409960060559</v>
      </c>
      <c r="AO82" s="934"/>
      <c r="AP82" s="934">
        <f t="shared" si="301"/>
        <v>112065.9657786489</v>
      </c>
      <c r="AQ82" s="1005">
        <f t="shared" si="201"/>
        <v>2699338.4584045853</v>
      </c>
      <c r="AR82" s="1005">
        <f t="shared" si="227"/>
        <v>121470.23062820634</v>
      </c>
      <c r="AS82" s="1147">
        <f t="shared" si="228"/>
        <v>2820808.6890327916</v>
      </c>
      <c r="AT82" s="1148">
        <f t="shared" si="302"/>
        <v>2000000</v>
      </c>
      <c r="AU82" s="1148">
        <f t="shared" si="202"/>
        <v>37309.485865126895</v>
      </c>
      <c r="AV82" s="1148">
        <f t="shared" si="303"/>
        <v>820808.68903279165</v>
      </c>
      <c r="AW82" s="1148">
        <f t="shared" si="203"/>
        <v>98497.042683934997</v>
      </c>
      <c r="AX82" s="1148">
        <f t="shared" si="204"/>
        <v>919305.73171672667</v>
      </c>
      <c r="AY82" s="1147">
        <f t="shared" si="229"/>
        <v>2919305.7317167264</v>
      </c>
      <c r="AZ82" s="934">
        <f t="shared" si="230"/>
        <v>36491.321646459081</v>
      </c>
      <c r="BA82" s="716" t="s">
        <v>269</v>
      </c>
      <c r="BB82" s="716">
        <f t="shared" si="205"/>
        <v>2955797.0533631854</v>
      </c>
      <c r="BC82" s="716" t="s">
        <v>269</v>
      </c>
      <c r="BD82" s="716">
        <f t="shared" si="231"/>
        <v>110842.38950111945</v>
      </c>
      <c r="BE82" s="716">
        <f t="shared" si="232"/>
        <v>33600</v>
      </c>
      <c r="BF82" s="716">
        <f t="shared" si="233"/>
        <v>3100239.4428643049</v>
      </c>
      <c r="BG82" s="716"/>
      <c r="BH82" s="716">
        <f t="shared" si="234"/>
        <v>3100239.4428643049</v>
      </c>
      <c r="BI82" s="716"/>
      <c r="BJ82" s="716">
        <f t="shared" si="235"/>
        <v>3100239.4428643049</v>
      </c>
      <c r="BK82" s="716"/>
      <c r="BL82" s="716">
        <f t="shared" si="236"/>
        <v>3100239.4428643049</v>
      </c>
      <c r="BM82" s="716"/>
      <c r="BN82" s="716">
        <f t="shared" si="206"/>
        <v>3100239.4428643049</v>
      </c>
      <c r="BO82" s="716"/>
      <c r="BP82" s="716">
        <f t="shared" si="237"/>
        <v>3100239.4428643049</v>
      </c>
      <c r="BQ82" s="716"/>
      <c r="BR82" s="716">
        <f t="shared" si="238"/>
        <v>3100239.4428643049</v>
      </c>
      <c r="BS82" s="716"/>
      <c r="BT82" s="716">
        <f t="shared" si="239"/>
        <v>3100239.4428643049</v>
      </c>
      <c r="BU82" s="716"/>
      <c r="BV82" s="716">
        <f t="shared" si="207"/>
        <v>3100239.4428643049</v>
      </c>
      <c r="BW82" s="716"/>
      <c r="BX82" s="716">
        <f t="shared" si="167"/>
        <v>31400</v>
      </c>
      <c r="BY82" s="716">
        <f t="shared" si="240"/>
        <v>3131639.4428643049</v>
      </c>
      <c r="BZ82" s="716"/>
      <c r="CA82" s="716">
        <f t="shared" si="241"/>
        <v>3131639.4428643049</v>
      </c>
      <c r="CB82" s="1135">
        <f t="shared" si="242"/>
        <v>3131639.4428643049</v>
      </c>
      <c r="CC82" s="1164">
        <f t="shared" si="286"/>
        <v>3131639.4428643049</v>
      </c>
      <c r="CD82" s="1164"/>
      <c r="CE82" s="1164">
        <f t="shared" si="243"/>
        <v>0</v>
      </c>
      <c r="CF82" s="1164">
        <f t="shared" si="291"/>
        <v>0</v>
      </c>
      <c r="CG82" s="1164">
        <f t="shared" si="292"/>
        <v>0</v>
      </c>
      <c r="CH82" s="1154">
        <f t="shared" si="304"/>
        <v>3131639.4428643049</v>
      </c>
      <c r="CI82" s="935">
        <f t="shared" si="305"/>
        <v>3131639.4428643049</v>
      </c>
      <c r="CJ82" s="935">
        <f t="shared" si="244"/>
        <v>0</v>
      </c>
      <c r="CK82" s="935">
        <f>CI82*CK$5</f>
        <v>320993.04289359122</v>
      </c>
      <c r="CL82" s="935">
        <f t="shared" si="209"/>
        <v>109607.38050025069</v>
      </c>
      <c r="CM82" s="1006">
        <f t="shared" si="306"/>
        <v>3562239.8662581467</v>
      </c>
      <c r="CN82" s="1007">
        <f t="shared" si="307"/>
        <v>0.125</v>
      </c>
      <c r="CO82" s="935">
        <f t="shared" si="210"/>
        <v>445279.98328226834</v>
      </c>
      <c r="CP82" s="935">
        <f t="shared" si="170"/>
        <v>30000</v>
      </c>
      <c r="CQ82" s="935">
        <f t="shared" si="211"/>
        <v>415279.98328226834</v>
      </c>
      <c r="CR82" s="745">
        <f t="shared" si="308"/>
        <v>1</v>
      </c>
      <c r="CS82" s="935">
        <f t="shared" si="212"/>
        <v>415279.98328226834</v>
      </c>
      <c r="CT82" s="1007">
        <f t="shared" si="245"/>
        <v>0.875</v>
      </c>
      <c r="CU82" s="935">
        <f t="shared" si="246"/>
        <v>3116959.8829758782</v>
      </c>
      <c r="CV82" s="1008">
        <f t="shared" si="247"/>
        <v>24165.756796379304</v>
      </c>
      <c r="CW82" s="1008">
        <f t="shared" si="248"/>
        <v>28016.116619315919</v>
      </c>
      <c r="CX82" s="1008">
        <f t="shared" si="249"/>
        <v>36190.547179778965</v>
      </c>
      <c r="CY82" s="1008">
        <f t="shared" si="250"/>
        <v>61719.541485110021</v>
      </c>
      <c r="CZ82" s="1119">
        <f t="shared" si="251"/>
        <v>253200.55859564664</v>
      </c>
      <c r="DA82" s="1119">
        <f t="shared" si="252"/>
        <v>100190.22762556261</v>
      </c>
      <c r="DB82" s="1119">
        <f t="shared" si="253"/>
        <v>72365.982400252818</v>
      </c>
      <c r="DC82" s="1119">
        <f t="shared" si="254"/>
        <v>55073.844164354283</v>
      </c>
      <c r="DD82" s="1028">
        <f t="shared" si="294"/>
        <v>0.41040434451639585</v>
      </c>
      <c r="DE82" s="1028">
        <f t="shared" si="309"/>
        <v>0</v>
      </c>
      <c r="DF82" s="1009" t="s">
        <v>270</v>
      </c>
      <c r="DG82" s="1009" t="s">
        <v>271</v>
      </c>
      <c r="DH82" s="966">
        <f t="shared" si="287"/>
        <v>45658</v>
      </c>
      <c r="DI82" s="912">
        <f t="shared" si="255"/>
        <v>14</v>
      </c>
      <c r="DJ82" s="939"/>
      <c r="DK82" s="913">
        <f t="shared" si="213"/>
        <v>45723</v>
      </c>
      <c r="DL82" s="912">
        <f t="shared" si="256"/>
        <v>16</v>
      </c>
      <c r="DM82" s="750" t="s">
        <v>272</v>
      </c>
      <c r="DN82" s="750" t="s">
        <v>273</v>
      </c>
      <c r="DO82" s="751">
        <f t="shared" si="214"/>
        <v>41786.624168942122</v>
      </c>
      <c r="DP82" s="751">
        <f t="shared" si="215"/>
        <v>919305.73171672667</v>
      </c>
      <c r="DQ82" s="752">
        <f t="shared" si="295"/>
        <v>0.45965286585836335</v>
      </c>
      <c r="DR82" s="503"/>
      <c r="DS82" s="751">
        <f t="shared" si="296"/>
        <v>3131639.4428643049</v>
      </c>
      <c r="DT82" s="751">
        <f>'[4]INTERNAL PRICELIST'!N76</f>
        <v>2061900</v>
      </c>
      <c r="DU82" s="751">
        <f t="shared" si="216"/>
        <v>1069739.4428643049</v>
      </c>
      <c r="DV82" s="503"/>
      <c r="DW82" s="951">
        <f t="shared" si="297"/>
        <v>142347.24740292295</v>
      </c>
      <c r="DX82" s="503"/>
      <c r="DZ82" s="1010" t="s">
        <v>468</v>
      </c>
      <c r="EA82" s="1052" t="b">
        <f t="shared" si="217"/>
        <v>1</v>
      </c>
      <c r="EB82" s="1072" t="s">
        <v>469</v>
      </c>
      <c r="EC82" s="1072" t="s">
        <v>453</v>
      </c>
      <c r="ED82" s="503"/>
      <c r="EE82" s="1029"/>
      <c r="EF82" s="503"/>
      <c r="EG82" s="503"/>
      <c r="EH82" s="930"/>
      <c r="EI82" s="930"/>
      <c r="EJ82" s="503"/>
      <c r="EK82" s="503"/>
      <c r="EL82" s="503"/>
      <c r="EM82" s="503"/>
      <c r="EN82" s="503"/>
      <c r="EO82" s="503"/>
      <c r="EP82" s="503"/>
      <c r="EQ82" s="503"/>
      <c r="ER82" s="1017" t="s">
        <v>264</v>
      </c>
      <c r="ES82" s="1391" t="s">
        <v>264</v>
      </c>
      <c r="ET82" s="1018" t="b">
        <f t="shared" si="257"/>
        <v>1</v>
      </c>
      <c r="EU82" s="940"/>
      <c r="EV82" s="941"/>
      <c r="EW82" s="940"/>
      <c r="EX82" s="1019">
        <v>2929829.1706836312</v>
      </c>
      <c r="EY82" s="1019">
        <f t="shared" si="310"/>
        <v>439474.37560254469</v>
      </c>
      <c r="EZ82" s="1019">
        <f t="shared" si="311"/>
        <v>2490354.7950810865</v>
      </c>
      <c r="FA82" s="1019">
        <f t="shared" si="312"/>
        <v>292982.91706836311</v>
      </c>
      <c r="FB82" s="1019">
        <f t="shared" si="313"/>
        <v>2636846.253615268</v>
      </c>
      <c r="FC82" s="1019">
        <f t="shared" si="314"/>
        <v>146491.45853418158</v>
      </c>
      <c r="FD82" s="1020"/>
      <c r="FE82" s="1021"/>
      <c r="FF82" s="1022">
        <f t="shared" si="315"/>
        <v>2490354.7950810865</v>
      </c>
      <c r="FG82" s="1022">
        <f t="shared" si="316"/>
        <v>211680.15758189236</v>
      </c>
      <c r="FH82" s="1022">
        <f t="shared" si="317"/>
        <v>105840.07879094618</v>
      </c>
      <c r="FI82" s="1023">
        <f t="shared" si="318"/>
        <v>2636846.253615268</v>
      </c>
      <c r="FJ82" s="1023">
        <f t="shared" si="319"/>
        <v>224131.93155729779</v>
      </c>
      <c r="FK82" s="1023">
        <f t="shared" si="320"/>
        <v>112065.9657786489</v>
      </c>
      <c r="FL82" s="1019">
        <f t="shared" si="321"/>
        <v>12451.773975405435</v>
      </c>
      <c r="FM82" s="1019">
        <f t="shared" si="322"/>
        <v>6225.8869877027173</v>
      </c>
      <c r="FN82" s="1019" t="str">
        <f t="shared" si="323"/>
        <v>VS</v>
      </c>
      <c r="FO82" s="1019">
        <f t="shared" si="324"/>
        <v>27537.409960060559</v>
      </c>
      <c r="FP82" s="1019">
        <f t="shared" si="325"/>
        <v>-21311.522972357841</v>
      </c>
      <c r="FQ82" s="1021"/>
      <c r="FR82" s="1021"/>
      <c r="FS82" s="1020"/>
      <c r="FT82" s="503"/>
      <c r="FU82" s="956"/>
      <c r="FV82" s="503"/>
      <c r="FW82" s="503"/>
      <c r="FX82" s="1040"/>
      <c r="FY82" s="503"/>
      <c r="FZ82" s="503"/>
      <c r="GA82" s="503"/>
      <c r="GB82" s="1059"/>
      <c r="GE82" s="503"/>
      <c r="GF82" s="1059"/>
      <c r="GG82" s="956"/>
      <c r="GH82" s="945"/>
      <c r="GI82" s="1024">
        <f t="shared" si="258"/>
        <v>3562239.8662581467</v>
      </c>
      <c r="GJ82" s="1025">
        <f t="shared" si="259"/>
        <v>0.125</v>
      </c>
      <c r="GK82" s="1024">
        <f t="shared" si="260"/>
        <v>445279.98328226834</v>
      </c>
      <c r="GL82" s="1024">
        <f t="shared" si="261"/>
        <v>30000</v>
      </c>
      <c r="GM82" s="1024">
        <f t="shared" si="262"/>
        <v>415279.98328226834</v>
      </c>
      <c r="GN82" s="1024">
        <f t="shared" si="263"/>
        <v>1</v>
      </c>
      <c r="GO82" s="1024">
        <f t="shared" si="264"/>
        <v>415279.98328226834</v>
      </c>
      <c r="GP82" s="1025">
        <f t="shared" si="265"/>
        <v>0.875</v>
      </c>
      <c r="GQ82" s="1024">
        <f t="shared" si="266"/>
        <v>3116959.8829758782</v>
      </c>
      <c r="GR82" s="1024">
        <f t="shared" si="267"/>
        <v>24165.756796379304</v>
      </c>
      <c r="GS82" s="1024">
        <f t="shared" si="268"/>
        <v>28016.116619315919</v>
      </c>
      <c r="GT82" s="1024">
        <f t="shared" si="269"/>
        <v>36190.547179778965</v>
      </c>
      <c r="GU82" s="1024">
        <f t="shared" si="270"/>
        <v>61719.541485110021</v>
      </c>
      <c r="GV82" s="945"/>
      <c r="GW82" s="1024">
        <f t="shared" si="271"/>
        <v>3562239.8662581467</v>
      </c>
      <c r="GX82" s="1025">
        <f t="shared" si="272"/>
        <v>0.125</v>
      </c>
      <c r="GY82" s="1024">
        <f t="shared" si="273"/>
        <v>445279.98328226834</v>
      </c>
      <c r="GZ82" s="1024">
        <f t="shared" si="274"/>
        <v>30000</v>
      </c>
      <c r="HA82" s="1024">
        <f t="shared" si="275"/>
        <v>415279.98328226834</v>
      </c>
      <c r="HB82" s="1026">
        <f t="shared" si="276"/>
        <v>25</v>
      </c>
      <c r="HC82" s="1009">
        <f t="shared" si="277"/>
        <v>16611.199331290733</v>
      </c>
      <c r="HD82" s="1027">
        <f t="shared" si="278"/>
        <v>0.875</v>
      </c>
      <c r="HE82" s="1009">
        <f t="shared" si="279"/>
        <v>3116959.8829758782</v>
      </c>
      <c r="HF82" s="1008">
        <f t="shared" si="280"/>
        <v>24165.756796379304</v>
      </c>
      <c r="HG82" s="1008">
        <f t="shared" si="281"/>
        <v>28016.116619315919</v>
      </c>
      <c r="HH82" s="1008">
        <f t="shared" si="282"/>
        <v>36190.547179778965</v>
      </c>
      <c r="HI82" s="1008">
        <f t="shared" si="283"/>
        <v>61719.541485110021</v>
      </c>
      <c r="HJ82" s="945"/>
      <c r="HK82" s="1009">
        <f t="shared" si="284"/>
        <v>-398668.78395097761</v>
      </c>
      <c r="HL82" s="503"/>
      <c r="HM82" s="503"/>
      <c r="HN82" s="503"/>
      <c r="HO82" s="503"/>
      <c r="HP82" s="503"/>
      <c r="HQ82" s="503"/>
      <c r="HR82" s="956">
        <f t="shared" si="285"/>
        <v>0</v>
      </c>
      <c r="HS82" s="503"/>
      <c r="HT82" s="503"/>
      <c r="HU82" s="956"/>
      <c r="HV82" s="503"/>
      <c r="HW82" s="956"/>
      <c r="HX82" s="956"/>
      <c r="HY82" s="503"/>
      <c r="HZ82" s="503"/>
      <c r="IA82" s="503"/>
      <c r="ID82" s="1394"/>
    </row>
    <row r="83" spans="1:238" s="1051" customFormat="1" ht="14.25" hidden="1" customHeight="1">
      <c r="A83" s="1018">
        <f t="shared" si="326"/>
        <v>77</v>
      </c>
      <c r="B83" s="716" t="s">
        <v>264</v>
      </c>
      <c r="C83" s="741">
        <f t="shared" si="289"/>
        <v>11</v>
      </c>
      <c r="D83" s="716" t="s">
        <v>263</v>
      </c>
      <c r="E83" s="743" t="str">
        <f t="shared" si="328"/>
        <v>6th Floor</v>
      </c>
      <c r="F83" s="1048"/>
      <c r="G83" s="745" t="s">
        <v>470</v>
      </c>
      <c r="H83" s="745" t="s">
        <v>328</v>
      </c>
      <c r="I83" s="745" t="s">
        <v>267</v>
      </c>
      <c r="J83" s="1005">
        <v>22</v>
      </c>
      <c r="K83" s="1049"/>
      <c r="L83" s="1006" t="s">
        <v>268</v>
      </c>
      <c r="M83" s="745" t="s">
        <v>79</v>
      </c>
      <c r="N83" s="1050">
        <v>95909.091</v>
      </c>
      <c r="O83" s="934">
        <f t="shared" si="298"/>
        <v>2110000.0019999999</v>
      </c>
      <c r="P83" s="934">
        <f t="shared" si="327"/>
        <v>22400</v>
      </c>
      <c r="Q83" s="934">
        <f t="shared" si="293"/>
        <v>50000</v>
      </c>
      <c r="R83" s="934"/>
      <c r="S83" s="934"/>
      <c r="T83" s="934"/>
      <c r="U83" s="934"/>
      <c r="V83" s="749"/>
      <c r="W83" s="934"/>
      <c r="X83" s="934"/>
      <c r="Y83" s="934">
        <f t="shared" si="290"/>
        <v>40000</v>
      </c>
      <c r="Z83" s="934">
        <f t="shared" si="299"/>
        <v>75000</v>
      </c>
      <c r="AA83" s="934"/>
      <c r="AB83" s="934"/>
      <c r="AC83" s="934"/>
      <c r="AD83" s="934"/>
      <c r="AE83" s="934">
        <f t="shared" si="199"/>
        <v>187400</v>
      </c>
      <c r="AF83" s="1005">
        <f t="shared" si="200"/>
        <v>2297400.0019999999</v>
      </c>
      <c r="AG83" s="1005">
        <f t="shared" si="220"/>
        <v>57435.000050000002</v>
      </c>
      <c r="AH83" s="1005">
        <f t="shared" si="221"/>
        <v>2354835.0020499998</v>
      </c>
      <c r="AI83" s="1005">
        <f t="shared" si="222"/>
        <v>58870.875051249997</v>
      </c>
      <c r="AJ83" s="1005">
        <f t="shared" si="223"/>
        <v>2413705.87710125</v>
      </c>
      <c r="AK83" s="1005">
        <f t="shared" si="224"/>
        <v>120685.29385506251</v>
      </c>
      <c r="AL83" s="1005">
        <f t="shared" si="300"/>
        <v>2534391.1709563127</v>
      </c>
      <c r="AM83" s="934">
        <f t="shared" si="225"/>
        <v>25343.911709563126</v>
      </c>
      <c r="AN83" s="934">
        <f t="shared" si="226"/>
        <v>27537.409960060559</v>
      </c>
      <c r="AO83" s="934"/>
      <c r="AP83" s="934">
        <f t="shared" si="301"/>
        <v>112065.9657786489</v>
      </c>
      <c r="AQ83" s="1005">
        <f t="shared" si="201"/>
        <v>2699338.4584045853</v>
      </c>
      <c r="AR83" s="1005">
        <f t="shared" si="227"/>
        <v>121470.23062820634</v>
      </c>
      <c r="AS83" s="1147">
        <f t="shared" si="228"/>
        <v>2820808.6890327916</v>
      </c>
      <c r="AT83" s="1148">
        <f t="shared" si="302"/>
        <v>2000000</v>
      </c>
      <c r="AU83" s="1148">
        <f t="shared" si="202"/>
        <v>37309.485865126895</v>
      </c>
      <c r="AV83" s="1148">
        <f t="shared" si="303"/>
        <v>820808.68903279165</v>
      </c>
      <c r="AW83" s="1148">
        <f t="shared" si="203"/>
        <v>98497.042683934997</v>
      </c>
      <c r="AX83" s="1148">
        <f t="shared" si="204"/>
        <v>919305.73171672667</v>
      </c>
      <c r="AY83" s="1147">
        <f t="shared" si="229"/>
        <v>2919305.7317167264</v>
      </c>
      <c r="AZ83" s="934">
        <f t="shared" si="230"/>
        <v>36491.321646459081</v>
      </c>
      <c r="BA83" s="716" t="s">
        <v>269</v>
      </c>
      <c r="BB83" s="716">
        <f t="shared" si="205"/>
        <v>2955797.0533631854</v>
      </c>
      <c r="BC83" s="716" t="s">
        <v>269</v>
      </c>
      <c r="BD83" s="716">
        <f t="shared" si="231"/>
        <v>110842.38950111945</v>
      </c>
      <c r="BE83" s="716">
        <f t="shared" si="232"/>
        <v>33600</v>
      </c>
      <c r="BF83" s="716">
        <f t="shared" si="233"/>
        <v>3100239.4428643049</v>
      </c>
      <c r="BG83" s="716"/>
      <c r="BH83" s="716">
        <f t="shared" si="234"/>
        <v>3100239.4428643049</v>
      </c>
      <c r="BI83" s="716"/>
      <c r="BJ83" s="716">
        <f t="shared" si="235"/>
        <v>3100239.4428643049</v>
      </c>
      <c r="BK83" s="716"/>
      <c r="BL83" s="716">
        <f t="shared" si="236"/>
        <v>3100239.4428643049</v>
      </c>
      <c r="BM83" s="716"/>
      <c r="BN83" s="716">
        <f t="shared" si="206"/>
        <v>3100239.4428643049</v>
      </c>
      <c r="BO83" s="716"/>
      <c r="BP83" s="716">
        <f t="shared" si="237"/>
        <v>3100239.4428643049</v>
      </c>
      <c r="BQ83" s="716"/>
      <c r="BR83" s="716">
        <f t="shared" si="238"/>
        <v>3100239.4428643049</v>
      </c>
      <c r="BS83" s="716"/>
      <c r="BT83" s="716">
        <f t="shared" si="239"/>
        <v>3100239.4428643049</v>
      </c>
      <c r="BU83" s="716"/>
      <c r="BV83" s="716">
        <f t="shared" si="207"/>
        <v>3100239.4428643049</v>
      </c>
      <c r="BW83" s="716"/>
      <c r="BX83" s="716">
        <f t="shared" ref="BX83:BX146" si="329">$BX$2+$BX$3-BE83</f>
        <v>31400</v>
      </c>
      <c r="BY83" s="716">
        <f t="shared" si="240"/>
        <v>3131639.4428643049</v>
      </c>
      <c r="BZ83" s="716"/>
      <c r="CA83" s="716">
        <f t="shared" si="241"/>
        <v>3131639.4428643049</v>
      </c>
      <c r="CB83" s="1135">
        <f t="shared" si="242"/>
        <v>3131639.4428643049</v>
      </c>
      <c r="CC83" s="1164">
        <f t="shared" si="286"/>
        <v>3131639.4428643049</v>
      </c>
      <c r="CD83" s="1164"/>
      <c r="CE83" s="1164">
        <f t="shared" si="243"/>
        <v>0</v>
      </c>
      <c r="CF83" s="1164">
        <f t="shared" si="291"/>
        <v>0</v>
      </c>
      <c r="CG83" s="1164">
        <f t="shared" si="292"/>
        <v>0</v>
      </c>
      <c r="CH83" s="1154">
        <f t="shared" si="304"/>
        <v>3131639.4428643049</v>
      </c>
      <c r="CI83" s="935">
        <f t="shared" si="305"/>
        <v>3131639.4428643049</v>
      </c>
      <c r="CJ83" s="935">
        <f t="shared" si="244"/>
        <v>0</v>
      </c>
      <c r="CK83" s="935">
        <f t="shared" si="208"/>
        <v>320993.04289359122</v>
      </c>
      <c r="CL83" s="935">
        <f t="shared" si="209"/>
        <v>109607.38050025069</v>
      </c>
      <c r="CM83" s="1006">
        <f t="shared" si="306"/>
        <v>3562239.8662581467</v>
      </c>
      <c r="CN83" s="1007">
        <f t="shared" si="307"/>
        <v>0.125</v>
      </c>
      <c r="CO83" s="935">
        <f t="shared" si="210"/>
        <v>445279.98328226834</v>
      </c>
      <c r="CP83" s="935">
        <f t="shared" si="170"/>
        <v>30000</v>
      </c>
      <c r="CQ83" s="935">
        <f t="shared" si="211"/>
        <v>415279.98328226834</v>
      </c>
      <c r="CR83" s="745">
        <f t="shared" si="308"/>
        <v>1</v>
      </c>
      <c r="CS83" s="935">
        <f t="shared" si="212"/>
        <v>415279.98328226834</v>
      </c>
      <c r="CT83" s="1007">
        <f t="shared" si="245"/>
        <v>0.875</v>
      </c>
      <c r="CU83" s="935">
        <f t="shared" si="246"/>
        <v>3116959.8829758782</v>
      </c>
      <c r="CV83" s="1008">
        <f t="shared" si="247"/>
        <v>24165.756796379304</v>
      </c>
      <c r="CW83" s="1008">
        <f t="shared" si="248"/>
        <v>28016.116619315919</v>
      </c>
      <c r="CX83" s="1008">
        <f t="shared" si="249"/>
        <v>36190.547179778965</v>
      </c>
      <c r="CY83" s="1008">
        <f t="shared" si="250"/>
        <v>61719.541485110021</v>
      </c>
      <c r="CZ83" s="1119">
        <f t="shared" si="251"/>
        <v>253200.55859564664</v>
      </c>
      <c r="DA83" s="1119">
        <f t="shared" si="252"/>
        <v>100190.22762556261</v>
      </c>
      <c r="DB83" s="1119">
        <f t="shared" si="253"/>
        <v>72365.982400252818</v>
      </c>
      <c r="DC83" s="1119">
        <f t="shared" si="254"/>
        <v>55073.844164354283</v>
      </c>
      <c r="DD83" s="1028">
        <f t="shared" si="294"/>
        <v>0.41040434451639585</v>
      </c>
      <c r="DE83" s="1028">
        <f t="shared" si="309"/>
        <v>0</v>
      </c>
      <c r="DF83" s="1009" t="s">
        <v>270</v>
      </c>
      <c r="DG83" s="1009" t="s">
        <v>271</v>
      </c>
      <c r="DH83" s="966">
        <f t="shared" si="287"/>
        <v>45658</v>
      </c>
      <c r="DI83" s="912">
        <f t="shared" si="255"/>
        <v>14</v>
      </c>
      <c r="DJ83" s="939"/>
      <c r="DK83" s="913">
        <f t="shared" si="213"/>
        <v>45723</v>
      </c>
      <c r="DL83" s="912">
        <f t="shared" si="256"/>
        <v>16</v>
      </c>
      <c r="DM83" s="750" t="s">
        <v>272</v>
      </c>
      <c r="DN83" s="750" t="s">
        <v>273</v>
      </c>
      <c r="DO83" s="751">
        <f t="shared" si="214"/>
        <v>41786.624168942122</v>
      </c>
      <c r="DP83" s="751">
        <f t="shared" si="215"/>
        <v>919305.73171672667</v>
      </c>
      <c r="DQ83" s="752">
        <f t="shared" si="295"/>
        <v>0.45965286585836335</v>
      </c>
      <c r="DR83" s="503"/>
      <c r="DS83" s="751">
        <f t="shared" si="296"/>
        <v>3131639.4428643049</v>
      </c>
      <c r="DT83" s="751">
        <f>'[4]INTERNAL PRICELIST'!N77</f>
        <v>2063804</v>
      </c>
      <c r="DU83" s="751">
        <f t="shared" si="216"/>
        <v>1067835.4428643049</v>
      </c>
      <c r="DV83" s="503"/>
      <c r="DW83" s="951">
        <f t="shared" si="297"/>
        <v>142347.24740292295</v>
      </c>
      <c r="DX83" s="503"/>
      <c r="DZ83" s="1010" t="s">
        <v>470</v>
      </c>
      <c r="EA83" s="1052" t="b">
        <f t="shared" si="217"/>
        <v>1</v>
      </c>
      <c r="EB83" s="1072" t="s">
        <v>471</v>
      </c>
      <c r="EC83" s="1072" t="s">
        <v>453</v>
      </c>
      <c r="ED83" s="503"/>
      <c r="EE83" s="1029"/>
      <c r="EF83" s="503"/>
      <c r="EG83" s="503"/>
      <c r="EH83" s="930"/>
      <c r="EI83" s="930"/>
      <c r="EJ83" s="503"/>
      <c r="EK83" s="503"/>
      <c r="EL83" s="503"/>
      <c r="EM83" s="503"/>
      <c r="EN83" s="503"/>
      <c r="EO83" s="503"/>
      <c r="EP83" s="503"/>
      <c r="EQ83" s="503"/>
      <c r="ER83" s="1017" t="s">
        <v>264</v>
      </c>
      <c r="ES83" s="1391" t="s">
        <v>264</v>
      </c>
      <c r="ET83" s="1018" t="b">
        <f t="shared" si="257"/>
        <v>1</v>
      </c>
      <c r="EU83" s="940"/>
      <c r="EV83" s="941"/>
      <c r="EW83" s="940"/>
      <c r="EX83" s="1019">
        <v>2929829.1706836312</v>
      </c>
      <c r="EY83" s="1019">
        <f t="shared" si="310"/>
        <v>439474.37560254469</v>
      </c>
      <c r="EZ83" s="1019">
        <f t="shared" si="311"/>
        <v>2490354.7950810865</v>
      </c>
      <c r="FA83" s="1019">
        <f t="shared" si="312"/>
        <v>292982.91706836311</v>
      </c>
      <c r="FB83" s="1019">
        <f t="shared" si="313"/>
        <v>2636846.253615268</v>
      </c>
      <c r="FC83" s="1019">
        <f t="shared" si="314"/>
        <v>146491.45853418158</v>
      </c>
      <c r="FD83" s="1020"/>
      <c r="FE83" s="1021"/>
      <c r="FF83" s="1022">
        <f t="shared" si="315"/>
        <v>2490354.7950810865</v>
      </c>
      <c r="FG83" s="1022">
        <f t="shared" si="316"/>
        <v>211680.15758189236</v>
      </c>
      <c r="FH83" s="1022">
        <f t="shared" si="317"/>
        <v>105840.07879094618</v>
      </c>
      <c r="FI83" s="1023">
        <f t="shared" si="318"/>
        <v>2636846.253615268</v>
      </c>
      <c r="FJ83" s="1023">
        <f t="shared" si="319"/>
        <v>224131.93155729779</v>
      </c>
      <c r="FK83" s="1023">
        <f t="shared" si="320"/>
        <v>112065.9657786489</v>
      </c>
      <c r="FL83" s="1019">
        <f t="shared" si="321"/>
        <v>12451.773975405435</v>
      </c>
      <c r="FM83" s="1019">
        <f t="shared" si="322"/>
        <v>6225.8869877027173</v>
      </c>
      <c r="FN83" s="1019" t="str">
        <f t="shared" si="323"/>
        <v>VS</v>
      </c>
      <c r="FO83" s="1019">
        <f t="shared" si="324"/>
        <v>27537.409960060559</v>
      </c>
      <c r="FP83" s="1019">
        <f t="shared" si="325"/>
        <v>-21311.522972357841</v>
      </c>
      <c r="FQ83" s="1021"/>
      <c r="FR83" s="1021"/>
      <c r="FS83" s="1020"/>
      <c r="FT83" s="503"/>
      <c r="FU83" s="956"/>
      <c r="FV83" s="503"/>
      <c r="FW83" s="503"/>
      <c r="FX83" s="1040"/>
      <c r="FY83" s="503"/>
      <c r="FZ83" s="503"/>
      <c r="GA83" s="503"/>
      <c r="GB83" s="1059"/>
      <c r="GE83" s="503"/>
      <c r="GF83" s="1059"/>
      <c r="GG83" s="956"/>
      <c r="GH83" s="945"/>
      <c r="GI83" s="1024">
        <f t="shared" si="258"/>
        <v>3562239.8662581467</v>
      </c>
      <c r="GJ83" s="1025">
        <f t="shared" si="259"/>
        <v>0.125</v>
      </c>
      <c r="GK83" s="1024">
        <f t="shared" si="260"/>
        <v>445279.98328226834</v>
      </c>
      <c r="GL83" s="1024">
        <f t="shared" si="261"/>
        <v>30000</v>
      </c>
      <c r="GM83" s="1024">
        <f t="shared" si="262"/>
        <v>415279.98328226834</v>
      </c>
      <c r="GN83" s="1024">
        <f t="shared" si="263"/>
        <v>1</v>
      </c>
      <c r="GO83" s="1024">
        <f t="shared" si="264"/>
        <v>415279.98328226834</v>
      </c>
      <c r="GP83" s="1025">
        <f t="shared" si="265"/>
        <v>0.875</v>
      </c>
      <c r="GQ83" s="1024">
        <f t="shared" si="266"/>
        <v>3116959.8829758782</v>
      </c>
      <c r="GR83" s="1024">
        <f t="shared" si="267"/>
        <v>24165.756796379304</v>
      </c>
      <c r="GS83" s="1024">
        <f t="shared" si="268"/>
        <v>28016.116619315919</v>
      </c>
      <c r="GT83" s="1024">
        <f t="shared" si="269"/>
        <v>36190.547179778965</v>
      </c>
      <c r="GU83" s="1024">
        <f t="shared" si="270"/>
        <v>61719.541485110021</v>
      </c>
      <c r="GV83" s="945"/>
      <c r="GW83" s="1024">
        <f t="shared" si="271"/>
        <v>3562239.8662581467</v>
      </c>
      <c r="GX83" s="1025">
        <f t="shared" si="272"/>
        <v>0.125</v>
      </c>
      <c r="GY83" s="1024">
        <f t="shared" si="273"/>
        <v>445279.98328226834</v>
      </c>
      <c r="GZ83" s="1024">
        <f t="shared" si="274"/>
        <v>30000</v>
      </c>
      <c r="HA83" s="1024">
        <f t="shared" si="275"/>
        <v>415279.98328226834</v>
      </c>
      <c r="HB83" s="1026">
        <f t="shared" si="276"/>
        <v>25</v>
      </c>
      <c r="HC83" s="1009">
        <f t="shared" si="277"/>
        <v>16611.199331290733</v>
      </c>
      <c r="HD83" s="1027">
        <f t="shared" si="278"/>
        <v>0.875</v>
      </c>
      <c r="HE83" s="1009">
        <f t="shared" si="279"/>
        <v>3116959.8829758782</v>
      </c>
      <c r="HF83" s="1008">
        <f t="shared" si="280"/>
        <v>24165.756796379304</v>
      </c>
      <c r="HG83" s="1008">
        <f t="shared" si="281"/>
        <v>28016.116619315919</v>
      </c>
      <c r="HH83" s="1008">
        <f t="shared" si="282"/>
        <v>36190.547179778965</v>
      </c>
      <c r="HI83" s="1008">
        <f t="shared" si="283"/>
        <v>61719.541485110021</v>
      </c>
      <c r="HJ83" s="945"/>
      <c r="HK83" s="1009">
        <f t="shared" si="284"/>
        <v>-398668.78395097761</v>
      </c>
      <c r="HL83" s="503"/>
      <c r="HM83" s="503"/>
      <c r="HN83" s="503"/>
      <c r="HO83" s="503"/>
      <c r="HP83" s="503"/>
      <c r="HQ83" s="503"/>
      <c r="HR83" s="956">
        <f t="shared" si="285"/>
        <v>0</v>
      </c>
      <c r="HS83" s="503"/>
      <c r="HT83" s="503"/>
      <c r="HU83" s="956"/>
      <c r="HV83" s="503"/>
      <c r="HW83" s="956"/>
      <c r="HX83" s="956"/>
      <c r="HY83" s="503"/>
      <c r="HZ83" s="503"/>
      <c r="IA83" s="503"/>
      <c r="ID83" s="1394"/>
    </row>
    <row r="84" spans="1:238" s="1051" customFormat="1" ht="14.25" hidden="1" customHeight="1">
      <c r="A84" s="1018">
        <f t="shared" si="326"/>
        <v>78</v>
      </c>
      <c r="B84" s="716" t="s">
        <v>264</v>
      </c>
      <c r="C84" s="741">
        <f t="shared" si="289"/>
        <v>12</v>
      </c>
      <c r="D84" s="716" t="s">
        <v>263</v>
      </c>
      <c r="E84" s="743" t="str">
        <f t="shared" si="328"/>
        <v>6th Floor</v>
      </c>
      <c r="F84" s="1048"/>
      <c r="G84" s="745" t="s">
        <v>472</v>
      </c>
      <c r="H84" s="745" t="s">
        <v>331</v>
      </c>
      <c r="I84" s="745" t="s">
        <v>267</v>
      </c>
      <c r="J84" s="1005">
        <v>22</v>
      </c>
      <c r="K84" s="1049"/>
      <c r="L84" s="1006" t="s">
        <v>268</v>
      </c>
      <c r="M84" s="745" t="s">
        <v>79</v>
      </c>
      <c r="N84" s="1050">
        <v>95909.091</v>
      </c>
      <c r="O84" s="934">
        <f t="shared" si="298"/>
        <v>2110000.0019999999</v>
      </c>
      <c r="P84" s="934">
        <f t="shared" si="327"/>
        <v>22400</v>
      </c>
      <c r="Q84" s="934">
        <f t="shared" si="293"/>
        <v>50000</v>
      </c>
      <c r="R84" s="934"/>
      <c r="S84" s="934"/>
      <c r="T84" s="934"/>
      <c r="U84" s="934"/>
      <c r="V84" s="749"/>
      <c r="W84" s="934"/>
      <c r="X84" s="934"/>
      <c r="Y84" s="934">
        <f t="shared" si="290"/>
        <v>40000</v>
      </c>
      <c r="Z84" s="934">
        <f t="shared" si="299"/>
        <v>75000</v>
      </c>
      <c r="AA84" s="934"/>
      <c r="AB84" s="934"/>
      <c r="AC84" s="934"/>
      <c r="AD84" s="934"/>
      <c r="AE84" s="934">
        <f t="shared" si="199"/>
        <v>187400</v>
      </c>
      <c r="AF84" s="1005">
        <f t="shared" si="200"/>
        <v>2297400.0019999999</v>
      </c>
      <c r="AG84" s="1005">
        <f t="shared" si="220"/>
        <v>57435.000050000002</v>
      </c>
      <c r="AH84" s="1005">
        <f t="shared" si="221"/>
        <v>2354835.0020499998</v>
      </c>
      <c r="AI84" s="1005">
        <f t="shared" si="222"/>
        <v>58870.875051249997</v>
      </c>
      <c r="AJ84" s="1005">
        <f t="shared" si="223"/>
        <v>2413705.87710125</v>
      </c>
      <c r="AK84" s="1005">
        <f t="shared" si="224"/>
        <v>120685.29385506251</v>
      </c>
      <c r="AL84" s="1005">
        <f t="shared" si="300"/>
        <v>2534391.1709563127</v>
      </c>
      <c r="AM84" s="934">
        <f t="shared" si="225"/>
        <v>25343.911709563126</v>
      </c>
      <c r="AN84" s="934">
        <f t="shared" si="226"/>
        <v>27537.409960060559</v>
      </c>
      <c r="AO84" s="934"/>
      <c r="AP84" s="934">
        <f t="shared" si="301"/>
        <v>112065.9657786489</v>
      </c>
      <c r="AQ84" s="1005">
        <f t="shared" si="201"/>
        <v>2699338.4584045853</v>
      </c>
      <c r="AR84" s="1005">
        <f t="shared" si="227"/>
        <v>121470.23062820634</v>
      </c>
      <c r="AS84" s="1147">
        <f t="shared" si="228"/>
        <v>2820808.6890327916</v>
      </c>
      <c r="AT84" s="1148">
        <f t="shared" si="302"/>
        <v>2000000</v>
      </c>
      <c r="AU84" s="1148">
        <f t="shared" si="202"/>
        <v>37309.485865126895</v>
      </c>
      <c r="AV84" s="1148">
        <f t="shared" si="303"/>
        <v>820808.68903279165</v>
      </c>
      <c r="AW84" s="1148">
        <f t="shared" si="203"/>
        <v>98497.042683934997</v>
      </c>
      <c r="AX84" s="1148">
        <f t="shared" si="204"/>
        <v>919305.73171672667</v>
      </c>
      <c r="AY84" s="1147">
        <f t="shared" si="229"/>
        <v>2919305.7317167264</v>
      </c>
      <c r="AZ84" s="934">
        <f t="shared" si="230"/>
        <v>36491.321646459081</v>
      </c>
      <c r="BA84" s="716" t="s">
        <v>269</v>
      </c>
      <c r="BB84" s="716">
        <f t="shared" si="205"/>
        <v>2955797.0533631854</v>
      </c>
      <c r="BC84" s="716" t="s">
        <v>269</v>
      </c>
      <c r="BD84" s="716">
        <f t="shared" si="231"/>
        <v>110842.38950111945</v>
      </c>
      <c r="BE84" s="716">
        <f t="shared" si="232"/>
        <v>33600</v>
      </c>
      <c r="BF84" s="716">
        <f t="shared" si="233"/>
        <v>3100239.4428643049</v>
      </c>
      <c r="BG84" s="716"/>
      <c r="BH84" s="716">
        <f t="shared" si="234"/>
        <v>3100239.4428643049</v>
      </c>
      <c r="BI84" s="716"/>
      <c r="BJ84" s="716">
        <f t="shared" si="235"/>
        <v>3100239.4428643049</v>
      </c>
      <c r="BK84" s="716"/>
      <c r="BL84" s="716">
        <f t="shared" si="236"/>
        <v>3100239.4428643049</v>
      </c>
      <c r="BM84" s="716"/>
      <c r="BN84" s="716">
        <f t="shared" si="206"/>
        <v>3100239.4428643049</v>
      </c>
      <c r="BO84" s="716"/>
      <c r="BP84" s="716">
        <f t="shared" si="237"/>
        <v>3100239.4428643049</v>
      </c>
      <c r="BQ84" s="716"/>
      <c r="BR84" s="716">
        <f t="shared" si="238"/>
        <v>3100239.4428643049</v>
      </c>
      <c r="BS84" s="716"/>
      <c r="BT84" s="716">
        <f t="shared" si="239"/>
        <v>3100239.4428643049</v>
      </c>
      <c r="BU84" s="716"/>
      <c r="BV84" s="716">
        <f t="shared" si="207"/>
        <v>3100239.4428643049</v>
      </c>
      <c r="BW84" s="716"/>
      <c r="BX84" s="716">
        <f t="shared" si="329"/>
        <v>31400</v>
      </c>
      <c r="BY84" s="716">
        <f t="shared" si="240"/>
        <v>3131639.4428643049</v>
      </c>
      <c r="BZ84" s="716"/>
      <c r="CA84" s="716">
        <f t="shared" si="241"/>
        <v>3131639.4428643049</v>
      </c>
      <c r="CB84" s="1135">
        <f t="shared" si="242"/>
        <v>3131639.4428643049</v>
      </c>
      <c r="CC84" s="1164">
        <f t="shared" si="286"/>
        <v>3131639.4428643049</v>
      </c>
      <c r="CD84" s="1164"/>
      <c r="CE84" s="1164">
        <f t="shared" si="243"/>
        <v>0</v>
      </c>
      <c r="CF84" s="1164">
        <f t="shared" si="291"/>
        <v>0</v>
      </c>
      <c r="CG84" s="1164">
        <f t="shared" si="292"/>
        <v>0</v>
      </c>
      <c r="CH84" s="1154">
        <f t="shared" si="304"/>
        <v>3131639.4428643049</v>
      </c>
      <c r="CI84" s="935">
        <f t="shared" si="305"/>
        <v>3131639.4428643049</v>
      </c>
      <c r="CJ84" s="935">
        <f t="shared" si="244"/>
        <v>0</v>
      </c>
      <c r="CK84" s="935">
        <f t="shared" si="208"/>
        <v>320993.04289359122</v>
      </c>
      <c r="CL84" s="935">
        <f t="shared" si="209"/>
        <v>109607.38050025069</v>
      </c>
      <c r="CM84" s="1006">
        <f t="shared" si="306"/>
        <v>3562239.8662581467</v>
      </c>
      <c r="CN84" s="1007">
        <f t="shared" si="307"/>
        <v>0.125</v>
      </c>
      <c r="CO84" s="935">
        <f t="shared" si="210"/>
        <v>445279.98328226834</v>
      </c>
      <c r="CP84" s="935">
        <f t="shared" ref="CP84:CP147" si="330">$CP$5</f>
        <v>30000</v>
      </c>
      <c r="CQ84" s="935">
        <f t="shared" si="211"/>
        <v>415279.98328226834</v>
      </c>
      <c r="CR84" s="745">
        <f t="shared" si="308"/>
        <v>1</v>
      </c>
      <c r="CS84" s="935">
        <f t="shared" si="212"/>
        <v>415279.98328226834</v>
      </c>
      <c r="CT84" s="1007">
        <f t="shared" si="245"/>
        <v>0.875</v>
      </c>
      <c r="CU84" s="935">
        <f t="shared" si="246"/>
        <v>3116959.8829758782</v>
      </c>
      <c r="CV84" s="1008">
        <f t="shared" si="247"/>
        <v>24165.756796379304</v>
      </c>
      <c r="CW84" s="1008">
        <f t="shared" si="248"/>
        <v>28016.116619315919</v>
      </c>
      <c r="CX84" s="1008">
        <f t="shared" si="249"/>
        <v>36190.547179778965</v>
      </c>
      <c r="CY84" s="1008">
        <f t="shared" si="250"/>
        <v>61719.541485110021</v>
      </c>
      <c r="CZ84" s="1119">
        <f t="shared" si="251"/>
        <v>253200.55859564664</v>
      </c>
      <c r="DA84" s="1119">
        <f t="shared" si="252"/>
        <v>100190.22762556261</v>
      </c>
      <c r="DB84" s="1119">
        <f t="shared" si="253"/>
        <v>72365.982400252818</v>
      </c>
      <c r="DC84" s="1119">
        <f t="shared" si="254"/>
        <v>55073.844164354283</v>
      </c>
      <c r="DD84" s="1028">
        <f t="shared" si="294"/>
        <v>0.41040434451639585</v>
      </c>
      <c r="DE84" s="1028">
        <f t="shared" si="309"/>
        <v>0</v>
      </c>
      <c r="DF84" s="1009" t="s">
        <v>270</v>
      </c>
      <c r="DG84" s="1009" t="s">
        <v>271</v>
      </c>
      <c r="DH84" s="966">
        <f t="shared" si="287"/>
        <v>45658</v>
      </c>
      <c r="DI84" s="912">
        <f t="shared" si="255"/>
        <v>14</v>
      </c>
      <c r="DJ84" s="939"/>
      <c r="DK84" s="913">
        <f t="shared" si="213"/>
        <v>45723</v>
      </c>
      <c r="DL84" s="912">
        <f t="shared" si="256"/>
        <v>16</v>
      </c>
      <c r="DM84" s="750" t="s">
        <v>272</v>
      </c>
      <c r="DN84" s="750" t="s">
        <v>273</v>
      </c>
      <c r="DO84" s="751">
        <f t="shared" si="214"/>
        <v>41786.624168942122</v>
      </c>
      <c r="DP84" s="751">
        <f t="shared" si="215"/>
        <v>919305.73171672667</v>
      </c>
      <c r="DQ84" s="752">
        <f t="shared" si="295"/>
        <v>0.45965286585836335</v>
      </c>
      <c r="DR84" s="503"/>
      <c r="DS84" s="751">
        <f t="shared" si="296"/>
        <v>3131639.4428643049</v>
      </c>
      <c r="DT84" s="751">
        <f>'[4]INTERNAL PRICELIST'!N78</f>
        <v>2111900</v>
      </c>
      <c r="DU84" s="751">
        <f t="shared" si="216"/>
        <v>1019739.4428643049</v>
      </c>
      <c r="DV84" s="503"/>
      <c r="DW84" s="951">
        <f t="shared" si="297"/>
        <v>142347.24740292295</v>
      </c>
      <c r="DX84" s="503"/>
      <c r="DZ84" s="1010" t="s">
        <v>472</v>
      </c>
      <c r="EA84" s="1052" t="b">
        <f t="shared" si="217"/>
        <v>1</v>
      </c>
      <c r="EB84" s="1072" t="s">
        <v>473</v>
      </c>
      <c r="EC84" s="1072" t="s">
        <v>453</v>
      </c>
      <c r="ED84" s="503"/>
      <c r="EE84" s="1029"/>
      <c r="EF84" s="503"/>
      <c r="EG84" s="503"/>
      <c r="EH84" s="930"/>
      <c r="EI84" s="930"/>
      <c r="EJ84" s="503"/>
      <c r="EK84" s="503"/>
      <c r="EL84" s="503"/>
      <c r="EM84" s="503"/>
      <c r="EN84" s="503"/>
      <c r="EO84" s="503"/>
      <c r="EP84" s="503"/>
      <c r="EQ84" s="503"/>
      <c r="ER84" s="1017" t="s">
        <v>264</v>
      </c>
      <c r="ES84" s="1391" t="s">
        <v>264</v>
      </c>
      <c r="ET84" s="1018" t="b">
        <f t="shared" si="257"/>
        <v>1</v>
      </c>
      <c r="EU84" s="940"/>
      <c r="EV84" s="941"/>
      <c r="EW84" s="940"/>
      <c r="EX84" s="1019">
        <v>2929829.1706836312</v>
      </c>
      <c r="EY84" s="1019">
        <f t="shared" si="310"/>
        <v>439474.37560254469</v>
      </c>
      <c r="EZ84" s="1019">
        <f t="shared" si="311"/>
        <v>2490354.7950810865</v>
      </c>
      <c r="FA84" s="1019">
        <f t="shared" si="312"/>
        <v>292982.91706836311</v>
      </c>
      <c r="FB84" s="1019">
        <f t="shared" si="313"/>
        <v>2636846.253615268</v>
      </c>
      <c r="FC84" s="1019">
        <f t="shared" si="314"/>
        <v>146491.45853418158</v>
      </c>
      <c r="FD84" s="1020"/>
      <c r="FE84" s="1021"/>
      <c r="FF84" s="1022">
        <f t="shared" si="315"/>
        <v>2490354.7950810865</v>
      </c>
      <c r="FG84" s="1022">
        <f t="shared" si="316"/>
        <v>211680.15758189236</v>
      </c>
      <c r="FH84" s="1022">
        <f t="shared" si="317"/>
        <v>105840.07879094618</v>
      </c>
      <c r="FI84" s="1023">
        <f t="shared" si="318"/>
        <v>2636846.253615268</v>
      </c>
      <c r="FJ84" s="1023">
        <f t="shared" si="319"/>
        <v>224131.93155729779</v>
      </c>
      <c r="FK84" s="1023">
        <f t="shared" si="320"/>
        <v>112065.9657786489</v>
      </c>
      <c r="FL84" s="1019">
        <f t="shared" si="321"/>
        <v>12451.773975405435</v>
      </c>
      <c r="FM84" s="1019">
        <f t="shared" si="322"/>
        <v>6225.8869877027173</v>
      </c>
      <c r="FN84" s="1019" t="str">
        <f t="shared" si="323"/>
        <v>VS</v>
      </c>
      <c r="FO84" s="1019">
        <f t="shared" si="324"/>
        <v>27537.409960060559</v>
      </c>
      <c r="FP84" s="1019">
        <f t="shared" si="325"/>
        <v>-21311.522972357841</v>
      </c>
      <c r="FQ84" s="1021"/>
      <c r="FR84" s="1021"/>
      <c r="FS84" s="1020"/>
      <c r="FT84" s="503"/>
      <c r="FU84" s="956"/>
      <c r="FV84" s="503"/>
      <c r="FW84" s="503"/>
      <c r="FX84" s="1040"/>
      <c r="FY84" s="503"/>
      <c r="FZ84" s="503"/>
      <c r="GA84" s="503"/>
      <c r="GB84" s="1059"/>
      <c r="GE84" s="503"/>
      <c r="GF84" s="1059"/>
      <c r="GG84" s="956"/>
      <c r="GH84" s="945"/>
      <c r="GI84" s="1024">
        <f t="shared" si="258"/>
        <v>3562239.8662581467</v>
      </c>
      <c r="GJ84" s="1025">
        <f t="shared" si="259"/>
        <v>0.125</v>
      </c>
      <c r="GK84" s="1024">
        <f t="shared" si="260"/>
        <v>445279.98328226834</v>
      </c>
      <c r="GL84" s="1024">
        <f t="shared" si="261"/>
        <v>30000</v>
      </c>
      <c r="GM84" s="1024">
        <f t="shared" si="262"/>
        <v>415279.98328226834</v>
      </c>
      <c r="GN84" s="1024">
        <f t="shared" si="263"/>
        <v>1</v>
      </c>
      <c r="GO84" s="1024">
        <f t="shared" si="264"/>
        <v>415279.98328226834</v>
      </c>
      <c r="GP84" s="1025">
        <f t="shared" si="265"/>
        <v>0.875</v>
      </c>
      <c r="GQ84" s="1024">
        <f t="shared" si="266"/>
        <v>3116959.8829758782</v>
      </c>
      <c r="GR84" s="1024">
        <f t="shared" si="267"/>
        <v>24165.756796379304</v>
      </c>
      <c r="GS84" s="1024">
        <f t="shared" si="268"/>
        <v>28016.116619315919</v>
      </c>
      <c r="GT84" s="1024">
        <f t="shared" si="269"/>
        <v>36190.547179778965</v>
      </c>
      <c r="GU84" s="1024">
        <f t="shared" si="270"/>
        <v>61719.541485110021</v>
      </c>
      <c r="GV84" s="945"/>
      <c r="GW84" s="1024">
        <f t="shared" si="271"/>
        <v>3562239.8662581467</v>
      </c>
      <c r="GX84" s="1025">
        <f t="shared" si="272"/>
        <v>0.125</v>
      </c>
      <c r="GY84" s="1024">
        <f t="shared" si="273"/>
        <v>445279.98328226834</v>
      </c>
      <c r="GZ84" s="1024">
        <f t="shared" si="274"/>
        <v>30000</v>
      </c>
      <c r="HA84" s="1024">
        <f t="shared" si="275"/>
        <v>415279.98328226834</v>
      </c>
      <c r="HB84" s="1026">
        <f t="shared" si="276"/>
        <v>25</v>
      </c>
      <c r="HC84" s="1009">
        <f t="shared" si="277"/>
        <v>16611.199331290733</v>
      </c>
      <c r="HD84" s="1027">
        <f t="shared" si="278"/>
        <v>0.875</v>
      </c>
      <c r="HE84" s="1009">
        <f t="shared" si="279"/>
        <v>3116959.8829758782</v>
      </c>
      <c r="HF84" s="1008">
        <f t="shared" si="280"/>
        <v>24165.756796379304</v>
      </c>
      <c r="HG84" s="1008">
        <f t="shared" si="281"/>
        <v>28016.116619315919</v>
      </c>
      <c r="HH84" s="1008">
        <f t="shared" si="282"/>
        <v>36190.547179778965</v>
      </c>
      <c r="HI84" s="1008">
        <f t="shared" si="283"/>
        <v>61719.541485110021</v>
      </c>
      <c r="HJ84" s="945"/>
      <c r="HK84" s="1009">
        <f t="shared" si="284"/>
        <v>-398668.78395097761</v>
      </c>
      <c r="HL84" s="503"/>
      <c r="HM84" s="503"/>
      <c r="HN84" s="503"/>
      <c r="HO84" s="503"/>
      <c r="HP84" s="503"/>
      <c r="HQ84" s="503"/>
      <c r="HR84" s="956">
        <f t="shared" si="285"/>
        <v>0</v>
      </c>
      <c r="HS84" s="503"/>
      <c r="HT84" s="503"/>
      <c r="HU84" s="956"/>
      <c r="HV84" s="503"/>
      <c r="HW84" s="956"/>
      <c r="HX84" s="956"/>
      <c r="HY84" s="503"/>
      <c r="HZ84" s="503"/>
      <c r="IA84" s="503"/>
      <c r="ID84" s="1394"/>
    </row>
    <row r="85" spans="1:238" s="1051" customFormat="1" ht="14.25" hidden="1" customHeight="1">
      <c r="A85" s="1018">
        <f t="shared" si="326"/>
        <v>79</v>
      </c>
      <c r="B85" s="716" t="s">
        <v>264</v>
      </c>
      <c r="C85" s="741">
        <f t="shared" si="289"/>
        <v>13</v>
      </c>
      <c r="D85" s="716" t="s">
        <v>263</v>
      </c>
      <c r="E85" s="743" t="str">
        <f t="shared" si="328"/>
        <v>6th Floor</v>
      </c>
      <c r="F85" s="1048"/>
      <c r="G85" s="745" t="s">
        <v>474</v>
      </c>
      <c r="H85" s="745" t="s">
        <v>336</v>
      </c>
      <c r="I85" s="745" t="s">
        <v>267</v>
      </c>
      <c r="J85" s="1005">
        <v>22</v>
      </c>
      <c r="K85" s="1049"/>
      <c r="L85" s="1006" t="s">
        <v>268</v>
      </c>
      <c r="M85" s="745" t="s">
        <v>79</v>
      </c>
      <c r="N85" s="1050">
        <v>95909.091</v>
      </c>
      <c r="O85" s="934">
        <f t="shared" si="298"/>
        <v>2110000.0019999999</v>
      </c>
      <c r="P85" s="934">
        <f t="shared" si="327"/>
        <v>22400</v>
      </c>
      <c r="Q85" s="934">
        <f t="shared" si="293"/>
        <v>50000</v>
      </c>
      <c r="R85" s="934"/>
      <c r="S85" s="934"/>
      <c r="T85" s="934"/>
      <c r="U85" s="934"/>
      <c r="V85" s="934"/>
      <c r="W85" s="749"/>
      <c r="X85" s="934"/>
      <c r="Y85" s="934">
        <f t="shared" si="290"/>
        <v>40000</v>
      </c>
      <c r="Z85" s="934">
        <f t="shared" si="299"/>
        <v>75000</v>
      </c>
      <c r="AA85" s="934"/>
      <c r="AB85" s="934"/>
      <c r="AC85" s="934"/>
      <c r="AD85" s="934"/>
      <c r="AE85" s="934">
        <f t="shared" si="199"/>
        <v>187400</v>
      </c>
      <c r="AF85" s="1005">
        <f t="shared" si="200"/>
        <v>2297400.0019999999</v>
      </c>
      <c r="AG85" s="1005">
        <f t="shared" si="220"/>
        <v>57435.000050000002</v>
      </c>
      <c r="AH85" s="1005">
        <f t="shared" si="221"/>
        <v>2354835.0020499998</v>
      </c>
      <c r="AI85" s="1005">
        <f t="shared" si="222"/>
        <v>58870.875051249997</v>
      </c>
      <c r="AJ85" s="1005">
        <f t="shared" si="223"/>
        <v>2413705.87710125</v>
      </c>
      <c r="AK85" s="1005">
        <f t="shared" si="224"/>
        <v>120685.29385506251</v>
      </c>
      <c r="AL85" s="1005">
        <f t="shared" si="300"/>
        <v>2534391.1709563127</v>
      </c>
      <c r="AM85" s="934">
        <f t="shared" si="225"/>
        <v>25343.911709563126</v>
      </c>
      <c r="AN85" s="934">
        <f t="shared" si="226"/>
        <v>27537.409960060559</v>
      </c>
      <c r="AO85" s="934"/>
      <c r="AP85" s="934">
        <f t="shared" si="301"/>
        <v>112065.9657786489</v>
      </c>
      <c r="AQ85" s="1005">
        <f t="shared" si="201"/>
        <v>2699338.4584045853</v>
      </c>
      <c r="AR85" s="1005">
        <f t="shared" si="227"/>
        <v>121470.23062820634</v>
      </c>
      <c r="AS85" s="1147">
        <f t="shared" si="228"/>
        <v>2820808.6890327916</v>
      </c>
      <c r="AT85" s="1148">
        <f t="shared" si="302"/>
        <v>2000000</v>
      </c>
      <c r="AU85" s="1148">
        <f t="shared" si="202"/>
        <v>37309.485865126895</v>
      </c>
      <c r="AV85" s="1148">
        <f t="shared" si="303"/>
        <v>820808.68903279165</v>
      </c>
      <c r="AW85" s="1148">
        <f t="shared" si="203"/>
        <v>98497.042683934997</v>
      </c>
      <c r="AX85" s="1148">
        <f t="shared" si="204"/>
        <v>919305.73171672667</v>
      </c>
      <c r="AY85" s="1147">
        <f t="shared" si="229"/>
        <v>2919305.7317167264</v>
      </c>
      <c r="AZ85" s="934">
        <f t="shared" si="230"/>
        <v>36491.321646459081</v>
      </c>
      <c r="BA85" s="716" t="s">
        <v>269</v>
      </c>
      <c r="BB85" s="716">
        <f t="shared" si="205"/>
        <v>2955797.0533631854</v>
      </c>
      <c r="BC85" s="716" t="s">
        <v>269</v>
      </c>
      <c r="BD85" s="716">
        <f t="shared" si="231"/>
        <v>110842.38950111945</v>
      </c>
      <c r="BE85" s="716">
        <f t="shared" si="232"/>
        <v>33600</v>
      </c>
      <c r="BF85" s="716">
        <f t="shared" si="233"/>
        <v>3100239.4428643049</v>
      </c>
      <c r="BG85" s="716"/>
      <c r="BH85" s="716">
        <f t="shared" si="234"/>
        <v>3100239.4428643049</v>
      </c>
      <c r="BI85" s="716"/>
      <c r="BJ85" s="716">
        <f t="shared" si="235"/>
        <v>3100239.4428643049</v>
      </c>
      <c r="BK85" s="716"/>
      <c r="BL85" s="716">
        <f t="shared" si="236"/>
        <v>3100239.4428643049</v>
      </c>
      <c r="BM85" s="716"/>
      <c r="BN85" s="716">
        <f t="shared" si="206"/>
        <v>3100239.4428643049</v>
      </c>
      <c r="BO85" s="716"/>
      <c r="BP85" s="716">
        <f t="shared" si="237"/>
        <v>3100239.4428643049</v>
      </c>
      <c r="BQ85" s="716"/>
      <c r="BR85" s="716">
        <f t="shared" si="238"/>
        <v>3100239.4428643049</v>
      </c>
      <c r="BS85" s="716"/>
      <c r="BT85" s="716">
        <f t="shared" si="239"/>
        <v>3100239.4428643049</v>
      </c>
      <c r="BU85" s="716"/>
      <c r="BV85" s="716">
        <f t="shared" si="207"/>
        <v>3100239.4428643049</v>
      </c>
      <c r="BW85" s="716"/>
      <c r="BX85" s="716">
        <f t="shared" si="329"/>
        <v>31400</v>
      </c>
      <c r="BY85" s="716">
        <f t="shared" si="240"/>
        <v>3131639.4428643049</v>
      </c>
      <c r="BZ85" s="716"/>
      <c r="CA85" s="716">
        <f t="shared" si="241"/>
        <v>3131639.4428643049</v>
      </c>
      <c r="CB85" s="1135">
        <f t="shared" si="242"/>
        <v>3131639.4428643049</v>
      </c>
      <c r="CC85" s="1164">
        <f t="shared" si="286"/>
        <v>3131639.4428643049</v>
      </c>
      <c r="CD85" s="1164"/>
      <c r="CE85" s="1164">
        <f t="shared" si="243"/>
        <v>0</v>
      </c>
      <c r="CF85" s="1164">
        <f t="shared" si="291"/>
        <v>0</v>
      </c>
      <c r="CG85" s="1164">
        <f t="shared" si="292"/>
        <v>0</v>
      </c>
      <c r="CH85" s="1154">
        <f t="shared" si="304"/>
        <v>3131639.4428643049</v>
      </c>
      <c r="CI85" s="935">
        <f t="shared" si="305"/>
        <v>3131639.4428643049</v>
      </c>
      <c r="CJ85" s="935">
        <f t="shared" si="244"/>
        <v>0</v>
      </c>
      <c r="CK85" s="935">
        <f t="shared" si="208"/>
        <v>320993.04289359122</v>
      </c>
      <c r="CL85" s="935">
        <f t="shared" si="209"/>
        <v>109607.38050025069</v>
      </c>
      <c r="CM85" s="1006">
        <f t="shared" si="306"/>
        <v>3562239.8662581467</v>
      </c>
      <c r="CN85" s="1007">
        <f t="shared" si="307"/>
        <v>0.125</v>
      </c>
      <c r="CO85" s="935">
        <f t="shared" si="210"/>
        <v>445279.98328226834</v>
      </c>
      <c r="CP85" s="935">
        <f t="shared" si="330"/>
        <v>30000</v>
      </c>
      <c r="CQ85" s="935">
        <f t="shared" si="211"/>
        <v>415279.98328226834</v>
      </c>
      <c r="CR85" s="745">
        <f t="shared" si="308"/>
        <v>1</v>
      </c>
      <c r="CS85" s="935">
        <f t="shared" si="212"/>
        <v>415279.98328226834</v>
      </c>
      <c r="CT85" s="1007">
        <f t="shared" si="245"/>
        <v>0.875</v>
      </c>
      <c r="CU85" s="935">
        <f t="shared" si="246"/>
        <v>3116959.8829758782</v>
      </c>
      <c r="CV85" s="1008">
        <f t="shared" si="247"/>
        <v>24165.756796379304</v>
      </c>
      <c r="CW85" s="1008">
        <f t="shared" si="248"/>
        <v>28016.116619315919</v>
      </c>
      <c r="CX85" s="1008">
        <f t="shared" si="249"/>
        <v>36190.547179778965</v>
      </c>
      <c r="CY85" s="1008">
        <f t="shared" si="250"/>
        <v>61719.541485110021</v>
      </c>
      <c r="CZ85" s="1119">
        <f t="shared" si="251"/>
        <v>253200.55859564664</v>
      </c>
      <c r="DA85" s="1119">
        <f t="shared" si="252"/>
        <v>100190.22762556261</v>
      </c>
      <c r="DB85" s="1119">
        <f t="shared" si="253"/>
        <v>72365.982400252818</v>
      </c>
      <c r="DC85" s="1119">
        <f t="shared" si="254"/>
        <v>55073.844164354283</v>
      </c>
      <c r="DD85" s="1028">
        <f t="shared" si="294"/>
        <v>0.41040434451639585</v>
      </c>
      <c r="DE85" s="1028">
        <f t="shared" si="309"/>
        <v>0</v>
      </c>
      <c r="DF85" s="1009" t="s">
        <v>270</v>
      </c>
      <c r="DG85" s="1009" t="s">
        <v>271</v>
      </c>
      <c r="DH85" s="966">
        <f t="shared" si="287"/>
        <v>45658</v>
      </c>
      <c r="DI85" s="912">
        <f t="shared" si="255"/>
        <v>14</v>
      </c>
      <c r="DJ85" s="939"/>
      <c r="DK85" s="913">
        <f t="shared" si="213"/>
        <v>45723</v>
      </c>
      <c r="DL85" s="912">
        <f t="shared" si="256"/>
        <v>16</v>
      </c>
      <c r="DM85" s="750" t="s">
        <v>272</v>
      </c>
      <c r="DN85" s="750" t="s">
        <v>273</v>
      </c>
      <c r="DO85" s="751">
        <f t="shared" si="214"/>
        <v>41786.624168942122</v>
      </c>
      <c r="DP85" s="751">
        <f t="shared" si="215"/>
        <v>919305.73171672667</v>
      </c>
      <c r="DQ85" s="752">
        <f t="shared" si="295"/>
        <v>0.45965286585836335</v>
      </c>
      <c r="DR85" s="503"/>
      <c r="DS85" s="751">
        <f t="shared" si="296"/>
        <v>3131639.4428643049</v>
      </c>
      <c r="DT85" s="751">
        <f>'[4]INTERNAL PRICELIST'!N79</f>
        <v>2111900</v>
      </c>
      <c r="DU85" s="751">
        <f t="shared" si="216"/>
        <v>1019739.4428643049</v>
      </c>
      <c r="DV85" s="503"/>
      <c r="DW85" s="951">
        <f t="shared" si="297"/>
        <v>142347.24740292295</v>
      </c>
      <c r="DX85" s="503"/>
      <c r="DZ85" s="1010" t="s">
        <v>474</v>
      </c>
      <c r="EA85" s="1052" t="b">
        <f t="shared" si="217"/>
        <v>1</v>
      </c>
      <c r="EB85" s="1072" t="s">
        <v>475</v>
      </c>
      <c r="EC85" s="1072" t="s">
        <v>453</v>
      </c>
      <c r="ED85" s="503"/>
      <c r="EE85" s="1029"/>
      <c r="EF85" s="503"/>
      <c r="EG85" s="503"/>
      <c r="EH85" s="930"/>
      <c r="EI85" s="930"/>
      <c r="EJ85" s="503"/>
      <c r="EK85" s="503"/>
      <c r="EL85" s="503"/>
      <c r="EM85" s="503"/>
      <c r="EN85" s="503"/>
      <c r="EO85" s="503"/>
      <c r="EP85" s="503"/>
      <c r="EQ85" s="503"/>
      <c r="ER85" s="1017" t="s">
        <v>264</v>
      </c>
      <c r="ES85" s="1391" t="s">
        <v>264</v>
      </c>
      <c r="ET85" s="1018" t="b">
        <f t="shared" si="257"/>
        <v>1</v>
      </c>
      <c r="EU85" s="940"/>
      <c r="EV85" s="941"/>
      <c r="EW85" s="940"/>
      <c r="EX85" s="1019">
        <v>2929829.1706836312</v>
      </c>
      <c r="EY85" s="1019">
        <f t="shared" si="310"/>
        <v>439474.37560254469</v>
      </c>
      <c r="EZ85" s="1019">
        <f t="shared" si="311"/>
        <v>2490354.7950810865</v>
      </c>
      <c r="FA85" s="1019">
        <f t="shared" si="312"/>
        <v>292982.91706836311</v>
      </c>
      <c r="FB85" s="1019">
        <f t="shared" si="313"/>
        <v>2636846.253615268</v>
      </c>
      <c r="FC85" s="1019">
        <f t="shared" si="314"/>
        <v>146491.45853418158</v>
      </c>
      <c r="FD85" s="1020"/>
      <c r="FE85" s="1021"/>
      <c r="FF85" s="1022">
        <f t="shared" si="315"/>
        <v>2490354.7950810865</v>
      </c>
      <c r="FG85" s="1022">
        <f t="shared" si="316"/>
        <v>211680.15758189236</v>
      </c>
      <c r="FH85" s="1022">
        <f t="shared" si="317"/>
        <v>105840.07879094618</v>
      </c>
      <c r="FI85" s="1023">
        <f t="shared" si="318"/>
        <v>2636846.253615268</v>
      </c>
      <c r="FJ85" s="1023">
        <f t="shared" si="319"/>
        <v>224131.93155729779</v>
      </c>
      <c r="FK85" s="1023">
        <f t="shared" si="320"/>
        <v>112065.9657786489</v>
      </c>
      <c r="FL85" s="1019">
        <f t="shared" si="321"/>
        <v>12451.773975405435</v>
      </c>
      <c r="FM85" s="1019">
        <f t="shared" si="322"/>
        <v>6225.8869877027173</v>
      </c>
      <c r="FN85" s="1019" t="str">
        <f t="shared" si="323"/>
        <v>VS</v>
      </c>
      <c r="FO85" s="1019">
        <f t="shared" si="324"/>
        <v>27537.409960060559</v>
      </c>
      <c r="FP85" s="1019">
        <f t="shared" si="325"/>
        <v>-21311.522972357841</v>
      </c>
      <c r="FQ85" s="1021"/>
      <c r="FR85" s="1021"/>
      <c r="FS85" s="1020"/>
      <c r="FT85" s="503"/>
      <c r="FU85" s="956"/>
      <c r="FV85" s="503"/>
      <c r="FW85" s="503"/>
      <c r="FX85" s="1040"/>
      <c r="FY85" s="503"/>
      <c r="FZ85" s="503"/>
      <c r="GA85" s="503"/>
      <c r="GB85" s="1059"/>
      <c r="GE85" s="503"/>
      <c r="GF85" s="1059"/>
      <c r="GG85" s="956"/>
      <c r="GH85" s="945"/>
      <c r="GI85" s="1024">
        <f t="shared" si="258"/>
        <v>3562239.8662581467</v>
      </c>
      <c r="GJ85" s="1025">
        <f t="shared" si="259"/>
        <v>0.125</v>
      </c>
      <c r="GK85" s="1024">
        <f t="shared" si="260"/>
        <v>445279.98328226834</v>
      </c>
      <c r="GL85" s="1024">
        <f t="shared" si="261"/>
        <v>30000</v>
      </c>
      <c r="GM85" s="1024">
        <f t="shared" si="262"/>
        <v>415279.98328226834</v>
      </c>
      <c r="GN85" s="1024">
        <f t="shared" si="263"/>
        <v>1</v>
      </c>
      <c r="GO85" s="1024">
        <f t="shared" si="264"/>
        <v>415279.98328226834</v>
      </c>
      <c r="GP85" s="1025">
        <f t="shared" si="265"/>
        <v>0.875</v>
      </c>
      <c r="GQ85" s="1024">
        <f t="shared" si="266"/>
        <v>3116959.8829758782</v>
      </c>
      <c r="GR85" s="1024">
        <f t="shared" si="267"/>
        <v>24165.756796379304</v>
      </c>
      <c r="GS85" s="1024">
        <f t="shared" si="268"/>
        <v>28016.116619315919</v>
      </c>
      <c r="GT85" s="1024">
        <f t="shared" si="269"/>
        <v>36190.547179778965</v>
      </c>
      <c r="GU85" s="1024">
        <f t="shared" si="270"/>
        <v>61719.541485110021</v>
      </c>
      <c r="GV85" s="945"/>
      <c r="GW85" s="1024">
        <f t="shared" si="271"/>
        <v>3562239.8662581467</v>
      </c>
      <c r="GX85" s="1025">
        <f t="shared" si="272"/>
        <v>0.125</v>
      </c>
      <c r="GY85" s="1024">
        <f t="shared" si="273"/>
        <v>445279.98328226834</v>
      </c>
      <c r="GZ85" s="1024">
        <f t="shared" si="274"/>
        <v>30000</v>
      </c>
      <c r="HA85" s="1024">
        <f t="shared" si="275"/>
        <v>415279.98328226834</v>
      </c>
      <c r="HB85" s="1026">
        <f t="shared" si="276"/>
        <v>25</v>
      </c>
      <c r="HC85" s="1009">
        <f t="shared" si="277"/>
        <v>16611.199331290733</v>
      </c>
      <c r="HD85" s="1027">
        <f t="shared" si="278"/>
        <v>0.875</v>
      </c>
      <c r="HE85" s="1009">
        <f t="shared" si="279"/>
        <v>3116959.8829758782</v>
      </c>
      <c r="HF85" s="1008">
        <f t="shared" si="280"/>
        <v>24165.756796379304</v>
      </c>
      <c r="HG85" s="1008">
        <f t="shared" si="281"/>
        <v>28016.116619315919</v>
      </c>
      <c r="HH85" s="1008">
        <f t="shared" si="282"/>
        <v>36190.547179778965</v>
      </c>
      <c r="HI85" s="1008">
        <f t="shared" si="283"/>
        <v>61719.541485110021</v>
      </c>
      <c r="HJ85" s="945"/>
      <c r="HK85" s="1009">
        <f t="shared" si="284"/>
        <v>-398668.78395097761</v>
      </c>
      <c r="HL85" s="503"/>
      <c r="HM85" s="503"/>
      <c r="HN85" s="503"/>
      <c r="HO85" s="503"/>
      <c r="HP85" s="503"/>
      <c r="HQ85" s="503"/>
      <c r="HR85" s="956">
        <f t="shared" si="285"/>
        <v>0</v>
      </c>
      <c r="HS85" s="503"/>
      <c r="HT85" s="503"/>
      <c r="HU85" s="956"/>
      <c r="HV85" s="503"/>
      <c r="HW85" s="956"/>
      <c r="HX85" s="956"/>
      <c r="HY85" s="503"/>
      <c r="HZ85" s="503"/>
      <c r="IA85" s="503"/>
      <c r="ID85" s="1394"/>
    </row>
    <row r="86" spans="1:238" s="1051" customFormat="1" ht="14.25" hidden="1" customHeight="1">
      <c r="A86" s="1018">
        <f t="shared" si="326"/>
        <v>80</v>
      </c>
      <c r="B86" s="716" t="s">
        <v>264</v>
      </c>
      <c r="C86" s="741">
        <f t="shared" si="289"/>
        <v>14</v>
      </c>
      <c r="D86" s="716" t="s">
        <v>263</v>
      </c>
      <c r="E86" s="743" t="str">
        <f t="shared" si="328"/>
        <v>6th Floor</v>
      </c>
      <c r="F86" s="1048"/>
      <c r="G86" s="745" t="s">
        <v>476</v>
      </c>
      <c r="H86" s="745" t="s">
        <v>338</v>
      </c>
      <c r="I86" s="745" t="s">
        <v>267</v>
      </c>
      <c r="J86" s="1005">
        <v>22</v>
      </c>
      <c r="K86" s="1049"/>
      <c r="L86" s="1006" t="s">
        <v>268</v>
      </c>
      <c r="M86" s="745" t="s">
        <v>79</v>
      </c>
      <c r="N86" s="1050">
        <v>95909.091</v>
      </c>
      <c r="O86" s="934">
        <f t="shared" si="298"/>
        <v>2110000.0019999999</v>
      </c>
      <c r="P86" s="934">
        <f t="shared" si="327"/>
        <v>22400</v>
      </c>
      <c r="Q86" s="934">
        <f t="shared" si="293"/>
        <v>50000</v>
      </c>
      <c r="R86" s="934"/>
      <c r="S86" s="934"/>
      <c r="T86" s="934"/>
      <c r="U86" s="934"/>
      <c r="V86" s="934"/>
      <c r="W86" s="749"/>
      <c r="X86" s="934"/>
      <c r="Y86" s="934">
        <f t="shared" si="290"/>
        <v>40000</v>
      </c>
      <c r="Z86" s="934">
        <f t="shared" si="299"/>
        <v>75000</v>
      </c>
      <c r="AA86" s="934"/>
      <c r="AB86" s="934"/>
      <c r="AC86" s="934"/>
      <c r="AD86" s="934"/>
      <c r="AE86" s="934">
        <f t="shared" si="199"/>
        <v>187400</v>
      </c>
      <c r="AF86" s="1005">
        <f t="shared" si="200"/>
        <v>2297400.0019999999</v>
      </c>
      <c r="AG86" s="1005">
        <f t="shared" si="220"/>
        <v>57435.000050000002</v>
      </c>
      <c r="AH86" s="1005">
        <f t="shared" si="221"/>
        <v>2354835.0020499998</v>
      </c>
      <c r="AI86" s="1005">
        <f t="shared" si="222"/>
        <v>58870.875051249997</v>
      </c>
      <c r="AJ86" s="1005">
        <f t="shared" si="223"/>
        <v>2413705.87710125</v>
      </c>
      <c r="AK86" s="1005">
        <f t="shared" si="224"/>
        <v>120685.29385506251</v>
      </c>
      <c r="AL86" s="1005">
        <f t="shared" si="300"/>
        <v>2534391.1709563127</v>
      </c>
      <c r="AM86" s="934">
        <f t="shared" si="225"/>
        <v>25343.911709563126</v>
      </c>
      <c r="AN86" s="934">
        <f t="shared" si="226"/>
        <v>27537.409960060559</v>
      </c>
      <c r="AO86" s="934"/>
      <c r="AP86" s="934">
        <f t="shared" si="301"/>
        <v>112065.9657786489</v>
      </c>
      <c r="AQ86" s="1005">
        <f t="shared" si="201"/>
        <v>2699338.4584045853</v>
      </c>
      <c r="AR86" s="1005">
        <f t="shared" si="227"/>
        <v>121470.23062820634</v>
      </c>
      <c r="AS86" s="1147">
        <f t="shared" si="228"/>
        <v>2820808.6890327916</v>
      </c>
      <c r="AT86" s="1148">
        <f t="shared" si="302"/>
        <v>2000000</v>
      </c>
      <c r="AU86" s="1148">
        <f t="shared" si="202"/>
        <v>37309.485865126895</v>
      </c>
      <c r="AV86" s="1148">
        <f t="shared" si="303"/>
        <v>820808.68903279165</v>
      </c>
      <c r="AW86" s="1148">
        <f t="shared" si="203"/>
        <v>98497.042683934997</v>
      </c>
      <c r="AX86" s="1148">
        <f t="shared" si="204"/>
        <v>919305.73171672667</v>
      </c>
      <c r="AY86" s="1147">
        <f t="shared" si="229"/>
        <v>2919305.7317167264</v>
      </c>
      <c r="AZ86" s="934">
        <f t="shared" si="230"/>
        <v>36491.321646459081</v>
      </c>
      <c r="BA86" s="716" t="s">
        <v>269</v>
      </c>
      <c r="BB86" s="716">
        <f t="shared" si="205"/>
        <v>2955797.0533631854</v>
      </c>
      <c r="BC86" s="716" t="s">
        <v>269</v>
      </c>
      <c r="BD86" s="716">
        <f t="shared" si="231"/>
        <v>110842.38950111945</v>
      </c>
      <c r="BE86" s="716">
        <f t="shared" si="232"/>
        <v>33600</v>
      </c>
      <c r="BF86" s="716">
        <f t="shared" si="233"/>
        <v>3100239.4428643049</v>
      </c>
      <c r="BG86" s="716"/>
      <c r="BH86" s="716">
        <f t="shared" si="234"/>
        <v>3100239.4428643049</v>
      </c>
      <c r="BI86" s="716"/>
      <c r="BJ86" s="716">
        <f t="shared" si="235"/>
        <v>3100239.4428643049</v>
      </c>
      <c r="BK86" s="716"/>
      <c r="BL86" s="716">
        <f t="shared" si="236"/>
        <v>3100239.4428643049</v>
      </c>
      <c r="BM86" s="716"/>
      <c r="BN86" s="716">
        <f t="shared" si="206"/>
        <v>3100239.4428643049</v>
      </c>
      <c r="BO86" s="716"/>
      <c r="BP86" s="716">
        <f t="shared" si="237"/>
        <v>3100239.4428643049</v>
      </c>
      <c r="BQ86" s="716"/>
      <c r="BR86" s="716">
        <f t="shared" si="238"/>
        <v>3100239.4428643049</v>
      </c>
      <c r="BS86" s="716"/>
      <c r="BT86" s="716">
        <f t="shared" si="239"/>
        <v>3100239.4428643049</v>
      </c>
      <c r="BU86" s="716"/>
      <c r="BV86" s="716">
        <f t="shared" si="207"/>
        <v>3100239.4428643049</v>
      </c>
      <c r="BW86" s="716"/>
      <c r="BX86" s="716">
        <f t="shared" si="329"/>
        <v>31400</v>
      </c>
      <c r="BY86" s="716">
        <f t="shared" si="240"/>
        <v>3131639.4428643049</v>
      </c>
      <c r="BZ86" s="716"/>
      <c r="CA86" s="716">
        <f t="shared" si="241"/>
        <v>3131639.4428643049</v>
      </c>
      <c r="CB86" s="1135">
        <f t="shared" si="242"/>
        <v>3131639.4428643049</v>
      </c>
      <c r="CC86" s="1164">
        <f t="shared" si="286"/>
        <v>3131639.4428643049</v>
      </c>
      <c r="CD86" s="1164"/>
      <c r="CE86" s="1164">
        <f t="shared" si="243"/>
        <v>0</v>
      </c>
      <c r="CF86" s="1164">
        <f t="shared" si="291"/>
        <v>0</v>
      </c>
      <c r="CG86" s="1164">
        <f t="shared" si="292"/>
        <v>0</v>
      </c>
      <c r="CH86" s="1154">
        <f t="shared" si="304"/>
        <v>3131639.4428643049</v>
      </c>
      <c r="CI86" s="935">
        <f t="shared" si="305"/>
        <v>3131639.4428643049</v>
      </c>
      <c r="CJ86" s="935">
        <f t="shared" si="244"/>
        <v>0</v>
      </c>
      <c r="CK86" s="935">
        <f t="shared" si="208"/>
        <v>320993.04289359122</v>
      </c>
      <c r="CL86" s="935">
        <f t="shared" si="209"/>
        <v>109607.38050025069</v>
      </c>
      <c r="CM86" s="1006">
        <f t="shared" si="306"/>
        <v>3562239.8662581467</v>
      </c>
      <c r="CN86" s="1007">
        <f t="shared" si="307"/>
        <v>0.125</v>
      </c>
      <c r="CO86" s="935">
        <f t="shared" si="210"/>
        <v>445279.98328226834</v>
      </c>
      <c r="CP86" s="935">
        <f t="shared" si="330"/>
        <v>30000</v>
      </c>
      <c r="CQ86" s="935">
        <f t="shared" si="211"/>
        <v>415279.98328226834</v>
      </c>
      <c r="CR86" s="745">
        <f t="shared" si="308"/>
        <v>1</v>
      </c>
      <c r="CS86" s="935">
        <f t="shared" si="212"/>
        <v>415279.98328226834</v>
      </c>
      <c r="CT86" s="1007">
        <f t="shared" si="245"/>
        <v>0.875</v>
      </c>
      <c r="CU86" s="935">
        <f t="shared" si="246"/>
        <v>3116959.8829758782</v>
      </c>
      <c r="CV86" s="1008">
        <f t="shared" si="247"/>
        <v>24165.756796379304</v>
      </c>
      <c r="CW86" s="1008">
        <f t="shared" si="248"/>
        <v>28016.116619315919</v>
      </c>
      <c r="CX86" s="1008">
        <f t="shared" si="249"/>
        <v>36190.547179778965</v>
      </c>
      <c r="CY86" s="1008">
        <f t="shared" si="250"/>
        <v>61719.541485110021</v>
      </c>
      <c r="CZ86" s="1119">
        <f t="shared" si="251"/>
        <v>253200.55859564664</v>
      </c>
      <c r="DA86" s="1119">
        <f t="shared" si="252"/>
        <v>100190.22762556261</v>
      </c>
      <c r="DB86" s="1119">
        <f t="shared" si="253"/>
        <v>72365.982400252818</v>
      </c>
      <c r="DC86" s="1119">
        <f t="shared" si="254"/>
        <v>55073.844164354283</v>
      </c>
      <c r="DD86" s="1028">
        <f t="shared" si="294"/>
        <v>0.41040434451639585</v>
      </c>
      <c r="DE86" s="1028">
        <f t="shared" si="309"/>
        <v>0</v>
      </c>
      <c r="DF86" s="1009" t="s">
        <v>270</v>
      </c>
      <c r="DG86" s="1009" t="s">
        <v>271</v>
      </c>
      <c r="DH86" s="966">
        <f t="shared" si="287"/>
        <v>45658</v>
      </c>
      <c r="DI86" s="912">
        <f t="shared" si="255"/>
        <v>14</v>
      </c>
      <c r="DJ86" s="939"/>
      <c r="DK86" s="913">
        <f t="shared" si="213"/>
        <v>45723</v>
      </c>
      <c r="DL86" s="912">
        <f t="shared" si="256"/>
        <v>16</v>
      </c>
      <c r="DM86" s="750" t="s">
        <v>272</v>
      </c>
      <c r="DN86" s="750" t="s">
        <v>273</v>
      </c>
      <c r="DO86" s="751">
        <f t="shared" si="214"/>
        <v>41786.624168942122</v>
      </c>
      <c r="DP86" s="751">
        <f t="shared" si="215"/>
        <v>919305.73171672667</v>
      </c>
      <c r="DQ86" s="752">
        <f t="shared" si="295"/>
        <v>0.45965286585836335</v>
      </c>
      <c r="DR86" s="503"/>
      <c r="DS86" s="751">
        <f t="shared" si="296"/>
        <v>3131639.4428643049</v>
      </c>
      <c r="DT86" s="751">
        <f>'[4]INTERNAL PRICELIST'!N80</f>
        <v>2111900</v>
      </c>
      <c r="DU86" s="751">
        <f t="shared" si="216"/>
        <v>1019739.4428643049</v>
      </c>
      <c r="DV86" s="503"/>
      <c r="DW86" s="951">
        <f t="shared" si="297"/>
        <v>142347.24740292295</v>
      </c>
      <c r="DX86" s="503"/>
      <c r="DZ86" s="1010" t="s">
        <v>476</v>
      </c>
      <c r="EA86" s="1052" t="b">
        <f t="shared" si="217"/>
        <v>1</v>
      </c>
      <c r="EB86" s="1072" t="s">
        <v>477</v>
      </c>
      <c r="EC86" s="1072" t="s">
        <v>453</v>
      </c>
      <c r="ED86" s="503"/>
      <c r="EE86" s="1029"/>
      <c r="EF86" s="503"/>
      <c r="EG86" s="503"/>
      <c r="EH86" s="930"/>
      <c r="EI86" s="930"/>
      <c r="EJ86" s="503"/>
      <c r="EK86" s="503"/>
      <c r="EL86" s="503"/>
      <c r="EM86" s="503"/>
      <c r="EN86" s="503"/>
      <c r="EO86" s="503"/>
      <c r="EP86" s="503"/>
      <c r="EQ86" s="503"/>
      <c r="ER86" s="1017" t="s">
        <v>264</v>
      </c>
      <c r="ES86" s="1391" t="s">
        <v>264</v>
      </c>
      <c r="ET86" s="1018" t="b">
        <f t="shared" si="257"/>
        <v>1</v>
      </c>
      <c r="EU86" s="940"/>
      <c r="EV86" s="941"/>
      <c r="EW86" s="940"/>
      <c r="EX86" s="1019">
        <v>2929829.1706836312</v>
      </c>
      <c r="EY86" s="1019">
        <f t="shared" si="310"/>
        <v>439474.37560254469</v>
      </c>
      <c r="EZ86" s="1019">
        <f t="shared" si="311"/>
        <v>2490354.7950810865</v>
      </c>
      <c r="FA86" s="1019">
        <f t="shared" si="312"/>
        <v>292982.91706836311</v>
      </c>
      <c r="FB86" s="1019">
        <f t="shared" si="313"/>
        <v>2636846.253615268</v>
      </c>
      <c r="FC86" s="1019">
        <f t="shared" si="314"/>
        <v>146491.45853418158</v>
      </c>
      <c r="FD86" s="1020"/>
      <c r="FE86" s="1021"/>
      <c r="FF86" s="1022">
        <f t="shared" si="315"/>
        <v>2490354.7950810865</v>
      </c>
      <c r="FG86" s="1022">
        <f t="shared" si="316"/>
        <v>211680.15758189236</v>
      </c>
      <c r="FH86" s="1022">
        <f t="shared" si="317"/>
        <v>105840.07879094618</v>
      </c>
      <c r="FI86" s="1023">
        <f t="shared" si="318"/>
        <v>2636846.253615268</v>
      </c>
      <c r="FJ86" s="1023">
        <f t="shared" si="319"/>
        <v>224131.93155729779</v>
      </c>
      <c r="FK86" s="1023">
        <f t="shared" si="320"/>
        <v>112065.9657786489</v>
      </c>
      <c r="FL86" s="1019">
        <f t="shared" si="321"/>
        <v>12451.773975405435</v>
      </c>
      <c r="FM86" s="1019">
        <f t="shared" si="322"/>
        <v>6225.8869877027173</v>
      </c>
      <c r="FN86" s="1019" t="str">
        <f t="shared" si="323"/>
        <v>VS</v>
      </c>
      <c r="FO86" s="1019">
        <f t="shared" si="324"/>
        <v>27537.409960060559</v>
      </c>
      <c r="FP86" s="1019">
        <f t="shared" si="325"/>
        <v>-21311.522972357841</v>
      </c>
      <c r="FQ86" s="1021"/>
      <c r="FR86" s="1021"/>
      <c r="FS86" s="1020"/>
      <c r="FT86" s="503"/>
      <c r="FU86" s="956"/>
      <c r="FV86" s="503"/>
      <c r="FW86" s="503"/>
      <c r="FX86" s="1040"/>
      <c r="FY86" s="503"/>
      <c r="FZ86" s="503"/>
      <c r="GA86" s="503"/>
      <c r="GB86" s="1059"/>
      <c r="GE86" s="503"/>
      <c r="GF86" s="1059"/>
      <c r="GG86" s="956"/>
      <c r="GH86" s="945"/>
      <c r="GI86" s="1024">
        <f t="shared" si="258"/>
        <v>3562239.8662581467</v>
      </c>
      <c r="GJ86" s="1025">
        <f t="shared" si="259"/>
        <v>0.125</v>
      </c>
      <c r="GK86" s="1024">
        <f t="shared" si="260"/>
        <v>445279.98328226834</v>
      </c>
      <c r="GL86" s="1024">
        <f t="shared" si="261"/>
        <v>30000</v>
      </c>
      <c r="GM86" s="1024">
        <f t="shared" si="262"/>
        <v>415279.98328226834</v>
      </c>
      <c r="GN86" s="1024">
        <f t="shared" si="263"/>
        <v>1</v>
      </c>
      <c r="GO86" s="1024">
        <f t="shared" si="264"/>
        <v>415279.98328226834</v>
      </c>
      <c r="GP86" s="1025">
        <f t="shared" si="265"/>
        <v>0.875</v>
      </c>
      <c r="GQ86" s="1024">
        <f t="shared" si="266"/>
        <v>3116959.8829758782</v>
      </c>
      <c r="GR86" s="1024">
        <f t="shared" si="267"/>
        <v>24165.756796379304</v>
      </c>
      <c r="GS86" s="1024">
        <f t="shared" si="268"/>
        <v>28016.116619315919</v>
      </c>
      <c r="GT86" s="1024">
        <f t="shared" si="269"/>
        <v>36190.547179778965</v>
      </c>
      <c r="GU86" s="1024">
        <f t="shared" si="270"/>
        <v>61719.541485110021</v>
      </c>
      <c r="GV86" s="945"/>
      <c r="GW86" s="1024">
        <f t="shared" si="271"/>
        <v>3562239.8662581467</v>
      </c>
      <c r="GX86" s="1025">
        <f t="shared" si="272"/>
        <v>0.125</v>
      </c>
      <c r="GY86" s="1024">
        <f t="shared" si="273"/>
        <v>445279.98328226834</v>
      </c>
      <c r="GZ86" s="1024">
        <f t="shared" si="274"/>
        <v>30000</v>
      </c>
      <c r="HA86" s="1024">
        <f t="shared" si="275"/>
        <v>415279.98328226834</v>
      </c>
      <c r="HB86" s="1026">
        <f t="shared" si="276"/>
        <v>25</v>
      </c>
      <c r="HC86" s="1009">
        <f t="shared" si="277"/>
        <v>16611.199331290733</v>
      </c>
      <c r="HD86" s="1027">
        <f t="shared" si="278"/>
        <v>0.875</v>
      </c>
      <c r="HE86" s="1009">
        <f t="shared" si="279"/>
        <v>3116959.8829758782</v>
      </c>
      <c r="HF86" s="1008">
        <f t="shared" si="280"/>
        <v>24165.756796379304</v>
      </c>
      <c r="HG86" s="1008">
        <f t="shared" si="281"/>
        <v>28016.116619315919</v>
      </c>
      <c r="HH86" s="1008">
        <f t="shared" si="282"/>
        <v>36190.547179778965</v>
      </c>
      <c r="HI86" s="1008">
        <f t="shared" si="283"/>
        <v>61719.541485110021</v>
      </c>
      <c r="HJ86" s="945"/>
      <c r="HK86" s="1009">
        <f t="shared" si="284"/>
        <v>-398668.78395097761</v>
      </c>
      <c r="HL86" s="503"/>
      <c r="HM86" s="503"/>
      <c r="HN86" s="503"/>
      <c r="HO86" s="503"/>
      <c r="HP86" s="503"/>
      <c r="HQ86" s="503"/>
      <c r="HR86" s="956">
        <f t="shared" si="285"/>
        <v>0</v>
      </c>
      <c r="HS86" s="503"/>
      <c r="HT86" s="503"/>
      <c r="HU86" s="956"/>
      <c r="HV86" s="503"/>
      <c r="HW86" s="956"/>
      <c r="HX86" s="956"/>
      <c r="HY86" s="503"/>
      <c r="HZ86" s="503"/>
      <c r="IA86" s="503"/>
      <c r="ID86" s="1394"/>
    </row>
    <row r="87" spans="1:238" s="1051" customFormat="1" ht="14.25" hidden="1" customHeight="1">
      <c r="A87" s="1018">
        <f t="shared" si="326"/>
        <v>81</v>
      </c>
      <c r="B87" s="716" t="s">
        <v>264</v>
      </c>
      <c r="C87" s="741">
        <f t="shared" si="289"/>
        <v>15</v>
      </c>
      <c r="D87" s="716" t="s">
        <v>263</v>
      </c>
      <c r="E87" s="743" t="str">
        <f t="shared" si="328"/>
        <v>6th Floor</v>
      </c>
      <c r="F87" s="1048"/>
      <c r="G87" s="745" t="s">
        <v>478</v>
      </c>
      <c r="H87" s="745" t="s">
        <v>342</v>
      </c>
      <c r="I87" s="745" t="s">
        <v>267</v>
      </c>
      <c r="J87" s="1005">
        <v>22</v>
      </c>
      <c r="K87" s="1049"/>
      <c r="L87" s="1006" t="s">
        <v>268</v>
      </c>
      <c r="M87" s="745" t="s">
        <v>79</v>
      </c>
      <c r="N87" s="1050">
        <v>95909.091</v>
      </c>
      <c r="O87" s="934">
        <f t="shared" si="298"/>
        <v>2110000.0019999999</v>
      </c>
      <c r="P87" s="934">
        <f t="shared" si="327"/>
        <v>22400</v>
      </c>
      <c r="Q87" s="934">
        <f t="shared" si="293"/>
        <v>50000</v>
      </c>
      <c r="R87" s="934"/>
      <c r="S87" s="934"/>
      <c r="T87" s="934"/>
      <c r="U87" s="934"/>
      <c r="V87" s="934"/>
      <c r="W87" s="749"/>
      <c r="X87" s="934"/>
      <c r="Y87" s="934">
        <f t="shared" si="290"/>
        <v>40000</v>
      </c>
      <c r="Z87" s="934">
        <f t="shared" si="299"/>
        <v>75000</v>
      </c>
      <c r="AA87" s="934"/>
      <c r="AB87" s="934"/>
      <c r="AC87" s="934"/>
      <c r="AD87" s="934"/>
      <c r="AE87" s="934">
        <f t="shared" si="199"/>
        <v>187400</v>
      </c>
      <c r="AF87" s="1005">
        <f t="shared" si="200"/>
        <v>2297400.0019999999</v>
      </c>
      <c r="AG87" s="1005">
        <f t="shared" si="220"/>
        <v>57435.000050000002</v>
      </c>
      <c r="AH87" s="1005">
        <f t="shared" si="221"/>
        <v>2354835.0020499998</v>
      </c>
      <c r="AI87" s="1005">
        <f t="shared" si="222"/>
        <v>58870.875051249997</v>
      </c>
      <c r="AJ87" s="1005">
        <f t="shared" si="223"/>
        <v>2413705.87710125</v>
      </c>
      <c r="AK87" s="1005">
        <f t="shared" si="224"/>
        <v>120685.29385506251</v>
      </c>
      <c r="AL87" s="1005">
        <f t="shared" si="300"/>
        <v>2534391.1709563127</v>
      </c>
      <c r="AM87" s="934">
        <f t="shared" si="225"/>
        <v>25343.911709563126</v>
      </c>
      <c r="AN87" s="934">
        <f t="shared" si="226"/>
        <v>27537.409960060559</v>
      </c>
      <c r="AO87" s="934"/>
      <c r="AP87" s="934">
        <f t="shared" si="301"/>
        <v>112065.9657786489</v>
      </c>
      <c r="AQ87" s="1005">
        <f t="shared" si="201"/>
        <v>2699338.4584045853</v>
      </c>
      <c r="AR87" s="1005">
        <f t="shared" si="227"/>
        <v>121470.23062820634</v>
      </c>
      <c r="AS87" s="1147">
        <f t="shared" si="228"/>
        <v>2820808.6890327916</v>
      </c>
      <c r="AT87" s="1148">
        <f t="shared" si="302"/>
        <v>2000000</v>
      </c>
      <c r="AU87" s="1148">
        <f t="shared" si="202"/>
        <v>37309.485865126895</v>
      </c>
      <c r="AV87" s="1148">
        <f t="shared" si="303"/>
        <v>820808.68903279165</v>
      </c>
      <c r="AW87" s="1148">
        <f t="shared" si="203"/>
        <v>98497.042683934997</v>
      </c>
      <c r="AX87" s="1148">
        <f t="shared" si="204"/>
        <v>919305.73171672667</v>
      </c>
      <c r="AY87" s="1147">
        <f t="shared" si="229"/>
        <v>2919305.7317167264</v>
      </c>
      <c r="AZ87" s="934">
        <f t="shared" si="230"/>
        <v>36491.321646459081</v>
      </c>
      <c r="BA87" s="716" t="s">
        <v>269</v>
      </c>
      <c r="BB87" s="716">
        <f t="shared" si="205"/>
        <v>2955797.0533631854</v>
      </c>
      <c r="BC87" s="716" t="s">
        <v>269</v>
      </c>
      <c r="BD87" s="716">
        <f t="shared" si="231"/>
        <v>110842.38950111945</v>
      </c>
      <c r="BE87" s="716">
        <f t="shared" si="232"/>
        <v>33600</v>
      </c>
      <c r="BF87" s="716">
        <f t="shared" si="233"/>
        <v>3100239.4428643049</v>
      </c>
      <c r="BG87" s="716"/>
      <c r="BH87" s="716">
        <f t="shared" si="234"/>
        <v>3100239.4428643049</v>
      </c>
      <c r="BI87" s="716"/>
      <c r="BJ87" s="716">
        <f t="shared" si="235"/>
        <v>3100239.4428643049</v>
      </c>
      <c r="BK87" s="716"/>
      <c r="BL87" s="716">
        <f t="shared" si="236"/>
        <v>3100239.4428643049</v>
      </c>
      <c r="BM87" s="716"/>
      <c r="BN87" s="716">
        <f t="shared" si="206"/>
        <v>3100239.4428643049</v>
      </c>
      <c r="BO87" s="716"/>
      <c r="BP87" s="716">
        <f t="shared" si="237"/>
        <v>3100239.4428643049</v>
      </c>
      <c r="BQ87" s="716"/>
      <c r="BR87" s="716">
        <f t="shared" si="238"/>
        <v>3100239.4428643049</v>
      </c>
      <c r="BS87" s="716"/>
      <c r="BT87" s="716">
        <f t="shared" si="239"/>
        <v>3100239.4428643049</v>
      </c>
      <c r="BU87" s="716"/>
      <c r="BV87" s="716">
        <f t="shared" si="207"/>
        <v>3100239.4428643049</v>
      </c>
      <c r="BW87" s="716"/>
      <c r="BX87" s="716">
        <f t="shared" si="329"/>
        <v>31400</v>
      </c>
      <c r="BY87" s="716">
        <f t="shared" si="240"/>
        <v>3131639.4428643049</v>
      </c>
      <c r="BZ87" s="716"/>
      <c r="CA87" s="716">
        <f t="shared" si="241"/>
        <v>3131639.4428643049</v>
      </c>
      <c r="CB87" s="1135">
        <f t="shared" si="242"/>
        <v>3131639.4428643049</v>
      </c>
      <c r="CC87" s="1164">
        <f t="shared" si="286"/>
        <v>3131639.4428643049</v>
      </c>
      <c r="CD87" s="1164"/>
      <c r="CE87" s="1164">
        <f t="shared" si="243"/>
        <v>0</v>
      </c>
      <c r="CF87" s="1164">
        <f t="shared" si="291"/>
        <v>0</v>
      </c>
      <c r="CG87" s="1164">
        <f t="shared" si="292"/>
        <v>0</v>
      </c>
      <c r="CH87" s="1154">
        <f t="shared" si="304"/>
        <v>3131639.4428643049</v>
      </c>
      <c r="CI87" s="935">
        <f t="shared" si="305"/>
        <v>3131639.4428643049</v>
      </c>
      <c r="CJ87" s="935">
        <f t="shared" si="244"/>
        <v>0</v>
      </c>
      <c r="CK87" s="935">
        <f t="shared" si="208"/>
        <v>320993.04289359122</v>
      </c>
      <c r="CL87" s="935">
        <f t="shared" si="209"/>
        <v>109607.38050025069</v>
      </c>
      <c r="CM87" s="1006">
        <f t="shared" si="306"/>
        <v>3562239.8662581467</v>
      </c>
      <c r="CN87" s="1007">
        <f t="shared" si="307"/>
        <v>0.125</v>
      </c>
      <c r="CO87" s="935">
        <f t="shared" si="210"/>
        <v>445279.98328226834</v>
      </c>
      <c r="CP87" s="935">
        <f t="shared" si="330"/>
        <v>30000</v>
      </c>
      <c r="CQ87" s="935">
        <f t="shared" si="211"/>
        <v>415279.98328226834</v>
      </c>
      <c r="CR87" s="745">
        <f t="shared" si="308"/>
        <v>1</v>
      </c>
      <c r="CS87" s="935">
        <f t="shared" si="212"/>
        <v>415279.98328226834</v>
      </c>
      <c r="CT87" s="1007">
        <f t="shared" si="245"/>
        <v>0.875</v>
      </c>
      <c r="CU87" s="935">
        <f t="shared" si="246"/>
        <v>3116959.8829758782</v>
      </c>
      <c r="CV87" s="1008">
        <f t="shared" si="247"/>
        <v>24165.756796379304</v>
      </c>
      <c r="CW87" s="1008">
        <f t="shared" si="248"/>
        <v>28016.116619315919</v>
      </c>
      <c r="CX87" s="1008">
        <f t="shared" si="249"/>
        <v>36190.547179778965</v>
      </c>
      <c r="CY87" s="1008">
        <f t="shared" si="250"/>
        <v>61719.541485110021</v>
      </c>
      <c r="CZ87" s="1119">
        <f t="shared" si="251"/>
        <v>253200.55859564664</v>
      </c>
      <c r="DA87" s="1119">
        <f t="shared" si="252"/>
        <v>100190.22762556261</v>
      </c>
      <c r="DB87" s="1119">
        <f t="shared" si="253"/>
        <v>72365.982400252818</v>
      </c>
      <c r="DC87" s="1119">
        <f t="shared" si="254"/>
        <v>55073.844164354283</v>
      </c>
      <c r="DD87" s="1028">
        <f t="shared" si="294"/>
        <v>0.41040434451639585</v>
      </c>
      <c r="DE87" s="1028">
        <f t="shared" si="309"/>
        <v>0</v>
      </c>
      <c r="DF87" s="1009" t="s">
        <v>270</v>
      </c>
      <c r="DG87" s="1009" t="s">
        <v>271</v>
      </c>
      <c r="DH87" s="966">
        <f t="shared" si="287"/>
        <v>45658</v>
      </c>
      <c r="DI87" s="912">
        <f t="shared" si="255"/>
        <v>14</v>
      </c>
      <c r="DJ87" s="939"/>
      <c r="DK87" s="913">
        <f t="shared" si="213"/>
        <v>45723</v>
      </c>
      <c r="DL87" s="912">
        <f t="shared" si="256"/>
        <v>16</v>
      </c>
      <c r="DM87" s="750" t="s">
        <v>272</v>
      </c>
      <c r="DN87" s="750" t="s">
        <v>273</v>
      </c>
      <c r="DO87" s="751">
        <f t="shared" si="214"/>
        <v>41786.624168942122</v>
      </c>
      <c r="DP87" s="751">
        <f t="shared" si="215"/>
        <v>919305.73171672667</v>
      </c>
      <c r="DQ87" s="752">
        <f t="shared" si="295"/>
        <v>0.45965286585836335</v>
      </c>
      <c r="DR87" s="503"/>
      <c r="DS87" s="751">
        <f t="shared" si="296"/>
        <v>3131639.4428643049</v>
      </c>
      <c r="DT87" s="751">
        <f>'[4]INTERNAL PRICELIST'!N81</f>
        <v>2111900</v>
      </c>
      <c r="DU87" s="751">
        <f t="shared" si="216"/>
        <v>1019739.4428643049</v>
      </c>
      <c r="DV87" s="503"/>
      <c r="DW87" s="951">
        <f t="shared" si="297"/>
        <v>142347.24740292295</v>
      </c>
      <c r="DX87" s="503"/>
      <c r="DZ87" s="1010" t="s">
        <v>478</v>
      </c>
      <c r="EA87" s="1052" t="b">
        <f t="shared" si="217"/>
        <v>1</v>
      </c>
      <c r="EB87" s="1072" t="s">
        <v>479</v>
      </c>
      <c r="EC87" s="1072" t="s">
        <v>453</v>
      </c>
      <c r="ED87" s="503"/>
      <c r="EE87" s="1029"/>
      <c r="EF87" s="503"/>
      <c r="EG87" s="503"/>
      <c r="EH87" s="930"/>
      <c r="EI87" s="930"/>
      <c r="EJ87" s="503"/>
      <c r="EK87" s="503"/>
      <c r="EL87" s="503"/>
      <c r="EM87" s="503"/>
      <c r="EN87" s="503"/>
      <c r="EO87" s="503"/>
      <c r="EP87" s="503"/>
      <c r="EQ87" s="503"/>
      <c r="ER87" s="1017" t="s">
        <v>264</v>
      </c>
      <c r="ES87" s="1391" t="s">
        <v>264</v>
      </c>
      <c r="ET87" s="1018" t="b">
        <f t="shared" si="257"/>
        <v>1</v>
      </c>
      <c r="EU87" s="940"/>
      <c r="EV87" s="941"/>
      <c r="EW87" s="940"/>
      <c r="EX87" s="1019">
        <v>2929829.1706836312</v>
      </c>
      <c r="EY87" s="1019">
        <f t="shared" si="310"/>
        <v>439474.37560254469</v>
      </c>
      <c r="EZ87" s="1019">
        <f t="shared" si="311"/>
        <v>2490354.7950810865</v>
      </c>
      <c r="FA87" s="1019">
        <f t="shared" si="312"/>
        <v>292982.91706836311</v>
      </c>
      <c r="FB87" s="1019">
        <f t="shared" si="313"/>
        <v>2636846.253615268</v>
      </c>
      <c r="FC87" s="1019">
        <f t="shared" si="314"/>
        <v>146491.45853418158</v>
      </c>
      <c r="FD87" s="1020"/>
      <c r="FE87" s="1021"/>
      <c r="FF87" s="1022">
        <f t="shared" si="315"/>
        <v>2490354.7950810865</v>
      </c>
      <c r="FG87" s="1022">
        <f t="shared" si="316"/>
        <v>211680.15758189236</v>
      </c>
      <c r="FH87" s="1022">
        <f t="shared" si="317"/>
        <v>105840.07879094618</v>
      </c>
      <c r="FI87" s="1023">
        <f t="shared" si="318"/>
        <v>2636846.253615268</v>
      </c>
      <c r="FJ87" s="1023">
        <f t="shared" si="319"/>
        <v>224131.93155729779</v>
      </c>
      <c r="FK87" s="1023">
        <f t="shared" si="320"/>
        <v>112065.9657786489</v>
      </c>
      <c r="FL87" s="1019">
        <f t="shared" si="321"/>
        <v>12451.773975405435</v>
      </c>
      <c r="FM87" s="1019">
        <f t="shared" si="322"/>
        <v>6225.8869877027173</v>
      </c>
      <c r="FN87" s="1019" t="str">
        <f t="shared" si="323"/>
        <v>VS</v>
      </c>
      <c r="FO87" s="1019">
        <f t="shared" si="324"/>
        <v>27537.409960060559</v>
      </c>
      <c r="FP87" s="1019">
        <f t="shared" si="325"/>
        <v>-21311.522972357841</v>
      </c>
      <c r="FQ87" s="1021"/>
      <c r="FR87" s="1021"/>
      <c r="FS87" s="1020"/>
      <c r="FT87" s="503"/>
      <c r="FU87" s="956"/>
      <c r="FV87" s="503"/>
      <c r="FW87" s="503"/>
      <c r="FX87" s="1040"/>
      <c r="FY87" s="503"/>
      <c r="FZ87" s="503"/>
      <c r="GA87" s="503"/>
      <c r="GB87" s="1059"/>
      <c r="GE87" s="503"/>
      <c r="GF87" s="1059"/>
      <c r="GG87" s="956"/>
      <c r="GH87" s="945"/>
      <c r="GI87" s="1024">
        <f t="shared" si="258"/>
        <v>3562239.8662581467</v>
      </c>
      <c r="GJ87" s="1025">
        <f t="shared" si="259"/>
        <v>0.125</v>
      </c>
      <c r="GK87" s="1024">
        <f t="shared" si="260"/>
        <v>445279.98328226834</v>
      </c>
      <c r="GL87" s="1024">
        <f t="shared" si="261"/>
        <v>30000</v>
      </c>
      <c r="GM87" s="1024">
        <f t="shared" si="262"/>
        <v>415279.98328226834</v>
      </c>
      <c r="GN87" s="1024">
        <f t="shared" si="263"/>
        <v>1</v>
      </c>
      <c r="GO87" s="1024">
        <f t="shared" si="264"/>
        <v>415279.98328226834</v>
      </c>
      <c r="GP87" s="1025">
        <f t="shared" si="265"/>
        <v>0.875</v>
      </c>
      <c r="GQ87" s="1024">
        <f t="shared" si="266"/>
        <v>3116959.8829758782</v>
      </c>
      <c r="GR87" s="1024">
        <f t="shared" si="267"/>
        <v>24165.756796379304</v>
      </c>
      <c r="GS87" s="1024">
        <f t="shared" si="268"/>
        <v>28016.116619315919</v>
      </c>
      <c r="GT87" s="1024">
        <f t="shared" si="269"/>
        <v>36190.547179778965</v>
      </c>
      <c r="GU87" s="1024">
        <f t="shared" si="270"/>
        <v>61719.541485110021</v>
      </c>
      <c r="GV87" s="945"/>
      <c r="GW87" s="1024">
        <f t="shared" si="271"/>
        <v>3562239.8662581467</v>
      </c>
      <c r="GX87" s="1025">
        <f t="shared" si="272"/>
        <v>0.125</v>
      </c>
      <c r="GY87" s="1024">
        <f t="shared" si="273"/>
        <v>445279.98328226834</v>
      </c>
      <c r="GZ87" s="1024">
        <f t="shared" si="274"/>
        <v>30000</v>
      </c>
      <c r="HA87" s="1024">
        <f t="shared" si="275"/>
        <v>415279.98328226834</v>
      </c>
      <c r="HB87" s="1026">
        <f t="shared" si="276"/>
        <v>25</v>
      </c>
      <c r="HC87" s="1009">
        <f t="shared" si="277"/>
        <v>16611.199331290733</v>
      </c>
      <c r="HD87" s="1027">
        <f t="shared" si="278"/>
        <v>0.875</v>
      </c>
      <c r="HE87" s="1009">
        <f t="shared" si="279"/>
        <v>3116959.8829758782</v>
      </c>
      <c r="HF87" s="1008">
        <f t="shared" si="280"/>
        <v>24165.756796379304</v>
      </c>
      <c r="HG87" s="1008">
        <f t="shared" si="281"/>
        <v>28016.116619315919</v>
      </c>
      <c r="HH87" s="1008">
        <f t="shared" si="282"/>
        <v>36190.547179778965</v>
      </c>
      <c r="HI87" s="1008">
        <f t="shared" si="283"/>
        <v>61719.541485110021</v>
      </c>
      <c r="HJ87" s="945"/>
      <c r="HK87" s="1009">
        <f t="shared" si="284"/>
        <v>-398668.78395097761</v>
      </c>
      <c r="HL87" s="503"/>
      <c r="HM87" s="503"/>
      <c r="HN87" s="503"/>
      <c r="HO87" s="503"/>
      <c r="HP87" s="503"/>
      <c r="HQ87" s="503"/>
      <c r="HR87" s="956">
        <f t="shared" si="285"/>
        <v>0</v>
      </c>
      <c r="HS87" s="503"/>
      <c r="HT87" s="503"/>
      <c r="HU87" s="956"/>
      <c r="HV87" s="503"/>
      <c r="HW87" s="956"/>
      <c r="HX87" s="956"/>
      <c r="HY87" s="503"/>
      <c r="HZ87" s="503"/>
      <c r="IA87" s="503"/>
      <c r="ID87" s="1394"/>
    </row>
    <row r="88" spans="1:238" s="1051" customFormat="1" ht="14.25" hidden="1" customHeight="1">
      <c r="A88" s="1018">
        <f t="shared" si="326"/>
        <v>82</v>
      </c>
      <c r="B88" s="716" t="s">
        <v>264</v>
      </c>
      <c r="C88" s="741">
        <f t="shared" si="289"/>
        <v>16</v>
      </c>
      <c r="D88" s="716" t="s">
        <v>263</v>
      </c>
      <c r="E88" s="743" t="str">
        <f t="shared" si="328"/>
        <v>6th Floor</v>
      </c>
      <c r="F88" s="1048"/>
      <c r="G88" s="745" t="s">
        <v>480</v>
      </c>
      <c r="H88" s="745" t="s">
        <v>345</v>
      </c>
      <c r="I88" s="745" t="s">
        <v>267</v>
      </c>
      <c r="J88" s="1005">
        <v>22</v>
      </c>
      <c r="K88" s="1049"/>
      <c r="L88" s="1006" t="s">
        <v>268</v>
      </c>
      <c r="M88" s="745" t="s">
        <v>79</v>
      </c>
      <c r="N88" s="1050">
        <v>95909.091</v>
      </c>
      <c r="O88" s="934">
        <f t="shared" si="298"/>
        <v>2110000.0019999999</v>
      </c>
      <c r="P88" s="934">
        <f t="shared" si="327"/>
        <v>22400</v>
      </c>
      <c r="Q88" s="934">
        <f t="shared" si="293"/>
        <v>50000</v>
      </c>
      <c r="R88" s="934"/>
      <c r="S88" s="934"/>
      <c r="T88" s="934"/>
      <c r="U88" s="934"/>
      <c r="V88" s="934"/>
      <c r="W88" s="749"/>
      <c r="X88" s="934"/>
      <c r="Y88" s="934">
        <f t="shared" si="290"/>
        <v>40000</v>
      </c>
      <c r="Z88" s="934">
        <f t="shared" si="299"/>
        <v>75000</v>
      </c>
      <c r="AA88" s="934"/>
      <c r="AB88" s="934"/>
      <c r="AC88" s="934"/>
      <c r="AD88" s="934"/>
      <c r="AE88" s="934">
        <f t="shared" si="199"/>
        <v>187400</v>
      </c>
      <c r="AF88" s="1005">
        <f t="shared" si="200"/>
        <v>2297400.0019999999</v>
      </c>
      <c r="AG88" s="1005">
        <f t="shared" si="220"/>
        <v>57435.000050000002</v>
      </c>
      <c r="AH88" s="1005">
        <f t="shared" si="221"/>
        <v>2354835.0020499998</v>
      </c>
      <c r="AI88" s="1005">
        <f t="shared" si="222"/>
        <v>58870.875051249997</v>
      </c>
      <c r="AJ88" s="1005">
        <f t="shared" si="223"/>
        <v>2413705.87710125</v>
      </c>
      <c r="AK88" s="1005">
        <f t="shared" si="224"/>
        <v>120685.29385506251</v>
      </c>
      <c r="AL88" s="1005">
        <f t="shared" si="300"/>
        <v>2534391.1709563127</v>
      </c>
      <c r="AM88" s="934">
        <f t="shared" si="225"/>
        <v>25343.911709563126</v>
      </c>
      <c r="AN88" s="934">
        <f t="shared" si="226"/>
        <v>27537.409960060559</v>
      </c>
      <c r="AO88" s="934"/>
      <c r="AP88" s="934">
        <f t="shared" si="301"/>
        <v>112065.9657786489</v>
      </c>
      <c r="AQ88" s="1005">
        <f t="shared" si="201"/>
        <v>2699338.4584045853</v>
      </c>
      <c r="AR88" s="1005">
        <f t="shared" si="227"/>
        <v>121470.23062820634</v>
      </c>
      <c r="AS88" s="1147">
        <f t="shared" si="228"/>
        <v>2820808.6890327916</v>
      </c>
      <c r="AT88" s="1148">
        <f t="shared" si="302"/>
        <v>2000000</v>
      </c>
      <c r="AU88" s="1148">
        <f t="shared" si="202"/>
        <v>37309.485865126895</v>
      </c>
      <c r="AV88" s="1148">
        <f t="shared" si="303"/>
        <v>820808.68903279165</v>
      </c>
      <c r="AW88" s="1148">
        <f t="shared" si="203"/>
        <v>98497.042683934997</v>
      </c>
      <c r="AX88" s="1148">
        <f t="shared" si="204"/>
        <v>919305.73171672667</v>
      </c>
      <c r="AY88" s="1147">
        <f t="shared" si="229"/>
        <v>2919305.7317167264</v>
      </c>
      <c r="AZ88" s="934">
        <f t="shared" si="230"/>
        <v>36491.321646459081</v>
      </c>
      <c r="BA88" s="716" t="s">
        <v>269</v>
      </c>
      <c r="BB88" s="716">
        <f t="shared" si="205"/>
        <v>2955797.0533631854</v>
      </c>
      <c r="BC88" s="716" t="s">
        <v>269</v>
      </c>
      <c r="BD88" s="716">
        <f t="shared" si="231"/>
        <v>110842.38950111945</v>
      </c>
      <c r="BE88" s="716">
        <f t="shared" si="232"/>
        <v>33600</v>
      </c>
      <c r="BF88" s="716">
        <f t="shared" si="233"/>
        <v>3100239.4428643049</v>
      </c>
      <c r="BG88" s="716"/>
      <c r="BH88" s="716">
        <f t="shared" si="234"/>
        <v>3100239.4428643049</v>
      </c>
      <c r="BI88" s="716"/>
      <c r="BJ88" s="716">
        <f t="shared" si="235"/>
        <v>3100239.4428643049</v>
      </c>
      <c r="BK88" s="716"/>
      <c r="BL88" s="716">
        <f t="shared" si="236"/>
        <v>3100239.4428643049</v>
      </c>
      <c r="BM88" s="716"/>
      <c r="BN88" s="716">
        <f t="shared" si="206"/>
        <v>3100239.4428643049</v>
      </c>
      <c r="BO88" s="716"/>
      <c r="BP88" s="716">
        <f t="shared" si="237"/>
        <v>3100239.4428643049</v>
      </c>
      <c r="BQ88" s="716"/>
      <c r="BR88" s="716">
        <f t="shared" si="238"/>
        <v>3100239.4428643049</v>
      </c>
      <c r="BS88" s="716"/>
      <c r="BT88" s="716">
        <f t="shared" si="239"/>
        <v>3100239.4428643049</v>
      </c>
      <c r="BU88" s="716"/>
      <c r="BV88" s="716">
        <f t="shared" si="207"/>
        <v>3100239.4428643049</v>
      </c>
      <c r="BW88" s="716"/>
      <c r="BX88" s="716">
        <f t="shared" si="329"/>
        <v>31400</v>
      </c>
      <c r="BY88" s="716">
        <f t="shared" si="240"/>
        <v>3131639.4428643049</v>
      </c>
      <c r="BZ88" s="716"/>
      <c r="CA88" s="716">
        <f t="shared" si="241"/>
        <v>3131639.4428643049</v>
      </c>
      <c r="CB88" s="1135">
        <f t="shared" si="242"/>
        <v>3131639.4428643049</v>
      </c>
      <c r="CC88" s="1164">
        <f t="shared" si="286"/>
        <v>3131639.4428643049</v>
      </c>
      <c r="CD88" s="1164"/>
      <c r="CE88" s="1164">
        <f t="shared" si="243"/>
        <v>0</v>
      </c>
      <c r="CF88" s="1164">
        <f t="shared" si="291"/>
        <v>0</v>
      </c>
      <c r="CG88" s="1164">
        <f t="shared" si="292"/>
        <v>0</v>
      </c>
      <c r="CH88" s="1154">
        <f t="shared" si="304"/>
        <v>3131639.4428643049</v>
      </c>
      <c r="CI88" s="935">
        <f t="shared" si="305"/>
        <v>3131639.4428643049</v>
      </c>
      <c r="CJ88" s="935">
        <f t="shared" si="244"/>
        <v>0</v>
      </c>
      <c r="CK88" s="935">
        <f t="shared" si="208"/>
        <v>320993.04289359122</v>
      </c>
      <c r="CL88" s="935">
        <f t="shared" si="209"/>
        <v>109607.38050025069</v>
      </c>
      <c r="CM88" s="1006">
        <f t="shared" si="306"/>
        <v>3562239.8662581467</v>
      </c>
      <c r="CN88" s="1007">
        <f t="shared" si="307"/>
        <v>0.125</v>
      </c>
      <c r="CO88" s="935">
        <f t="shared" si="210"/>
        <v>445279.98328226834</v>
      </c>
      <c r="CP88" s="935">
        <f t="shared" si="330"/>
        <v>30000</v>
      </c>
      <c r="CQ88" s="935">
        <f t="shared" si="211"/>
        <v>415279.98328226834</v>
      </c>
      <c r="CR88" s="745">
        <f t="shared" si="308"/>
        <v>1</v>
      </c>
      <c r="CS88" s="935">
        <f t="shared" si="212"/>
        <v>415279.98328226834</v>
      </c>
      <c r="CT88" s="1007">
        <f t="shared" si="245"/>
        <v>0.875</v>
      </c>
      <c r="CU88" s="935">
        <f t="shared" si="246"/>
        <v>3116959.8829758782</v>
      </c>
      <c r="CV88" s="1008">
        <f t="shared" si="247"/>
        <v>24165.756796379304</v>
      </c>
      <c r="CW88" s="1008">
        <f t="shared" si="248"/>
        <v>28016.116619315919</v>
      </c>
      <c r="CX88" s="1008">
        <f t="shared" si="249"/>
        <v>36190.547179778965</v>
      </c>
      <c r="CY88" s="1008">
        <f t="shared" si="250"/>
        <v>61719.541485110021</v>
      </c>
      <c r="CZ88" s="1119">
        <f t="shared" si="251"/>
        <v>253200.55859564664</v>
      </c>
      <c r="DA88" s="1119">
        <f t="shared" si="252"/>
        <v>100190.22762556261</v>
      </c>
      <c r="DB88" s="1119">
        <f t="shared" si="253"/>
        <v>72365.982400252818</v>
      </c>
      <c r="DC88" s="1119">
        <f t="shared" si="254"/>
        <v>55073.844164354283</v>
      </c>
      <c r="DD88" s="1028">
        <f t="shared" si="294"/>
        <v>0.41040434451639585</v>
      </c>
      <c r="DE88" s="1028">
        <f t="shared" si="309"/>
        <v>0</v>
      </c>
      <c r="DF88" s="1009" t="s">
        <v>270</v>
      </c>
      <c r="DG88" s="1009" t="s">
        <v>271</v>
      </c>
      <c r="DH88" s="966">
        <f t="shared" si="287"/>
        <v>45658</v>
      </c>
      <c r="DI88" s="912">
        <f t="shared" si="255"/>
        <v>14</v>
      </c>
      <c r="DJ88" s="939"/>
      <c r="DK88" s="913">
        <f t="shared" si="213"/>
        <v>45723</v>
      </c>
      <c r="DL88" s="912">
        <f t="shared" si="256"/>
        <v>16</v>
      </c>
      <c r="DM88" s="750" t="s">
        <v>272</v>
      </c>
      <c r="DN88" s="750" t="s">
        <v>273</v>
      </c>
      <c r="DO88" s="751">
        <f t="shared" si="214"/>
        <v>41786.624168942122</v>
      </c>
      <c r="DP88" s="751">
        <f t="shared" si="215"/>
        <v>919305.73171672667</v>
      </c>
      <c r="DQ88" s="752">
        <f t="shared" si="295"/>
        <v>0.45965286585836335</v>
      </c>
      <c r="DR88" s="503"/>
      <c r="DS88" s="751">
        <f t="shared" si="296"/>
        <v>3131639.4428643049</v>
      </c>
      <c r="DT88" s="751">
        <f>'[4]INTERNAL PRICELIST'!N82</f>
        <v>2111900</v>
      </c>
      <c r="DU88" s="751">
        <f t="shared" si="216"/>
        <v>1019739.4428643049</v>
      </c>
      <c r="DV88" s="503"/>
      <c r="DW88" s="951">
        <f t="shared" si="297"/>
        <v>142347.24740292295</v>
      </c>
      <c r="DX88" s="503"/>
      <c r="DZ88" s="1010" t="s">
        <v>480</v>
      </c>
      <c r="EA88" s="1052" t="b">
        <f t="shared" si="217"/>
        <v>1</v>
      </c>
      <c r="EB88" s="1072" t="s">
        <v>413</v>
      </c>
      <c r="EC88" s="1072" t="s">
        <v>453</v>
      </c>
      <c r="ED88" s="503"/>
      <c r="EE88" s="1029"/>
      <c r="EF88" s="503"/>
      <c r="EG88" s="503"/>
      <c r="EH88" s="930"/>
      <c r="EI88" s="930"/>
      <c r="EJ88" s="503"/>
      <c r="EK88" s="503"/>
      <c r="EL88" s="503"/>
      <c r="EM88" s="503"/>
      <c r="EN88" s="503"/>
      <c r="EO88" s="503"/>
      <c r="EP88" s="503"/>
      <c r="EQ88" s="503"/>
      <c r="ER88" s="1017" t="s">
        <v>264</v>
      </c>
      <c r="ES88" s="1391" t="s">
        <v>264</v>
      </c>
      <c r="ET88" s="1018" t="b">
        <f t="shared" si="257"/>
        <v>1</v>
      </c>
      <c r="EU88" s="940"/>
      <c r="EV88" s="941"/>
      <c r="EW88" s="940"/>
      <c r="EX88" s="1019">
        <v>2929829.1706836312</v>
      </c>
      <c r="EY88" s="1019">
        <f t="shared" si="310"/>
        <v>439474.37560254469</v>
      </c>
      <c r="EZ88" s="1019">
        <f t="shared" si="311"/>
        <v>2490354.7950810865</v>
      </c>
      <c r="FA88" s="1019">
        <f t="shared" si="312"/>
        <v>292982.91706836311</v>
      </c>
      <c r="FB88" s="1019">
        <f t="shared" si="313"/>
        <v>2636846.253615268</v>
      </c>
      <c r="FC88" s="1019">
        <f t="shared" si="314"/>
        <v>146491.45853418158</v>
      </c>
      <c r="FD88" s="1020"/>
      <c r="FE88" s="1021"/>
      <c r="FF88" s="1022">
        <f t="shared" si="315"/>
        <v>2490354.7950810865</v>
      </c>
      <c r="FG88" s="1022">
        <f t="shared" si="316"/>
        <v>211680.15758189236</v>
      </c>
      <c r="FH88" s="1022">
        <f t="shared" si="317"/>
        <v>105840.07879094618</v>
      </c>
      <c r="FI88" s="1023">
        <f t="shared" si="318"/>
        <v>2636846.253615268</v>
      </c>
      <c r="FJ88" s="1023">
        <f t="shared" si="319"/>
        <v>224131.93155729779</v>
      </c>
      <c r="FK88" s="1023">
        <f t="shared" si="320"/>
        <v>112065.9657786489</v>
      </c>
      <c r="FL88" s="1019">
        <f t="shared" si="321"/>
        <v>12451.773975405435</v>
      </c>
      <c r="FM88" s="1019">
        <f t="shared" si="322"/>
        <v>6225.8869877027173</v>
      </c>
      <c r="FN88" s="1019" t="str">
        <f t="shared" si="323"/>
        <v>VS</v>
      </c>
      <c r="FO88" s="1019">
        <f t="shared" si="324"/>
        <v>27537.409960060559</v>
      </c>
      <c r="FP88" s="1019">
        <f t="shared" si="325"/>
        <v>-21311.522972357841</v>
      </c>
      <c r="FQ88" s="1021"/>
      <c r="FR88" s="1021"/>
      <c r="FS88" s="1020"/>
      <c r="FT88" s="503"/>
      <c r="FU88" s="956"/>
      <c r="FV88" s="503"/>
      <c r="FW88" s="503"/>
      <c r="FX88" s="1040"/>
      <c r="FY88" s="503"/>
      <c r="FZ88" s="503"/>
      <c r="GA88" s="503"/>
      <c r="GB88" s="1059"/>
      <c r="GE88" s="503"/>
      <c r="GF88" s="1059"/>
      <c r="GG88" s="956"/>
      <c r="GH88" s="945"/>
      <c r="GI88" s="1024">
        <f t="shared" si="258"/>
        <v>3562239.8662581467</v>
      </c>
      <c r="GJ88" s="1025">
        <f t="shared" si="259"/>
        <v>0.125</v>
      </c>
      <c r="GK88" s="1024">
        <f t="shared" si="260"/>
        <v>445279.98328226834</v>
      </c>
      <c r="GL88" s="1024">
        <f t="shared" si="261"/>
        <v>30000</v>
      </c>
      <c r="GM88" s="1024">
        <f t="shared" si="262"/>
        <v>415279.98328226834</v>
      </c>
      <c r="GN88" s="1024">
        <f t="shared" si="263"/>
        <v>1</v>
      </c>
      <c r="GO88" s="1024">
        <f t="shared" si="264"/>
        <v>415279.98328226834</v>
      </c>
      <c r="GP88" s="1025">
        <f t="shared" si="265"/>
        <v>0.875</v>
      </c>
      <c r="GQ88" s="1024">
        <f t="shared" si="266"/>
        <v>3116959.8829758782</v>
      </c>
      <c r="GR88" s="1024">
        <f t="shared" si="267"/>
        <v>24165.756796379304</v>
      </c>
      <c r="GS88" s="1024">
        <f t="shared" si="268"/>
        <v>28016.116619315919</v>
      </c>
      <c r="GT88" s="1024">
        <f t="shared" si="269"/>
        <v>36190.547179778965</v>
      </c>
      <c r="GU88" s="1024">
        <f t="shared" si="270"/>
        <v>61719.541485110021</v>
      </c>
      <c r="GV88" s="945"/>
      <c r="GW88" s="1024">
        <f t="shared" si="271"/>
        <v>3562239.8662581467</v>
      </c>
      <c r="GX88" s="1025">
        <f t="shared" si="272"/>
        <v>0.125</v>
      </c>
      <c r="GY88" s="1024">
        <f t="shared" si="273"/>
        <v>445279.98328226834</v>
      </c>
      <c r="GZ88" s="1024">
        <f t="shared" si="274"/>
        <v>30000</v>
      </c>
      <c r="HA88" s="1024">
        <f t="shared" si="275"/>
        <v>415279.98328226834</v>
      </c>
      <c r="HB88" s="1026">
        <f t="shared" si="276"/>
        <v>25</v>
      </c>
      <c r="HC88" s="1009">
        <f t="shared" si="277"/>
        <v>16611.199331290733</v>
      </c>
      <c r="HD88" s="1027">
        <f t="shared" si="278"/>
        <v>0.875</v>
      </c>
      <c r="HE88" s="1009">
        <f t="shared" si="279"/>
        <v>3116959.8829758782</v>
      </c>
      <c r="HF88" s="1008">
        <f t="shared" si="280"/>
        <v>24165.756796379304</v>
      </c>
      <c r="HG88" s="1008">
        <f t="shared" si="281"/>
        <v>28016.116619315919</v>
      </c>
      <c r="HH88" s="1008">
        <f t="shared" si="282"/>
        <v>36190.547179778965</v>
      </c>
      <c r="HI88" s="1008">
        <f t="shared" si="283"/>
        <v>61719.541485110021</v>
      </c>
      <c r="HJ88" s="945"/>
      <c r="HK88" s="1009">
        <f t="shared" si="284"/>
        <v>-398668.78395097761</v>
      </c>
      <c r="HL88" s="503"/>
      <c r="HM88" s="503"/>
      <c r="HN88" s="503"/>
      <c r="HO88" s="503"/>
      <c r="HP88" s="503"/>
      <c r="HQ88" s="503"/>
      <c r="HR88" s="956">
        <f t="shared" si="285"/>
        <v>0</v>
      </c>
      <c r="HS88" s="503"/>
      <c r="HT88" s="503"/>
      <c r="HU88" s="956"/>
      <c r="HV88" s="503"/>
      <c r="HW88" s="956"/>
      <c r="HX88" s="956"/>
      <c r="HY88" s="503"/>
      <c r="HZ88" s="503"/>
      <c r="IA88" s="503"/>
      <c r="ID88" s="1394"/>
    </row>
    <row r="89" spans="1:238" s="1051" customFormat="1" ht="14.25" hidden="1" customHeight="1">
      <c r="A89" s="1018">
        <f t="shared" si="326"/>
        <v>83</v>
      </c>
      <c r="B89" s="716" t="s">
        <v>264</v>
      </c>
      <c r="C89" s="741">
        <f t="shared" si="289"/>
        <v>17</v>
      </c>
      <c r="D89" s="716" t="s">
        <v>263</v>
      </c>
      <c r="E89" s="743" t="str">
        <f t="shared" si="328"/>
        <v>6th Floor</v>
      </c>
      <c r="F89" s="1048"/>
      <c r="G89" s="745" t="s">
        <v>481</v>
      </c>
      <c r="H89" s="745" t="s">
        <v>349</v>
      </c>
      <c r="I89" s="745" t="s">
        <v>267</v>
      </c>
      <c r="J89" s="1005">
        <v>22</v>
      </c>
      <c r="K89" s="1049"/>
      <c r="L89" s="1006" t="s">
        <v>268</v>
      </c>
      <c r="M89" s="745" t="s">
        <v>79</v>
      </c>
      <c r="N89" s="1050">
        <v>95909.091</v>
      </c>
      <c r="O89" s="934">
        <f t="shared" si="298"/>
        <v>2110000.0019999999</v>
      </c>
      <c r="P89" s="934">
        <f t="shared" si="327"/>
        <v>22400</v>
      </c>
      <c r="Q89" s="934">
        <f t="shared" si="293"/>
        <v>50000</v>
      </c>
      <c r="R89" s="934"/>
      <c r="S89" s="934"/>
      <c r="T89" s="934"/>
      <c r="U89" s="934"/>
      <c r="V89" s="934"/>
      <c r="W89" s="934"/>
      <c r="X89" s="934"/>
      <c r="Y89" s="934">
        <f t="shared" si="290"/>
        <v>40000</v>
      </c>
      <c r="Z89" s="934">
        <f t="shared" si="299"/>
        <v>75000</v>
      </c>
      <c r="AA89" s="934"/>
      <c r="AB89" s="934"/>
      <c r="AC89" s="934"/>
      <c r="AD89" s="934"/>
      <c r="AE89" s="934">
        <f t="shared" si="199"/>
        <v>187400</v>
      </c>
      <c r="AF89" s="1005">
        <f t="shared" si="200"/>
        <v>2297400.0019999999</v>
      </c>
      <c r="AG89" s="1005">
        <f t="shared" si="220"/>
        <v>57435.000050000002</v>
      </c>
      <c r="AH89" s="1005">
        <f t="shared" si="221"/>
        <v>2354835.0020499998</v>
      </c>
      <c r="AI89" s="1005">
        <f t="shared" si="222"/>
        <v>58870.875051249997</v>
      </c>
      <c r="AJ89" s="1005">
        <f t="shared" si="223"/>
        <v>2413705.87710125</v>
      </c>
      <c r="AK89" s="1005">
        <f t="shared" si="224"/>
        <v>120685.29385506251</v>
      </c>
      <c r="AL89" s="1005">
        <f t="shared" si="300"/>
        <v>2534391.1709563127</v>
      </c>
      <c r="AM89" s="934">
        <f t="shared" si="225"/>
        <v>25343.911709563126</v>
      </c>
      <c r="AN89" s="934">
        <f t="shared" si="226"/>
        <v>27537.409960060559</v>
      </c>
      <c r="AO89" s="934"/>
      <c r="AP89" s="934">
        <f t="shared" si="301"/>
        <v>112065.9657786489</v>
      </c>
      <c r="AQ89" s="1005">
        <f t="shared" si="201"/>
        <v>2699338.4584045853</v>
      </c>
      <c r="AR89" s="1005">
        <f t="shared" si="227"/>
        <v>121470.23062820634</v>
      </c>
      <c r="AS89" s="1147">
        <f t="shared" si="228"/>
        <v>2820808.6890327916</v>
      </c>
      <c r="AT89" s="1148">
        <f t="shared" si="302"/>
        <v>2000000</v>
      </c>
      <c r="AU89" s="1148">
        <f t="shared" si="202"/>
        <v>37309.485865126895</v>
      </c>
      <c r="AV89" s="1148">
        <f t="shared" si="303"/>
        <v>820808.68903279165</v>
      </c>
      <c r="AW89" s="1148">
        <f t="shared" si="203"/>
        <v>98497.042683934997</v>
      </c>
      <c r="AX89" s="1148">
        <f t="shared" si="204"/>
        <v>919305.73171672667</v>
      </c>
      <c r="AY89" s="1147">
        <f t="shared" si="229"/>
        <v>2919305.7317167264</v>
      </c>
      <c r="AZ89" s="934">
        <f t="shared" si="230"/>
        <v>36491.321646459081</v>
      </c>
      <c r="BA89" s="716" t="s">
        <v>269</v>
      </c>
      <c r="BB89" s="716">
        <f t="shared" si="205"/>
        <v>2955797.0533631854</v>
      </c>
      <c r="BC89" s="716" t="s">
        <v>269</v>
      </c>
      <c r="BD89" s="716">
        <f t="shared" si="231"/>
        <v>110842.38950111945</v>
      </c>
      <c r="BE89" s="716">
        <f t="shared" si="232"/>
        <v>33600</v>
      </c>
      <c r="BF89" s="716">
        <f t="shared" si="233"/>
        <v>3100239.4428643049</v>
      </c>
      <c r="BG89" s="716"/>
      <c r="BH89" s="716">
        <f t="shared" si="234"/>
        <v>3100239.4428643049</v>
      </c>
      <c r="BI89" s="716"/>
      <c r="BJ89" s="716">
        <f t="shared" si="235"/>
        <v>3100239.4428643049</v>
      </c>
      <c r="BK89" s="716"/>
      <c r="BL89" s="716">
        <f t="shared" si="236"/>
        <v>3100239.4428643049</v>
      </c>
      <c r="BM89" s="716"/>
      <c r="BN89" s="716">
        <f t="shared" si="206"/>
        <v>3100239.4428643049</v>
      </c>
      <c r="BO89" s="716"/>
      <c r="BP89" s="716">
        <f t="shared" si="237"/>
        <v>3100239.4428643049</v>
      </c>
      <c r="BQ89" s="716"/>
      <c r="BR89" s="716">
        <f t="shared" si="238"/>
        <v>3100239.4428643049</v>
      </c>
      <c r="BS89" s="716"/>
      <c r="BT89" s="716">
        <f t="shared" si="239"/>
        <v>3100239.4428643049</v>
      </c>
      <c r="BU89" s="716"/>
      <c r="BV89" s="716">
        <f t="shared" si="207"/>
        <v>3100239.4428643049</v>
      </c>
      <c r="BW89" s="716"/>
      <c r="BX89" s="716">
        <f t="shared" si="329"/>
        <v>31400</v>
      </c>
      <c r="BY89" s="716">
        <f t="shared" si="240"/>
        <v>3131639.4428643049</v>
      </c>
      <c r="BZ89" s="716"/>
      <c r="CA89" s="716">
        <f t="shared" si="241"/>
        <v>3131639.4428643049</v>
      </c>
      <c r="CB89" s="1135">
        <f t="shared" si="242"/>
        <v>3131639.4428643049</v>
      </c>
      <c r="CC89" s="1164">
        <f t="shared" si="286"/>
        <v>3131639.4428643049</v>
      </c>
      <c r="CD89" s="1164"/>
      <c r="CE89" s="1164">
        <f t="shared" si="243"/>
        <v>0</v>
      </c>
      <c r="CF89" s="1164">
        <f t="shared" si="291"/>
        <v>0</v>
      </c>
      <c r="CG89" s="1164">
        <f t="shared" si="292"/>
        <v>0</v>
      </c>
      <c r="CH89" s="1154">
        <f t="shared" si="304"/>
        <v>3131639.4428643049</v>
      </c>
      <c r="CI89" s="935">
        <f t="shared" si="305"/>
        <v>3131639.4428643049</v>
      </c>
      <c r="CJ89" s="935">
        <f t="shared" si="244"/>
        <v>0</v>
      </c>
      <c r="CK89" s="935">
        <f t="shared" si="208"/>
        <v>320993.04289359122</v>
      </c>
      <c r="CL89" s="935">
        <f t="shared" si="209"/>
        <v>109607.38050025069</v>
      </c>
      <c r="CM89" s="1006">
        <f t="shared" si="306"/>
        <v>3562239.8662581467</v>
      </c>
      <c r="CN89" s="1007">
        <f t="shared" si="307"/>
        <v>0.125</v>
      </c>
      <c r="CO89" s="935">
        <f t="shared" si="210"/>
        <v>445279.98328226834</v>
      </c>
      <c r="CP89" s="935">
        <f t="shared" si="330"/>
        <v>30000</v>
      </c>
      <c r="CQ89" s="935">
        <f t="shared" si="211"/>
        <v>415279.98328226834</v>
      </c>
      <c r="CR89" s="745">
        <f t="shared" si="308"/>
        <v>1</v>
      </c>
      <c r="CS89" s="935">
        <f t="shared" si="212"/>
        <v>415279.98328226834</v>
      </c>
      <c r="CT89" s="1007">
        <f t="shared" si="245"/>
        <v>0.875</v>
      </c>
      <c r="CU89" s="935">
        <f t="shared" si="246"/>
        <v>3116959.8829758782</v>
      </c>
      <c r="CV89" s="1008">
        <f t="shared" si="247"/>
        <v>24165.756796379304</v>
      </c>
      <c r="CW89" s="1008">
        <f t="shared" si="248"/>
        <v>28016.116619315919</v>
      </c>
      <c r="CX89" s="1008">
        <f t="shared" si="249"/>
        <v>36190.547179778965</v>
      </c>
      <c r="CY89" s="1008">
        <f t="shared" si="250"/>
        <v>61719.541485110021</v>
      </c>
      <c r="CZ89" s="1119">
        <f t="shared" si="251"/>
        <v>253200.55859564664</v>
      </c>
      <c r="DA89" s="1119">
        <f t="shared" si="252"/>
        <v>100190.22762556261</v>
      </c>
      <c r="DB89" s="1119">
        <f t="shared" si="253"/>
        <v>72365.982400252818</v>
      </c>
      <c r="DC89" s="1119">
        <f t="shared" si="254"/>
        <v>55073.844164354283</v>
      </c>
      <c r="DD89" s="1028">
        <f t="shared" si="294"/>
        <v>0.41040434451639585</v>
      </c>
      <c r="DE89" s="1028">
        <f t="shared" si="309"/>
        <v>0</v>
      </c>
      <c r="DF89" s="1009" t="s">
        <v>270</v>
      </c>
      <c r="DG89" s="1009" t="s">
        <v>271</v>
      </c>
      <c r="DH89" s="966">
        <f t="shared" si="287"/>
        <v>45658</v>
      </c>
      <c r="DI89" s="912">
        <f t="shared" si="255"/>
        <v>14</v>
      </c>
      <c r="DJ89" s="939"/>
      <c r="DK89" s="913">
        <f t="shared" si="213"/>
        <v>45723</v>
      </c>
      <c r="DL89" s="912">
        <f t="shared" si="256"/>
        <v>16</v>
      </c>
      <c r="DM89" s="750" t="s">
        <v>272</v>
      </c>
      <c r="DN89" s="750" t="s">
        <v>273</v>
      </c>
      <c r="DO89" s="751">
        <f t="shared" si="214"/>
        <v>41786.624168942122</v>
      </c>
      <c r="DP89" s="751">
        <f t="shared" si="215"/>
        <v>919305.73171672667</v>
      </c>
      <c r="DQ89" s="752">
        <f t="shared" si="295"/>
        <v>0.45965286585836335</v>
      </c>
      <c r="DR89" s="503"/>
      <c r="DS89" s="751">
        <f t="shared" si="296"/>
        <v>3131639.4428643049</v>
      </c>
      <c r="DT89" s="751">
        <f>'[4]INTERNAL PRICELIST'!N83</f>
        <v>2111900</v>
      </c>
      <c r="DU89" s="751">
        <f t="shared" si="216"/>
        <v>1019739.4428643049</v>
      </c>
      <c r="DV89" s="503"/>
      <c r="DW89" s="951">
        <f t="shared" si="297"/>
        <v>142347.24740292295</v>
      </c>
      <c r="DX89" s="503"/>
      <c r="DZ89" s="1010" t="s">
        <v>481</v>
      </c>
      <c r="EA89" s="1052" t="b">
        <f t="shared" si="217"/>
        <v>1</v>
      </c>
      <c r="EB89" s="1072" t="s">
        <v>446</v>
      </c>
      <c r="EC89" s="1072" t="s">
        <v>453</v>
      </c>
      <c r="ED89" s="503"/>
      <c r="EE89" s="1029"/>
      <c r="EF89" s="503"/>
      <c r="EG89" s="503"/>
      <c r="EH89" s="930"/>
      <c r="EI89" s="930"/>
      <c r="EJ89" s="503"/>
      <c r="EK89" s="503"/>
      <c r="EL89" s="503"/>
      <c r="EM89" s="503"/>
      <c r="EN89" s="503"/>
      <c r="EO89" s="503"/>
      <c r="EP89" s="503"/>
      <c r="EQ89" s="503"/>
      <c r="ER89" s="1017" t="s">
        <v>264</v>
      </c>
      <c r="ES89" s="1391" t="s">
        <v>264</v>
      </c>
      <c r="ET89" s="1018" t="b">
        <f t="shared" si="257"/>
        <v>1</v>
      </c>
      <c r="EU89" s="940"/>
      <c r="EV89" s="941"/>
      <c r="EW89" s="940"/>
      <c r="EX89" s="1019">
        <v>2929829.1706836312</v>
      </c>
      <c r="EY89" s="1019">
        <f t="shared" si="310"/>
        <v>439474.37560254469</v>
      </c>
      <c r="EZ89" s="1019">
        <f t="shared" si="311"/>
        <v>2490354.7950810865</v>
      </c>
      <c r="FA89" s="1019">
        <f t="shared" si="312"/>
        <v>292982.91706836311</v>
      </c>
      <c r="FB89" s="1019">
        <f t="shared" si="313"/>
        <v>2636846.253615268</v>
      </c>
      <c r="FC89" s="1019">
        <f t="shared" si="314"/>
        <v>146491.45853418158</v>
      </c>
      <c r="FD89" s="1020"/>
      <c r="FE89" s="1021"/>
      <c r="FF89" s="1022">
        <f t="shared" si="315"/>
        <v>2490354.7950810865</v>
      </c>
      <c r="FG89" s="1022">
        <f t="shared" si="316"/>
        <v>211680.15758189236</v>
      </c>
      <c r="FH89" s="1022">
        <f t="shared" si="317"/>
        <v>105840.07879094618</v>
      </c>
      <c r="FI89" s="1023">
        <f t="shared" si="318"/>
        <v>2636846.253615268</v>
      </c>
      <c r="FJ89" s="1023">
        <f t="shared" si="319"/>
        <v>224131.93155729779</v>
      </c>
      <c r="FK89" s="1023">
        <f t="shared" si="320"/>
        <v>112065.9657786489</v>
      </c>
      <c r="FL89" s="1019">
        <f t="shared" si="321"/>
        <v>12451.773975405435</v>
      </c>
      <c r="FM89" s="1019">
        <f t="shared" si="322"/>
        <v>6225.8869877027173</v>
      </c>
      <c r="FN89" s="1019" t="str">
        <f t="shared" si="323"/>
        <v>VS</v>
      </c>
      <c r="FO89" s="1019">
        <f t="shared" si="324"/>
        <v>27537.409960060559</v>
      </c>
      <c r="FP89" s="1019">
        <f t="shared" si="325"/>
        <v>-21311.522972357841</v>
      </c>
      <c r="FQ89" s="1021"/>
      <c r="FR89" s="1021"/>
      <c r="FS89" s="1020"/>
      <c r="FT89" s="503"/>
      <c r="FU89" s="956"/>
      <c r="FV89" s="503"/>
      <c r="FW89" s="503"/>
      <c r="FX89" s="1040"/>
      <c r="FY89" s="503"/>
      <c r="FZ89" s="503"/>
      <c r="GA89" s="503"/>
      <c r="GB89" s="1059"/>
      <c r="GE89" s="503"/>
      <c r="GF89" s="1059"/>
      <c r="GG89" s="956"/>
      <c r="GH89" s="945"/>
      <c r="GI89" s="1024">
        <f t="shared" si="258"/>
        <v>3562239.8662581467</v>
      </c>
      <c r="GJ89" s="1025">
        <f t="shared" si="259"/>
        <v>0.125</v>
      </c>
      <c r="GK89" s="1024">
        <f t="shared" si="260"/>
        <v>445279.98328226834</v>
      </c>
      <c r="GL89" s="1024">
        <f t="shared" si="261"/>
        <v>30000</v>
      </c>
      <c r="GM89" s="1024">
        <f t="shared" si="262"/>
        <v>415279.98328226834</v>
      </c>
      <c r="GN89" s="1024">
        <f t="shared" si="263"/>
        <v>1</v>
      </c>
      <c r="GO89" s="1024">
        <f t="shared" si="264"/>
        <v>415279.98328226834</v>
      </c>
      <c r="GP89" s="1025">
        <f t="shared" si="265"/>
        <v>0.875</v>
      </c>
      <c r="GQ89" s="1024">
        <f t="shared" si="266"/>
        <v>3116959.8829758782</v>
      </c>
      <c r="GR89" s="1024">
        <f t="shared" si="267"/>
        <v>24165.756796379304</v>
      </c>
      <c r="GS89" s="1024">
        <f t="shared" si="268"/>
        <v>28016.116619315919</v>
      </c>
      <c r="GT89" s="1024">
        <f t="shared" si="269"/>
        <v>36190.547179778965</v>
      </c>
      <c r="GU89" s="1024">
        <f t="shared" si="270"/>
        <v>61719.541485110021</v>
      </c>
      <c r="GV89" s="945"/>
      <c r="GW89" s="1024">
        <f t="shared" si="271"/>
        <v>3562239.8662581467</v>
      </c>
      <c r="GX89" s="1025">
        <f t="shared" si="272"/>
        <v>0.125</v>
      </c>
      <c r="GY89" s="1024">
        <f t="shared" si="273"/>
        <v>445279.98328226834</v>
      </c>
      <c r="GZ89" s="1024">
        <f t="shared" si="274"/>
        <v>30000</v>
      </c>
      <c r="HA89" s="1024">
        <f t="shared" si="275"/>
        <v>415279.98328226834</v>
      </c>
      <c r="HB89" s="1026">
        <f t="shared" si="276"/>
        <v>25</v>
      </c>
      <c r="HC89" s="1009">
        <f t="shared" si="277"/>
        <v>16611.199331290733</v>
      </c>
      <c r="HD89" s="1027">
        <f t="shared" si="278"/>
        <v>0.875</v>
      </c>
      <c r="HE89" s="1009">
        <f t="shared" si="279"/>
        <v>3116959.8829758782</v>
      </c>
      <c r="HF89" s="1008">
        <f t="shared" si="280"/>
        <v>24165.756796379304</v>
      </c>
      <c r="HG89" s="1008">
        <f t="shared" si="281"/>
        <v>28016.116619315919</v>
      </c>
      <c r="HH89" s="1008">
        <f t="shared" si="282"/>
        <v>36190.547179778965</v>
      </c>
      <c r="HI89" s="1008">
        <f t="shared" si="283"/>
        <v>61719.541485110021</v>
      </c>
      <c r="HJ89" s="945"/>
      <c r="HK89" s="1009">
        <f t="shared" si="284"/>
        <v>-398668.78395097761</v>
      </c>
      <c r="HL89" s="503"/>
      <c r="HM89" s="503"/>
      <c r="HN89" s="503"/>
      <c r="HO89" s="503"/>
      <c r="HP89" s="503"/>
      <c r="HQ89" s="503"/>
      <c r="HR89" s="956">
        <f t="shared" si="285"/>
        <v>0</v>
      </c>
      <c r="HS89" s="503"/>
      <c r="HT89" s="503"/>
      <c r="HU89" s="956"/>
      <c r="HV89" s="503"/>
      <c r="HW89" s="956"/>
      <c r="HX89" s="956"/>
      <c r="HY89" s="503"/>
      <c r="HZ89" s="503"/>
      <c r="IA89" s="503"/>
      <c r="ID89" s="1394"/>
    </row>
    <row r="90" spans="1:238" s="1051" customFormat="1" ht="14.25" hidden="1" customHeight="1">
      <c r="A90" s="1018">
        <f t="shared" si="326"/>
        <v>84</v>
      </c>
      <c r="B90" s="716" t="s">
        <v>264</v>
      </c>
      <c r="C90" s="741">
        <f t="shared" si="289"/>
        <v>18</v>
      </c>
      <c r="D90" s="716" t="s">
        <v>263</v>
      </c>
      <c r="E90" s="743" t="str">
        <f t="shared" si="328"/>
        <v>6th Floor</v>
      </c>
      <c r="F90" s="1048"/>
      <c r="G90" s="745" t="s">
        <v>482</v>
      </c>
      <c r="H90" s="745" t="s">
        <v>353</v>
      </c>
      <c r="I90" s="745" t="s">
        <v>267</v>
      </c>
      <c r="J90" s="1005">
        <v>22</v>
      </c>
      <c r="K90" s="1049"/>
      <c r="L90" s="1006" t="s">
        <v>268</v>
      </c>
      <c r="M90" s="745" t="s">
        <v>65</v>
      </c>
      <c r="N90" s="1050">
        <v>95909.091</v>
      </c>
      <c r="O90" s="934">
        <f t="shared" si="298"/>
        <v>2110000.0019999999</v>
      </c>
      <c r="P90" s="934">
        <f t="shared" si="327"/>
        <v>22400</v>
      </c>
      <c r="Q90" s="934">
        <f t="shared" si="293"/>
        <v>50000</v>
      </c>
      <c r="R90" s="934"/>
      <c r="S90" s="934"/>
      <c r="T90" s="934"/>
      <c r="U90" s="934"/>
      <c r="V90" s="749">
        <f t="shared" ref="V90:V91" si="331">J90*$V$5</f>
        <v>55000</v>
      </c>
      <c r="W90" s="749"/>
      <c r="X90" s="934"/>
      <c r="Y90" s="934">
        <f t="shared" si="290"/>
        <v>40000</v>
      </c>
      <c r="Z90" s="934">
        <f t="shared" si="299"/>
        <v>75000</v>
      </c>
      <c r="AA90" s="934"/>
      <c r="AB90" s="934"/>
      <c r="AC90" s="934"/>
      <c r="AD90" s="934"/>
      <c r="AE90" s="934">
        <f t="shared" si="199"/>
        <v>242400</v>
      </c>
      <c r="AF90" s="1005">
        <f t="shared" si="200"/>
        <v>2352400.0019999999</v>
      </c>
      <c r="AG90" s="1005">
        <f t="shared" si="220"/>
        <v>58810.000050000002</v>
      </c>
      <c r="AH90" s="1005">
        <f t="shared" si="221"/>
        <v>2411210.0020499998</v>
      </c>
      <c r="AI90" s="1005">
        <f t="shared" si="222"/>
        <v>60280.250051249997</v>
      </c>
      <c r="AJ90" s="1005">
        <f t="shared" si="223"/>
        <v>2471490.25210125</v>
      </c>
      <c r="AK90" s="1005">
        <f t="shared" si="224"/>
        <v>123574.51260506251</v>
      </c>
      <c r="AL90" s="1005">
        <f t="shared" si="300"/>
        <v>2595064.7647063127</v>
      </c>
      <c r="AM90" s="934">
        <f t="shared" si="225"/>
        <v>25950.647647063128</v>
      </c>
      <c r="AN90" s="934">
        <f t="shared" si="226"/>
        <v>27537.409960060559</v>
      </c>
      <c r="AO90" s="934"/>
      <c r="AP90" s="934">
        <f t="shared" si="301"/>
        <v>117198.98393032761</v>
      </c>
      <c r="AQ90" s="1005">
        <f t="shared" si="201"/>
        <v>2765751.8062437638</v>
      </c>
      <c r="AR90" s="1005">
        <f t="shared" si="227"/>
        <v>124458.83128096936</v>
      </c>
      <c r="AS90" s="1147">
        <f t="shared" si="228"/>
        <v>2890210.6375247333</v>
      </c>
      <c r="AT90" s="1148">
        <f t="shared" si="302"/>
        <v>2000000</v>
      </c>
      <c r="AU90" s="1148">
        <f t="shared" si="202"/>
        <v>40464.119887487876</v>
      </c>
      <c r="AV90" s="1148">
        <f t="shared" si="303"/>
        <v>890210.63752473332</v>
      </c>
      <c r="AW90" s="1148">
        <f t="shared" si="203"/>
        <v>106825.276502968</v>
      </c>
      <c r="AX90" s="1148">
        <f t="shared" si="204"/>
        <v>997035.91402770136</v>
      </c>
      <c r="AY90" s="1147">
        <f t="shared" si="229"/>
        <v>2997035.9140277011</v>
      </c>
      <c r="AZ90" s="934">
        <f t="shared" si="230"/>
        <v>37462.948925346267</v>
      </c>
      <c r="BA90" s="716" t="s">
        <v>269</v>
      </c>
      <c r="BB90" s="716">
        <f t="shared" si="205"/>
        <v>3034498.8629530473</v>
      </c>
      <c r="BC90" s="716" t="s">
        <v>269</v>
      </c>
      <c r="BD90" s="716">
        <f t="shared" si="231"/>
        <v>113793.70736073927</v>
      </c>
      <c r="BE90" s="716">
        <f t="shared" si="232"/>
        <v>33600</v>
      </c>
      <c r="BF90" s="716">
        <f t="shared" si="233"/>
        <v>3181892.5703137866</v>
      </c>
      <c r="BG90" s="716"/>
      <c r="BH90" s="716">
        <f t="shared" si="234"/>
        <v>3181892.5703137866</v>
      </c>
      <c r="BI90" s="716"/>
      <c r="BJ90" s="716">
        <f t="shared" si="235"/>
        <v>3181892.5703137866</v>
      </c>
      <c r="BK90" s="716"/>
      <c r="BL90" s="716">
        <f t="shared" si="236"/>
        <v>3181892.5703137866</v>
      </c>
      <c r="BM90" s="716"/>
      <c r="BN90" s="716">
        <f t="shared" si="206"/>
        <v>3181892.5703137866</v>
      </c>
      <c r="BO90" s="716"/>
      <c r="BP90" s="716">
        <f t="shared" si="237"/>
        <v>3181892.5703137866</v>
      </c>
      <c r="BQ90" s="716"/>
      <c r="BR90" s="716">
        <f t="shared" si="238"/>
        <v>3181892.5703137866</v>
      </c>
      <c r="BS90" s="716"/>
      <c r="BT90" s="716">
        <f t="shared" si="239"/>
        <v>3181892.5703137866</v>
      </c>
      <c r="BU90" s="716"/>
      <c r="BV90" s="716">
        <f t="shared" si="207"/>
        <v>3181892.5703137866</v>
      </c>
      <c r="BW90" s="716"/>
      <c r="BX90" s="716">
        <f t="shared" si="329"/>
        <v>31400</v>
      </c>
      <c r="BY90" s="716">
        <f t="shared" si="240"/>
        <v>3213292.5703137866</v>
      </c>
      <c r="BZ90" s="716"/>
      <c r="CA90" s="716">
        <f t="shared" si="241"/>
        <v>3213292.5703137866</v>
      </c>
      <c r="CB90" s="1135">
        <f t="shared" si="242"/>
        <v>3213292.5703137866</v>
      </c>
      <c r="CC90" s="1164">
        <f t="shared" si="286"/>
        <v>3213292.5703137866</v>
      </c>
      <c r="CD90" s="1164"/>
      <c r="CE90" s="1164">
        <f t="shared" si="243"/>
        <v>0</v>
      </c>
      <c r="CF90" s="1164">
        <f t="shared" si="291"/>
        <v>0</v>
      </c>
      <c r="CG90" s="1164">
        <f t="shared" si="292"/>
        <v>0</v>
      </c>
      <c r="CH90" s="1154">
        <f t="shared" si="304"/>
        <v>3213292.5703137866</v>
      </c>
      <c r="CI90" s="935">
        <f t="shared" si="305"/>
        <v>3213292.5703137866</v>
      </c>
      <c r="CJ90" s="935">
        <f t="shared" si="244"/>
        <v>0</v>
      </c>
      <c r="CK90" s="935">
        <f t="shared" si="208"/>
        <v>329362.4884571631</v>
      </c>
      <c r="CL90" s="935">
        <f t="shared" si="209"/>
        <v>112465.23996098254</v>
      </c>
      <c r="CM90" s="1006">
        <f t="shared" si="306"/>
        <v>3655120.2987319324</v>
      </c>
      <c r="CN90" s="1007">
        <f t="shared" si="307"/>
        <v>0.125</v>
      </c>
      <c r="CO90" s="935">
        <f t="shared" si="210"/>
        <v>456890.03734149155</v>
      </c>
      <c r="CP90" s="935">
        <f t="shared" si="330"/>
        <v>30000</v>
      </c>
      <c r="CQ90" s="935">
        <f t="shared" si="211"/>
        <v>426890.03734149155</v>
      </c>
      <c r="CR90" s="745">
        <f t="shared" si="308"/>
        <v>1</v>
      </c>
      <c r="CS90" s="935">
        <f t="shared" si="212"/>
        <v>426890.03734149155</v>
      </c>
      <c r="CT90" s="1007">
        <f t="shared" si="245"/>
        <v>0.875</v>
      </c>
      <c r="CU90" s="935">
        <f t="shared" si="246"/>
        <v>3198230.2613904411</v>
      </c>
      <c r="CV90" s="1008">
        <f t="shared" si="247"/>
        <v>24795.845175200844</v>
      </c>
      <c r="CW90" s="1008">
        <f t="shared" si="248"/>
        <v>28746.597756334759</v>
      </c>
      <c r="CX90" s="1008">
        <f t="shared" si="249"/>
        <v>37134.165184102661</v>
      </c>
      <c r="CY90" s="1008">
        <f t="shared" si="250"/>
        <v>63328.792383546119</v>
      </c>
      <c r="CZ90" s="1119">
        <f t="shared" si="251"/>
        <v>259802.40975332033</v>
      </c>
      <c r="DA90" s="1119">
        <f t="shared" si="252"/>
        <v>102802.54796919072</v>
      </c>
      <c r="DB90" s="1119">
        <f t="shared" si="253"/>
        <v>74252.824385654007</v>
      </c>
      <c r="DC90" s="1119">
        <f t="shared" si="254"/>
        <v>56509.817780963174</v>
      </c>
      <c r="DD90" s="1028">
        <f t="shared" si="294"/>
        <v>0.44510531876236664</v>
      </c>
      <c r="DE90" s="1028">
        <f t="shared" si="309"/>
        <v>0</v>
      </c>
      <c r="DF90" s="1009" t="s">
        <v>270</v>
      </c>
      <c r="DG90" s="1009" t="s">
        <v>271</v>
      </c>
      <c r="DH90" s="966">
        <f t="shared" si="287"/>
        <v>45658</v>
      </c>
      <c r="DI90" s="912">
        <f t="shared" si="255"/>
        <v>14</v>
      </c>
      <c r="DJ90" s="939"/>
      <c r="DK90" s="913">
        <f t="shared" si="213"/>
        <v>45723</v>
      </c>
      <c r="DL90" s="912">
        <f t="shared" si="256"/>
        <v>16</v>
      </c>
      <c r="DM90" s="750" t="s">
        <v>272</v>
      </c>
      <c r="DN90" s="750" t="s">
        <v>273</v>
      </c>
      <c r="DO90" s="751">
        <f t="shared" si="214"/>
        <v>45319.814273986427</v>
      </c>
      <c r="DP90" s="751">
        <f t="shared" si="215"/>
        <v>997035.91402770136</v>
      </c>
      <c r="DQ90" s="752">
        <f t="shared" si="295"/>
        <v>0.49851795701385071</v>
      </c>
      <c r="DR90" s="503"/>
      <c r="DS90" s="751">
        <f t="shared" si="296"/>
        <v>3213292.5703137866</v>
      </c>
      <c r="DT90" s="751">
        <f>'[4]INTERNAL PRICELIST'!N84</f>
        <v>2111900</v>
      </c>
      <c r="DU90" s="751">
        <f t="shared" si="216"/>
        <v>1101392.5703137866</v>
      </c>
      <c r="DV90" s="503"/>
      <c r="DW90" s="951">
        <f t="shared" si="297"/>
        <v>146058.7531960812</v>
      </c>
      <c r="DX90" s="503"/>
      <c r="DZ90" s="1010" t="s">
        <v>482</v>
      </c>
      <c r="EA90" s="1052" t="b">
        <f t="shared" si="217"/>
        <v>1</v>
      </c>
      <c r="EB90" s="1072" t="s">
        <v>483</v>
      </c>
      <c r="EC90" s="1072" t="s">
        <v>453</v>
      </c>
      <c r="ED90" s="503"/>
      <c r="EE90" s="1029"/>
      <c r="EF90" s="503"/>
      <c r="EG90" s="503"/>
      <c r="EH90" s="930"/>
      <c r="EI90" s="930"/>
      <c r="EJ90" s="503"/>
      <c r="EK90" s="503"/>
      <c r="EL90" s="503"/>
      <c r="EM90" s="503"/>
      <c r="EN90" s="503"/>
      <c r="EO90" s="503"/>
      <c r="EP90" s="503"/>
      <c r="EQ90" s="503"/>
      <c r="ER90" s="1017" t="s">
        <v>264</v>
      </c>
      <c r="ES90" s="1391" t="s">
        <v>264</v>
      </c>
      <c r="ET90" s="1018" t="b">
        <f t="shared" si="257"/>
        <v>1</v>
      </c>
      <c r="EU90" s="940"/>
      <c r="EV90" s="941"/>
      <c r="EW90" s="940"/>
      <c r="EX90" s="1019">
        <v>3064025.7236686954</v>
      </c>
      <c r="EY90" s="1019">
        <f t="shared" si="310"/>
        <v>459603.85855030431</v>
      </c>
      <c r="EZ90" s="1019">
        <f t="shared" si="311"/>
        <v>2604421.8651183909</v>
      </c>
      <c r="FA90" s="1019">
        <f t="shared" si="312"/>
        <v>306402.57236686954</v>
      </c>
      <c r="FB90" s="1019">
        <f t="shared" si="313"/>
        <v>2757623.1513018259</v>
      </c>
      <c r="FC90" s="1019">
        <f t="shared" si="314"/>
        <v>153201.286183435</v>
      </c>
      <c r="FD90" s="1020"/>
      <c r="FE90" s="1021"/>
      <c r="FF90" s="1022">
        <f t="shared" si="315"/>
        <v>2604421.8651183909</v>
      </c>
      <c r="FG90" s="1022">
        <f t="shared" si="316"/>
        <v>221375.85853506325</v>
      </c>
      <c r="FH90" s="1022">
        <f t="shared" si="317"/>
        <v>110687.92926753162</v>
      </c>
      <c r="FI90" s="1023">
        <f t="shared" si="318"/>
        <v>2757623.1513018259</v>
      </c>
      <c r="FJ90" s="1023">
        <f t="shared" si="319"/>
        <v>234397.96786065522</v>
      </c>
      <c r="FK90" s="1023">
        <f t="shared" si="320"/>
        <v>117198.98393032761</v>
      </c>
      <c r="FL90" s="1019">
        <f t="shared" si="321"/>
        <v>13022.10932559197</v>
      </c>
      <c r="FM90" s="1019">
        <f t="shared" si="322"/>
        <v>6511.0546627959848</v>
      </c>
      <c r="FN90" s="1019" t="str">
        <f t="shared" si="323"/>
        <v>VS</v>
      </c>
      <c r="FO90" s="1019">
        <f t="shared" si="324"/>
        <v>27537.409960060559</v>
      </c>
      <c r="FP90" s="1019">
        <f t="shared" si="325"/>
        <v>-21026.355297264574</v>
      </c>
      <c r="FQ90" s="1021"/>
      <c r="FR90" s="1021"/>
      <c r="FS90" s="1020"/>
      <c r="FT90" s="503"/>
      <c r="FU90" s="956"/>
      <c r="FV90" s="503"/>
      <c r="FW90" s="503"/>
      <c r="FX90" s="1040"/>
      <c r="FY90" s="503"/>
      <c r="FZ90" s="503"/>
      <c r="GA90" s="503"/>
      <c r="GB90" s="1059"/>
      <c r="GE90" s="503"/>
      <c r="GF90" s="1059"/>
      <c r="GG90" s="956"/>
      <c r="GH90" s="945"/>
      <c r="GI90" s="1024">
        <f t="shared" si="258"/>
        <v>3655120.2987319324</v>
      </c>
      <c r="GJ90" s="1025">
        <f t="shared" si="259"/>
        <v>0.125</v>
      </c>
      <c r="GK90" s="1024">
        <f t="shared" si="260"/>
        <v>456890.03734149155</v>
      </c>
      <c r="GL90" s="1024">
        <f t="shared" si="261"/>
        <v>30000</v>
      </c>
      <c r="GM90" s="1024">
        <f t="shared" si="262"/>
        <v>426890.03734149155</v>
      </c>
      <c r="GN90" s="1024">
        <f t="shared" si="263"/>
        <v>1</v>
      </c>
      <c r="GO90" s="1024">
        <f t="shared" si="264"/>
        <v>426890.03734149155</v>
      </c>
      <c r="GP90" s="1025">
        <f t="shared" si="265"/>
        <v>0.875</v>
      </c>
      <c r="GQ90" s="1024">
        <f t="shared" si="266"/>
        <v>3198230.2613904411</v>
      </c>
      <c r="GR90" s="1024">
        <f t="shared" si="267"/>
        <v>24795.845175200844</v>
      </c>
      <c r="GS90" s="1024">
        <f t="shared" si="268"/>
        <v>28746.597756334759</v>
      </c>
      <c r="GT90" s="1024">
        <f t="shared" si="269"/>
        <v>37134.165184102661</v>
      </c>
      <c r="GU90" s="1024">
        <f t="shared" si="270"/>
        <v>63328.792383546119</v>
      </c>
      <c r="GV90" s="945"/>
      <c r="GW90" s="1024">
        <f t="shared" si="271"/>
        <v>3655120.2987319324</v>
      </c>
      <c r="GX90" s="1025">
        <f t="shared" si="272"/>
        <v>0.125</v>
      </c>
      <c r="GY90" s="1024">
        <f t="shared" si="273"/>
        <v>456890.03734149155</v>
      </c>
      <c r="GZ90" s="1024">
        <f t="shared" si="274"/>
        <v>30000</v>
      </c>
      <c r="HA90" s="1024">
        <f t="shared" si="275"/>
        <v>426890.03734149155</v>
      </c>
      <c r="HB90" s="1026">
        <f t="shared" si="276"/>
        <v>25</v>
      </c>
      <c r="HC90" s="1009">
        <f t="shared" si="277"/>
        <v>17075.601493659662</v>
      </c>
      <c r="HD90" s="1027">
        <f t="shared" si="278"/>
        <v>0.875</v>
      </c>
      <c r="HE90" s="1009">
        <f t="shared" si="279"/>
        <v>3198230.2613904411</v>
      </c>
      <c r="HF90" s="1008">
        <f t="shared" si="280"/>
        <v>24795.845175200844</v>
      </c>
      <c r="HG90" s="1008">
        <f t="shared" si="281"/>
        <v>28746.597756334759</v>
      </c>
      <c r="HH90" s="1008">
        <f t="shared" si="282"/>
        <v>37134.165184102661</v>
      </c>
      <c r="HI90" s="1008">
        <f t="shared" si="283"/>
        <v>63328.792383546119</v>
      </c>
      <c r="HJ90" s="945"/>
      <c r="HK90" s="1009">
        <f t="shared" si="284"/>
        <v>-409814.43584783189</v>
      </c>
      <c r="HL90" s="503"/>
      <c r="HM90" s="503"/>
      <c r="HN90" s="503"/>
      <c r="HO90" s="503"/>
      <c r="HP90" s="503"/>
      <c r="HQ90" s="503"/>
      <c r="HR90" s="956">
        <f t="shared" si="285"/>
        <v>0</v>
      </c>
      <c r="HS90" s="503"/>
      <c r="HT90" s="503"/>
      <c r="HU90" s="956"/>
      <c r="HV90" s="503"/>
      <c r="HW90" s="956"/>
      <c r="HX90" s="956"/>
      <c r="HY90" s="503"/>
      <c r="HZ90" s="503"/>
      <c r="IA90" s="503"/>
      <c r="ID90" s="1394"/>
    </row>
    <row r="91" spans="1:238" s="1051" customFormat="1" ht="14.25" hidden="1" customHeight="1">
      <c r="A91" s="1018">
        <f t="shared" si="326"/>
        <v>85</v>
      </c>
      <c r="B91" s="716" t="s">
        <v>264</v>
      </c>
      <c r="C91" s="741">
        <v>1</v>
      </c>
      <c r="D91" s="716" t="s">
        <v>276</v>
      </c>
      <c r="E91" s="743" t="str">
        <f>D91</f>
        <v>7th Floor</v>
      </c>
      <c r="F91" s="1048"/>
      <c r="G91" s="745" t="s">
        <v>484</v>
      </c>
      <c r="H91" s="745" t="s">
        <v>266</v>
      </c>
      <c r="I91" s="745" t="s">
        <v>267</v>
      </c>
      <c r="J91" s="1005">
        <v>22</v>
      </c>
      <c r="K91" s="1049"/>
      <c r="L91" s="1006" t="s">
        <v>73</v>
      </c>
      <c r="M91" s="745" t="s">
        <v>65</v>
      </c>
      <c r="N91" s="1050">
        <v>95909.091</v>
      </c>
      <c r="O91" s="934">
        <f t="shared" si="298"/>
        <v>2110000.0019999999</v>
      </c>
      <c r="P91" s="934">
        <f t="shared" si="327"/>
        <v>22400</v>
      </c>
      <c r="Q91" s="934">
        <f t="shared" si="293"/>
        <v>50000</v>
      </c>
      <c r="R91" s="934"/>
      <c r="S91" s="934"/>
      <c r="T91" s="934"/>
      <c r="U91" s="934"/>
      <c r="V91" s="749">
        <f t="shared" si="331"/>
        <v>55000</v>
      </c>
      <c r="W91" s="749"/>
      <c r="X91" s="934"/>
      <c r="Y91" s="934">
        <f>Y90+Y5</f>
        <v>60000</v>
      </c>
      <c r="Z91" s="934">
        <f t="shared" si="299"/>
        <v>75000</v>
      </c>
      <c r="AA91" s="934"/>
      <c r="AB91" s="934"/>
      <c r="AC91" s="934"/>
      <c r="AD91" s="934"/>
      <c r="AE91" s="934">
        <f t="shared" si="199"/>
        <v>262400</v>
      </c>
      <c r="AF91" s="1005">
        <f t="shared" si="200"/>
        <v>2372400.0019999999</v>
      </c>
      <c r="AG91" s="1005">
        <f t="shared" si="220"/>
        <v>59310.000050000002</v>
      </c>
      <c r="AH91" s="1005">
        <f t="shared" si="221"/>
        <v>2431710.0020499998</v>
      </c>
      <c r="AI91" s="1005">
        <f t="shared" si="222"/>
        <v>60792.750051249997</v>
      </c>
      <c r="AJ91" s="1005">
        <f t="shared" si="223"/>
        <v>2492502.75210125</v>
      </c>
      <c r="AK91" s="1005">
        <f t="shared" si="224"/>
        <v>124625.13760506251</v>
      </c>
      <c r="AL91" s="1005">
        <f t="shared" si="300"/>
        <v>2617127.8897063127</v>
      </c>
      <c r="AM91" s="934">
        <f t="shared" si="225"/>
        <v>26171.278897063126</v>
      </c>
      <c r="AN91" s="934">
        <f t="shared" si="226"/>
        <v>27537.409960060559</v>
      </c>
      <c r="AO91" s="934"/>
      <c r="AP91" s="934">
        <f t="shared" si="301"/>
        <v>118264.67920039015</v>
      </c>
      <c r="AQ91" s="1005">
        <f t="shared" si="201"/>
        <v>2789101.2577638268</v>
      </c>
      <c r="AR91" s="1005">
        <f t="shared" si="227"/>
        <v>125509.5565993722</v>
      </c>
      <c r="AS91" s="1147">
        <f t="shared" si="228"/>
        <v>2914610.8143631988</v>
      </c>
      <c r="AT91" s="1148">
        <f t="shared" si="302"/>
        <v>2000000</v>
      </c>
      <c r="AU91" s="1148">
        <f t="shared" si="202"/>
        <v>41573.218834690859</v>
      </c>
      <c r="AV91" s="1148">
        <f t="shared" si="303"/>
        <v>914610.81436319882</v>
      </c>
      <c r="AW91" s="1148">
        <f t="shared" si="203"/>
        <v>109753.29772358385</v>
      </c>
      <c r="AX91" s="1148">
        <f t="shared" si="204"/>
        <v>1024364.1120867827</v>
      </c>
      <c r="AY91" s="1147">
        <f t="shared" si="229"/>
        <v>3024364.1120867827</v>
      </c>
      <c r="AZ91" s="934">
        <f t="shared" si="230"/>
        <v>37804.551401084784</v>
      </c>
      <c r="BA91" s="716" t="s">
        <v>269</v>
      </c>
      <c r="BB91" s="716">
        <f t="shared" si="205"/>
        <v>3062168.6634878675</v>
      </c>
      <c r="BC91" s="716" t="s">
        <v>269</v>
      </c>
      <c r="BD91" s="716">
        <f t="shared" si="231"/>
        <v>114831.32488079503</v>
      </c>
      <c r="BE91" s="716">
        <f t="shared" si="232"/>
        <v>33600</v>
      </c>
      <c r="BF91" s="716">
        <f t="shared" si="233"/>
        <v>3210599.9883686625</v>
      </c>
      <c r="BG91" s="716"/>
      <c r="BH91" s="716">
        <f t="shared" si="234"/>
        <v>3210599.9883686625</v>
      </c>
      <c r="BI91" s="716"/>
      <c r="BJ91" s="716">
        <f t="shared" si="235"/>
        <v>3210599.9883686625</v>
      </c>
      <c r="BK91" s="716"/>
      <c r="BL91" s="716">
        <f t="shared" si="236"/>
        <v>3210599.9883686625</v>
      </c>
      <c r="BM91" s="716"/>
      <c r="BN91" s="716">
        <f t="shared" si="206"/>
        <v>3210599.9883686625</v>
      </c>
      <c r="BO91" s="716"/>
      <c r="BP91" s="716">
        <f t="shared" si="237"/>
        <v>3210599.9883686625</v>
      </c>
      <c r="BQ91" s="716"/>
      <c r="BR91" s="716">
        <f t="shared" si="238"/>
        <v>3210599.9883686625</v>
      </c>
      <c r="BS91" s="716"/>
      <c r="BT91" s="716">
        <f t="shared" si="239"/>
        <v>3210599.9883686625</v>
      </c>
      <c r="BU91" s="716"/>
      <c r="BV91" s="716">
        <f t="shared" si="207"/>
        <v>3210599.9883686625</v>
      </c>
      <c r="BW91" s="716"/>
      <c r="BX91" s="716">
        <f t="shared" si="329"/>
        <v>31400</v>
      </c>
      <c r="BY91" s="716">
        <f t="shared" si="240"/>
        <v>3241999.9883686625</v>
      </c>
      <c r="BZ91" s="716"/>
      <c r="CA91" s="716">
        <f t="shared" si="241"/>
        <v>3241999.9883686625</v>
      </c>
      <c r="CB91" s="1135">
        <f t="shared" si="242"/>
        <v>3241999.9883686625</v>
      </c>
      <c r="CC91" s="1164">
        <f t="shared" si="286"/>
        <v>3241999.9883686625</v>
      </c>
      <c r="CD91" s="1164"/>
      <c r="CE91" s="1164">
        <f t="shared" si="243"/>
        <v>0</v>
      </c>
      <c r="CF91" s="1164">
        <f t="shared" si="291"/>
        <v>0</v>
      </c>
      <c r="CG91" s="1164">
        <f t="shared" si="292"/>
        <v>0</v>
      </c>
      <c r="CH91" s="1154">
        <f>CC91+CE91+CF91</f>
        <v>3241999.9883686625</v>
      </c>
      <c r="CI91" s="935">
        <f>CH91</f>
        <v>3241999.9883686625</v>
      </c>
      <c r="CJ91" s="935">
        <f t="shared" si="244"/>
        <v>0</v>
      </c>
      <c r="CK91" s="935">
        <f t="shared" si="208"/>
        <v>332304.9988077879</v>
      </c>
      <c r="CL91" s="935">
        <f t="shared" si="209"/>
        <v>113469.9995929032</v>
      </c>
      <c r="CM91" s="1006">
        <f t="shared" si="306"/>
        <v>3687774.9867693535</v>
      </c>
      <c r="CN91" s="1007">
        <f t="shared" si="307"/>
        <v>0.125</v>
      </c>
      <c r="CO91" s="935">
        <f t="shared" si="210"/>
        <v>460971.87334616919</v>
      </c>
      <c r="CP91" s="935">
        <f t="shared" si="330"/>
        <v>30000</v>
      </c>
      <c r="CQ91" s="935">
        <f t="shared" si="211"/>
        <v>430971.87334616919</v>
      </c>
      <c r="CR91" s="745">
        <f t="shared" si="308"/>
        <v>1</v>
      </c>
      <c r="CS91" s="935">
        <f t="shared" si="212"/>
        <v>430971.87334616919</v>
      </c>
      <c r="CT91" s="1007">
        <f t="shared" si="245"/>
        <v>0.875</v>
      </c>
      <c r="CU91" s="935">
        <f t="shared" si="246"/>
        <v>3226803.1134231845</v>
      </c>
      <c r="CV91" s="1008">
        <f t="shared" si="247"/>
        <v>25017.370192886658</v>
      </c>
      <c r="CW91" s="1008">
        <f t="shared" si="248"/>
        <v>29003.418628193889</v>
      </c>
      <c r="CX91" s="1008">
        <f t="shared" si="249"/>
        <v>37465.920223748719</v>
      </c>
      <c r="CY91" s="1008">
        <f t="shared" si="250"/>
        <v>63894.569099510503</v>
      </c>
      <c r="CZ91" s="1119">
        <f t="shared" si="251"/>
        <v>262123.47334315849</v>
      </c>
      <c r="DA91" s="1119">
        <f t="shared" si="252"/>
        <v>103720.98152513978</v>
      </c>
      <c r="DB91" s="1119">
        <f t="shared" si="253"/>
        <v>74916.195935162847</v>
      </c>
      <c r="DC91" s="1119">
        <f t="shared" si="254"/>
        <v>57014.674070188201</v>
      </c>
      <c r="DD91" s="1028">
        <f t="shared" si="294"/>
        <v>0.4573054071815994</v>
      </c>
      <c r="DE91" s="1028">
        <f>CE91/CC91</f>
        <v>0</v>
      </c>
      <c r="DF91" s="1009" t="s">
        <v>270</v>
      </c>
      <c r="DG91" s="1009" t="s">
        <v>271</v>
      </c>
      <c r="DH91" s="966">
        <f t="shared" si="287"/>
        <v>45658</v>
      </c>
      <c r="DI91" s="912">
        <f t="shared" si="255"/>
        <v>14</v>
      </c>
      <c r="DJ91" s="939"/>
      <c r="DK91" s="913">
        <f t="shared" si="213"/>
        <v>45723</v>
      </c>
      <c r="DL91" s="912">
        <f t="shared" si="256"/>
        <v>16</v>
      </c>
      <c r="DM91" s="750" t="s">
        <v>272</v>
      </c>
      <c r="DN91" s="750" t="s">
        <v>273</v>
      </c>
      <c r="DO91" s="751">
        <f t="shared" si="214"/>
        <v>46562.005094853761</v>
      </c>
      <c r="DP91" s="751">
        <f t="shared" si="215"/>
        <v>1024364.1120867827</v>
      </c>
      <c r="DQ91" s="752">
        <f t="shared" si="295"/>
        <v>0.5121820560433914</v>
      </c>
      <c r="DR91" s="503"/>
      <c r="DS91" s="751">
        <f t="shared" si="296"/>
        <v>3241999.9883686625</v>
      </c>
      <c r="DT91" s="751">
        <f>'[4]INTERNAL PRICELIST'!N85</f>
        <v>2113804</v>
      </c>
      <c r="DU91" s="751">
        <f t="shared" si="216"/>
        <v>1128195.9883686625</v>
      </c>
      <c r="DV91" s="503"/>
      <c r="DW91" s="951">
        <f t="shared" si="297"/>
        <v>147363.6358349392</v>
      </c>
      <c r="DX91" s="503"/>
      <c r="DZ91" s="1010" t="s">
        <v>484</v>
      </c>
      <c r="EA91" s="1052" t="b">
        <f t="shared" si="217"/>
        <v>1</v>
      </c>
      <c r="EB91" s="1072" t="s">
        <v>485</v>
      </c>
      <c r="EC91" s="1072" t="s">
        <v>486</v>
      </c>
      <c r="ED91" s="503"/>
      <c r="EH91" s="930"/>
      <c r="EI91" s="930"/>
      <c r="EJ91" s="503"/>
      <c r="EK91" s="503"/>
      <c r="EL91" s="503"/>
      <c r="EM91" s="503"/>
      <c r="EN91" s="503"/>
      <c r="EO91" s="503"/>
      <c r="EP91" s="503"/>
      <c r="EQ91" s="503"/>
      <c r="ER91" s="1017" t="s">
        <v>264</v>
      </c>
      <c r="ES91" s="1391" t="s">
        <v>264</v>
      </c>
      <c r="ET91" s="1018" t="b">
        <f t="shared" si="257"/>
        <v>1</v>
      </c>
      <c r="EU91" s="940"/>
      <c r="EV91" s="941"/>
      <c r="EW91" s="940"/>
      <c r="EX91" s="1019">
        <v>3091887.0379186962</v>
      </c>
      <c r="EY91" s="1019">
        <f t="shared" si="310"/>
        <v>463783.05568780442</v>
      </c>
      <c r="EZ91" s="1019">
        <f t="shared" si="311"/>
        <v>2628103.9822308915</v>
      </c>
      <c r="FA91" s="1019">
        <f t="shared" si="312"/>
        <v>309188.70379186963</v>
      </c>
      <c r="FB91" s="1019">
        <f t="shared" si="313"/>
        <v>2782698.3341268268</v>
      </c>
      <c r="FC91" s="1019">
        <f t="shared" si="314"/>
        <v>154594.35189593537</v>
      </c>
      <c r="FD91" s="1020"/>
      <c r="FE91" s="1021"/>
      <c r="FF91" s="1022">
        <f t="shared" si="315"/>
        <v>2628103.9822308915</v>
      </c>
      <c r="FG91" s="1022">
        <f t="shared" si="316"/>
        <v>223388.83848962578</v>
      </c>
      <c r="FH91" s="1022">
        <f t="shared" si="317"/>
        <v>111694.41924481289</v>
      </c>
      <c r="FI91" s="1023">
        <f t="shared" si="318"/>
        <v>2782698.3341268268</v>
      </c>
      <c r="FJ91" s="1023">
        <f t="shared" si="319"/>
        <v>236529.3584007803</v>
      </c>
      <c r="FK91" s="1023">
        <f t="shared" si="320"/>
        <v>118264.67920039015</v>
      </c>
      <c r="FL91" s="1019">
        <f t="shared" si="321"/>
        <v>13140.519911154523</v>
      </c>
      <c r="FM91" s="1019">
        <f t="shared" si="322"/>
        <v>6570.2599555772613</v>
      </c>
      <c r="FN91" s="1019" t="str">
        <f t="shared" si="323"/>
        <v>VS</v>
      </c>
      <c r="FO91" s="1019">
        <f t="shared" si="324"/>
        <v>27537.409960060559</v>
      </c>
      <c r="FP91" s="1019">
        <f t="shared" si="325"/>
        <v>-20967.150004483297</v>
      </c>
      <c r="FQ91" s="1021"/>
      <c r="FR91" s="1021"/>
      <c r="FS91" s="1020"/>
      <c r="FT91" s="503"/>
      <c r="FU91" s="956"/>
      <c r="FV91" s="503"/>
      <c r="FW91" s="503"/>
      <c r="FX91" s="1040"/>
      <c r="FY91" s="503"/>
      <c r="FZ91" s="503"/>
      <c r="GA91" s="503"/>
      <c r="GB91" s="1059"/>
      <c r="GE91" s="503"/>
      <c r="GF91" s="1059"/>
      <c r="GG91" s="956"/>
      <c r="GH91" s="945"/>
      <c r="GI91" s="1024">
        <f t="shared" si="258"/>
        <v>3687774.9867693535</v>
      </c>
      <c r="GJ91" s="1025">
        <f t="shared" si="259"/>
        <v>0.125</v>
      </c>
      <c r="GK91" s="1024">
        <f t="shared" si="260"/>
        <v>460971.87334616919</v>
      </c>
      <c r="GL91" s="1024">
        <f t="shared" si="261"/>
        <v>30000</v>
      </c>
      <c r="GM91" s="1024">
        <f t="shared" si="262"/>
        <v>430971.87334616919</v>
      </c>
      <c r="GN91" s="1024">
        <f t="shared" si="263"/>
        <v>1</v>
      </c>
      <c r="GO91" s="1024">
        <f t="shared" si="264"/>
        <v>430971.87334616919</v>
      </c>
      <c r="GP91" s="1025">
        <f t="shared" si="265"/>
        <v>0.875</v>
      </c>
      <c r="GQ91" s="1024">
        <f t="shared" si="266"/>
        <v>3226803.1134231845</v>
      </c>
      <c r="GR91" s="1024">
        <f t="shared" si="267"/>
        <v>25017.370192886658</v>
      </c>
      <c r="GS91" s="1024">
        <f t="shared" si="268"/>
        <v>29003.418628193889</v>
      </c>
      <c r="GT91" s="1024">
        <f t="shared" si="269"/>
        <v>37465.920223748719</v>
      </c>
      <c r="GU91" s="1024">
        <f t="shared" si="270"/>
        <v>63894.569099510503</v>
      </c>
      <c r="GV91" s="945"/>
      <c r="GW91" s="1024">
        <f t="shared" si="271"/>
        <v>3687774.9867693535</v>
      </c>
      <c r="GX91" s="1025">
        <f t="shared" si="272"/>
        <v>0.125</v>
      </c>
      <c r="GY91" s="1024">
        <f t="shared" si="273"/>
        <v>460971.87334616919</v>
      </c>
      <c r="GZ91" s="1024">
        <f t="shared" si="274"/>
        <v>30000</v>
      </c>
      <c r="HA91" s="1024">
        <f t="shared" si="275"/>
        <v>430971.87334616919</v>
      </c>
      <c r="HB91" s="1026">
        <f t="shared" si="276"/>
        <v>25</v>
      </c>
      <c r="HC91" s="1009">
        <f t="shared" si="277"/>
        <v>17238.874933846768</v>
      </c>
      <c r="HD91" s="1027">
        <f t="shared" si="278"/>
        <v>0.875</v>
      </c>
      <c r="HE91" s="1009">
        <f t="shared" si="279"/>
        <v>3226803.1134231845</v>
      </c>
      <c r="HF91" s="1008">
        <f t="shared" si="280"/>
        <v>25017.370192886658</v>
      </c>
      <c r="HG91" s="1008">
        <f t="shared" si="281"/>
        <v>29003.418628193889</v>
      </c>
      <c r="HH91" s="1008">
        <f t="shared" si="282"/>
        <v>37465.920223748719</v>
      </c>
      <c r="HI91" s="1008">
        <f t="shared" si="283"/>
        <v>63894.569099510503</v>
      </c>
      <c r="HJ91" s="945"/>
      <c r="HK91" s="1009">
        <f t="shared" si="284"/>
        <v>-413732.99841232243</v>
      </c>
      <c r="HL91" s="503"/>
      <c r="HM91" s="503"/>
      <c r="HN91" s="503"/>
      <c r="HO91" s="503"/>
      <c r="HP91" s="503"/>
      <c r="HQ91" s="503"/>
      <c r="HR91" s="956">
        <f t="shared" si="285"/>
        <v>0</v>
      </c>
      <c r="HS91" s="503"/>
      <c r="HT91" s="503"/>
      <c r="HU91" s="956"/>
      <c r="HV91" s="503"/>
      <c r="HW91" s="956"/>
      <c r="HX91" s="956"/>
      <c r="HY91" s="503"/>
      <c r="HZ91" s="503"/>
      <c r="IA91" s="503"/>
      <c r="ID91" s="1394"/>
    </row>
    <row r="92" spans="1:238" s="1051" customFormat="1" ht="14.25" hidden="1" customHeight="1">
      <c r="A92" s="1018">
        <f t="shared" si="326"/>
        <v>86</v>
      </c>
      <c r="B92" s="716" t="s">
        <v>264</v>
      </c>
      <c r="C92" s="741">
        <f>C91+1</f>
        <v>2</v>
      </c>
      <c r="D92" s="716" t="s">
        <v>276</v>
      </c>
      <c r="E92" s="743" t="str">
        <f t="shared" ref="E92:E102" si="332">D92</f>
        <v>7th Floor</v>
      </c>
      <c r="F92" s="1048"/>
      <c r="G92" s="745" t="s">
        <v>487</v>
      </c>
      <c r="H92" s="745" t="s">
        <v>278</v>
      </c>
      <c r="I92" s="745" t="s">
        <v>267</v>
      </c>
      <c r="J92" s="1005">
        <v>22</v>
      </c>
      <c r="K92" s="1049"/>
      <c r="L92" s="1006" t="s">
        <v>73</v>
      </c>
      <c r="M92" s="745" t="s">
        <v>240</v>
      </c>
      <c r="N92" s="1050">
        <v>95909.091</v>
      </c>
      <c r="O92" s="934">
        <f t="shared" si="298"/>
        <v>2110000.0019999999</v>
      </c>
      <c r="P92" s="934">
        <f t="shared" si="327"/>
        <v>22400</v>
      </c>
      <c r="Q92" s="934">
        <f t="shared" si="293"/>
        <v>50000</v>
      </c>
      <c r="R92" s="934"/>
      <c r="S92" s="934"/>
      <c r="T92" s="934"/>
      <c r="U92" s="934"/>
      <c r="V92" s="934"/>
      <c r="W92" s="749">
        <f t="shared" ref="W92:W95" si="333">J92*$W$5</f>
        <v>22000</v>
      </c>
      <c r="X92" s="934"/>
      <c r="Y92" s="934">
        <f>$Y$91</f>
        <v>60000</v>
      </c>
      <c r="Z92" s="934">
        <f t="shared" si="299"/>
        <v>75000</v>
      </c>
      <c r="AA92" s="934"/>
      <c r="AB92" s="934"/>
      <c r="AC92" s="934"/>
      <c r="AD92" s="934"/>
      <c r="AE92" s="934">
        <f t="shared" si="199"/>
        <v>229400</v>
      </c>
      <c r="AF92" s="1005">
        <f t="shared" si="200"/>
        <v>2339400.0019999999</v>
      </c>
      <c r="AG92" s="1005">
        <f t="shared" si="220"/>
        <v>58485.000050000002</v>
      </c>
      <c r="AH92" s="1005">
        <f t="shared" si="221"/>
        <v>2397885.0020499998</v>
      </c>
      <c r="AI92" s="1005">
        <f t="shared" si="222"/>
        <v>59947.125051249997</v>
      </c>
      <c r="AJ92" s="1005">
        <f t="shared" si="223"/>
        <v>2457832.12710125</v>
      </c>
      <c r="AK92" s="1005">
        <f t="shared" si="224"/>
        <v>122891.60635506251</v>
      </c>
      <c r="AL92" s="1005">
        <f t="shared" si="300"/>
        <v>2580723.7334563127</v>
      </c>
      <c r="AM92" s="934">
        <f t="shared" si="225"/>
        <v>25807.237334563128</v>
      </c>
      <c r="AN92" s="934">
        <f t="shared" si="226"/>
        <v>27537.409960060559</v>
      </c>
      <c r="AO92" s="934"/>
      <c r="AP92" s="934">
        <f t="shared" si="301"/>
        <v>114303.92584578018</v>
      </c>
      <c r="AQ92" s="1005">
        <f t="shared" si="201"/>
        <v>2748372.3065967159</v>
      </c>
      <c r="AR92" s="1005">
        <f t="shared" si="227"/>
        <v>123676.75379685221</v>
      </c>
      <c r="AS92" s="1147">
        <f t="shared" si="228"/>
        <v>2872049.0603935681</v>
      </c>
      <c r="AT92" s="1148">
        <f t="shared" si="302"/>
        <v>2000000</v>
      </c>
      <c r="AU92" s="1148">
        <f t="shared" si="202"/>
        <v>39638.593654253098</v>
      </c>
      <c r="AV92" s="1148">
        <f t="shared" si="303"/>
        <v>872049.06039356813</v>
      </c>
      <c r="AW92" s="1148">
        <f t="shared" si="203"/>
        <v>104645.88724722817</v>
      </c>
      <c r="AX92" s="1148">
        <f t="shared" si="204"/>
        <v>976694.94764079631</v>
      </c>
      <c r="AY92" s="1147">
        <f t="shared" si="229"/>
        <v>2976694.9476407962</v>
      </c>
      <c r="AZ92" s="934">
        <f t="shared" si="230"/>
        <v>37208.686845509954</v>
      </c>
      <c r="BA92" s="716" t="s">
        <v>269</v>
      </c>
      <c r="BB92" s="716">
        <f t="shared" si="205"/>
        <v>3013903.634486306</v>
      </c>
      <c r="BC92" s="716" t="s">
        <v>269</v>
      </c>
      <c r="BD92" s="716">
        <f t="shared" si="231"/>
        <v>113021.38629323647</v>
      </c>
      <c r="BE92" s="716">
        <f t="shared" si="232"/>
        <v>33600</v>
      </c>
      <c r="BF92" s="716">
        <f t="shared" si="233"/>
        <v>3160525.0207795426</v>
      </c>
      <c r="BG92" s="716"/>
      <c r="BH92" s="716">
        <f t="shared" si="234"/>
        <v>3160525.0207795426</v>
      </c>
      <c r="BI92" s="716"/>
      <c r="BJ92" s="716">
        <f t="shared" si="235"/>
        <v>3160525.0207795426</v>
      </c>
      <c r="BK92" s="716"/>
      <c r="BL92" s="716">
        <f t="shared" si="236"/>
        <v>3160525.0207795426</v>
      </c>
      <c r="BM92" s="716"/>
      <c r="BN92" s="716">
        <f t="shared" si="206"/>
        <v>3160525.0207795426</v>
      </c>
      <c r="BO92" s="716"/>
      <c r="BP92" s="716">
        <f t="shared" si="237"/>
        <v>3160525.0207795426</v>
      </c>
      <c r="BQ92" s="716"/>
      <c r="BR92" s="716">
        <f t="shared" si="238"/>
        <v>3160525.0207795426</v>
      </c>
      <c r="BS92" s="716"/>
      <c r="BT92" s="716">
        <f t="shared" si="239"/>
        <v>3160525.0207795426</v>
      </c>
      <c r="BU92" s="716"/>
      <c r="BV92" s="716">
        <f t="shared" si="207"/>
        <v>3160525.0207795426</v>
      </c>
      <c r="BW92" s="716"/>
      <c r="BX92" s="716">
        <f t="shared" si="329"/>
        <v>31400</v>
      </c>
      <c r="BY92" s="716">
        <f t="shared" si="240"/>
        <v>3191925.0207795426</v>
      </c>
      <c r="BZ92" s="716"/>
      <c r="CA92" s="716">
        <f t="shared" si="241"/>
        <v>3191925.0207795426</v>
      </c>
      <c r="CB92" s="1135">
        <f t="shared" si="242"/>
        <v>3191925.0207795426</v>
      </c>
      <c r="CC92" s="1164">
        <f t="shared" si="286"/>
        <v>3191925.0207795426</v>
      </c>
      <c r="CD92" s="1164"/>
      <c r="CE92" s="1164">
        <f t="shared" si="243"/>
        <v>0</v>
      </c>
      <c r="CF92" s="1164">
        <f t="shared" si="291"/>
        <v>0</v>
      </c>
      <c r="CG92" s="1164">
        <f t="shared" si="292"/>
        <v>0</v>
      </c>
      <c r="CH92" s="1154">
        <f t="shared" ref="CH92:CH97" si="334">CC92+CE92+CF92</f>
        <v>3191925.0207795426</v>
      </c>
      <c r="CI92" s="935">
        <f t="shared" ref="CI92:CI97" si="335">CH92</f>
        <v>3191925.0207795426</v>
      </c>
      <c r="CJ92" s="935">
        <f t="shared" si="244"/>
        <v>0</v>
      </c>
      <c r="CK92" s="935">
        <f t="shared" si="208"/>
        <v>327172.31462990312</v>
      </c>
      <c r="CL92" s="935">
        <f t="shared" si="209"/>
        <v>111717.375727284</v>
      </c>
      <c r="CM92" s="1006">
        <f t="shared" si="306"/>
        <v>3630814.7111367295</v>
      </c>
      <c r="CN92" s="1007">
        <f t="shared" si="307"/>
        <v>0.125</v>
      </c>
      <c r="CO92" s="935">
        <f t="shared" si="210"/>
        <v>453851.83889209118</v>
      </c>
      <c r="CP92" s="935">
        <f t="shared" si="330"/>
        <v>30000</v>
      </c>
      <c r="CQ92" s="935">
        <f t="shared" si="211"/>
        <v>423851.83889209118</v>
      </c>
      <c r="CR92" s="745">
        <f t="shared" si="308"/>
        <v>1</v>
      </c>
      <c r="CS92" s="935">
        <f t="shared" si="212"/>
        <v>423851.83889209118</v>
      </c>
      <c r="CT92" s="1007">
        <f t="shared" si="245"/>
        <v>0.875</v>
      </c>
      <c r="CU92" s="935">
        <f t="shared" si="246"/>
        <v>3176962.8722446384</v>
      </c>
      <c r="CV92" s="1008">
        <f t="shared" si="247"/>
        <v>24630.95933351951</v>
      </c>
      <c r="CW92" s="1008">
        <f t="shared" si="248"/>
        <v>28555.440450220085</v>
      </c>
      <c r="CX92" s="1008">
        <f t="shared" si="249"/>
        <v>36887.232763035681</v>
      </c>
      <c r="CY92" s="1008">
        <f t="shared" si="250"/>
        <v>62907.6725886352</v>
      </c>
      <c r="CZ92" s="1119">
        <f t="shared" si="251"/>
        <v>258074.79213430657</v>
      </c>
      <c r="DA92" s="1119">
        <f t="shared" si="252"/>
        <v>102118.93809305556</v>
      </c>
      <c r="DB92" s="1119">
        <f t="shared" si="253"/>
        <v>73759.062654221299</v>
      </c>
      <c r="DC92" s="1119">
        <f t="shared" si="254"/>
        <v>56134.042371726806</v>
      </c>
      <c r="DD92" s="1028">
        <f t="shared" si="294"/>
        <v>0.43602453019678405</v>
      </c>
      <c r="DE92" s="1028">
        <f t="shared" ref="DE92:DE97" si="336">CE92/CC92</f>
        <v>0</v>
      </c>
      <c r="DF92" s="1009" t="s">
        <v>270</v>
      </c>
      <c r="DG92" s="1009" t="s">
        <v>271</v>
      </c>
      <c r="DH92" s="966">
        <f t="shared" si="287"/>
        <v>45658</v>
      </c>
      <c r="DI92" s="912">
        <f t="shared" si="255"/>
        <v>14</v>
      </c>
      <c r="DJ92" s="939"/>
      <c r="DK92" s="913">
        <f t="shared" si="213"/>
        <v>45723</v>
      </c>
      <c r="DL92" s="912">
        <f t="shared" si="256"/>
        <v>16</v>
      </c>
      <c r="DM92" s="750" t="s">
        <v>272</v>
      </c>
      <c r="DN92" s="750" t="s">
        <v>273</v>
      </c>
      <c r="DO92" s="751">
        <f t="shared" si="214"/>
        <v>44395.224892763472</v>
      </c>
      <c r="DP92" s="751">
        <f t="shared" si="215"/>
        <v>976694.94764079631</v>
      </c>
      <c r="DQ92" s="752">
        <f t="shared" si="295"/>
        <v>0.48834747382039817</v>
      </c>
      <c r="DR92" s="503"/>
      <c r="DS92" s="751">
        <f t="shared" si="296"/>
        <v>3191925.0207795426</v>
      </c>
      <c r="DT92" s="751">
        <f>'[4]INTERNAL PRICELIST'!N86</f>
        <v>2111900</v>
      </c>
      <c r="DU92" s="751">
        <f t="shared" si="216"/>
        <v>1080025.0207795426</v>
      </c>
      <c r="DV92" s="503"/>
      <c r="DW92" s="951">
        <f t="shared" si="297"/>
        <v>145087.50094452465</v>
      </c>
      <c r="DX92" s="503"/>
      <c r="DZ92" s="1010" t="s">
        <v>487</v>
      </c>
      <c r="EA92" s="1052" t="b">
        <f t="shared" si="217"/>
        <v>1</v>
      </c>
      <c r="EB92" s="1072" t="s">
        <v>413</v>
      </c>
      <c r="EC92" s="1072" t="s">
        <v>486</v>
      </c>
      <c r="ED92" s="503"/>
      <c r="EH92" s="930"/>
      <c r="EI92" s="930"/>
      <c r="EJ92" s="503"/>
      <c r="EK92" s="503"/>
      <c r="EL92" s="503"/>
      <c r="EM92" s="503"/>
      <c r="EN92" s="503"/>
      <c r="EO92" s="503"/>
      <c r="EP92" s="503"/>
      <c r="EQ92" s="503"/>
      <c r="ER92" s="1017" t="s">
        <v>264</v>
      </c>
      <c r="ES92" s="1391" t="s">
        <v>264</v>
      </c>
      <c r="ET92" s="1018" t="b">
        <f t="shared" si="257"/>
        <v>1</v>
      </c>
      <c r="EU92" s="940"/>
      <c r="EV92" s="941"/>
      <c r="EW92" s="940"/>
      <c r="EX92" s="1019">
        <v>2988337.9306086316</v>
      </c>
      <c r="EY92" s="1019">
        <f t="shared" si="310"/>
        <v>448250.68959129474</v>
      </c>
      <c r="EZ92" s="1019">
        <f t="shared" si="311"/>
        <v>2540087.241017337</v>
      </c>
      <c r="FA92" s="1019">
        <f t="shared" si="312"/>
        <v>298833.79306086316</v>
      </c>
      <c r="FB92" s="1019">
        <f t="shared" si="313"/>
        <v>2689504.1375477687</v>
      </c>
      <c r="FC92" s="1019">
        <f t="shared" si="314"/>
        <v>149416.8965304317</v>
      </c>
      <c r="FD92" s="1020"/>
      <c r="FE92" s="1021"/>
      <c r="FF92" s="1022">
        <f t="shared" si="315"/>
        <v>2540087.241017337</v>
      </c>
      <c r="FG92" s="1022">
        <f t="shared" si="316"/>
        <v>215907.41548647365</v>
      </c>
      <c r="FH92" s="1022">
        <f t="shared" si="317"/>
        <v>107953.70774323682</v>
      </c>
      <c r="FI92" s="1023">
        <f t="shared" si="318"/>
        <v>2689504.1375477687</v>
      </c>
      <c r="FJ92" s="1023">
        <f t="shared" si="319"/>
        <v>228607.85169156035</v>
      </c>
      <c r="FK92" s="1023">
        <f t="shared" si="320"/>
        <v>114303.92584578018</v>
      </c>
      <c r="FL92" s="1019">
        <f t="shared" si="321"/>
        <v>12700.436205086706</v>
      </c>
      <c r="FM92" s="1019">
        <f t="shared" si="322"/>
        <v>6350.2181025433529</v>
      </c>
      <c r="FN92" s="1019" t="str">
        <f t="shared" si="323"/>
        <v>VS</v>
      </c>
      <c r="FO92" s="1019">
        <f t="shared" si="324"/>
        <v>27537.409960060559</v>
      </c>
      <c r="FP92" s="1019">
        <f t="shared" si="325"/>
        <v>-21187.191857517206</v>
      </c>
      <c r="FQ92" s="1021"/>
      <c r="FR92" s="1021"/>
      <c r="FS92" s="1020"/>
      <c r="FT92" s="503"/>
      <c r="FU92" s="956"/>
      <c r="FV92" s="503"/>
      <c r="FW92" s="503"/>
      <c r="FX92" s="1040"/>
      <c r="FY92" s="503"/>
      <c r="FZ92" s="503"/>
      <c r="GA92" s="503"/>
      <c r="GB92" s="1059"/>
      <c r="GE92" s="503"/>
      <c r="GF92" s="1059"/>
      <c r="GG92" s="956"/>
      <c r="GH92" s="945"/>
      <c r="GI92" s="1024">
        <f t="shared" si="258"/>
        <v>3630814.7111367295</v>
      </c>
      <c r="GJ92" s="1025">
        <f t="shared" si="259"/>
        <v>0.125</v>
      </c>
      <c r="GK92" s="1024">
        <f t="shared" si="260"/>
        <v>453851.83889209118</v>
      </c>
      <c r="GL92" s="1024">
        <f t="shared" si="261"/>
        <v>30000</v>
      </c>
      <c r="GM92" s="1024">
        <f t="shared" si="262"/>
        <v>423851.83889209118</v>
      </c>
      <c r="GN92" s="1024">
        <f t="shared" si="263"/>
        <v>1</v>
      </c>
      <c r="GO92" s="1024">
        <f t="shared" si="264"/>
        <v>423851.83889209118</v>
      </c>
      <c r="GP92" s="1025">
        <f t="shared" si="265"/>
        <v>0.875</v>
      </c>
      <c r="GQ92" s="1024">
        <f t="shared" si="266"/>
        <v>3176962.8722446384</v>
      </c>
      <c r="GR92" s="1024">
        <f t="shared" si="267"/>
        <v>24630.95933351951</v>
      </c>
      <c r="GS92" s="1024">
        <f t="shared" si="268"/>
        <v>28555.440450220085</v>
      </c>
      <c r="GT92" s="1024">
        <f t="shared" si="269"/>
        <v>36887.232763035681</v>
      </c>
      <c r="GU92" s="1024">
        <f t="shared" si="270"/>
        <v>62907.6725886352</v>
      </c>
      <c r="GV92" s="945"/>
      <c r="GW92" s="1024">
        <f t="shared" si="271"/>
        <v>3630814.7111367295</v>
      </c>
      <c r="GX92" s="1025">
        <f t="shared" si="272"/>
        <v>0.125</v>
      </c>
      <c r="GY92" s="1024">
        <f t="shared" si="273"/>
        <v>453851.83889209118</v>
      </c>
      <c r="GZ92" s="1024">
        <f t="shared" si="274"/>
        <v>30000</v>
      </c>
      <c r="HA92" s="1024">
        <f t="shared" si="275"/>
        <v>423851.83889209118</v>
      </c>
      <c r="HB92" s="1026">
        <f t="shared" si="276"/>
        <v>25</v>
      </c>
      <c r="HC92" s="1009">
        <f t="shared" si="277"/>
        <v>16954.073555683648</v>
      </c>
      <c r="HD92" s="1027">
        <f t="shared" si="278"/>
        <v>0.875</v>
      </c>
      <c r="HE92" s="1009">
        <f t="shared" si="279"/>
        <v>3176962.8722446384</v>
      </c>
      <c r="HF92" s="1008">
        <f t="shared" si="280"/>
        <v>24630.95933351951</v>
      </c>
      <c r="HG92" s="1008">
        <f t="shared" si="281"/>
        <v>28555.440450220085</v>
      </c>
      <c r="HH92" s="1008">
        <f t="shared" si="282"/>
        <v>36887.232763035681</v>
      </c>
      <c r="HI92" s="1008">
        <f t="shared" si="283"/>
        <v>62907.6725886352</v>
      </c>
      <c r="HJ92" s="945"/>
      <c r="HK92" s="1009">
        <f t="shared" si="284"/>
        <v>-406897.76533640752</v>
      </c>
      <c r="HL92" s="503"/>
      <c r="HM92" s="503"/>
      <c r="HN92" s="503"/>
      <c r="HO92" s="503"/>
      <c r="HP92" s="503"/>
      <c r="HQ92" s="503"/>
      <c r="HR92" s="956">
        <f t="shared" si="285"/>
        <v>0</v>
      </c>
      <c r="HS92" s="503"/>
      <c r="HT92" s="503"/>
      <c r="HU92" s="956"/>
      <c r="HV92" s="503"/>
      <c r="HW92" s="956"/>
      <c r="HX92" s="956"/>
      <c r="HY92" s="503"/>
      <c r="HZ92" s="503"/>
      <c r="IA92" s="503"/>
      <c r="ID92" s="1394"/>
    </row>
    <row r="93" spans="1:238" s="1051" customFormat="1" ht="14.25" hidden="1" customHeight="1">
      <c r="A93" s="1018">
        <f t="shared" si="326"/>
        <v>87</v>
      </c>
      <c r="B93" s="716" t="s">
        <v>264</v>
      </c>
      <c r="C93" s="741">
        <f t="shared" ref="C93:C108" si="337">C92+1</f>
        <v>3</v>
      </c>
      <c r="D93" s="716" t="s">
        <v>276</v>
      </c>
      <c r="E93" s="743" t="str">
        <f t="shared" si="332"/>
        <v>7th Floor</v>
      </c>
      <c r="F93" s="1048"/>
      <c r="G93" s="745" t="s">
        <v>488</v>
      </c>
      <c r="H93" s="745" t="s">
        <v>283</v>
      </c>
      <c r="I93" s="745" t="s">
        <v>267</v>
      </c>
      <c r="J93" s="1005">
        <v>22</v>
      </c>
      <c r="K93" s="1049"/>
      <c r="L93" s="1006" t="s">
        <v>73</v>
      </c>
      <c r="M93" s="745" t="s">
        <v>240</v>
      </c>
      <c r="N93" s="1050">
        <v>95909.091</v>
      </c>
      <c r="O93" s="934">
        <f t="shared" si="298"/>
        <v>2110000.0019999999</v>
      </c>
      <c r="P93" s="934">
        <f t="shared" si="327"/>
        <v>22400</v>
      </c>
      <c r="Q93" s="934">
        <f t="shared" si="293"/>
        <v>50000</v>
      </c>
      <c r="R93" s="934"/>
      <c r="S93" s="934"/>
      <c r="T93" s="934"/>
      <c r="U93" s="934"/>
      <c r="V93" s="934"/>
      <c r="W93" s="749">
        <f t="shared" si="333"/>
        <v>22000</v>
      </c>
      <c r="X93" s="934"/>
      <c r="Y93" s="934">
        <f t="shared" ref="Y93:Y108" si="338">$Y$91</f>
        <v>60000</v>
      </c>
      <c r="Z93" s="934">
        <f t="shared" si="299"/>
        <v>75000</v>
      </c>
      <c r="AA93" s="934"/>
      <c r="AB93" s="934"/>
      <c r="AC93" s="934"/>
      <c r="AD93" s="934"/>
      <c r="AE93" s="934">
        <f t="shared" si="199"/>
        <v>229400</v>
      </c>
      <c r="AF93" s="1005">
        <f t="shared" si="200"/>
        <v>2339400.0019999999</v>
      </c>
      <c r="AG93" s="1005">
        <f t="shared" si="220"/>
        <v>58485.000050000002</v>
      </c>
      <c r="AH93" s="1005">
        <f t="shared" si="221"/>
        <v>2397885.0020499998</v>
      </c>
      <c r="AI93" s="1005">
        <f t="shared" si="222"/>
        <v>59947.125051249997</v>
      </c>
      <c r="AJ93" s="1005">
        <f t="shared" si="223"/>
        <v>2457832.12710125</v>
      </c>
      <c r="AK93" s="1005">
        <f t="shared" si="224"/>
        <v>122891.60635506251</v>
      </c>
      <c r="AL93" s="1005">
        <f t="shared" si="300"/>
        <v>2580723.7334563127</v>
      </c>
      <c r="AM93" s="934">
        <f t="shared" si="225"/>
        <v>25807.237334563128</v>
      </c>
      <c r="AN93" s="934">
        <f t="shared" si="226"/>
        <v>27537.409960060559</v>
      </c>
      <c r="AO93" s="934"/>
      <c r="AP93" s="934">
        <f t="shared" si="301"/>
        <v>114303.92584578018</v>
      </c>
      <c r="AQ93" s="1005">
        <f t="shared" si="201"/>
        <v>2748372.3065967159</v>
      </c>
      <c r="AR93" s="1005">
        <f t="shared" si="227"/>
        <v>123676.75379685221</v>
      </c>
      <c r="AS93" s="1147">
        <f t="shared" si="228"/>
        <v>2872049.0603935681</v>
      </c>
      <c r="AT93" s="1148">
        <f t="shared" si="302"/>
        <v>2000000</v>
      </c>
      <c r="AU93" s="1148">
        <f t="shared" si="202"/>
        <v>39638.593654253098</v>
      </c>
      <c r="AV93" s="1148">
        <f t="shared" si="303"/>
        <v>872049.06039356813</v>
      </c>
      <c r="AW93" s="1148">
        <f t="shared" si="203"/>
        <v>104645.88724722817</v>
      </c>
      <c r="AX93" s="1148">
        <f t="shared" si="204"/>
        <v>976694.94764079631</v>
      </c>
      <c r="AY93" s="1147">
        <f t="shared" si="229"/>
        <v>2976694.9476407962</v>
      </c>
      <c r="AZ93" s="934">
        <f t="shared" si="230"/>
        <v>37208.686845509954</v>
      </c>
      <c r="BA93" s="716" t="s">
        <v>269</v>
      </c>
      <c r="BB93" s="716">
        <f t="shared" si="205"/>
        <v>3013903.634486306</v>
      </c>
      <c r="BC93" s="716" t="s">
        <v>269</v>
      </c>
      <c r="BD93" s="716">
        <f t="shared" si="231"/>
        <v>113021.38629323647</v>
      </c>
      <c r="BE93" s="716">
        <f t="shared" si="232"/>
        <v>33600</v>
      </c>
      <c r="BF93" s="716">
        <f t="shared" si="233"/>
        <v>3160525.0207795426</v>
      </c>
      <c r="BG93" s="716"/>
      <c r="BH93" s="716">
        <f t="shared" si="234"/>
        <v>3160525.0207795426</v>
      </c>
      <c r="BI93" s="716"/>
      <c r="BJ93" s="716">
        <f t="shared" si="235"/>
        <v>3160525.0207795426</v>
      </c>
      <c r="BK93" s="716"/>
      <c r="BL93" s="716">
        <f t="shared" si="236"/>
        <v>3160525.0207795426</v>
      </c>
      <c r="BM93" s="716"/>
      <c r="BN93" s="716">
        <f t="shared" si="206"/>
        <v>3160525.0207795426</v>
      </c>
      <c r="BO93" s="716"/>
      <c r="BP93" s="716">
        <f t="shared" si="237"/>
        <v>3160525.0207795426</v>
      </c>
      <c r="BQ93" s="716"/>
      <c r="BR93" s="716">
        <f t="shared" si="238"/>
        <v>3160525.0207795426</v>
      </c>
      <c r="BS93" s="716"/>
      <c r="BT93" s="716">
        <f t="shared" si="239"/>
        <v>3160525.0207795426</v>
      </c>
      <c r="BU93" s="716"/>
      <c r="BV93" s="716">
        <f t="shared" si="207"/>
        <v>3160525.0207795426</v>
      </c>
      <c r="BW93" s="716"/>
      <c r="BX93" s="716">
        <f t="shared" si="329"/>
        <v>31400</v>
      </c>
      <c r="BY93" s="716">
        <f t="shared" si="240"/>
        <v>3191925.0207795426</v>
      </c>
      <c r="BZ93" s="716"/>
      <c r="CA93" s="716">
        <f t="shared" si="241"/>
        <v>3191925.0207795426</v>
      </c>
      <c r="CB93" s="1135">
        <f t="shared" si="242"/>
        <v>3191925.0207795426</v>
      </c>
      <c r="CC93" s="1164">
        <f t="shared" si="286"/>
        <v>3191925.0207795426</v>
      </c>
      <c r="CD93" s="1164"/>
      <c r="CE93" s="1164">
        <f t="shared" si="243"/>
        <v>0</v>
      </c>
      <c r="CF93" s="1164">
        <f t="shared" si="291"/>
        <v>0</v>
      </c>
      <c r="CG93" s="1164">
        <f t="shared" si="292"/>
        <v>0</v>
      </c>
      <c r="CH93" s="1154">
        <f t="shared" si="334"/>
        <v>3191925.0207795426</v>
      </c>
      <c r="CI93" s="935">
        <f t="shared" si="335"/>
        <v>3191925.0207795426</v>
      </c>
      <c r="CJ93" s="935">
        <f t="shared" si="244"/>
        <v>0</v>
      </c>
      <c r="CK93" s="935">
        <f t="shared" si="208"/>
        <v>327172.31462990312</v>
      </c>
      <c r="CL93" s="935">
        <f t="shared" si="209"/>
        <v>111717.375727284</v>
      </c>
      <c r="CM93" s="1006">
        <f t="shared" si="306"/>
        <v>3630814.7111367295</v>
      </c>
      <c r="CN93" s="1007">
        <f t="shared" si="307"/>
        <v>0.125</v>
      </c>
      <c r="CO93" s="935">
        <f t="shared" si="210"/>
        <v>453851.83889209118</v>
      </c>
      <c r="CP93" s="935">
        <f t="shared" si="330"/>
        <v>30000</v>
      </c>
      <c r="CQ93" s="935">
        <f t="shared" si="211"/>
        <v>423851.83889209118</v>
      </c>
      <c r="CR93" s="745">
        <f t="shared" si="308"/>
        <v>1</v>
      </c>
      <c r="CS93" s="935">
        <f t="shared" si="212"/>
        <v>423851.83889209118</v>
      </c>
      <c r="CT93" s="1007">
        <f t="shared" si="245"/>
        <v>0.875</v>
      </c>
      <c r="CU93" s="935">
        <f t="shared" si="246"/>
        <v>3176962.8722446384</v>
      </c>
      <c r="CV93" s="1008">
        <f t="shared" si="247"/>
        <v>24630.95933351951</v>
      </c>
      <c r="CW93" s="1008">
        <f t="shared" si="248"/>
        <v>28555.440450220085</v>
      </c>
      <c r="CX93" s="1008">
        <f t="shared" si="249"/>
        <v>36887.232763035681</v>
      </c>
      <c r="CY93" s="1008">
        <f t="shared" si="250"/>
        <v>62907.6725886352</v>
      </c>
      <c r="CZ93" s="1119">
        <f t="shared" si="251"/>
        <v>258074.79213430657</v>
      </c>
      <c r="DA93" s="1119">
        <f t="shared" si="252"/>
        <v>102118.93809305556</v>
      </c>
      <c r="DB93" s="1119">
        <f t="shared" si="253"/>
        <v>73759.062654221299</v>
      </c>
      <c r="DC93" s="1119">
        <f t="shared" si="254"/>
        <v>56134.042371726806</v>
      </c>
      <c r="DD93" s="1028">
        <f t="shared" si="294"/>
        <v>0.43602453019678405</v>
      </c>
      <c r="DE93" s="1028">
        <f t="shared" si="336"/>
        <v>0</v>
      </c>
      <c r="DF93" s="1009" t="s">
        <v>270</v>
      </c>
      <c r="DG93" s="1009" t="s">
        <v>271</v>
      </c>
      <c r="DH93" s="966">
        <f t="shared" si="287"/>
        <v>45658</v>
      </c>
      <c r="DI93" s="912">
        <f t="shared" si="255"/>
        <v>14</v>
      </c>
      <c r="DJ93" s="939"/>
      <c r="DK93" s="913">
        <f t="shared" si="213"/>
        <v>45723</v>
      </c>
      <c r="DL93" s="912">
        <f t="shared" si="256"/>
        <v>16</v>
      </c>
      <c r="DM93" s="750" t="s">
        <v>272</v>
      </c>
      <c r="DN93" s="750" t="s">
        <v>273</v>
      </c>
      <c r="DO93" s="751">
        <f t="shared" si="214"/>
        <v>44395.224892763472</v>
      </c>
      <c r="DP93" s="751">
        <f t="shared" si="215"/>
        <v>976694.94764079631</v>
      </c>
      <c r="DQ93" s="752">
        <f t="shared" si="295"/>
        <v>0.48834747382039817</v>
      </c>
      <c r="DR93" s="503"/>
      <c r="DS93" s="751">
        <f t="shared" si="296"/>
        <v>3191925.0207795426</v>
      </c>
      <c r="DT93" s="751">
        <f>'[4]INTERNAL PRICELIST'!N87</f>
        <v>2111900</v>
      </c>
      <c r="DU93" s="751">
        <f t="shared" si="216"/>
        <v>1080025.0207795426</v>
      </c>
      <c r="DV93" s="503"/>
      <c r="DW93" s="951">
        <f t="shared" si="297"/>
        <v>145087.50094452465</v>
      </c>
      <c r="DX93" s="503"/>
      <c r="DZ93" s="1010" t="s">
        <v>488</v>
      </c>
      <c r="EA93" s="1052" t="b">
        <f t="shared" si="217"/>
        <v>1</v>
      </c>
      <c r="EB93" s="1072" t="s">
        <v>489</v>
      </c>
      <c r="EC93" s="1072" t="s">
        <v>486</v>
      </c>
      <c r="ED93" s="503"/>
      <c r="EH93" s="930"/>
      <c r="EI93" s="930"/>
      <c r="EJ93" s="503"/>
      <c r="EK93" s="503"/>
      <c r="EL93" s="503"/>
      <c r="EM93" s="503"/>
      <c r="EN93" s="503"/>
      <c r="EO93" s="503"/>
      <c r="EP93" s="503"/>
      <c r="EQ93" s="503"/>
      <c r="ER93" s="1017" t="s">
        <v>264</v>
      </c>
      <c r="ES93" s="1391" t="s">
        <v>264</v>
      </c>
      <c r="ET93" s="1018" t="b">
        <f t="shared" si="257"/>
        <v>1</v>
      </c>
      <c r="EU93" s="940"/>
      <c r="EV93" s="941"/>
      <c r="EW93" s="940"/>
      <c r="EX93" s="1019">
        <v>2988337.9306086316</v>
      </c>
      <c r="EY93" s="1019">
        <f t="shared" si="310"/>
        <v>448250.68959129474</v>
      </c>
      <c r="EZ93" s="1019">
        <f t="shared" si="311"/>
        <v>2540087.241017337</v>
      </c>
      <c r="FA93" s="1019">
        <f t="shared" si="312"/>
        <v>298833.79306086316</v>
      </c>
      <c r="FB93" s="1019">
        <f t="shared" si="313"/>
        <v>2689504.1375477687</v>
      </c>
      <c r="FC93" s="1019">
        <f t="shared" si="314"/>
        <v>149416.8965304317</v>
      </c>
      <c r="FD93" s="1020"/>
      <c r="FE93" s="1021"/>
      <c r="FF93" s="1022">
        <f t="shared" si="315"/>
        <v>2540087.241017337</v>
      </c>
      <c r="FG93" s="1022">
        <f t="shared" si="316"/>
        <v>215907.41548647365</v>
      </c>
      <c r="FH93" s="1022">
        <f t="shared" si="317"/>
        <v>107953.70774323682</v>
      </c>
      <c r="FI93" s="1023">
        <f t="shared" si="318"/>
        <v>2689504.1375477687</v>
      </c>
      <c r="FJ93" s="1023">
        <f t="shared" si="319"/>
        <v>228607.85169156035</v>
      </c>
      <c r="FK93" s="1023">
        <f t="shared" si="320"/>
        <v>114303.92584578018</v>
      </c>
      <c r="FL93" s="1019">
        <f t="shared" si="321"/>
        <v>12700.436205086706</v>
      </c>
      <c r="FM93" s="1019">
        <f t="shared" si="322"/>
        <v>6350.2181025433529</v>
      </c>
      <c r="FN93" s="1019" t="str">
        <f t="shared" si="323"/>
        <v>VS</v>
      </c>
      <c r="FO93" s="1019">
        <f t="shared" si="324"/>
        <v>27537.409960060559</v>
      </c>
      <c r="FP93" s="1019">
        <f t="shared" si="325"/>
        <v>-21187.191857517206</v>
      </c>
      <c r="FQ93" s="1021"/>
      <c r="FR93" s="1021"/>
      <c r="FS93" s="1020"/>
      <c r="FT93" s="503"/>
      <c r="FU93" s="956"/>
      <c r="FV93" s="503"/>
      <c r="FW93" s="503"/>
      <c r="FX93" s="1040"/>
      <c r="FY93" s="503"/>
      <c r="FZ93" s="503"/>
      <c r="GA93" s="503"/>
      <c r="GB93" s="1059"/>
      <c r="GE93" s="503"/>
      <c r="GF93" s="1059"/>
      <c r="GG93" s="956"/>
      <c r="GH93" s="1058"/>
      <c r="GI93" s="1024">
        <f t="shared" si="258"/>
        <v>3630814.7111367295</v>
      </c>
      <c r="GJ93" s="1025">
        <f t="shared" si="259"/>
        <v>0.125</v>
      </c>
      <c r="GK93" s="1024">
        <f t="shared" si="260"/>
        <v>453851.83889209118</v>
      </c>
      <c r="GL93" s="1024">
        <f t="shared" si="261"/>
        <v>30000</v>
      </c>
      <c r="GM93" s="1024">
        <f t="shared" si="262"/>
        <v>423851.83889209118</v>
      </c>
      <c r="GN93" s="1024">
        <f t="shared" si="263"/>
        <v>1</v>
      </c>
      <c r="GO93" s="1024">
        <f t="shared" si="264"/>
        <v>423851.83889209118</v>
      </c>
      <c r="GP93" s="1025">
        <f t="shared" si="265"/>
        <v>0.875</v>
      </c>
      <c r="GQ93" s="1024">
        <f t="shared" si="266"/>
        <v>3176962.8722446384</v>
      </c>
      <c r="GR93" s="1024">
        <f t="shared" si="267"/>
        <v>24630.95933351951</v>
      </c>
      <c r="GS93" s="1024">
        <f t="shared" si="268"/>
        <v>28555.440450220085</v>
      </c>
      <c r="GT93" s="1024">
        <f t="shared" si="269"/>
        <v>36887.232763035681</v>
      </c>
      <c r="GU93" s="1024">
        <f t="shared" si="270"/>
        <v>62907.6725886352</v>
      </c>
      <c r="GV93" s="945"/>
      <c r="GW93" s="1024">
        <f t="shared" si="271"/>
        <v>3630814.7111367295</v>
      </c>
      <c r="GX93" s="1025">
        <f t="shared" si="272"/>
        <v>0.125</v>
      </c>
      <c r="GY93" s="1024">
        <f t="shared" si="273"/>
        <v>453851.83889209118</v>
      </c>
      <c r="GZ93" s="1024">
        <f t="shared" si="274"/>
        <v>30000</v>
      </c>
      <c r="HA93" s="1024">
        <f t="shared" si="275"/>
        <v>423851.83889209118</v>
      </c>
      <c r="HB93" s="1026">
        <f t="shared" si="276"/>
        <v>25</v>
      </c>
      <c r="HC93" s="1009">
        <f t="shared" si="277"/>
        <v>16954.073555683648</v>
      </c>
      <c r="HD93" s="1027">
        <f t="shared" si="278"/>
        <v>0.875</v>
      </c>
      <c r="HE93" s="1009">
        <f t="shared" si="279"/>
        <v>3176962.8722446384</v>
      </c>
      <c r="HF93" s="1008">
        <f t="shared" si="280"/>
        <v>24630.95933351951</v>
      </c>
      <c r="HG93" s="1008">
        <f t="shared" si="281"/>
        <v>28555.440450220085</v>
      </c>
      <c r="HH93" s="1008">
        <f t="shared" si="282"/>
        <v>36887.232763035681</v>
      </c>
      <c r="HI93" s="1008">
        <f t="shared" si="283"/>
        <v>62907.6725886352</v>
      </c>
      <c r="HJ93" s="945"/>
      <c r="HK93" s="1009">
        <f t="shared" si="284"/>
        <v>-406897.76533640752</v>
      </c>
      <c r="HL93" s="503"/>
      <c r="HM93" s="503"/>
      <c r="HN93" s="503"/>
      <c r="HO93" s="503"/>
      <c r="HP93" s="503"/>
      <c r="HQ93" s="503"/>
      <c r="HR93" s="956">
        <f t="shared" si="285"/>
        <v>0</v>
      </c>
      <c r="HS93" s="503"/>
      <c r="HT93" s="503"/>
      <c r="HU93" s="956"/>
      <c r="HV93" s="503"/>
      <c r="HW93" s="956"/>
      <c r="HX93" s="956"/>
      <c r="HY93" s="503"/>
      <c r="HZ93" s="503"/>
      <c r="IA93" s="503"/>
      <c r="ID93" s="1394"/>
    </row>
    <row r="94" spans="1:238" ht="14.25" hidden="1" customHeight="1">
      <c r="A94" s="1018">
        <f t="shared" si="326"/>
        <v>88</v>
      </c>
      <c r="B94" s="716"/>
      <c r="C94" s="741">
        <f t="shared" si="337"/>
        <v>4</v>
      </c>
      <c r="D94" s="716" t="s">
        <v>276</v>
      </c>
      <c r="E94" s="743" t="str">
        <f t="shared" si="332"/>
        <v>7th Floor</v>
      </c>
      <c r="F94" s="1048"/>
      <c r="G94" s="745" t="s">
        <v>490</v>
      </c>
      <c r="H94" s="745" t="s">
        <v>288</v>
      </c>
      <c r="I94" s="745" t="s">
        <v>267</v>
      </c>
      <c r="J94" s="1005">
        <v>22</v>
      </c>
      <c r="K94" s="1049"/>
      <c r="L94" s="1006" t="s">
        <v>73</v>
      </c>
      <c r="M94" s="745" t="s">
        <v>240</v>
      </c>
      <c r="N94" s="1050">
        <v>95909.091</v>
      </c>
      <c r="O94" s="934">
        <f t="shared" si="298"/>
        <v>2110000.0019999999</v>
      </c>
      <c r="P94" s="934">
        <f t="shared" si="327"/>
        <v>22400</v>
      </c>
      <c r="Q94" s="934">
        <f t="shared" si="293"/>
        <v>50000</v>
      </c>
      <c r="R94" s="934"/>
      <c r="S94" s="934"/>
      <c r="T94" s="934"/>
      <c r="U94" s="934"/>
      <c r="V94" s="934"/>
      <c r="W94" s="749">
        <f t="shared" si="333"/>
        <v>22000</v>
      </c>
      <c r="X94" s="934"/>
      <c r="Y94" s="934">
        <f t="shared" si="338"/>
        <v>60000</v>
      </c>
      <c r="Z94" s="934">
        <f t="shared" si="299"/>
        <v>75000</v>
      </c>
      <c r="AA94" s="934"/>
      <c r="AB94" s="934"/>
      <c r="AC94" s="934"/>
      <c r="AD94" s="934"/>
      <c r="AE94" s="934">
        <f t="shared" si="199"/>
        <v>229400</v>
      </c>
      <c r="AF94" s="1005">
        <f t="shared" si="200"/>
        <v>2339400.0019999999</v>
      </c>
      <c r="AG94" s="1005">
        <f t="shared" si="220"/>
        <v>58485.000050000002</v>
      </c>
      <c r="AH94" s="1005">
        <f t="shared" si="221"/>
        <v>2397885.0020499998</v>
      </c>
      <c r="AI94" s="1005">
        <f t="shared" si="222"/>
        <v>59947.125051249997</v>
      </c>
      <c r="AJ94" s="1005">
        <f t="shared" si="223"/>
        <v>2457832.12710125</v>
      </c>
      <c r="AK94" s="1005">
        <f t="shared" si="224"/>
        <v>122891.60635506251</v>
      </c>
      <c r="AL94" s="1005">
        <f t="shared" si="300"/>
        <v>2580723.7334563127</v>
      </c>
      <c r="AM94" s="934">
        <f t="shared" si="225"/>
        <v>25807.237334563128</v>
      </c>
      <c r="AN94" s="934">
        <f t="shared" si="226"/>
        <v>27537.409960060559</v>
      </c>
      <c r="AO94" s="934"/>
      <c r="AP94" s="934">
        <f t="shared" si="301"/>
        <v>114303.92584578018</v>
      </c>
      <c r="AQ94" s="1005">
        <f t="shared" si="201"/>
        <v>2748372.3065967159</v>
      </c>
      <c r="AR94" s="1005">
        <f t="shared" si="227"/>
        <v>123676.75379685221</v>
      </c>
      <c r="AS94" s="1147">
        <f t="shared" si="228"/>
        <v>2872049.0603935681</v>
      </c>
      <c r="AT94" s="1148">
        <f t="shared" si="302"/>
        <v>2000000</v>
      </c>
      <c r="AU94" s="1148">
        <f t="shared" si="202"/>
        <v>39638.593654253098</v>
      </c>
      <c r="AV94" s="1148">
        <f t="shared" si="303"/>
        <v>872049.06039356813</v>
      </c>
      <c r="AW94" s="1148">
        <f t="shared" si="203"/>
        <v>104645.88724722817</v>
      </c>
      <c r="AX94" s="1148">
        <f t="shared" si="204"/>
        <v>976694.94764079631</v>
      </c>
      <c r="AY94" s="1147">
        <f t="shared" si="229"/>
        <v>2976694.9476407962</v>
      </c>
      <c r="AZ94" s="934">
        <f t="shared" si="230"/>
        <v>37208.686845509954</v>
      </c>
      <c r="BA94" s="716" t="s">
        <v>269</v>
      </c>
      <c r="BB94" s="716">
        <f t="shared" si="205"/>
        <v>3013903.634486306</v>
      </c>
      <c r="BC94" s="716" t="s">
        <v>269</v>
      </c>
      <c r="BD94" s="716">
        <f t="shared" si="231"/>
        <v>113021.38629323647</v>
      </c>
      <c r="BE94" s="716">
        <f t="shared" si="232"/>
        <v>33600</v>
      </c>
      <c r="BF94" s="716">
        <f t="shared" si="233"/>
        <v>3160525.0207795426</v>
      </c>
      <c r="BG94" s="716"/>
      <c r="BH94" s="716">
        <f t="shared" si="234"/>
        <v>3160525.0207795426</v>
      </c>
      <c r="BI94" s="716"/>
      <c r="BJ94" s="716">
        <f t="shared" si="235"/>
        <v>3160525.0207795426</v>
      </c>
      <c r="BK94" s="716"/>
      <c r="BL94" s="716">
        <f t="shared" si="236"/>
        <v>3160525.0207795426</v>
      </c>
      <c r="BM94" s="716"/>
      <c r="BN94" s="716">
        <f t="shared" si="206"/>
        <v>3160525.0207795426</v>
      </c>
      <c r="BO94" s="716"/>
      <c r="BP94" s="716">
        <f t="shared" si="237"/>
        <v>3160525.0207795426</v>
      </c>
      <c r="BQ94" s="716"/>
      <c r="BR94" s="716">
        <f t="shared" si="238"/>
        <v>3160525.0207795426</v>
      </c>
      <c r="BS94" s="716"/>
      <c r="BT94" s="716">
        <f t="shared" si="239"/>
        <v>3160525.0207795426</v>
      </c>
      <c r="BU94" s="716"/>
      <c r="BV94" s="716">
        <f t="shared" si="207"/>
        <v>3160525.0207795426</v>
      </c>
      <c r="BW94" s="716"/>
      <c r="BX94" s="716">
        <f t="shared" si="329"/>
        <v>31400</v>
      </c>
      <c r="BY94" s="716">
        <f t="shared" si="240"/>
        <v>3191925.0207795426</v>
      </c>
      <c r="BZ94" s="716"/>
      <c r="CA94" s="716">
        <f t="shared" si="241"/>
        <v>3191925.0207795426</v>
      </c>
      <c r="CB94" s="1135">
        <f t="shared" si="242"/>
        <v>3191925.0207795426</v>
      </c>
      <c r="CC94" s="1164">
        <f t="shared" si="286"/>
        <v>3191925.0207795426</v>
      </c>
      <c r="CD94" s="1164"/>
      <c r="CE94" s="1164">
        <f t="shared" si="243"/>
        <v>0</v>
      </c>
      <c r="CF94" s="1164">
        <f t="shared" si="291"/>
        <v>0</v>
      </c>
      <c r="CG94" s="1164">
        <f t="shared" si="292"/>
        <v>0</v>
      </c>
      <c r="CH94" s="1154">
        <f t="shared" si="334"/>
        <v>3191925.0207795426</v>
      </c>
      <c r="CI94" s="935">
        <f t="shared" si="335"/>
        <v>3191925.0207795426</v>
      </c>
      <c r="CJ94" s="935">
        <f t="shared" si="244"/>
        <v>0</v>
      </c>
      <c r="CK94" s="935">
        <f t="shared" si="208"/>
        <v>327172.31462990312</v>
      </c>
      <c r="CL94" s="935">
        <f t="shared" si="209"/>
        <v>111717.375727284</v>
      </c>
      <c r="CM94" s="1006">
        <f t="shared" si="306"/>
        <v>3630814.7111367295</v>
      </c>
      <c r="CN94" s="1007">
        <f t="shared" si="307"/>
        <v>0.125</v>
      </c>
      <c r="CO94" s="935">
        <f t="shared" si="210"/>
        <v>453851.83889209118</v>
      </c>
      <c r="CP94" s="935">
        <f t="shared" si="330"/>
        <v>30000</v>
      </c>
      <c r="CQ94" s="935">
        <f t="shared" si="211"/>
        <v>423851.83889209118</v>
      </c>
      <c r="CR94" s="745">
        <f t="shared" si="308"/>
        <v>1</v>
      </c>
      <c r="CS94" s="935">
        <f t="shared" si="212"/>
        <v>423851.83889209118</v>
      </c>
      <c r="CT94" s="1007">
        <f t="shared" si="245"/>
        <v>0.875</v>
      </c>
      <c r="CU94" s="935">
        <f t="shared" si="246"/>
        <v>3176962.8722446384</v>
      </c>
      <c r="CV94" s="1008">
        <f t="shared" si="247"/>
        <v>24630.95933351951</v>
      </c>
      <c r="CW94" s="1008">
        <f t="shared" si="248"/>
        <v>28555.440450220085</v>
      </c>
      <c r="CX94" s="1008">
        <f t="shared" si="249"/>
        <v>36887.232763035681</v>
      </c>
      <c r="CY94" s="1008">
        <f t="shared" si="250"/>
        <v>62907.6725886352</v>
      </c>
      <c r="CZ94" s="1119">
        <f t="shared" si="251"/>
        <v>258074.79213430657</v>
      </c>
      <c r="DA94" s="1119">
        <f t="shared" si="252"/>
        <v>102118.93809305556</v>
      </c>
      <c r="DB94" s="1119">
        <f t="shared" si="253"/>
        <v>73759.062654221299</v>
      </c>
      <c r="DC94" s="1119">
        <f t="shared" si="254"/>
        <v>56134.042371726806</v>
      </c>
      <c r="DD94" s="1028">
        <f t="shared" si="294"/>
        <v>0.43602453019678405</v>
      </c>
      <c r="DE94" s="1028">
        <f t="shared" si="336"/>
        <v>0</v>
      </c>
      <c r="DF94" s="1009" t="s">
        <v>270</v>
      </c>
      <c r="DG94" s="1009" t="s">
        <v>271</v>
      </c>
      <c r="DH94" s="966">
        <f t="shared" si="287"/>
        <v>45658</v>
      </c>
      <c r="DI94" s="912">
        <f t="shared" si="255"/>
        <v>14</v>
      </c>
      <c r="DK94" s="913">
        <f t="shared" si="213"/>
        <v>45723</v>
      </c>
      <c r="DL94" s="912">
        <f t="shared" si="256"/>
        <v>16</v>
      </c>
      <c r="DM94" s="750" t="s">
        <v>272</v>
      </c>
      <c r="DN94" s="750" t="s">
        <v>273</v>
      </c>
      <c r="DO94" s="751">
        <f t="shared" si="214"/>
        <v>44395.224892763472</v>
      </c>
      <c r="DP94" s="751">
        <f t="shared" si="215"/>
        <v>976694.94764079631</v>
      </c>
      <c r="DQ94" s="752">
        <f t="shared" si="295"/>
        <v>0.48834747382039817</v>
      </c>
      <c r="DS94" s="751">
        <f t="shared" si="296"/>
        <v>3191925.0207795426</v>
      </c>
      <c r="DT94" s="751">
        <f>'[4]INTERNAL PRICELIST'!N88</f>
        <v>2111900</v>
      </c>
      <c r="DU94" s="751">
        <f t="shared" si="216"/>
        <v>1080025.0207795426</v>
      </c>
      <c r="DW94" s="951">
        <f t="shared" si="297"/>
        <v>145087.50094452465</v>
      </c>
      <c r="DZ94" s="1010" t="s">
        <v>490</v>
      </c>
      <c r="EA94" s="1011" t="b">
        <f t="shared" si="217"/>
        <v>1</v>
      </c>
      <c r="EB94" s="1011"/>
      <c r="EC94" s="1011"/>
      <c r="ER94" s="1017" t="s">
        <v>264</v>
      </c>
      <c r="ES94" s="1391" t="s">
        <v>264</v>
      </c>
      <c r="ET94" s="1018" t="b">
        <f t="shared" si="257"/>
        <v>1</v>
      </c>
      <c r="EX94" s="1019">
        <v>2988337.9306086316</v>
      </c>
      <c r="EY94" s="1019">
        <f t="shared" si="310"/>
        <v>448250.68959129474</v>
      </c>
      <c r="EZ94" s="1019">
        <f t="shared" si="311"/>
        <v>2540087.241017337</v>
      </c>
      <c r="FA94" s="1019">
        <f t="shared" si="312"/>
        <v>298833.79306086316</v>
      </c>
      <c r="FB94" s="1019">
        <f t="shared" si="313"/>
        <v>2689504.1375477687</v>
      </c>
      <c r="FC94" s="1019">
        <f t="shared" si="314"/>
        <v>149416.8965304317</v>
      </c>
      <c r="FD94" s="1020"/>
      <c r="FE94" s="1021"/>
      <c r="FF94" s="1022">
        <f t="shared" si="315"/>
        <v>2540087.241017337</v>
      </c>
      <c r="FG94" s="1022">
        <f t="shared" si="316"/>
        <v>215907.41548647365</v>
      </c>
      <c r="FH94" s="1022">
        <f t="shared" si="317"/>
        <v>107953.70774323682</v>
      </c>
      <c r="FI94" s="1023">
        <f t="shared" si="318"/>
        <v>2689504.1375477687</v>
      </c>
      <c r="FJ94" s="1023">
        <f t="shared" si="319"/>
        <v>228607.85169156035</v>
      </c>
      <c r="FK94" s="1023">
        <f t="shared" si="320"/>
        <v>114303.92584578018</v>
      </c>
      <c r="FL94" s="1019">
        <f t="shared" si="321"/>
        <v>12700.436205086706</v>
      </c>
      <c r="FM94" s="1019">
        <f t="shared" si="322"/>
        <v>6350.2181025433529</v>
      </c>
      <c r="FN94" s="1019" t="str">
        <f t="shared" si="323"/>
        <v>VS</v>
      </c>
      <c r="FO94" s="1019">
        <f t="shared" si="324"/>
        <v>27537.409960060559</v>
      </c>
      <c r="FP94" s="1019">
        <f t="shared" si="325"/>
        <v>-21187.191857517206</v>
      </c>
      <c r="FQ94" s="1021"/>
      <c r="FR94" s="1021"/>
      <c r="FS94" s="1020"/>
      <c r="FT94" s="503"/>
      <c r="FU94" s="956"/>
      <c r="FV94" s="503"/>
      <c r="FX94" s="1040"/>
      <c r="GB94" s="1059"/>
      <c r="GF94" s="1059"/>
      <c r="GG94" s="956"/>
      <c r="GI94" s="1024">
        <f t="shared" si="258"/>
        <v>3630814.7111367295</v>
      </c>
      <c r="GJ94" s="1025">
        <f t="shared" si="259"/>
        <v>0.125</v>
      </c>
      <c r="GK94" s="1024">
        <f t="shared" si="260"/>
        <v>453851.83889209118</v>
      </c>
      <c r="GL94" s="1024">
        <f t="shared" si="261"/>
        <v>30000</v>
      </c>
      <c r="GM94" s="1024">
        <f t="shared" si="262"/>
        <v>423851.83889209118</v>
      </c>
      <c r="GN94" s="1024">
        <f t="shared" si="263"/>
        <v>1</v>
      </c>
      <c r="GO94" s="1024">
        <f t="shared" si="264"/>
        <v>423851.83889209118</v>
      </c>
      <c r="GP94" s="1025">
        <f t="shared" si="265"/>
        <v>0.875</v>
      </c>
      <c r="GQ94" s="1024">
        <f t="shared" si="266"/>
        <v>3176962.8722446384</v>
      </c>
      <c r="GR94" s="1024">
        <f t="shared" si="267"/>
        <v>24630.95933351951</v>
      </c>
      <c r="GS94" s="1024">
        <f t="shared" si="268"/>
        <v>28555.440450220085</v>
      </c>
      <c r="GT94" s="1024">
        <f t="shared" si="269"/>
        <v>36887.232763035681</v>
      </c>
      <c r="GU94" s="1024">
        <f t="shared" si="270"/>
        <v>62907.6725886352</v>
      </c>
      <c r="GW94" s="1024">
        <f t="shared" si="271"/>
        <v>3630814.7111367295</v>
      </c>
      <c r="GX94" s="1025">
        <f t="shared" si="272"/>
        <v>0.125</v>
      </c>
      <c r="GY94" s="1024">
        <f t="shared" si="273"/>
        <v>453851.83889209118</v>
      </c>
      <c r="GZ94" s="1024">
        <f t="shared" si="274"/>
        <v>30000</v>
      </c>
      <c r="HA94" s="1024">
        <f t="shared" si="275"/>
        <v>423851.83889209118</v>
      </c>
      <c r="HB94" s="1026">
        <f t="shared" si="276"/>
        <v>25</v>
      </c>
      <c r="HC94" s="1009">
        <f t="shared" si="277"/>
        <v>16954.073555683648</v>
      </c>
      <c r="HD94" s="1027">
        <f t="shared" si="278"/>
        <v>0.875</v>
      </c>
      <c r="HE94" s="1009">
        <f t="shared" si="279"/>
        <v>3176962.8722446384</v>
      </c>
      <c r="HF94" s="1008">
        <f t="shared" si="280"/>
        <v>24630.95933351951</v>
      </c>
      <c r="HG94" s="1008">
        <f t="shared" si="281"/>
        <v>28555.440450220085</v>
      </c>
      <c r="HH94" s="1008">
        <f t="shared" si="282"/>
        <v>36887.232763035681</v>
      </c>
      <c r="HI94" s="1008">
        <f t="shared" si="283"/>
        <v>62907.6725886352</v>
      </c>
      <c r="HK94" s="1009">
        <f t="shared" si="284"/>
        <v>-406897.76533640752</v>
      </c>
      <c r="HR94" s="956">
        <f t="shared" si="285"/>
        <v>0</v>
      </c>
      <c r="HU94" s="956"/>
      <c r="HW94" s="956"/>
      <c r="HX94" s="956"/>
    </row>
    <row r="95" spans="1:238" ht="14.25" hidden="1" customHeight="1">
      <c r="A95" s="1018">
        <f t="shared" si="326"/>
        <v>89</v>
      </c>
      <c r="B95" s="716"/>
      <c r="C95" s="741">
        <f t="shared" si="337"/>
        <v>5</v>
      </c>
      <c r="D95" s="716" t="s">
        <v>276</v>
      </c>
      <c r="E95" s="743" t="str">
        <f t="shared" si="332"/>
        <v>7th Floor</v>
      </c>
      <c r="F95" s="1048"/>
      <c r="G95" s="745" t="s">
        <v>491</v>
      </c>
      <c r="H95" s="745" t="s">
        <v>292</v>
      </c>
      <c r="I95" s="745" t="s">
        <v>267</v>
      </c>
      <c r="J95" s="1005">
        <v>22</v>
      </c>
      <c r="K95" s="1049"/>
      <c r="L95" s="1006" t="s">
        <v>73</v>
      </c>
      <c r="M95" s="745" t="s">
        <v>240</v>
      </c>
      <c r="N95" s="1050">
        <v>95909.091</v>
      </c>
      <c r="O95" s="934">
        <f t="shared" si="298"/>
        <v>2110000.0019999999</v>
      </c>
      <c r="P95" s="934">
        <f t="shared" si="327"/>
        <v>22400</v>
      </c>
      <c r="Q95" s="934">
        <f t="shared" si="293"/>
        <v>50000</v>
      </c>
      <c r="R95" s="934"/>
      <c r="S95" s="934"/>
      <c r="T95" s="934"/>
      <c r="U95" s="934"/>
      <c r="V95" s="934"/>
      <c r="W95" s="749">
        <f t="shared" si="333"/>
        <v>22000</v>
      </c>
      <c r="X95" s="934"/>
      <c r="Y95" s="934">
        <f t="shared" si="338"/>
        <v>60000</v>
      </c>
      <c r="Z95" s="934">
        <f t="shared" si="299"/>
        <v>75000</v>
      </c>
      <c r="AA95" s="934"/>
      <c r="AB95" s="934"/>
      <c r="AC95" s="934"/>
      <c r="AD95" s="934"/>
      <c r="AE95" s="934">
        <f t="shared" si="199"/>
        <v>229400</v>
      </c>
      <c r="AF95" s="1005">
        <f t="shared" si="200"/>
        <v>2339400.0019999999</v>
      </c>
      <c r="AG95" s="1005">
        <f t="shared" si="220"/>
        <v>58485.000050000002</v>
      </c>
      <c r="AH95" s="1005">
        <f t="shared" si="221"/>
        <v>2397885.0020499998</v>
      </c>
      <c r="AI95" s="1005">
        <f t="shared" si="222"/>
        <v>59947.125051249997</v>
      </c>
      <c r="AJ95" s="1005">
        <f t="shared" si="223"/>
        <v>2457832.12710125</v>
      </c>
      <c r="AK95" s="1005">
        <f t="shared" si="224"/>
        <v>122891.60635506251</v>
      </c>
      <c r="AL95" s="1005">
        <f t="shared" si="300"/>
        <v>2580723.7334563127</v>
      </c>
      <c r="AM95" s="934">
        <f t="shared" si="225"/>
        <v>25807.237334563128</v>
      </c>
      <c r="AN95" s="934">
        <f t="shared" si="226"/>
        <v>27537.409960060559</v>
      </c>
      <c r="AO95" s="934"/>
      <c r="AP95" s="934">
        <f t="shared" si="301"/>
        <v>114303.92584578018</v>
      </c>
      <c r="AQ95" s="1005">
        <f t="shared" si="201"/>
        <v>2748372.3065967159</v>
      </c>
      <c r="AR95" s="1005">
        <f t="shared" si="227"/>
        <v>123676.75379685221</v>
      </c>
      <c r="AS95" s="1147">
        <f t="shared" si="228"/>
        <v>2872049.0603935681</v>
      </c>
      <c r="AT95" s="1148">
        <f t="shared" si="302"/>
        <v>2000000</v>
      </c>
      <c r="AU95" s="1148">
        <f t="shared" si="202"/>
        <v>39638.593654253098</v>
      </c>
      <c r="AV95" s="1148">
        <f t="shared" si="303"/>
        <v>872049.06039356813</v>
      </c>
      <c r="AW95" s="1148">
        <f t="shared" si="203"/>
        <v>104645.88724722817</v>
      </c>
      <c r="AX95" s="1148">
        <f t="shared" si="204"/>
        <v>976694.94764079631</v>
      </c>
      <c r="AY95" s="1147">
        <f t="shared" si="229"/>
        <v>2976694.9476407962</v>
      </c>
      <c r="AZ95" s="934">
        <f t="shared" si="230"/>
        <v>37208.686845509954</v>
      </c>
      <c r="BA95" s="716" t="s">
        <v>269</v>
      </c>
      <c r="BB95" s="716">
        <f t="shared" si="205"/>
        <v>3013903.634486306</v>
      </c>
      <c r="BC95" s="716" t="s">
        <v>269</v>
      </c>
      <c r="BD95" s="716">
        <f t="shared" si="231"/>
        <v>113021.38629323647</v>
      </c>
      <c r="BE95" s="716">
        <f t="shared" si="232"/>
        <v>33600</v>
      </c>
      <c r="BF95" s="716">
        <f t="shared" si="233"/>
        <v>3160525.0207795426</v>
      </c>
      <c r="BG95" s="716"/>
      <c r="BH95" s="716">
        <f t="shared" si="234"/>
        <v>3160525.0207795426</v>
      </c>
      <c r="BI95" s="716"/>
      <c r="BJ95" s="716">
        <f t="shared" si="235"/>
        <v>3160525.0207795426</v>
      </c>
      <c r="BK95" s="716"/>
      <c r="BL95" s="716">
        <f t="shared" si="236"/>
        <v>3160525.0207795426</v>
      </c>
      <c r="BM95" s="716"/>
      <c r="BN95" s="716">
        <f t="shared" si="206"/>
        <v>3160525.0207795426</v>
      </c>
      <c r="BO95" s="716"/>
      <c r="BP95" s="716">
        <f t="shared" si="237"/>
        <v>3160525.0207795426</v>
      </c>
      <c r="BQ95" s="716"/>
      <c r="BR95" s="716">
        <f t="shared" si="238"/>
        <v>3160525.0207795426</v>
      </c>
      <c r="BS95" s="716"/>
      <c r="BT95" s="716">
        <f t="shared" si="239"/>
        <v>3160525.0207795426</v>
      </c>
      <c r="BU95" s="716"/>
      <c r="BV95" s="716">
        <f t="shared" si="207"/>
        <v>3160525.0207795426</v>
      </c>
      <c r="BW95" s="716"/>
      <c r="BX95" s="716">
        <f t="shared" si="329"/>
        <v>31400</v>
      </c>
      <c r="BY95" s="716">
        <f t="shared" si="240"/>
        <v>3191925.0207795426</v>
      </c>
      <c r="BZ95" s="716"/>
      <c r="CA95" s="716">
        <f t="shared" si="241"/>
        <v>3191925.0207795426</v>
      </c>
      <c r="CB95" s="1135">
        <f t="shared" si="242"/>
        <v>3191925.0207795426</v>
      </c>
      <c r="CC95" s="1164">
        <f t="shared" si="286"/>
        <v>3191925.0207795426</v>
      </c>
      <c r="CD95" s="1164"/>
      <c r="CE95" s="1164">
        <f t="shared" si="243"/>
        <v>0</v>
      </c>
      <c r="CF95" s="1164">
        <f t="shared" si="291"/>
        <v>0</v>
      </c>
      <c r="CG95" s="1164">
        <f t="shared" si="292"/>
        <v>0</v>
      </c>
      <c r="CH95" s="1154">
        <f t="shared" si="334"/>
        <v>3191925.0207795426</v>
      </c>
      <c r="CI95" s="935">
        <f t="shared" si="335"/>
        <v>3191925.0207795426</v>
      </c>
      <c r="CJ95" s="935">
        <f t="shared" si="244"/>
        <v>0</v>
      </c>
      <c r="CK95" s="935">
        <f t="shared" si="208"/>
        <v>327172.31462990312</v>
      </c>
      <c r="CL95" s="935">
        <f t="shared" si="209"/>
        <v>111717.375727284</v>
      </c>
      <c r="CM95" s="1006">
        <f t="shared" si="306"/>
        <v>3630814.7111367295</v>
      </c>
      <c r="CN95" s="1007">
        <f t="shared" si="307"/>
        <v>0.125</v>
      </c>
      <c r="CO95" s="935">
        <f t="shared" si="210"/>
        <v>453851.83889209118</v>
      </c>
      <c r="CP95" s="935">
        <f t="shared" si="330"/>
        <v>30000</v>
      </c>
      <c r="CQ95" s="935">
        <f t="shared" si="211"/>
        <v>423851.83889209118</v>
      </c>
      <c r="CR95" s="745">
        <f t="shared" si="308"/>
        <v>1</v>
      </c>
      <c r="CS95" s="935">
        <f t="shared" si="212"/>
        <v>423851.83889209118</v>
      </c>
      <c r="CT95" s="1007">
        <f t="shared" si="245"/>
        <v>0.875</v>
      </c>
      <c r="CU95" s="935">
        <f t="shared" si="246"/>
        <v>3176962.8722446384</v>
      </c>
      <c r="CV95" s="1008">
        <f t="shared" si="247"/>
        <v>24630.95933351951</v>
      </c>
      <c r="CW95" s="1008">
        <f t="shared" si="248"/>
        <v>28555.440450220085</v>
      </c>
      <c r="CX95" s="1008">
        <f t="shared" si="249"/>
        <v>36887.232763035681</v>
      </c>
      <c r="CY95" s="1008">
        <f t="shared" si="250"/>
        <v>62907.6725886352</v>
      </c>
      <c r="CZ95" s="1119">
        <f t="shared" si="251"/>
        <v>258074.79213430657</v>
      </c>
      <c r="DA95" s="1119">
        <f t="shared" si="252"/>
        <v>102118.93809305556</v>
      </c>
      <c r="DB95" s="1119">
        <f t="shared" si="253"/>
        <v>73759.062654221299</v>
      </c>
      <c r="DC95" s="1119">
        <f t="shared" si="254"/>
        <v>56134.042371726806</v>
      </c>
      <c r="DD95" s="1028">
        <f t="shared" si="294"/>
        <v>0.43602453019678405</v>
      </c>
      <c r="DE95" s="1028">
        <f t="shared" si="336"/>
        <v>0</v>
      </c>
      <c r="DF95" s="1009" t="s">
        <v>270</v>
      </c>
      <c r="DG95" s="1009" t="s">
        <v>271</v>
      </c>
      <c r="DH95" s="966">
        <f>$DH$7</f>
        <v>45658</v>
      </c>
      <c r="DI95" s="912">
        <f t="shared" si="255"/>
        <v>14</v>
      </c>
      <c r="DK95" s="913">
        <f t="shared" si="213"/>
        <v>45723</v>
      </c>
      <c r="DL95" s="912">
        <f t="shared" si="256"/>
        <v>16</v>
      </c>
      <c r="DM95" s="750" t="s">
        <v>272</v>
      </c>
      <c r="DN95" s="750" t="s">
        <v>273</v>
      </c>
      <c r="DO95" s="751">
        <f t="shared" si="214"/>
        <v>44395.224892763472</v>
      </c>
      <c r="DP95" s="751">
        <f t="shared" si="215"/>
        <v>976694.94764079631</v>
      </c>
      <c r="DQ95" s="752">
        <f t="shared" si="295"/>
        <v>0.48834747382039817</v>
      </c>
      <c r="DS95" s="751">
        <f t="shared" si="296"/>
        <v>3191925.0207795426</v>
      </c>
      <c r="DT95" s="751">
        <f>'[4]INTERNAL PRICELIST'!N89</f>
        <v>2111900</v>
      </c>
      <c r="DU95" s="751">
        <f t="shared" si="216"/>
        <v>1080025.0207795426</v>
      </c>
      <c r="DW95" s="951">
        <f t="shared" si="297"/>
        <v>145087.50094452465</v>
      </c>
      <c r="DZ95" s="1010" t="s">
        <v>491</v>
      </c>
      <c r="EA95" s="1011" t="b">
        <f t="shared" si="217"/>
        <v>1</v>
      </c>
      <c r="EB95" s="1011"/>
      <c r="EC95" s="1011"/>
      <c r="ER95" s="1017" t="s">
        <v>264</v>
      </c>
      <c r="ES95" s="1391" t="s">
        <v>264</v>
      </c>
      <c r="ET95" s="1018" t="b">
        <f t="shared" si="257"/>
        <v>1</v>
      </c>
      <c r="EX95" s="1019">
        <v>2988337.9306086316</v>
      </c>
      <c r="EY95" s="1019">
        <f t="shared" si="310"/>
        <v>448250.68959129474</v>
      </c>
      <c r="EZ95" s="1019">
        <f t="shared" si="311"/>
        <v>2540087.241017337</v>
      </c>
      <c r="FA95" s="1019">
        <f t="shared" si="312"/>
        <v>298833.79306086316</v>
      </c>
      <c r="FB95" s="1019">
        <f t="shared" si="313"/>
        <v>2689504.1375477687</v>
      </c>
      <c r="FC95" s="1019">
        <f t="shared" si="314"/>
        <v>149416.8965304317</v>
      </c>
      <c r="FD95" s="1020"/>
      <c r="FE95" s="1021"/>
      <c r="FF95" s="1022">
        <f t="shared" si="315"/>
        <v>2540087.241017337</v>
      </c>
      <c r="FG95" s="1022">
        <f t="shared" si="316"/>
        <v>215907.41548647365</v>
      </c>
      <c r="FH95" s="1022">
        <f t="shared" si="317"/>
        <v>107953.70774323682</v>
      </c>
      <c r="FI95" s="1023">
        <f t="shared" si="318"/>
        <v>2689504.1375477687</v>
      </c>
      <c r="FJ95" s="1023">
        <f t="shared" si="319"/>
        <v>228607.85169156035</v>
      </c>
      <c r="FK95" s="1023">
        <f t="shared" si="320"/>
        <v>114303.92584578018</v>
      </c>
      <c r="FL95" s="1019">
        <f t="shared" si="321"/>
        <v>12700.436205086706</v>
      </c>
      <c r="FM95" s="1019">
        <f t="shared" si="322"/>
        <v>6350.2181025433529</v>
      </c>
      <c r="FN95" s="1019" t="str">
        <f t="shared" si="323"/>
        <v>VS</v>
      </c>
      <c r="FO95" s="1019">
        <f t="shared" si="324"/>
        <v>27537.409960060559</v>
      </c>
      <c r="FP95" s="1019">
        <f t="shared" si="325"/>
        <v>-21187.191857517206</v>
      </c>
      <c r="FQ95" s="1021"/>
      <c r="FR95" s="1021"/>
      <c r="FS95" s="1020"/>
      <c r="FT95" s="1055">
        <f>FB95</f>
        <v>2689504.1375477687</v>
      </c>
      <c r="FU95" s="1056"/>
      <c r="FV95" s="1056"/>
      <c r="FX95" s="1040"/>
      <c r="GB95" s="1059"/>
      <c r="GF95" s="1059"/>
      <c r="GG95" s="956"/>
      <c r="GH95" s="1058"/>
      <c r="GI95" s="1024">
        <f t="shared" si="258"/>
        <v>3630814.7111367295</v>
      </c>
      <c r="GJ95" s="1025">
        <f t="shared" si="259"/>
        <v>0.125</v>
      </c>
      <c r="GK95" s="1024">
        <f t="shared" si="260"/>
        <v>453851.83889209118</v>
      </c>
      <c r="GL95" s="1024">
        <f t="shared" si="261"/>
        <v>30000</v>
      </c>
      <c r="GM95" s="1024">
        <f t="shared" si="262"/>
        <v>423851.83889209118</v>
      </c>
      <c r="GN95" s="1024">
        <f t="shared" si="263"/>
        <v>1</v>
      </c>
      <c r="GO95" s="1024">
        <f t="shared" si="264"/>
        <v>423851.83889209118</v>
      </c>
      <c r="GP95" s="1025">
        <f t="shared" si="265"/>
        <v>0.875</v>
      </c>
      <c r="GQ95" s="1024">
        <f t="shared" si="266"/>
        <v>3176962.8722446384</v>
      </c>
      <c r="GR95" s="1024">
        <f t="shared" si="267"/>
        <v>24630.95933351951</v>
      </c>
      <c r="GS95" s="1024">
        <f t="shared" si="268"/>
        <v>28555.440450220085</v>
      </c>
      <c r="GT95" s="1024">
        <f t="shared" si="269"/>
        <v>36887.232763035681</v>
      </c>
      <c r="GU95" s="1024">
        <f t="shared" si="270"/>
        <v>62907.6725886352</v>
      </c>
      <c r="GW95" s="1024">
        <f t="shared" si="271"/>
        <v>3630814.7111367295</v>
      </c>
      <c r="GX95" s="1025">
        <f t="shared" si="272"/>
        <v>0.125</v>
      </c>
      <c r="GY95" s="1024">
        <f t="shared" si="273"/>
        <v>453851.83889209118</v>
      </c>
      <c r="GZ95" s="1024">
        <f t="shared" si="274"/>
        <v>30000</v>
      </c>
      <c r="HA95" s="1024">
        <f t="shared" si="275"/>
        <v>423851.83889209118</v>
      </c>
      <c r="HB95" s="1026">
        <f t="shared" si="276"/>
        <v>25</v>
      </c>
      <c r="HC95" s="1009">
        <f t="shared" si="277"/>
        <v>16954.073555683648</v>
      </c>
      <c r="HD95" s="1027">
        <f t="shared" si="278"/>
        <v>0.875</v>
      </c>
      <c r="HE95" s="1009">
        <f t="shared" si="279"/>
        <v>3176962.8722446384</v>
      </c>
      <c r="HF95" s="1008">
        <f t="shared" si="280"/>
        <v>24630.95933351951</v>
      </c>
      <c r="HG95" s="1008">
        <f t="shared" si="281"/>
        <v>28555.440450220085</v>
      </c>
      <c r="HH95" s="1008">
        <f t="shared" si="282"/>
        <v>36887.232763035681</v>
      </c>
      <c r="HI95" s="1008">
        <f t="shared" si="283"/>
        <v>62907.6725886352</v>
      </c>
      <c r="HK95" s="1009">
        <f t="shared" si="284"/>
        <v>-406897.76533640752</v>
      </c>
      <c r="HR95" s="956">
        <f t="shared" si="285"/>
        <v>0</v>
      </c>
      <c r="HU95" s="956"/>
      <c r="HW95" s="956"/>
      <c r="HX95" s="956"/>
    </row>
    <row r="96" spans="1:238" ht="14.25" hidden="1" customHeight="1">
      <c r="A96" s="1018">
        <f t="shared" si="326"/>
        <v>90</v>
      </c>
      <c r="B96" s="716"/>
      <c r="C96" s="741">
        <f t="shared" si="337"/>
        <v>6</v>
      </c>
      <c r="D96" s="716" t="s">
        <v>276</v>
      </c>
      <c r="E96" s="743" t="str">
        <f t="shared" si="332"/>
        <v>7th Floor</v>
      </c>
      <c r="F96" s="1048"/>
      <c r="G96" s="745" t="s">
        <v>492</v>
      </c>
      <c r="H96" s="745" t="s">
        <v>296</v>
      </c>
      <c r="I96" s="745" t="s">
        <v>267</v>
      </c>
      <c r="J96" s="1005">
        <v>22</v>
      </c>
      <c r="K96" s="1049"/>
      <c r="L96" s="1006" t="s">
        <v>73</v>
      </c>
      <c r="M96" s="745" t="s">
        <v>79</v>
      </c>
      <c r="N96" s="1050">
        <v>95909.091</v>
      </c>
      <c r="O96" s="934">
        <f t="shared" si="298"/>
        <v>2110000.0019999999</v>
      </c>
      <c r="P96" s="934">
        <f t="shared" si="327"/>
        <v>22400</v>
      </c>
      <c r="Q96" s="934">
        <f t="shared" si="293"/>
        <v>50000</v>
      </c>
      <c r="R96" s="934"/>
      <c r="S96" s="934"/>
      <c r="T96" s="934"/>
      <c r="U96" s="934"/>
      <c r="V96" s="934"/>
      <c r="W96" s="934"/>
      <c r="X96" s="934"/>
      <c r="Y96" s="934">
        <f t="shared" si="338"/>
        <v>60000</v>
      </c>
      <c r="Z96" s="934">
        <f t="shared" si="299"/>
        <v>75000</v>
      </c>
      <c r="AA96" s="934"/>
      <c r="AB96" s="934"/>
      <c r="AC96" s="934"/>
      <c r="AD96" s="934"/>
      <c r="AE96" s="934">
        <f t="shared" si="199"/>
        <v>207400</v>
      </c>
      <c r="AF96" s="1005">
        <f t="shared" si="200"/>
        <v>2317400.0019999999</v>
      </c>
      <c r="AG96" s="1005">
        <f t="shared" si="220"/>
        <v>57935.000050000002</v>
      </c>
      <c r="AH96" s="1005">
        <f t="shared" si="221"/>
        <v>2375335.0020499998</v>
      </c>
      <c r="AI96" s="1005">
        <f t="shared" si="222"/>
        <v>59383.375051249997</v>
      </c>
      <c r="AJ96" s="1005">
        <f t="shared" si="223"/>
        <v>2434718.37710125</v>
      </c>
      <c r="AK96" s="1005">
        <f t="shared" si="224"/>
        <v>121735.91885506251</v>
      </c>
      <c r="AL96" s="1005">
        <f t="shared" si="300"/>
        <v>2556454.2959563127</v>
      </c>
      <c r="AM96" s="934">
        <f t="shared" si="225"/>
        <v>25564.542959563129</v>
      </c>
      <c r="AN96" s="934">
        <f t="shared" si="226"/>
        <v>27537.409960060559</v>
      </c>
      <c r="AO96" s="934"/>
      <c r="AP96" s="934">
        <f t="shared" si="301"/>
        <v>113131.66104871142</v>
      </c>
      <c r="AQ96" s="1005">
        <f t="shared" si="201"/>
        <v>2722687.9099246473</v>
      </c>
      <c r="AR96" s="1005">
        <f t="shared" si="227"/>
        <v>122520.95594660913</v>
      </c>
      <c r="AS96" s="1147">
        <f t="shared" si="228"/>
        <v>2845208.8658712562</v>
      </c>
      <c r="AT96" s="1148">
        <f t="shared" si="302"/>
        <v>2000000</v>
      </c>
      <c r="AU96" s="1148">
        <f t="shared" si="202"/>
        <v>38418.584812329827</v>
      </c>
      <c r="AV96" s="1148">
        <f t="shared" si="303"/>
        <v>845208.86587125622</v>
      </c>
      <c r="AW96" s="1148">
        <f t="shared" si="203"/>
        <v>101425.06390455074</v>
      </c>
      <c r="AX96" s="1148">
        <f t="shared" si="204"/>
        <v>946633.92977580696</v>
      </c>
      <c r="AY96" s="1147">
        <f t="shared" si="229"/>
        <v>2946633.9297758071</v>
      </c>
      <c r="AZ96" s="934">
        <f t="shared" si="230"/>
        <v>36832.92412219759</v>
      </c>
      <c r="BA96" s="716" t="s">
        <v>269</v>
      </c>
      <c r="BB96" s="716">
        <f t="shared" si="205"/>
        <v>2983466.8538980046</v>
      </c>
      <c r="BC96" s="716" t="s">
        <v>269</v>
      </c>
      <c r="BD96" s="716">
        <f t="shared" si="231"/>
        <v>111880.00702117517</v>
      </c>
      <c r="BE96" s="716">
        <f t="shared" si="232"/>
        <v>33600</v>
      </c>
      <c r="BF96" s="716">
        <f t="shared" si="233"/>
        <v>3128946.8609191799</v>
      </c>
      <c r="BG96" s="716"/>
      <c r="BH96" s="716">
        <f t="shared" si="234"/>
        <v>3128946.8609191799</v>
      </c>
      <c r="BI96" s="716"/>
      <c r="BJ96" s="716">
        <f t="shared" si="235"/>
        <v>3128946.8609191799</v>
      </c>
      <c r="BK96" s="716"/>
      <c r="BL96" s="716">
        <f t="shared" si="236"/>
        <v>3128946.8609191799</v>
      </c>
      <c r="BM96" s="716"/>
      <c r="BN96" s="716">
        <f t="shared" si="206"/>
        <v>3128946.8609191799</v>
      </c>
      <c r="BO96" s="716"/>
      <c r="BP96" s="716">
        <f t="shared" si="237"/>
        <v>3128946.8609191799</v>
      </c>
      <c r="BQ96" s="716"/>
      <c r="BR96" s="716">
        <f t="shared" si="238"/>
        <v>3128946.8609191799</v>
      </c>
      <c r="BS96" s="716"/>
      <c r="BT96" s="716">
        <f t="shared" si="239"/>
        <v>3128946.8609191799</v>
      </c>
      <c r="BU96" s="716"/>
      <c r="BV96" s="716">
        <f t="shared" si="207"/>
        <v>3128946.8609191799</v>
      </c>
      <c r="BW96" s="716"/>
      <c r="BX96" s="716">
        <f t="shared" si="329"/>
        <v>31400</v>
      </c>
      <c r="BY96" s="716">
        <f t="shared" si="240"/>
        <v>3160346.8609191799</v>
      </c>
      <c r="BZ96" s="716"/>
      <c r="CA96" s="716">
        <f t="shared" si="241"/>
        <v>3160346.8609191799</v>
      </c>
      <c r="CB96" s="1135">
        <f t="shared" si="242"/>
        <v>3160346.8609191799</v>
      </c>
      <c r="CC96" s="1164">
        <f t="shared" si="286"/>
        <v>3160346.8609191799</v>
      </c>
      <c r="CD96" s="1164"/>
      <c r="CE96" s="1164">
        <f t="shared" si="243"/>
        <v>0</v>
      </c>
      <c r="CF96" s="1164">
        <f t="shared" si="291"/>
        <v>0</v>
      </c>
      <c r="CG96" s="1164">
        <f t="shared" si="292"/>
        <v>0</v>
      </c>
      <c r="CH96" s="1154">
        <f t="shared" si="334"/>
        <v>3160346.8609191799</v>
      </c>
      <c r="CI96" s="935">
        <f t="shared" si="335"/>
        <v>3160346.8609191799</v>
      </c>
      <c r="CJ96" s="935">
        <f t="shared" si="244"/>
        <v>0</v>
      </c>
      <c r="CK96" s="935">
        <f t="shared" si="208"/>
        <v>323935.5532442159</v>
      </c>
      <c r="CL96" s="935">
        <f t="shared" si="209"/>
        <v>110612.14013217131</v>
      </c>
      <c r="CM96" s="1006">
        <f t="shared" si="306"/>
        <v>3594894.5542955669</v>
      </c>
      <c r="CN96" s="1007">
        <f t="shared" si="307"/>
        <v>0.125</v>
      </c>
      <c r="CO96" s="935">
        <f t="shared" si="210"/>
        <v>449361.81928694586</v>
      </c>
      <c r="CP96" s="935">
        <f t="shared" si="330"/>
        <v>30000</v>
      </c>
      <c r="CQ96" s="935">
        <f t="shared" si="211"/>
        <v>419361.81928694586</v>
      </c>
      <c r="CR96" s="745">
        <f t="shared" si="308"/>
        <v>1</v>
      </c>
      <c r="CS96" s="935">
        <f t="shared" si="212"/>
        <v>419361.81928694586</v>
      </c>
      <c r="CT96" s="1007">
        <f t="shared" si="245"/>
        <v>0.875</v>
      </c>
      <c r="CU96" s="935">
        <f t="shared" si="246"/>
        <v>3145532.7350086211</v>
      </c>
      <c r="CV96" s="1008">
        <f t="shared" si="247"/>
        <v>24387.281814065114</v>
      </c>
      <c r="CW96" s="1008">
        <f t="shared" si="248"/>
        <v>28272.937491175042</v>
      </c>
      <c r="CX96" s="1008">
        <f t="shared" si="249"/>
        <v>36522.302219425015</v>
      </c>
      <c r="CY96" s="1008">
        <f t="shared" si="250"/>
        <v>62285.318201074391</v>
      </c>
      <c r="CZ96" s="1119">
        <f t="shared" si="251"/>
        <v>255521.62218548471</v>
      </c>
      <c r="DA96" s="1119">
        <f t="shared" si="252"/>
        <v>101108.66118151163</v>
      </c>
      <c r="DB96" s="1119">
        <f t="shared" si="253"/>
        <v>73029.353949761615</v>
      </c>
      <c r="DC96" s="1119">
        <f t="shared" si="254"/>
        <v>55578.700453579295</v>
      </c>
      <c r="DD96" s="1028">
        <f t="shared" si="294"/>
        <v>0.4226044329356281</v>
      </c>
      <c r="DE96" s="1028">
        <f t="shared" si="336"/>
        <v>0</v>
      </c>
      <c r="DF96" s="1009" t="s">
        <v>270</v>
      </c>
      <c r="DG96" s="1009" t="s">
        <v>271</v>
      </c>
      <c r="DH96" s="966">
        <f t="shared" si="287"/>
        <v>45658</v>
      </c>
      <c r="DI96" s="912">
        <f t="shared" si="255"/>
        <v>14</v>
      </c>
      <c r="DK96" s="913">
        <f t="shared" si="213"/>
        <v>45723</v>
      </c>
      <c r="DL96" s="912">
        <f t="shared" si="256"/>
        <v>16</v>
      </c>
      <c r="DM96" s="750" t="s">
        <v>272</v>
      </c>
      <c r="DN96" s="750" t="s">
        <v>273</v>
      </c>
      <c r="DO96" s="751">
        <f t="shared" si="214"/>
        <v>43028.814989809405</v>
      </c>
      <c r="DP96" s="751">
        <f t="shared" si="215"/>
        <v>946633.92977580696</v>
      </c>
      <c r="DQ96" s="752">
        <f t="shared" si="295"/>
        <v>0.47331696488790348</v>
      </c>
      <c r="DS96" s="751">
        <f t="shared" si="296"/>
        <v>3160346.8609191799</v>
      </c>
      <c r="DT96" s="751">
        <f>'[4]INTERNAL PRICELIST'!N90</f>
        <v>2111900</v>
      </c>
      <c r="DU96" s="751">
        <f t="shared" si="216"/>
        <v>1048446.8609191799</v>
      </c>
      <c r="DW96" s="951">
        <f t="shared" si="297"/>
        <v>143652.13004178091</v>
      </c>
      <c r="DZ96" s="1010" t="s">
        <v>492</v>
      </c>
      <c r="EA96" s="1011" t="b">
        <f t="shared" si="217"/>
        <v>1</v>
      </c>
      <c r="EB96" s="1011"/>
      <c r="EC96" s="1011"/>
      <c r="ER96" s="1017" t="s">
        <v>264</v>
      </c>
      <c r="ES96" s="1391" t="s">
        <v>264</v>
      </c>
      <c r="ET96" s="1018" t="b">
        <f t="shared" si="257"/>
        <v>1</v>
      </c>
      <c r="EX96" s="1019">
        <v>2957690.4849336315</v>
      </c>
      <c r="EY96" s="1019">
        <f t="shared" si="310"/>
        <v>443653.57274004474</v>
      </c>
      <c r="EZ96" s="1019">
        <f t="shared" si="311"/>
        <v>2514036.9121935866</v>
      </c>
      <c r="FA96" s="1019">
        <f t="shared" si="312"/>
        <v>295769.04849336314</v>
      </c>
      <c r="FB96" s="1019">
        <f t="shared" si="313"/>
        <v>2661921.4364402685</v>
      </c>
      <c r="FC96" s="1019">
        <f t="shared" si="314"/>
        <v>147884.52424668195</v>
      </c>
      <c r="FD96" s="1020"/>
      <c r="FE96" s="1021"/>
      <c r="FF96" s="1022">
        <f t="shared" si="315"/>
        <v>2514036.9121935866</v>
      </c>
      <c r="FG96" s="1022">
        <f t="shared" si="316"/>
        <v>213693.13753645489</v>
      </c>
      <c r="FH96" s="1022">
        <f t="shared" si="317"/>
        <v>106846.56876822744</v>
      </c>
      <c r="FI96" s="1023">
        <f t="shared" si="318"/>
        <v>2661921.4364402685</v>
      </c>
      <c r="FJ96" s="1023">
        <f t="shared" si="319"/>
        <v>226263.32209742285</v>
      </c>
      <c r="FK96" s="1023">
        <f t="shared" si="320"/>
        <v>113131.66104871142</v>
      </c>
      <c r="FL96" s="1019">
        <f t="shared" si="321"/>
        <v>12570.184560967959</v>
      </c>
      <c r="FM96" s="1019">
        <f t="shared" si="322"/>
        <v>6285.0922804839793</v>
      </c>
      <c r="FN96" s="1019" t="str">
        <f t="shared" si="323"/>
        <v>VS</v>
      </c>
      <c r="FO96" s="1019">
        <f t="shared" si="324"/>
        <v>27537.409960060559</v>
      </c>
      <c r="FP96" s="1019">
        <f t="shared" si="325"/>
        <v>-21252.317679576579</v>
      </c>
      <c r="FQ96" s="1021"/>
      <c r="FR96" s="1021"/>
      <c r="FS96" s="1020"/>
      <c r="FT96" s="503"/>
      <c r="FU96" s="956"/>
      <c r="FV96" s="503"/>
      <c r="FX96" s="1040"/>
      <c r="GB96" s="1059"/>
      <c r="GF96" s="1059"/>
      <c r="GG96" s="956"/>
      <c r="GI96" s="1024">
        <f t="shared" si="258"/>
        <v>3594894.5542955669</v>
      </c>
      <c r="GJ96" s="1025">
        <f t="shared" si="259"/>
        <v>0.125</v>
      </c>
      <c r="GK96" s="1024">
        <f t="shared" si="260"/>
        <v>449361.81928694586</v>
      </c>
      <c r="GL96" s="1024">
        <f t="shared" si="261"/>
        <v>30000</v>
      </c>
      <c r="GM96" s="1024">
        <f t="shared" si="262"/>
        <v>419361.81928694586</v>
      </c>
      <c r="GN96" s="1024">
        <f t="shared" si="263"/>
        <v>1</v>
      </c>
      <c r="GO96" s="1024">
        <f t="shared" si="264"/>
        <v>419361.81928694586</v>
      </c>
      <c r="GP96" s="1025">
        <f t="shared" si="265"/>
        <v>0.875</v>
      </c>
      <c r="GQ96" s="1024">
        <f t="shared" si="266"/>
        <v>3145532.7350086211</v>
      </c>
      <c r="GR96" s="1024">
        <f t="shared" si="267"/>
        <v>24387.281814065114</v>
      </c>
      <c r="GS96" s="1024">
        <f t="shared" si="268"/>
        <v>28272.937491175042</v>
      </c>
      <c r="GT96" s="1024">
        <f t="shared" si="269"/>
        <v>36522.302219425015</v>
      </c>
      <c r="GU96" s="1024">
        <f t="shared" si="270"/>
        <v>62285.318201074391</v>
      </c>
      <c r="GW96" s="1024">
        <f t="shared" si="271"/>
        <v>3594894.5542955669</v>
      </c>
      <c r="GX96" s="1025">
        <f t="shared" si="272"/>
        <v>0.125</v>
      </c>
      <c r="GY96" s="1024">
        <f t="shared" si="273"/>
        <v>449361.81928694586</v>
      </c>
      <c r="GZ96" s="1024">
        <f t="shared" si="274"/>
        <v>30000</v>
      </c>
      <c r="HA96" s="1024">
        <f t="shared" si="275"/>
        <v>419361.81928694586</v>
      </c>
      <c r="HB96" s="1026">
        <f t="shared" si="276"/>
        <v>25</v>
      </c>
      <c r="HC96" s="1009">
        <f t="shared" si="277"/>
        <v>16774.472771477835</v>
      </c>
      <c r="HD96" s="1027">
        <f t="shared" si="278"/>
        <v>0.875</v>
      </c>
      <c r="HE96" s="1009">
        <f t="shared" si="279"/>
        <v>3145532.7350086211</v>
      </c>
      <c r="HF96" s="1008">
        <f t="shared" si="280"/>
        <v>24387.281814065114</v>
      </c>
      <c r="HG96" s="1008">
        <f t="shared" si="281"/>
        <v>28272.937491175042</v>
      </c>
      <c r="HH96" s="1008">
        <f t="shared" si="282"/>
        <v>36522.302219425015</v>
      </c>
      <c r="HI96" s="1008">
        <f t="shared" si="283"/>
        <v>62285.318201074391</v>
      </c>
      <c r="HK96" s="1009">
        <f t="shared" si="284"/>
        <v>-402587.34651546803</v>
      </c>
      <c r="HR96" s="956">
        <f t="shared" si="285"/>
        <v>0</v>
      </c>
      <c r="HU96" s="956"/>
      <c r="HW96" s="956"/>
      <c r="HX96" s="956"/>
    </row>
    <row r="97" spans="1:238" ht="14.25" customHeight="1">
      <c r="A97" s="1018">
        <f t="shared" si="326"/>
        <v>91</v>
      </c>
      <c r="B97" s="716"/>
      <c r="C97" s="741">
        <f t="shared" si="337"/>
        <v>7</v>
      </c>
      <c r="D97" s="716" t="s">
        <v>276</v>
      </c>
      <c r="E97" s="743" t="str">
        <f t="shared" si="332"/>
        <v>7th Floor</v>
      </c>
      <c r="F97" s="1048"/>
      <c r="G97" s="745" t="s">
        <v>493</v>
      </c>
      <c r="H97" s="745" t="s">
        <v>310</v>
      </c>
      <c r="I97" s="745" t="s">
        <v>267</v>
      </c>
      <c r="J97" s="1005">
        <v>22</v>
      </c>
      <c r="K97" s="1049"/>
      <c r="L97" s="1006" t="s">
        <v>73</v>
      </c>
      <c r="M97" s="745" t="s">
        <v>240</v>
      </c>
      <c r="N97" s="1050">
        <v>95909.091</v>
      </c>
      <c r="O97" s="934">
        <f t="shared" si="298"/>
        <v>2110000.0019999999</v>
      </c>
      <c r="P97" s="934">
        <f t="shared" si="327"/>
        <v>22400</v>
      </c>
      <c r="Q97" s="934">
        <f t="shared" si="293"/>
        <v>50000</v>
      </c>
      <c r="R97" s="934"/>
      <c r="S97" s="934"/>
      <c r="T97" s="934"/>
      <c r="U97" s="934"/>
      <c r="V97" s="934"/>
      <c r="W97" s="749">
        <f>J97*$W$5</f>
        <v>22000</v>
      </c>
      <c r="X97" s="934"/>
      <c r="Y97" s="934">
        <f t="shared" si="338"/>
        <v>60000</v>
      </c>
      <c r="Z97" s="934">
        <f t="shared" si="299"/>
        <v>75000</v>
      </c>
      <c r="AA97" s="934"/>
      <c r="AB97" s="934"/>
      <c r="AC97" s="934"/>
      <c r="AD97" s="934"/>
      <c r="AE97" s="934">
        <f t="shared" si="199"/>
        <v>229400</v>
      </c>
      <c r="AF97" s="1005">
        <f t="shared" si="200"/>
        <v>2339400.0019999999</v>
      </c>
      <c r="AG97" s="1005">
        <f t="shared" si="220"/>
        <v>58485.000050000002</v>
      </c>
      <c r="AH97" s="1005">
        <f t="shared" si="221"/>
        <v>2397885.0020499998</v>
      </c>
      <c r="AI97" s="1005">
        <f t="shared" si="222"/>
        <v>59947.125051249997</v>
      </c>
      <c r="AJ97" s="1005">
        <f t="shared" si="223"/>
        <v>2457832.12710125</v>
      </c>
      <c r="AK97" s="1005">
        <f t="shared" si="224"/>
        <v>122891.60635506251</v>
      </c>
      <c r="AL97" s="1005">
        <f t="shared" si="300"/>
        <v>2580723.7334563127</v>
      </c>
      <c r="AM97" s="934">
        <f t="shared" si="225"/>
        <v>25807.237334563128</v>
      </c>
      <c r="AN97" s="934">
        <f t="shared" si="226"/>
        <v>27537.409960060559</v>
      </c>
      <c r="AO97" s="934"/>
      <c r="AP97" s="934">
        <f t="shared" si="301"/>
        <v>114303.92584578018</v>
      </c>
      <c r="AQ97" s="1005">
        <f t="shared" si="201"/>
        <v>2748372.3065967159</v>
      </c>
      <c r="AR97" s="1005">
        <f t="shared" si="227"/>
        <v>123676.75379685221</v>
      </c>
      <c r="AS97" s="1147">
        <f t="shared" si="228"/>
        <v>2872049.0603935681</v>
      </c>
      <c r="AT97" s="1148">
        <f t="shared" si="302"/>
        <v>2000000</v>
      </c>
      <c r="AU97" s="1148">
        <f t="shared" si="202"/>
        <v>39638.593654253098</v>
      </c>
      <c r="AV97" s="1148">
        <f t="shared" si="303"/>
        <v>872049.06039356813</v>
      </c>
      <c r="AW97" s="1148">
        <f t="shared" si="203"/>
        <v>104645.88724722817</v>
      </c>
      <c r="AX97" s="1148">
        <f t="shared" si="204"/>
        <v>976694.94764079631</v>
      </c>
      <c r="AY97" s="1147">
        <f t="shared" si="229"/>
        <v>2976694.9476407962</v>
      </c>
      <c r="AZ97" s="934">
        <f t="shared" si="230"/>
        <v>37208.686845509954</v>
      </c>
      <c r="BA97" s="716" t="s">
        <v>269</v>
      </c>
      <c r="BB97" s="716">
        <f t="shared" si="205"/>
        <v>3013903.634486306</v>
      </c>
      <c r="BC97" s="716" t="s">
        <v>269</v>
      </c>
      <c r="BD97" s="716">
        <f t="shared" si="231"/>
        <v>113021.38629323647</v>
      </c>
      <c r="BE97" s="716">
        <f t="shared" si="232"/>
        <v>33600</v>
      </c>
      <c r="BF97" s="716">
        <f t="shared" si="233"/>
        <v>3160525.0207795426</v>
      </c>
      <c r="BG97" s="716"/>
      <c r="BH97" s="716">
        <f t="shared" si="234"/>
        <v>3160525.0207795426</v>
      </c>
      <c r="BI97" s="716"/>
      <c r="BJ97" s="716">
        <f t="shared" si="235"/>
        <v>3160525.0207795426</v>
      </c>
      <c r="BK97" s="716">
        <v>5092.7923200000005</v>
      </c>
      <c r="BL97" s="716">
        <f t="shared" si="236"/>
        <v>3165617.8130995426</v>
      </c>
      <c r="BM97" s="716"/>
      <c r="BN97" s="716">
        <f t="shared" si="206"/>
        <v>3165617.8130995426</v>
      </c>
      <c r="BO97" s="716"/>
      <c r="BP97" s="716">
        <f t="shared" si="237"/>
        <v>3165617.8130995426</v>
      </c>
      <c r="BQ97" s="716"/>
      <c r="BR97" s="716">
        <f t="shared" si="238"/>
        <v>3165617.8130995426</v>
      </c>
      <c r="BS97" s="716"/>
      <c r="BT97" s="716">
        <f t="shared" si="239"/>
        <v>3165617.8130995426</v>
      </c>
      <c r="BU97" s="716">
        <f>$BU$5/24</f>
        <v>546.00000000000011</v>
      </c>
      <c r="BV97" s="716">
        <f t="shared" si="207"/>
        <v>3166163.8130995426</v>
      </c>
      <c r="BW97" s="716"/>
      <c r="BX97" s="716">
        <f t="shared" si="329"/>
        <v>31400</v>
      </c>
      <c r="BY97" s="716">
        <f t="shared" si="240"/>
        <v>3197563.8130995426</v>
      </c>
      <c r="BZ97" s="716">
        <f>$BZ$5/20</f>
        <v>33654.337039807535</v>
      </c>
      <c r="CA97" s="716">
        <f t="shared" si="241"/>
        <v>3231218.15013935</v>
      </c>
      <c r="CB97" s="1135">
        <f>CA97</f>
        <v>3231218.15013935</v>
      </c>
      <c r="CC97" s="1164">
        <f t="shared" si="286"/>
        <v>3231218.15013935</v>
      </c>
      <c r="CD97" s="1164"/>
      <c r="CE97" s="1164">
        <f t="shared" si="243"/>
        <v>0</v>
      </c>
      <c r="CF97" s="1164">
        <f t="shared" si="291"/>
        <v>0</v>
      </c>
      <c r="CG97" s="1164">
        <f t="shared" si="292"/>
        <v>0</v>
      </c>
      <c r="CH97" s="1154">
        <f t="shared" si="334"/>
        <v>3231218.15013935</v>
      </c>
      <c r="CI97" s="935">
        <f t="shared" si="335"/>
        <v>3231218.15013935</v>
      </c>
      <c r="CJ97" s="935">
        <f t="shared" si="244"/>
        <v>0</v>
      </c>
      <c r="CK97" s="935">
        <f t="shared" si="208"/>
        <v>331199.86038928333</v>
      </c>
      <c r="CL97" s="935">
        <f t="shared" si="209"/>
        <v>113092.63525487726</v>
      </c>
      <c r="CM97" s="1006">
        <f t="shared" si="306"/>
        <v>3675510.6457835105</v>
      </c>
      <c r="CN97" s="1007">
        <f t="shared" si="307"/>
        <v>0.125</v>
      </c>
      <c r="CO97" s="935">
        <f t="shared" si="210"/>
        <v>459438.83072293882</v>
      </c>
      <c r="CP97" s="935">
        <f t="shared" si="330"/>
        <v>30000</v>
      </c>
      <c r="CQ97" s="935">
        <f t="shared" si="211"/>
        <v>429438.83072293882</v>
      </c>
      <c r="CR97" s="745">
        <v>1</v>
      </c>
      <c r="CS97" s="935">
        <f t="shared" si="212"/>
        <v>429438.83072293882</v>
      </c>
      <c r="CT97" s="1007">
        <f t="shared" si="245"/>
        <v>0.875</v>
      </c>
      <c r="CU97" s="935">
        <f t="shared" si="246"/>
        <v>3216071.8150605718</v>
      </c>
      <c r="CV97" s="1008">
        <f t="shared" si="247"/>
        <v>24934.170550903233</v>
      </c>
      <c r="CW97" s="1008">
        <f t="shared" si="248"/>
        <v>28906.962684681203</v>
      </c>
      <c r="CX97" s="1008">
        <f t="shared" si="249"/>
        <v>37341.320750456296</v>
      </c>
      <c r="CY97" s="1008">
        <f t="shared" si="250"/>
        <v>63682.076530036669</v>
      </c>
      <c r="CZ97" s="1119">
        <f t="shared" si="251"/>
        <v>261251.73586757833</v>
      </c>
      <c r="DA97" s="1119">
        <f t="shared" si="252"/>
        <v>103376.03925252975</v>
      </c>
      <c r="DB97" s="1119">
        <f t="shared" si="253"/>
        <v>74667.049017141151</v>
      </c>
      <c r="DC97" s="1119">
        <f t="shared" si="254"/>
        <v>56825.061795442001</v>
      </c>
      <c r="DD97" s="1028">
        <f t="shared" si="294"/>
        <v>0.43602453019678405</v>
      </c>
      <c r="DE97" s="1028">
        <f t="shared" si="336"/>
        <v>0</v>
      </c>
      <c r="DF97" s="1009" t="s">
        <v>270</v>
      </c>
      <c r="DG97" s="1009" t="s">
        <v>271</v>
      </c>
      <c r="DH97" s="966">
        <f t="shared" si="287"/>
        <v>45658</v>
      </c>
      <c r="DI97" s="912">
        <f t="shared" si="255"/>
        <v>14</v>
      </c>
      <c r="DK97" s="913">
        <f t="shared" si="213"/>
        <v>45723</v>
      </c>
      <c r="DL97" s="912">
        <f t="shared" si="256"/>
        <v>16</v>
      </c>
      <c r="DM97" s="750" t="s">
        <v>272</v>
      </c>
      <c r="DN97" s="750" t="s">
        <v>273</v>
      </c>
      <c r="DO97" s="751">
        <f t="shared" si="214"/>
        <v>44395.224892763472</v>
      </c>
      <c r="DP97" s="751">
        <f t="shared" si="215"/>
        <v>976694.94764079631</v>
      </c>
      <c r="DQ97" s="752">
        <f t="shared" si="295"/>
        <v>0.48834747382039817</v>
      </c>
      <c r="DS97" s="751">
        <f t="shared" si="296"/>
        <v>3231218.15013935</v>
      </c>
      <c r="DT97" s="751">
        <f>'[4]INTERNAL PRICELIST'!N91</f>
        <v>2111900</v>
      </c>
      <c r="DU97" s="751">
        <f t="shared" si="216"/>
        <v>1119318.15013935</v>
      </c>
      <c r="DW97" s="951">
        <f t="shared" si="297"/>
        <v>146873.55227906138</v>
      </c>
      <c r="DZ97" s="1010" t="s">
        <v>493</v>
      </c>
      <c r="EA97" s="1011" t="b">
        <f t="shared" si="217"/>
        <v>1</v>
      </c>
      <c r="EB97" s="1011"/>
      <c r="EC97" s="1011"/>
      <c r="ER97" s="1017" t="s">
        <v>243</v>
      </c>
      <c r="ES97" s="1391" t="s">
        <v>243</v>
      </c>
      <c r="ET97" s="1018" t="b">
        <f t="shared" si="257"/>
        <v>1</v>
      </c>
      <c r="EX97" s="1019">
        <v>2988337.9306086316</v>
      </c>
      <c r="EY97" s="1019">
        <f t="shared" si="310"/>
        <v>448250.68959129474</v>
      </c>
      <c r="EZ97" s="1019">
        <f t="shared" si="311"/>
        <v>2540087.241017337</v>
      </c>
      <c r="FA97" s="1019">
        <f t="shared" si="312"/>
        <v>298833.79306086316</v>
      </c>
      <c r="FB97" s="1019">
        <f t="shared" si="313"/>
        <v>2689504.1375477687</v>
      </c>
      <c r="FC97" s="1019">
        <f t="shared" si="314"/>
        <v>149416.8965304317</v>
      </c>
      <c r="FD97" s="1020"/>
      <c r="FE97" s="1021"/>
      <c r="FF97" s="1022">
        <f t="shared" si="315"/>
        <v>2540087.241017337</v>
      </c>
      <c r="FG97" s="1022">
        <f t="shared" si="316"/>
        <v>215907.41548647365</v>
      </c>
      <c r="FH97" s="1022">
        <f t="shared" si="317"/>
        <v>107953.70774323682</v>
      </c>
      <c r="FI97" s="1023">
        <f t="shared" si="318"/>
        <v>2689504.1375477687</v>
      </c>
      <c r="FJ97" s="1023">
        <f t="shared" si="319"/>
        <v>228607.85169156035</v>
      </c>
      <c r="FK97" s="1023">
        <f t="shared" si="320"/>
        <v>114303.92584578018</v>
      </c>
      <c r="FL97" s="1019">
        <f t="shared" si="321"/>
        <v>12700.436205086706</v>
      </c>
      <c r="FM97" s="1019">
        <f t="shared" si="322"/>
        <v>6350.2181025433529</v>
      </c>
      <c r="FN97" s="1019" t="str">
        <f t="shared" si="323"/>
        <v>VS</v>
      </c>
      <c r="FO97" s="1019">
        <f t="shared" si="324"/>
        <v>27537.409960060559</v>
      </c>
      <c r="FP97" s="1019">
        <f t="shared" si="325"/>
        <v>-21187.191857517206</v>
      </c>
      <c r="FQ97" s="1021"/>
      <c r="FR97" s="1021"/>
      <c r="FS97" s="1020"/>
      <c r="FT97" s="503"/>
      <c r="FU97" s="956"/>
      <c r="FV97" s="503"/>
      <c r="FX97" s="1040"/>
      <c r="GB97" s="1059"/>
      <c r="GF97" s="1059"/>
      <c r="GG97" s="956"/>
      <c r="GH97" s="1058"/>
      <c r="GI97" s="1024">
        <f t="shared" si="258"/>
        <v>3675510.6457835105</v>
      </c>
      <c r="GJ97" s="1025">
        <f t="shared" si="259"/>
        <v>0.125</v>
      </c>
      <c r="GK97" s="1024">
        <f t="shared" si="260"/>
        <v>459438.83072293882</v>
      </c>
      <c r="GL97" s="1024">
        <f t="shared" si="261"/>
        <v>30000</v>
      </c>
      <c r="GM97" s="1024">
        <f t="shared" si="262"/>
        <v>429438.83072293882</v>
      </c>
      <c r="GN97" s="1024">
        <f t="shared" si="263"/>
        <v>1</v>
      </c>
      <c r="GO97" s="1024">
        <f t="shared" si="264"/>
        <v>429438.83072293882</v>
      </c>
      <c r="GP97" s="1025">
        <f t="shared" si="265"/>
        <v>0.875</v>
      </c>
      <c r="GQ97" s="1024">
        <f t="shared" si="266"/>
        <v>3216071.8150605718</v>
      </c>
      <c r="GR97" s="1024">
        <f t="shared" si="267"/>
        <v>24934.170550903233</v>
      </c>
      <c r="GS97" s="1024">
        <f t="shared" si="268"/>
        <v>28906.962684681203</v>
      </c>
      <c r="GT97" s="1024">
        <f t="shared" si="269"/>
        <v>37341.320750456296</v>
      </c>
      <c r="GU97" s="1024">
        <f t="shared" si="270"/>
        <v>63682.076530036669</v>
      </c>
      <c r="GW97" s="1024">
        <f t="shared" si="271"/>
        <v>3675510.6457835105</v>
      </c>
      <c r="GX97" s="1025">
        <f t="shared" si="272"/>
        <v>0.125</v>
      </c>
      <c r="GY97" s="1024">
        <f t="shared" si="273"/>
        <v>459438.83072293882</v>
      </c>
      <c r="GZ97" s="1024">
        <f t="shared" si="274"/>
        <v>30000</v>
      </c>
      <c r="HA97" s="1024">
        <f t="shared" si="275"/>
        <v>429438.83072293882</v>
      </c>
      <c r="HB97" s="1026">
        <f t="shared" si="276"/>
        <v>25</v>
      </c>
      <c r="HC97" s="1009">
        <f t="shared" si="277"/>
        <v>17177.553228917553</v>
      </c>
      <c r="HD97" s="1027">
        <f t="shared" si="278"/>
        <v>0.875</v>
      </c>
      <c r="HE97" s="1009">
        <f t="shared" si="279"/>
        <v>3216071.8150605718</v>
      </c>
      <c r="HF97" s="1008">
        <f t="shared" si="280"/>
        <v>24934.170550903233</v>
      </c>
      <c r="HG97" s="1008">
        <f t="shared" si="281"/>
        <v>28906.962684681203</v>
      </c>
      <c r="HH97" s="1008">
        <f t="shared" si="282"/>
        <v>37341.320750456296</v>
      </c>
      <c r="HI97" s="1008">
        <f t="shared" si="283"/>
        <v>63682.076530036669</v>
      </c>
      <c r="HK97" s="1009">
        <f t="shared" si="284"/>
        <v>-412261.27749402128</v>
      </c>
      <c r="HR97" s="956">
        <f t="shared" si="285"/>
        <v>0</v>
      </c>
      <c r="HU97" s="956"/>
      <c r="HW97" s="956"/>
      <c r="HX97" s="956"/>
    </row>
    <row r="98" spans="1:238" s="1051" customFormat="1" ht="14.25" hidden="1" customHeight="1">
      <c r="A98" s="1018">
        <f t="shared" si="326"/>
        <v>92</v>
      </c>
      <c r="B98" s="716" t="s">
        <v>264</v>
      </c>
      <c r="C98" s="741">
        <f t="shared" si="337"/>
        <v>8</v>
      </c>
      <c r="D98" s="716" t="s">
        <v>276</v>
      </c>
      <c r="E98" s="743" t="str">
        <f t="shared" si="332"/>
        <v>7th Floor</v>
      </c>
      <c r="F98" s="1048"/>
      <c r="G98" s="745" t="s">
        <v>494</v>
      </c>
      <c r="H98" s="745" t="s">
        <v>316</v>
      </c>
      <c r="I98" s="745" t="s">
        <v>267</v>
      </c>
      <c r="J98" s="1005">
        <v>22</v>
      </c>
      <c r="K98" s="1049"/>
      <c r="L98" s="1006" t="s">
        <v>268</v>
      </c>
      <c r="M98" s="745" t="s">
        <v>65</v>
      </c>
      <c r="N98" s="1050">
        <v>95909.091</v>
      </c>
      <c r="O98" s="934">
        <f t="shared" si="298"/>
        <v>2110000.0019999999</v>
      </c>
      <c r="P98" s="934">
        <f t="shared" si="327"/>
        <v>22400</v>
      </c>
      <c r="Q98" s="934">
        <f t="shared" si="293"/>
        <v>50000</v>
      </c>
      <c r="R98" s="934"/>
      <c r="S98" s="934"/>
      <c r="T98" s="934"/>
      <c r="U98" s="934"/>
      <c r="V98" s="749">
        <f>J98*$V$5</f>
        <v>55000</v>
      </c>
      <c r="W98" s="934"/>
      <c r="X98" s="934"/>
      <c r="Y98" s="934">
        <f t="shared" si="338"/>
        <v>60000</v>
      </c>
      <c r="Z98" s="934">
        <f t="shared" si="299"/>
        <v>75000</v>
      </c>
      <c r="AA98" s="934"/>
      <c r="AB98" s="934"/>
      <c r="AC98" s="934"/>
      <c r="AD98" s="934"/>
      <c r="AE98" s="934">
        <f t="shared" si="199"/>
        <v>262400</v>
      </c>
      <c r="AF98" s="1005">
        <f t="shared" si="200"/>
        <v>2372400.0019999999</v>
      </c>
      <c r="AG98" s="1005">
        <f t="shared" si="220"/>
        <v>59310.000050000002</v>
      </c>
      <c r="AH98" s="1005">
        <f t="shared" si="221"/>
        <v>2431710.0020499998</v>
      </c>
      <c r="AI98" s="1005">
        <f t="shared" si="222"/>
        <v>60792.750051249997</v>
      </c>
      <c r="AJ98" s="1005">
        <f t="shared" si="223"/>
        <v>2492502.75210125</v>
      </c>
      <c r="AK98" s="1005">
        <f t="shared" si="224"/>
        <v>124625.13760506251</v>
      </c>
      <c r="AL98" s="1005">
        <f t="shared" si="300"/>
        <v>2617127.8897063127</v>
      </c>
      <c r="AM98" s="934">
        <f t="shared" si="225"/>
        <v>26171.278897063126</v>
      </c>
      <c r="AN98" s="934">
        <f t="shared" si="226"/>
        <v>27537.409960060559</v>
      </c>
      <c r="AO98" s="934"/>
      <c r="AP98" s="934">
        <f t="shared" si="301"/>
        <v>118264.67920039015</v>
      </c>
      <c r="AQ98" s="1005">
        <f t="shared" si="201"/>
        <v>2789101.2577638268</v>
      </c>
      <c r="AR98" s="1005">
        <f t="shared" si="227"/>
        <v>125509.5565993722</v>
      </c>
      <c r="AS98" s="1147">
        <f t="shared" si="228"/>
        <v>2914610.8143631988</v>
      </c>
      <c r="AT98" s="1148">
        <f t="shared" si="302"/>
        <v>2000000</v>
      </c>
      <c r="AU98" s="1148">
        <f t="shared" si="202"/>
        <v>41573.218834690859</v>
      </c>
      <c r="AV98" s="1148">
        <f t="shared" si="303"/>
        <v>914610.81436319882</v>
      </c>
      <c r="AW98" s="1148">
        <f t="shared" si="203"/>
        <v>109753.29772358385</v>
      </c>
      <c r="AX98" s="1148">
        <f t="shared" si="204"/>
        <v>1024364.1120867827</v>
      </c>
      <c r="AY98" s="1147">
        <f t="shared" si="229"/>
        <v>3024364.1120867827</v>
      </c>
      <c r="AZ98" s="934">
        <f t="shared" si="230"/>
        <v>37804.551401084784</v>
      </c>
      <c r="BA98" s="716" t="s">
        <v>269</v>
      </c>
      <c r="BB98" s="716">
        <f t="shared" si="205"/>
        <v>3062168.6634878675</v>
      </c>
      <c r="BC98" s="716" t="s">
        <v>269</v>
      </c>
      <c r="BD98" s="716">
        <f t="shared" si="231"/>
        <v>114831.32488079503</v>
      </c>
      <c r="BE98" s="716">
        <f t="shared" si="232"/>
        <v>33600</v>
      </c>
      <c r="BF98" s="716">
        <f t="shared" si="233"/>
        <v>3210599.9883686625</v>
      </c>
      <c r="BG98" s="716"/>
      <c r="BH98" s="716">
        <f t="shared" si="234"/>
        <v>3210599.9883686625</v>
      </c>
      <c r="BI98" s="716"/>
      <c r="BJ98" s="716">
        <f t="shared" si="235"/>
        <v>3210599.9883686625</v>
      </c>
      <c r="BK98" s="716"/>
      <c r="BL98" s="716">
        <f t="shared" si="236"/>
        <v>3210599.9883686625</v>
      </c>
      <c r="BM98" s="716"/>
      <c r="BN98" s="716">
        <f t="shared" si="206"/>
        <v>3210599.9883686625</v>
      </c>
      <c r="BO98" s="716"/>
      <c r="BP98" s="716">
        <f t="shared" si="237"/>
        <v>3210599.9883686625</v>
      </c>
      <c r="BQ98" s="716"/>
      <c r="BR98" s="716">
        <f t="shared" si="238"/>
        <v>3210599.9883686625</v>
      </c>
      <c r="BS98" s="716"/>
      <c r="BT98" s="716">
        <f t="shared" si="239"/>
        <v>3210599.9883686625</v>
      </c>
      <c r="BU98" s="716"/>
      <c r="BV98" s="716">
        <f t="shared" si="207"/>
        <v>3210599.9883686625</v>
      </c>
      <c r="BW98" s="716"/>
      <c r="BX98" s="716">
        <f t="shared" si="329"/>
        <v>31400</v>
      </c>
      <c r="BY98" s="716">
        <f t="shared" si="240"/>
        <v>3241999.9883686625</v>
      </c>
      <c r="BZ98" s="716"/>
      <c r="CA98" s="716">
        <f t="shared" si="241"/>
        <v>3241999.9883686625</v>
      </c>
      <c r="CB98" s="1135">
        <f t="shared" si="242"/>
        <v>3241999.9883686625</v>
      </c>
      <c r="CC98" s="1164">
        <f t="shared" si="286"/>
        <v>3241999.9883686625</v>
      </c>
      <c r="CD98" s="1164"/>
      <c r="CE98" s="1164">
        <f t="shared" si="243"/>
        <v>0</v>
      </c>
      <c r="CF98" s="1164">
        <f t="shared" si="291"/>
        <v>0</v>
      </c>
      <c r="CG98" s="1164">
        <f t="shared" si="292"/>
        <v>0</v>
      </c>
      <c r="CH98" s="1154">
        <f>CC98+CE98+CF98</f>
        <v>3241999.9883686625</v>
      </c>
      <c r="CI98" s="935">
        <f>CH98</f>
        <v>3241999.9883686625</v>
      </c>
      <c r="CJ98" s="935">
        <f t="shared" si="244"/>
        <v>0</v>
      </c>
      <c r="CK98" s="935">
        <f t="shared" si="208"/>
        <v>332304.9988077879</v>
      </c>
      <c r="CL98" s="935">
        <f t="shared" si="209"/>
        <v>113469.9995929032</v>
      </c>
      <c r="CM98" s="1006">
        <f t="shared" si="306"/>
        <v>3687774.9867693535</v>
      </c>
      <c r="CN98" s="1007">
        <f t="shared" si="307"/>
        <v>0.125</v>
      </c>
      <c r="CO98" s="935">
        <f t="shared" si="210"/>
        <v>460971.87334616919</v>
      </c>
      <c r="CP98" s="935">
        <f t="shared" si="330"/>
        <v>30000</v>
      </c>
      <c r="CQ98" s="935">
        <f t="shared" si="211"/>
        <v>430971.87334616919</v>
      </c>
      <c r="CR98" s="745">
        <f t="shared" si="308"/>
        <v>1</v>
      </c>
      <c r="CS98" s="935">
        <f t="shared" si="212"/>
        <v>430971.87334616919</v>
      </c>
      <c r="CT98" s="1007">
        <f t="shared" si="245"/>
        <v>0.875</v>
      </c>
      <c r="CU98" s="935">
        <f t="shared" si="246"/>
        <v>3226803.1134231845</v>
      </c>
      <c r="CV98" s="1008">
        <f t="shared" si="247"/>
        <v>25017.370192886658</v>
      </c>
      <c r="CW98" s="1008">
        <f t="shared" si="248"/>
        <v>29003.418628193889</v>
      </c>
      <c r="CX98" s="1008">
        <f t="shared" si="249"/>
        <v>37465.920223748719</v>
      </c>
      <c r="CY98" s="1008">
        <f t="shared" si="250"/>
        <v>63894.569099510503</v>
      </c>
      <c r="CZ98" s="1119">
        <f t="shared" si="251"/>
        <v>262123.47334315849</v>
      </c>
      <c r="DA98" s="1119">
        <f t="shared" si="252"/>
        <v>103720.98152513978</v>
      </c>
      <c r="DB98" s="1119">
        <f t="shared" si="253"/>
        <v>74916.195935162847</v>
      </c>
      <c r="DC98" s="1119">
        <f t="shared" si="254"/>
        <v>57014.674070188201</v>
      </c>
      <c r="DD98" s="1028">
        <f t="shared" si="294"/>
        <v>0.4573054071815994</v>
      </c>
      <c r="DE98" s="1028">
        <f>CE98/CC98</f>
        <v>0</v>
      </c>
      <c r="DF98" s="1009" t="s">
        <v>270</v>
      </c>
      <c r="DG98" s="1009" t="s">
        <v>271</v>
      </c>
      <c r="DH98" s="966">
        <f t="shared" si="287"/>
        <v>45658</v>
      </c>
      <c r="DI98" s="912">
        <f t="shared" si="255"/>
        <v>14</v>
      </c>
      <c r="DJ98" s="939"/>
      <c r="DK98" s="913">
        <f t="shared" si="213"/>
        <v>45723</v>
      </c>
      <c r="DL98" s="912">
        <f t="shared" si="256"/>
        <v>16</v>
      </c>
      <c r="DM98" s="750" t="s">
        <v>272</v>
      </c>
      <c r="DN98" s="750" t="s">
        <v>273</v>
      </c>
      <c r="DO98" s="751">
        <f t="shared" si="214"/>
        <v>46562.005094853761</v>
      </c>
      <c r="DP98" s="751">
        <f t="shared" si="215"/>
        <v>1024364.1120867827</v>
      </c>
      <c r="DQ98" s="752">
        <f t="shared" si="295"/>
        <v>0.5121820560433914</v>
      </c>
      <c r="DR98" s="503"/>
      <c r="DS98" s="751">
        <f t="shared" si="296"/>
        <v>3241999.9883686625</v>
      </c>
      <c r="DT98" s="751">
        <f>'[4]INTERNAL PRICELIST'!N92</f>
        <v>2111900</v>
      </c>
      <c r="DU98" s="751">
        <f t="shared" si="216"/>
        <v>1130099.9883686625</v>
      </c>
      <c r="DV98" s="503"/>
      <c r="DW98" s="951">
        <f t="shared" si="297"/>
        <v>147363.6358349392</v>
      </c>
      <c r="DX98" s="503"/>
      <c r="DZ98" s="1010" t="s">
        <v>494</v>
      </c>
      <c r="EA98" s="1052" t="b">
        <f t="shared" si="217"/>
        <v>1</v>
      </c>
      <c r="EB98" s="1072" t="s">
        <v>495</v>
      </c>
      <c r="EC98" s="1072" t="s">
        <v>486</v>
      </c>
      <c r="ED98" s="503"/>
      <c r="EH98" s="930"/>
      <c r="EI98" s="930"/>
      <c r="EJ98" s="503"/>
      <c r="EK98" s="503"/>
      <c r="EL98" s="503"/>
      <c r="EM98" s="503"/>
      <c r="EN98" s="503"/>
      <c r="EO98" s="503"/>
      <c r="EP98" s="503"/>
      <c r="EQ98" s="503"/>
      <c r="ER98" s="1017" t="s">
        <v>264</v>
      </c>
      <c r="ES98" s="1391" t="s">
        <v>264</v>
      </c>
      <c r="ET98" s="1018" t="b">
        <f t="shared" si="257"/>
        <v>1</v>
      </c>
      <c r="EU98" s="940"/>
      <c r="EV98" s="941"/>
      <c r="EW98" s="940"/>
      <c r="EX98" s="1019">
        <v>3091887.0379186962</v>
      </c>
      <c r="EY98" s="1019">
        <f t="shared" si="310"/>
        <v>463783.05568780442</v>
      </c>
      <c r="EZ98" s="1019">
        <f t="shared" si="311"/>
        <v>2628103.9822308915</v>
      </c>
      <c r="FA98" s="1019">
        <f t="shared" si="312"/>
        <v>309188.70379186963</v>
      </c>
      <c r="FB98" s="1019">
        <f t="shared" si="313"/>
        <v>2782698.3341268268</v>
      </c>
      <c r="FC98" s="1019">
        <f t="shared" si="314"/>
        <v>154594.35189593537</v>
      </c>
      <c r="FD98" s="1020"/>
      <c r="FE98" s="1021"/>
      <c r="FF98" s="1022">
        <f t="shared" si="315"/>
        <v>2628103.9822308915</v>
      </c>
      <c r="FG98" s="1022">
        <f t="shared" si="316"/>
        <v>223388.83848962578</v>
      </c>
      <c r="FH98" s="1022">
        <f t="shared" si="317"/>
        <v>111694.41924481289</v>
      </c>
      <c r="FI98" s="1023">
        <f t="shared" si="318"/>
        <v>2782698.3341268268</v>
      </c>
      <c r="FJ98" s="1023">
        <f t="shared" si="319"/>
        <v>236529.3584007803</v>
      </c>
      <c r="FK98" s="1023">
        <f t="shared" si="320"/>
        <v>118264.67920039015</v>
      </c>
      <c r="FL98" s="1019">
        <f t="shared" si="321"/>
        <v>13140.519911154523</v>
      </c>
      <c r="FM98" s="1019">
        <f t="shared" si="322"/>
        <v>6570.2599555772613</v>
      </c>
      <c r="FN98" s="1019" t="str">
        <f t="shared" si="323"/>
        <v>VS</v>
      </c>
      <c r="FO98" s="1019">
        <f t="shared" si="324"/>
        <v>27537.409960060559</v>
      </c>
      <c r="FP98" s="1019">
        <f t="shared" si="325"/>
        <v>-20967.150004483297</v>
      </c>
      <c r="FQ98" s="1021"/>
      <c r="FR98" s="1021"/>
      <c r="FS98" s="1020"/>
      <c r="FT98" s="503"/>
      <c r="FU98" s="956"/>
      <c r="FV98" s="503"/>
      <c r="FW98" s="503"/>
      <c r="FX98" s="1040"/>
      <c r="FY98" s="503"/>
      <c r="FZ98" s="503"/>
      <c r="GA98" s="503"/>
      <c r="GB98" s="1059"/>
      <c r="GE98" s="503"/>
      <c r="GF98" s="1059"/>
      <c r="GG98" s="956"/>
      <c r="GH98" s="945"/>
      <c r="GI98" s="1024">
        <f t="shared" si="258"/>
        <v>3687774.9867693535</v>
      </c>
      <c r="GJ98" s="1025">
        <f t="shared" si="259"/>
        <v>0.125</v>
      </c>
      <c r="GK98" s="1024">
        <f t="shared" si="260"/>
        <v>460971.87334616919</v>
      </c>
      <c r="GL98" s="1024">
        <f t="shared" si="261"/>
        <v>30000</v>
      </c>
      <c r="GM98" s="1024">
        <f t="shared" si="262"/>
        <v>430971.87334616919</v>
      </c>
      <c r="GN98" s="1024">
        <f t="shared" si="263"/>
        <v>1</v>
      </c>
      <c r="GO98" s="1024">
        <f t="shared" si="264"/>
        <v>430971.87334616919</v>
      </c>
      <c r="GP98" s="1025">
        <f t="shared" si="265"/>
        <v>0.875</v>
      </c>
      <c r="GQ98" s="1024">
        <f t="shared" si="266"/>
        <v>3226803.1134231845</v>
      </c>
      <c r="GR98" s="1024">
        <f t="shared" si="267"/>
        <v>25017.370192886658</v>
      </c>
      <c r="GS98" s="1024">
        <f t="shared" si="268"/>
        <v>29003.418628193889</v>
      </c>
      <c r="GT98" s="1024">
        <f t="shared" si="269"/>
        <v>37465.920223748719</v>
      </c>
      <c r="GU98" s="1024">
        <f t="shared" si="270"/>
        <v>63894.569099510503</v>
      </c>
      <c r="GV98" s="945"/>
      <c r="GW98" s="1024">
        <f t="shared" si="271"/>
        <v>3687774.9867693535</v>
      </c>
      <c r="GX98" s="1025">
        <f t="shared" si="272"/>
        <v>0.125</v>
      </c>
      <c r="GY98" s="1024">
        <f t="shared" si="273"/>
        <v>460971.87334616919</v>
      </c>
      <c r="GZ98" s="1024">
        <f t="shared" si="274"/>
        <v>30000</v>
      </c>
      <c r="HA98" s="1024">
        <f t="shared" si="275"/>
        <v>430971.87334616919</v>
      </c>
      <c r="HB98" s="1026">
        <f t="shared" si="276"/>
        <v>25</v>
      </c>
      <c r="HC98" s="1009">
        <f t="shared" si="277"/>
        <v>17238.874933846768</v>
      </c>
      <c r="HD98" s="1027">
        <f t="shared" si="278"/>
        <v>0.875</v>
      </c>
      <c r="HE98" s="1009">
        <f t="shared" si="279"/>
        <v>3226803.1134231845</v>
      </c>
      <c r="HF98" s="1008">
        <f t="shared" si="280"/>
        <v>25017.370192886658</v>
      </c>
      <c r="HG98" s="1008">
        <f t="shared" si="281"/>
        <v>29003.418628193889</v>
      </c>
      <c r="HH98" s="1008">
        <f t="shared" si="282"/>
        <v>37465.920223748719</v>
      </c>
      <c r="HI98" s="1008">
        <f t="shared" si="283"/>
        <v>63894.569099510503</v>
      </c>
      <c r="HJ98" s="945"/>
      <c r="HK98" s="1009">
        <f t="shared" si="284"/>
        <v>-413732.99841232243</v>
      </c>
      <c r="HL98" s="503"/>
      <c r="HM98" s="503"/>
      <c r="HN98" s="503"/>
      <c r="HO98" s="503"/>
      <c r="HP98" s="503"/>
      <c r="HQ98" s="503"/>
      <c r="HR98" s="956">
        <f t="shared" si="285"/>
        <v>0</v>
      </c>
      <c r="HS98" s="503"/>
      <c r="HT98" s="503"/>
      <c r="HU98" s="956"/>
      <c r="HV98" s="503"/>
      <c r="HW98" s="956"/>
      <c r="HX98" s="956"/>
      <c r="HY98" s="503"/>
      <c r="HZ98" s="503"/>
      <c r="IA98" s="503"/>
      <c r="ID98" s="1394"/>
    </row>
    <row r="99" spans="1:238" ht="14.25" hidden="1" customHeight="1">
      <c r="A99" s="1018">
        <f t="shared" si="326"/>
        <v>93</v>
      </c>
      <c r="B99" s="716"/>
      <c r="C99" s="741">
        <f t="shared" si="337"/>
        <v>9</v>
      </c>
      <c r="D99" s="716" t="s">
        <v>276</v>
      </c>
      <c r="E99" s="743" t="str">
        <f t="shared" si="332"/>
        <v>7th Floor</v>
      </c>
      <c r="F99" s="1048"/>
      <c r="G99" s="745" t="s">
        <v>496</v>
      </c>
      <c r="H99" s="745" t="s">
        <v>321</v>
      </c>
      <c r="I99" s="745" t="s">
        <v>267</v>
      </c>
      <c r="J99" s="1005">
        <v>22</v>
      </c>
      <c r="K99" s="1049"/>
      <c r="L99" s="1006" t="s">
        <v>268</v>
      </c>
      <c r="M99" s="745" t="s">
        <v>79</v>
      </c>
      <c r="N99" s="1050">
        <v>95909.091</v>
      </c>
      <c r="O99" s="934">
        <f t="shared" si="298"/>
        <v>2110000.0019999999</v>
      </c>
      <c r="P99" s="934">
        <f t="shared" si="327"/>
        <v>22400</v>
      </c>
      <c r="Q99" s="934">
        <f t="shared" si="293"/>
        <v>50000</v>
      </c>
      <c r="R99" s="934"/>
      <c r="S99" s="934"/>
      <c r="T99" s="934"/>
      <c r="U99" s="934"/>
      <c r="V99" s="934"/>
      <c r="W99" s="934"/>
      <c r="X99" s="934"/>
      <c r="Y99" s="934">
        <f t="shared" si="338"/>
        <v>60000</v>
      </c>
      <c r="Z99" s="934">
        <f t="shared" si="299"/>
        <v>75000</v>
      </c>
      <c r="AA99" s="934"/>
      <c r="AB99" s="934"/>
      <c r="AC99" s="934"/>
      <c r="AD99" s="934"/>
      <c r="AE99" s="934">
        <f t="shared" si="199"/>
        <v>207400</v>
      </c>
      <c r="AF99" s="1005">
        <f t="shared" si="200"/>
        <v>2317400.0019999999</v>
      </c>
      <c r="AG99" s="1005">
        <f t="shared" si="220"/>
        <v>57935.000050000002</v>
      </c>
      <c r="AH99" s="1005">
        <f t="shared" si="221"/>
        <v>2375335.0020499998</v>
      </c>
      <c r="AI99" s="1005">
        <f t="shared" si="222"/>
        <v>59383.375051249997</v>
      </c>
      <c r="AJ99" s="1005">
        <f t="shared" si="223"/>
        <v>2434718.37710125</v>
      </c>
      <c r="AK99" s="1005">
        <f t="shared" si="224"/>
        <v>121735.91885506251</v>
      </c>
      <c r="AL99" s="1005">
        <f t="shared" si="300"/>
        <v>2556454.2959563127</v>
      </c>
      <c r="AM99" s="934">
        <f t="shared" si="225"/>
        <v>25564.542959563129</v>
      </c>
      <c r="AN99" s="934">
        <f t="shared" si="226"/>
        <v>27537.409960060559</v>
      </c>
      <c r="AO99" s="934"/>
      <c r="AP99" s="934">
        <f t="shared" si="301"/>
        <v>113131.66104871142</v>
      </c>
      <c r="AQ99" s="1005">
        <f t="shared" si="201"/>
        <v>2722687.9099246473</v>
      </c>
      <c r="AR99" s="1005">
        <f t="shared" si="227"/>
        <v>122520.95594660913</v>
      </c>
      <c r="AS99" s="1147">
        <f t="shared" si="228"/>
        <v>2845208.8658712562</v>
      </c>
      <c r="AT99" s="1148">
        <f t="shared" si="302"/>
        <v>2000000</v>
      </c>
      <c r="AU99" s="1148">
        <f t="shared" si="202"/>
        <v>38418.584812329827</v>
      </c>
      <c r="AV99" s="1148">
        <f t="shared" si="303"/>
        <v>845208.86587125622</v>
      </c>
      <c r="AW99" s="1148">
        <f t="shared" si="203"/>
        <v>101425.06390455074</v>
      </c>
      <c r="AX99" s="1148">
        <f t="shared" si="204"/>
        <v>946633.92977580696</v>
      </c>
      <c r="AY99" s="1147">
        <f t="shared" si="229"/>
        <v>2946633.9297758071</v>
      </c>
      <c r="AZ99" s="934">
        <f t="shared" si="230"/>
        <v>36832.92412219759</v>
      </c>
      <c r="BA99" s="716" t="s">
        <v>269</v>
      </c>
      <c r="BB99" s="716">
        <f t="shared" si="205"/>
        <v>2983466.8538980046</v>
      </c>
      <c r="BC99" s="716" t="s">
        <v>269</v>
      </c>
      <c r="BD99" s="716">
        <f t="shared" si="231"/>
        <v>111880.00702117517</v>
      </c>
      <c r="BE99" s="716">
        <f t="shared" si="232"/>
        <v>33600</v>
      </c>
      <c r="BF99" s="716">
        <f t="shared" si="233"/>
        <v>3128946.8609191799</v>
      </c>
      <c r="BG99" s="716"/>
      <c r="BH99" s="716">
        <f t="shared" si="234"/>
        <v>3128946.8609191799</v>
      </c>
      <c r="BI99" s="716"/>
      <c r="BJ99" s="716">
        <f t="shared" si="235"/>
        <v>3128946.8609191799</v>
      </c>
      <c r="BK99" s="716"/>
      <c r="BL99" s="716">
        <f t="shared" si="236"/>
        <v>3128946.8609191799</v>
      </c>
      <c r="BM99" s="716"/>
      <c r="BN99" s="716">
        <f t="shared" si="206"/>
        <v>3128946.8609191799</v>
      </c>
      <c r="BO99" s="716"/>
      <c r="BP99" s="716">
        <f t="shared" si="237"/>
        <v>3128946.8609191799</v>
      </c>
      <c r="BQ99" s="716"/>
      <c r="BR99" s="716">
        <f t="shared" si="238"/>
        <v>3128946.8609191799</v>
      </c>
      <c r="BS99" s="716"/>
      <c r="BT99" s="716">
        <f t="shared" si="239"/>
        <v>3128946.8609191799</v>
      </c>
      <c r="BU99" s="716"/>
      <c r="BV99" s="716">
        <f t="shared" si="207"/>
        <v>3128946.8609191799</v>
      </c>
      <c r="BW99" s="716"/>
      <c r="BX99" s="716">
        <f t="shared" si="329"/>
        <v>31400</v>
      </c>
      <c r="BY99" s="716">
        <f t="shared" si="240"/>
        <v>3160346.8609191799</v>
      </c>
      <c r="BZ99" s="716"/>
      <c r="CA99" s="716">
        <f t="shared" si="241"/>
        <v>3160346.8609191799</v>
      </c>
      <c r="CB99" s="1135">
        <f t="shared" si="242"/>
        <v>3160346.8609191799</v>
      </c>
      <c r="CC99" s="1164">
        <f t="shared" si="286"/>
        <v>3160346.8609191799</v>
      </c>
      <c r="CD99" s="1164"/>
      <c r="CE99" s="1164">
        <f t="shared" si="243"/>
        <v>0</v>
      </c>
      <c r="CF99" s="1164">
        <f t="shared" si="291"/>
        <v>0</v>
      </c>
      <c r="CG99" s="1164">
        <f t="shared" si="292"/>
        <v>0</v>
      </c>
      <c r="CH99" s="1154">
        <f t="shared" ref="CH99:CH162" si="339">CC99+CE99+CF99</f>
        <v>3160346.8609191799</v>
      </c>
      <c r="CI99" s="935">
        <f t="shared" ref="CI99:CI162" si="340">CH99</f>
        <v>3160346.8609191799</v>
      </c>
      <c r="CJ99" s="935">
        <f t="shared" si="244"/>
        <v>0</v>
      </c>
      <c r="CK99" s="935">
        <f t="shared" si="208"/>
        <v>323935.5532442159</v>
      </c>
      <c r="CL99" s="935">
        <f t="shared" si="209"/>
        <v>110612.14013217131</v>
      </c>
      <c r="CM99" s="1006">
        <f t="shared" si="306"/>
        <v>3594894.5542955669</v>
      </c>
      <c r="CN99" s="1007">
        <f t="shared" si="307"/>
        <v>0.125</v>
      </c>
      <c r="CO99" s="935">
        <f t="shared" si="210"/>
        <v>449361.81928694586</v>
      </c>
      <c r="CP99" s="935">
        <f t="shared" si="330"/>
        <v>30000</v>
      </c>
      <c r="CQ99" s="935">
        <f t="shared" si="211"/>
        <v>419361.81928694586</v>
      </c>
      <c r="CR99" s="745">
        <f t="shared" si="308"/>
        <v>1</v>
      </c>
      <c r="CS99" s="935">
        <f t="shared" si="212"/>
        <v>419361.81928694586</v>
      </c>
      <c r="CT99" s="1007">
        <f t="shared" si="245"/>
        <v>0.875</v>
      </c>
      <c r="CU99" s="935">
        <f t="shared" si="246"/>
        <v>3145532.7350086211</v>
      </c>
      <c r="CV99" s="1008">
        <f t="shared" si="247"/>
        <v>24387.281814065114</v>
      </c>
      <c r="CW99" s="1008">
        <f t="shared" si="248"/>
        <v>28272.937491175042</v>
      </c>
      <c r="CX99" s="1008">
        <f t="shared" si="249"/>
        <v>36522.302219425015</v>
      </c>
      <c r="CY99" s="1008">
        <f t="shared" si="250"/>
        <v>62285.318201074391</v>
      </c>
      <c r="CZ99" s="1119">
        <f t="shared" si="251"/>
        <v>255521.62218548471</v>
      </c>
      <c r="DA99" s="1119">
        <f t="shared" si="252"/>
        <v>101108.66118151163</v>
      </c>
      <c r="DB99" s="1119">
        <f t="shared" si="253"/>
        <v>73029.353949761615</v>
      </c>
      <c r="DC99" s="1119">
        <f t="shared" si="254"/>
        <v>55578.700453579295</v>
      </c>
      <c r="DD99" s="1028">
        <f t="shared" si="294"/>
        <v>0.4226044329356281</v>
      </c>
      <c r="DE99" s="1028">
        <f t="shared" ref="DE99:DE162" si="341">CE99/CC99</f>
        <v>0</v>
      </c>
      <c r="DF99" s="1009" t="s">
        <v>270</v>
      </c>
      <c r="DG99" s="1009" t="s">
        <v>271</v>
      </c>
      <c r="DH99" s="966">
        <f t="shared" si="287"/>
        <v>45658</v>
      </c>
      <c r="DI99" s="912">
        <f t="shared" si="255"/>
        <v>14</v>
      </c>
      <c r="DK99" s="913">
        <f t="shared" si="213"/>
        <v>45723</v>
      </c>
      <c r="DL99" s="912">
        <f t="shared" si="256"/>
        <v>16</v>
      </c>
      <c r="DM99" s="750" t="s">
        <v>272</v>
      </c>
      <c r="DN99" s="750" t="s">
        <v>273</v>
      </c>
      <c r="DO99" s="751">
        <f t="shared" si="214"/>
        <v>43028.814989809405</v>
      </c>
      <c r="DP99" s="751">
        <f t="shared" si="215"/>
        <v>946633.92977580696</v>
      </c>
      <c r="DQ99" s="752">
        <f t="shared" si="295"/>
        <v>0.47331696488790348</v>
      </c>
      <c r="DS99" s="751">
        <f t="shared" si="296"/>
        <v>3160346.8609191799</v>
      </c>
      <c r="DT99" s="751">
        <f>'[4]INTERNAL PRICELIST'!N93</f>
        <v>2111900</v>
      </c>
      <c r="DU99" s="751">
        <f t="shared" si="216"/>
        <v>1048446.8609191799</v>
      </c>
      <c r="DW99" s="951">
        <f t="shared" si="297"/>
        <v>143652.13004178091</v>
      </c>
      <c r="DZ99" s="1010" t="s">
        <v>496</v>
      </c>
      <c r="EA99" s="1011" t="b">
        <f t="shared" si="217"/>
        <v>1</v>
      </c>
      <c r="EB99" s="1011"/>
      <c r="EC99" s="1011"/>
      <c r="ER99" s="1017" t="s">
        <v>264</v>
      </c>
      <c r="ES99" s="1391" t="s">
        <v>264</v>
      </c>
      <c r="ET99" s="1018" t="b">
        <f t="shared" si="257"/>
        <v>1</v>
      </c>
      <c r="EX99" s="1019">
        <v>2957690.4849336315</v>
      </c>
      <c r="EY99" s="1019">
        <f t="shared" si="310"/>
        <v>443653.57274004474</v>
      </c>
      <c r="EZ99" s="1019">
        <f t="shared" si="311"/>
        <v>2514036.9121935866</v>
      </c>
      <c r="FA99" s="1019">
        <f t="shared" si="312"/>
        <v>295769.04849336314</v>
      </c>
      <c r="FB99" s="1019">
        <f t="shared" si="313"/>
        <v>2661921.4364402685</v>
      </c>
      <c r="FC99" s="1019">
        <f t="shared" si="314"/>
        <v>147884.52424668195</v>
      </c>
      <c r="FD99" s="1020"/>
      <c r="FE99" s="1021"/>
      <c r="FF99" s="1022">
        <f t="shared" si="315"/>
        <v>2514036.9121935866</v>
      </c>
      <c r="FG99" s="1022">
        <f t="shared" si="316"/>
        <v>213693.13753645489</v>
      </c>
      <c r="FH99" s="1022">
        <f t="shared" si="317"/>
        <v>106846.56876822744</v>
      </c>
      <c r="FI99" s="1023">
        <f t="shared" si="318"/>
        <v>2661921.4364402685</v>
      </c>
      <c r="FJ99" s="1023">
        <f t="shared" si="319"/>
        <v>226263.32209742285</v>
      </c>
      <c r="FK99" s="1023">
        <f t="shared" si="320"/>
        <v>113131.66104871142</v>
      </c>
      <c r="FL99" s="1019">
        <f t="shared" si="321"/>
        <v>12570.184560967959</v>
      </c>
      <c r="FM99" s="1019">
        <f t="shared" si="322"/>
        <v>6285.0922804839793</v>
      </c>
      <c r="FN99" s="1019" t="str">
        <f t="shared" si="323"/>
        <v>VS</v>
      </c>
      <c r="FO99" s="1019">
        <f t="shared" si="324"/>
        <v>27537.409960060559</v>
      </c>
      <c r="FP99" s="1019">
        <f t="shared" si="325"/>
        <v>-21252.317679576579</v>
      </c>
      <c r="FQ99" s="1021"/>
      <c r="FR99" s="1021"/>
      <c r="FS99" s="1020"/>
      <c r="FT99" s="503"/>
      <c r="FU99" s="956"/>
      <c r="FV99" s="503"/>
      <c r="FX99" s="1040"/>
      <c r="GB99" s="1059"/>
      <c r="GF99" s="1059"/>
      <c r="GG99" s="956"/>
      <c r="GI99" s="1024">
        <f t="shared" si="258"/>
        <v>3594894.5542955669</v>
      </c>
      <c r="GJ99" s="1025">
        <f t="shared" si="259"/>
        <v>0.125</v>
      </c>
      <c r="GK99" s="1024">
        <f t="shared" si="260"/>
        <v>449361.81928694586</v>
      </c>
      <c r="GL99" s="1024">
        <f t="shared" si="261"/>
        <v>30000</v>
      </c>
      <c r="GM99" s="1024">
        <f t="shared" si="262"/>
        <v>419361.81928694586</v>
      </c>
      <c r="GN99" s="1024">
        <f t="shared" si="263"/>
        <v>1</v>
      </c>
      <c r="GO99" s="1024">
        <f t="shared" si="264"/>
        <v>419361.81928694586</v>
      </c>
      <c r="GP99" s="1025">
        <f t="shared" si="265"/>
        <v>0.875</v>
      </c>
      <c r="GQ99" s="1024">
        <f t="shared" si="266"/>
        <v>3145532.7350086211</v>
      </c>
      <c r="GR99" s="1024">
        <f t="shared" si="267"/>
        <v>24387.281814065114</v>
      </c>
      <c r="GS99" s="1024">
        <f t="shared" si="268"/>
        <v>28272.937491175042</v>
      </c>
      <c r="GT99" s="1024">
        <f t="shared" si="269"/>
        <v>36522.302219425015</v>
      </c>
      <c r="GU99" s="1024">
        <f t="shared" si="270"/>
        <v>62285.318201074391</v>
      </c>
      <c r="GW99" s="1024">
        <f t="shared" si="271"/>
        <v>3594894.5542955669</v>
      </c>
      <c r="GX99" s="1025">
        <f t="shared" si="272"/>
        <v>0.125</v>
      </c>
      <c r="GY99" s="1024">
        <f t="shared" si="273"/>
        <v>449361.81928694586</v>
      </c>
      <c r="GZ99" s="1024">
        <f t="shared" si="274"/>
        <v>30000</v>
      </c>
      <c r="HA99" s="1024">
        <f t="shared" si="275"/>
        <v>419361.81928694586</v>
      </c>
      <c r="HB99" s="1026">
        <f t="shared" si="276"/>
        <v>25</v>
      </c>
      <c r="HC99" s="1009">
        <f t="shared" si="277"/>
        <v>16774.472771477835</v>
      </c>
      <c r="HD99" s="1027">
        <f t="shared" si="278"/>
        <v>0.875</v>
      </c>
      <c r="HE99" s="1009">
        <f t="shared" si="279"/>
        <v>3145532.7350086211</v>
      </c>
      <c r="HF99" s="1008">
        <f t="shared" si="280"/>
        <v>24387.281814065114</v>
      </c>
      <c r="HG99" s="1008">
        <f t="shared" si="281"/>
        <v>28272.937491175042</v>
      </c>
      <c r="HH99" s="1008">
        <f t="shared" si="282"/>
        <v>36522.302219425015</v>
      </c>
      <c r="HI99" s="1008">
        <f t="shared" si="283"/>
        <v>62285.318201074391</v>
      </c>
      <c r="HK99" s="1009">
        <f t="shared" si="284"/>
        <v>-402587.34651546803</v>
      </c>
      <c r="HR99" s="956">
        <f t="shared" si="285"/>
        <v>0</v>
      </c>
      <c r="HU99" s="956"/>
      <c r="HW99" s="956"/>
      <c r="HX99" s="956"/>
    </row>
    <row r="100" spans="1:238" s="1051" customFormat="1" ht="14.25" hidden="1" customHeight="1">
      <c r="A100" s="1018">
        <f t="shared" si="326"/>
        <v>94</v>
      </c>
      <c r="B100" s="716" t="s">
        <v>264</v>
      </c>
      <c r="C100" s="741">
        <f t="shared" si="337"/>
        <v>10</v>
      </c>
      <c r="D100" s="716" t="s">
        <v>276</v>
      </c>
      <c r="E100" s="743" t="str">
        <f t="shared" si="332"/>
        <v>7th Floor</v>
      </c>
      <c r="F100" s="1048"/>
      <c r="G100" s="745" t="s">
        <v>497</v>
      </c>
      <c r="H100" s="745" t="s">
        <v>325</v>
      </c>
      <c r="I100" s="745" t="s">
        <v>267</v>
      </c>
      <c r="J100" s="1005">
        <v>22</v>
      </c>
      <c r="K100" s="1049"/>
      <c r="L100" s="1006" t="s">
        <v>268</v>
      </c>
      <c r="M100" s="745" t="s">
        <v>79</v>
      </c>
      <c r="N100" s="1050">
        <v>95909.091</v>
      </c>
      <c r="O100" s="934">
        <f t="shared" si="298"/>
        <v>2110000.0019999999</v>
      </c>
      <c r="P100" s="934">
        <f t="shared" si="327"/>
        <v>22400</v>
      </c>
      <c r="Q100" s="934">
        <f t="shared" si="293"/>
        <v>50000</v>
      </c>
      <c r="R100" s="934"/>
      <c r="S100" s="934"/>
      <c r="T100" s="934"/>
      <c r="U100" s="934"/>
      <c r="V100" s="934"/>
      <c r="W100" s="934"/>
      <c r="X100" s="934"/>
      <c r="Y100" s="934">
        <f t="shared" si="338"/>
        <v>60000</v>
      </c>
      <c r="Z100" s="934">
        <f t="shared" si="299"/>
        <v>75000</v>
      </c>
      <c r="AA100" s="934"/>
      <c r="AB100" s="934"/>
      <c r="AC100" s="934"/>
      <c r="AD100" s="934"/>
      <c r="AE100" s="934">
        <f t="shared" si="199"/>
        <v>207400</v>
      </c>
      <c r="AF100" s="1005">
        <f t="shared" si="200"/>
        <v>2317400.0019999999</v>
      </c>
      <c r="AG100" s="1005">
        <f t="shared" si="220"/>
        <v>57935.000050000002</v>
      </c>
      <c r="AH100" s="1005">
        <f t="shared" si="221"/>
        <v>2375335.0020499998</v>
      </c>
      <c r="AI100" s="1005">
        <f t="shared" si="222"/>
        <v>59383.375051249997</v>
      </c>
      <c r="AJ100" s="1005">
        <f t="shared" si="223"/>
        <v>2434718.37710125</v>
      </c>
      <c r="AK100" s="1005">
        <f t="shared" si="224"/>
        <v>121735.91885506251</v>
      </c>
      <c r="AL100" s="1005">
        <f t="shared" si="300"/>
        <v>2556454.2959563127</v>
      </c>
      <c r="AM100" s="934">
        <f t="shared" si="225"/>
        <v>25564.542959563129</v>
      </c>
      <c r="AN100" s="934">
        <f t="shared" si="226"/>
        <v>27537.409960060559</v>
      </c>
      <c r="AO100" s="934"/>
      <c r="AP100" s="934">
        <f t="shared" si="301"/>
        <v>113131.66104871142</v>
      </c>
      <c r="AQ100" s="1005">
        <f t="shared" si="201"/>
        <v>2722687.9099246473</v>
      </c>
      <c r="AR100" s="1005">
        <f t="shared" si="227"/>
        <v>122520.95594660913</v>
      </c>
      <c r="AS100" s="1147">
        <f t="shared" si="228"/>
        <v>2845208.8658712562</v>
      </c>
      <c r="AT100" s="1148">
        <f t="shared" si="302"/>
        <v>2000000</v>
      </c>
      <c r="AU100" s="1148">
        <f t="shared" si="202"/>
        <v>38418.584812329827</v>
      </c>
      <c r="AV100" s="1148">
        <f t="shared" si="303"/>
        <v>845208.86587125622</v>
      </c>
      <c r="AW100" s="1148">
        <f t="shared" si="203"/>
        <v>101425.06390455074</v>
      </c>
      <c r="AX100" s="1148">
        <f t="shared" si="204"/>
        <v>946633.92977580696</v>
      </c>
      <c r="AY100" s="1147">
        <f t="shared" si="229"/>
        <v>2946633.9297758071</v>
      </c>
      <c r="AZ100" s="934">
        <f t="shared" si="230"/>
        <v>36832.92412219759</v>
      </c>
      <c r="BA100" s="716" t="s">
        <v>269</v>
      </c>
      <c r="BB100" s="716">
        <f t="shared" si="205"/>
        <v>2983466.8538980046</v>
      </c>
      <c r="BC100" s="716" t="s">
        <v>269</v>
      </c>
      <c r="BD100" s="716">
        <f t="shared" si="231"/>
        <v>111880.00702117517</v>
      </c>
      <c r="BE100" s="716">
        <f t="shared" si="232"/>
        <v>33600</v>
      </c>
      <c r="BF100" s="716">
        <f t="shared" si="233"/>
        <v>3128946.8609191799</v>
      </c>
      <c r="BG100" s="716"/>
      <c r="BH100" s="716">
        <f t="shared" si="234"/>
        <v>3128946.8609191799</v>
      </c>
      <c r="BI100" s="716"/>
      <c r="BJ100" s="716">
        <f t="shared" si="235"/>
        <v>3128946.8609191799</v>
      </c>
      <c r="BK100" s="716"/>
      <c r="BL100" s="716">
        <f t="shared" si="236"/>
        <v>3128946.8609191799</v>
      </c>
      <c r="BM100" s="716"/>
      <c r="BN100" s="716">
        <f t="shared" si="206"/>
        <v>3128946.8609191799</v>
      </c>
      <c r="BO100" s="716"/>
      <c r="BP100" s="716">
        <f t="shared" si="237"/>
        <v>3128946.8609191799</v>
      </c>
      <c r="BQ100" s="716"/>
      <c r="BR100" s="716">
        <f t="shared" si="238"/>
        <v>3128946.8609191799</v>
      </c>
      <c r="BS100" s="716"/>
      <c r="BT100" s="716">
        <f t="shared" si="239"/>
        <v>3128946.8609191799</v>
      </c>
      <c r="BU100" s="716"/>
      <c r="BV100" s="716">
        <f t="shared" si="207"/>
        <v>3128946.8609191799</v>
      </c>
      <c r="BW100" s="716"/>
      <c r="BX100" s="716">
        <f t="shared" si="329"/>
        <v>31400</v>
      </c>
      <c r="BY100" s="716">
        <f t="shared" si="240"/>
        <v>3160346.8609191799</v>
      </c>
      <c r="BZ100" s="716"/>
      <c r="CA100" s="716">
        <f t="shared" si="241"/>
        <v>3160346.8609191799</v>
      </c>
      <c r="CB100" s="1135">
        <f t="shared" si="242"/>
        <v>3160346.8609191799</v>
      </c>
      <c r="CC100" s="1164">
        <f t="shared" si="286"/>
        <v>3160346.8609191799</v>
      </c>
      <c r="CD100" s="1164"/>
      <c r="CE100" s="1164">
        <f t="shared" si="243"/>
        <v>0</v>
      </c>
      <c r="CF100" s="1164">
        <f t="shared" si="291"/>
        <v>0</v>
      </c>
      <c r="CG100" s="1164">
        <f t="shared" si="292"/>
        <v>0</v>
      </c>
      <c r="CH100" s="1154">
        <f t="shared" si="339"/>
        <v>3160346.8609191799</v>
      </c>
      <c r="CI100" s="935">
        <f t="shared" si="340"/>
        <v>3160346.8609191799</v>
      </c>
      <c r="CJ100" s="935">
        <f t="shared" si="244"/>
        <v>0</v>
      </c>
      <c r="CK100" s="935">
        <f t="shared" si="208"/>
        <v>323935.5532442159</v>
      </c>
      <c r="CL100" s="935">
        <f t="shared" si="209"/>
        <v>110612.14013217131</v>
      </c>
      <c r="CM100" s="1006">
        <f t="shared" si="306"/>
        <v>3594894.5542955669</v>
      </c>
      <c r="CN100" s="1007">
        <f t="shared" si="307"/>
        <v>0.125</v>
      </c>
      <c r="CO100" s="935">
        <f t="shared" si="210"/>
        <v>449361.81928694586</v>
      </c>
      <c r="CP100" s="935">
        <f t="shared" si="330"/>
        <v>30000</v>
      </c>
      <c r="CQ100" s="935">
        <f t="shared" si="211"/>
        <v>419361.81928694586</v>
      </c>
      <c r="CR100" s="745">
        <f t="shared" si="308"/>
        <v>1</v>
      </c>
      <c r="CS100" s="935">
        <f t="shared" si="212"/>
        <v>419361.81928694586</v>
      </c>
      <c r="CT100" s="1007">
        <f t="shared" si="245"/>
        <v>0.875</v>
      </c>
      <c r="CU100" s="935">
        <f t="shared" si="246"/>
        <v>3145532.7350086211</v>
      </c>
      <c r="CV100" s="1008">
        <f t="shared" si="247"/>
        <v>24387.281814065114</v>
      </c>
      <c r="CW100" s="1008">
        <f t="shared" si="248"/>
        <v>28272.937491175042</v>
      </c>
      <c r="CX100" s="1008">
        <f t="shared" si="249"/>
        <v>36522.302219425015</v>
      </c>
      <c r="CY100" s="1008">
        <f t="shared" si="250"/>
        <v>62285.318201074391</v>
      </c>
      <c r="CZ100" s="1119">
        <f t="shared" si="251"/>
        <v>255521.62218548471</v>
      </c>
      <c r="DA100" s="1119">
        <f t="shared" si="252"/>
        <v>101108.66118151163</v>
      </c>
      <c r="DB100" s="1119">
        <f t="shared" si="253"/>
        <v>73029.353949761615</v>
      </c>
      <c r="DC100" s="1119">
        <f t="shared" si="254"/>
        <v>55578.700453579295</v>
      </c>
      <c r="DD100" s="1028">
        <f t="shared" si="294"/>
        <v>0.4226044329356281</v>
      </c>
      <c r="DE100" s="1028">
        <f t="shared" si="341"/>
        <v>0</v>
      </c>
      <c r="DF100" s="1009" t="s">
        <v>270</v>
      </c>
      <c r="DG100" s="1009" t="s">
        <v>271</v>
      </c>
      <c r="DH100" s="966">
        <f t="shared" si="287"/>
        <v>45658</v>
      </c>
      <c r="DI100" s="912">
        <f t="shared" si="255"/>
        <v>14</v>
      </c>
      <c r="DJ100" s="939"/>
      <c r="DK100" s="913">
        <f t="shared" si="213"/>
        <v>45723</v>
      </c>
      <c r="DL100" s="912">
        <f t="shared" si="256"/>
        <v>16</v>
      </c>
      <c r="DM100" s="750" t="s">
        <v>272</v>
      </c>
      <c r="DN100" s="750" t="s">
        <v>273</v>
      </c>
      <c r="DO100" s="751">
        <f t="shared" si="214"/>
        <v>43028.814989809405</v>
      </c>
      <c r="DP100" s="751">
        <f t="shared" si="215"/>
        <v>946633.92977580696</v>
      </c>
      <c r="DQ100" s="752">
        <f t="shared" si="295"/>
        <v>0.47331696488790348</v>
      </c>
      <c r="DR100" s="503"/>
      <c r="DS100" s="751">
        <f t="shared" si="296"/>
        <v>3160346.8609191799</v>
      </c>
      <c r="DT100" s="751">
        <f>'[4]INTERNAL PRICELIST'!N94</f>
        <v>2111900</v>
      </c>
      <c r="DU100" s="751">
        <f t="shared" si="216"/>
        <v>1048446.8609191799</v>
      </c>
      <c r="DV100" s="503"/>
      <c r="DW100" s="951">
        <f t="shared" si="297"/>
        <v>143652.13004178091</v>
      </c>
      <c r="DX100" s="503"/>
      <c r="DZ100" s="1010" t="s">
        <v>497</v>
      </c>
      <c r="EA100" s="1052" t="b">
        <f t="shared" si="217"/>
        <v>1</v>
      </c>
      <c r="EB100" s="1072" t="s">
        <v>379</v>
      </c>
      <c r="EC100" s="1072" t="s">
        <v>486</v>
      </c>
      <c r="ED100" s="503"/>
      <c r="EH100" s="930"/>
      <c r="EI100" s="930"/>
      <c r="EJ100" s="503"/>
      <c r="EK100" s="503"/>
      <c r="EL100" s="503"/>
      <c r="EM100" s="503"/>
      <c r="EN100" s="503"/>
      <c r="EO100" s="503"/>
      <c r="EP100" s="503"/>
      <c r="EQ100" s="503"/>
      <c r="ER100" s="1017" t="s">
        <v>264</v>
      </c>
      <c r="ES100" s="1391" t="s">
        <v>264</v>
      </c>
      <c r="ET100" s="1018" t="b">
        <f t="shared" si="257"/>
        <v>1</v>
      </c>
      <c r="EU100" s="940"/>
      <c r="EV100" s="941"/>
      <c r="EW100" s="940"/>
      <c r="EX100" s="1019">
        <v>2957690.4849336315</v>
      </c>
      <c r="EY100" s="1019">
        <f t="shared" si="310"/>
        <v>443653.57274004474</v>
      </c>
      <c r="EZ100" s="1019">
        <f t="shared" si="311"/>
        <v>2514036.9121935866</v>
      </c>
      <c r="FA100" s="1019">
        <f t="shared" si="312"/>
        <v>295769.04849336314</v>
      </c>
      <c r="FB100" s="1019">
        <f t="shared" si="313"/>
        <v>2661921.4364402685</v>
      </c>
      <c r="FC100" s="1019">
        <f t="shared" si="314"/>
        <v>147884.52424668195</v>
      </c>
      <c r="FD100" s="1020"/>
      <c r="FE100" s="1021"/>
      <c r="FF100" s="1022">
        <f t="shared" si="315"/>
        <v>2514036.9121935866</v>
      </c>
      <c r="FG100" s="1022">
        <f t="shared" si="316"/>
        <v>213693.13753645489</v>
      </c>
      <c r="FH100" s="1022">
        <f t="shared" si="317"/>
        <v>106846.56876822744</v>
      </c>
      <c r="FI100" s="1023">
        <f t="shared" si="318"/>
        <v>2661921.4364402685</v>
      </c>
      <c r="FJ100" s="1023">
        <f t="shared" si="319"/>
        <v>226263.32209742285</v>
      </c>
      <c r="FK100" s="1023">
        <f t="shared" si="320"/>
        <v>113131.66104871142</v>
      </c>
      <c r="FL100" s="1019">
        <f t="shared" si="321"/>
        <v>12570.184560967959</v>
      </c>
      <c r="FM100" s="1019">
        <f t="shared" si="322"/>
        <v>6285.0922804839793</v>
      </c>
      <c r="FN100" s="1019" t="str">
        <f t="shared" si="323"/>
        <v>VS</v>
      </c>
      <c r="FO100" s="1019">
        <f t="shared" si="324"/>
        <v>27537.409960060559</v>
      </c>
      <c r="FP100" s="1019">
        <f t="shared" si="325"/>
        <v>-21252.317679576579</v>
      </c>
      <c r="FQ100" s="1021"/>
      <c r="FR100" s="1021"/>
      <c r="FS100" s="1020"/>
      <c r="FT100" s="503"/>
      <c r="FU100" s="956"/>
      <c r="FV100" s="503"/>
      <c r="FW100" s="503"/>
      <c r="FX100" s="1040"/>
      <c r="FY100" s="503"/>
      <c r="FZ100" s="503"/>
      <c r="GA100" s="503"/>
      <c r="GB100" s="1059"/>
      <c r="GE100" s="503"/>
      <c r="GF100" s="1059"/>
      <c r="GG100" s="956"/>
      <c r="GH100" s="945"/>
      <c r="GI100" s="1024">
        <f t="shared" si="258"/>
        <v>3594894.5542955669</v>
      </c>
      <c r="GJ100" s="1025">
        <f t="shared" si="259"/>
        <v>0.125</v>
      </c>
      <c r="GK100" s="1024">
        <f t="shared" si="260"/>
        <v>449361.81928694586</v>
      </c>
      <c r="GL100" s="1024">
        <f t="shared" si="261"/>
        <v>30000</v>
      </c>
      <c r="GM100" s="1024">
        <f t="shared" si="262"/>
        <v>419361.81928694586</v>
      </c>
      <c r="GN100" s="1024">
        <f t="shared" si="263"/>
        <v>1</v>
      </c>
      <c r="GO100" s="1024">
        <f t="shared" si="264"/>
        <v>419361.81928694586</v>
      </c>
      <c r="GP100" s="1025">
        <f t="shared" si="265"/>
        <v>0.875</v>
      </c>
      <c r="GQ100" s="1024">
        <f t="shared" si="266"/>
        <v>3145532.7350086211</v>
      </c>
      <c r="GR100" s="1024">
        <f t="shared" si="267"/>
        <v>24387.281814065114</v>
      </c>
      <c r="GS100" s="1024">
        <f t="shared" si="268"/>
        <v>28272.937491175042</v>
      </c>
      <c r="GT100" s="1024">
        <f t="shared" si="269"/>
        <v>36522.302219425015</v>
      </c>
      <c r="GU100" s="1024">
        <f t="shared" si="270"/>
        <v>62285.318201074391</v>
      </c>
      <c r="GV100" s="945"/>
      <c r="GW100" s="1024">
        <f t="shared" si="271"/>
        <v>3594894.5542955669</v>
      </c>
      <c r="GX100" s="1025">
        <f t="shared" si="272"/>
        <v>0.125</v>
      </c>
      <c r="GY100" s="1024">
        <f t="shared" si="273"/>
        <v>449361.81928694586</v>
      </c>
      <c r="GZ100" s="1024">
        <f t="shared" si="274"/>
        <v>30000</v>
      </c>
      <c r="HA100" s="1024">
        <f t="shared" si="275"/>
        <v>419361.81928694586</v>
      </c>
      <c r="HB100" s="1026">
        <f t="shared" si="276"/>
        <v>25</v>
      </c>
      <c r="HC100" s="1009">
        <f t="shared" si="277"/>
        <v>16774.472771477835</v>
      </c>
      <c r="HD100" s="1027">
        <f t="shared" si="278"/>
        <v>0.875</v>
      </c>
      <c r="HE100" s="1009">
        <f t="shared" si="279"/>
        <v>3145532.7350086211</v>
      </c>
      <c r="HF100" s="1008">
        <f t="shared" si="280"/>
        <v>24387.281814065114</v>
      </c>
      <c r="HG100" s="1008">
        <f t="shared" si="281"/>
        <v>28272.937491175042</v>
      </c>
      <c r="HH100" s="1008">
        <f t="shared" si="282"/>
        <v>36522.302219425015</v>
      </c>
      <c r="HI100" s="1008">
        <f t="shared" si="283"/>
        <v>62285.318201074391</v>
      </c>
      <c r="HJ100" s="945"/>
      <c r="HK100" s="1009">
        <f t="shared" si="284"/>
        <v>-402587.34651546803</v>
      </c>
      <c r="HL100" s="503"/>
      <c r="HM100" s="503"/>
      <c r="HN100" s="503"/>
      <c r="HO100" s="503"/>
      <c r="HP100" s="503"/>
      <c r="HQ100" s="503"/>
      <c r="HR100" s="956">
        <f t="shared" si="285"/>
        <v>0</v>
      </c>
      <c r="HS100" s="503"/>
      <c r="HT100" s="503"/>
      <c r="HU100" s="956"/>
      <c r="HV100" s="503"/>
      <c r="HW100" s="956"/>
      <c r="HX100" s="956"/>
      <c r="HY100" s="503"/>
      <c r="HZ100" s="503"/>
      <c r="IA100" s="503"/>
      <c r="ID100" s="1394"/>
    </row>
    <row r="101" spans="1:238" s="1051" customFormat="1" ht="14.25" hidden="1" customHeight="1">
      <c r="A101" s="1018">
        <f t="shared" si="326"/>
        <v>95</v>
      </c>
      <c r="B101" s="716" t="s">
        <v>264</v>
      </c>
      <c r="C101" s="741">
        <f t="shared" si="337"/>
        <v>11</v>
      </c>
      <c r="D101" s="716" t="s">
        <v>276</v>
      </c>
      <c r="E101" s="743" t="str">
        <f t="shared" si="332"/>
        <v>7th Floor</v>
      </c>
      <c r="F101" s="1048"/>
      <c r="G101" s="745" t="s">
        <v>498</v>
      </c>
      <c r="H101" s="745" t="s">
        <v>328</v>
      </c>
      <c r="I101" s="745" t="s">
        <v>267</v>
      </c>
      <c r="J101" s="1005">
        <v>22</v>
      </c>
      <c r="K101" s="1049"/>
      <c r="L101" s="1006" t="s">
        <v>268</v>
      </c>
      <c r="M101" s="745" t="s">
        <v>79</v>
      </c>
      <c r="N101" s="1050">
        <v>95909.091</v>
      </c>
      <c r="O101" s="934">
        <f t="shared" si="298"/>
        <v>2110000.0019999999</v>
      </c>
      <c r="P101" s="934">
        <f t="shared" si="327"/>
        <v>22400</v>
      </c>
      <c r="Q101" s="934">
        <f t="shared" si="293"/>
        <v>50000</v>
      </c>
      <c r="R101" s="934"/>
      <c r="S101" s="934"/>
      <c r="T101" s="934"/>
      <c r="U101" s="934"/>
      <c r="V101" s="749"/>
      <c r="W101" s="934"/>
      <c r="X101" s="934"/>
      <c r="Y101" s="934">
        <f t="shared" si="338"/>
        <v>60000</v>
      </c>
      <c r="Z101" s="934">
        <f t="shared" si="299"/>
        <v>75000</v>
      </c>
      <c r="AA101" s="934"/>
      <c r="AB101" s="934"/>
      <c r="AC101" s="934"/>
      <c r="AD101" s="934"/>
      <c r="AE101" s="934">
        <f t="shared" si="199"/>
        <v>207400</v>
      </c>
      <c r="AF101" s="1005">
        <f t="shared" si="200"/>
        <v>2317400.0019999999</v>
      </c>
      <c r="AG101" s="1005">
        <f t="shared" si="220"/>
        <v>57935.000050000002</v>
      </c>
      <c r="AH101" s="1005">
        <f t="shared" si="221"/>
        <v>2375335.0020499998</v>
      </c>
      <c r="AI101" s="1005">
        <f t="shared" si="222"/>
        <v>59383.375051249997</v>
      </c>
      <c r="AJ101" s="1005">
        <f t="shared" si="223"/>
        <v>2434718.37710125</v>
      </c>
      <c r="AK101" s="1005">
        <f t="shared" si="224"/>
        <v>121735.91885506251</v>
      </c>
      <c r="AL101" s="1005">
        <f t="shared" si="300"/>
        <v>2556454.2959563127</v>
      </c>
      <c r="AM101" s="934">
        <f t="shared" si="225"/>
        <v>25564.542959563129</v>
      </c>
      <c r="AN101" s="934">
        <f t="shared" si="226"/>
        <v>27537.409960060559</v>
      </c>
      <c r="AO101" s="934"/>
      <c r="AP101" s="934">
        <f t="shared" si="301"/>
        <v>113131.66104871142</v>
      </c>
      <c r="AQ101" s="1005">
        <f t="shared" si="201"/>
        <v>2722687.9099246473</v>
      </c>
      <c r="AR101" s="1005">
        <f t="shared" si="227"/>
        <v>122520.95594660913</v>
      </c>
      <c r="AS101" s="1147">
        <f t="shared" si="228"/>
        <v>2845208.8658712562</v>
      </c>
      <c r="AT101" s="1148">
        <f t="shared" si="302"/>
        <v>2000000</v>
      </c>
      <c r="AU101" s="1148">
        <f t="shared" si="202"/>
        <v>38418.584812329827</v>
      </c>
      <c r="AV101" s="1148">
        <f t="shared" si="303"/>
        <v>845208.86587125622</v>
      </c>
      <c r="AW101" s="1148">
        <f t="shared" si="203"/>
        <v>101425.06390455074</v>
      </c>
      <c r="AX101" s="1148">
        <f t="shared" si="204"/>
        <v>946633.92977580696</v>
      </c>
      <c r="AY101" s="1147">
        <f t="shared" si="229"/>
        <v>2946633.9297758071</v>
      </c>
      <c r="AZ101" s="934">
        <f t="shared" si="230"/>
        <v>36832.92412219759</v>
      </c>
      <c r="BA101" s="716" t="s">
        <v>269</v>
      </c>
      <c r="BB101" s="716">
        <f t="shared" si="205"/>
        <v>2983466.8538980046</v>
      </c>
      <c r="BC101" s="716" t="s">
        <v>269</v>
      </c>
      <c r="BD101" s="716">
        <f t="shared" si="231"/>
        <v>111880.00702117517</v>
      </c>
      <c r="BE101" s="716">
        <f t="shared" si="232"/>
        <v>33600</v>
      </c>
      <c r="BF101" s="716">
        <f t="shared" si="233"/>
        <v>3128946.8609191799</v>
      </c>
      <c r="BG101" s="716"/>
      <c r="BH101" s="716">
        <f t="shared" si="234"/>
        <v>3128946.8609191799</v>
      </c>
      <c r="BI101" s="716"/>
      <c r="BJ101" s="716">
        <f t="shared" si="235"/>
        <v>3128946.8609191799</v>
      </c>
      <c r="BK101" s="716"/>
      <c r="BL101" s="716">
        <f t="shared" si="236"/>
        <v>3128946.8609191799</v>
      </c>
      <c r="BM101" s="716"/>
      <c r="BN101" s="716">
        <f t="shared" si="206"/>
        <v>3128946.8609191799</v>
      </c>
      <c r="BO101" s="716"/>
      <c r="BP101" s="716">
        <f t="shared" si="237"/>
        <v>3128946.8609191799</v>
      </c>
      <c r="BQ101" s="716"/>
      <c r="BR101" s="716">
        <f t="shared" si="238"/>
        <v>3128946.8609191799</v>
      </c>
      <c r="BS101" s="716"/>
      <c r="BT101" s="716">
        <f t="shared" si="239"/>
        <v>3128946.8609191799</v>
      </c>
      <c r="BU101" s="716"/>
      <c r="BV101" s="716">
        <f t="shared" si="207"/>
        <v>3128946.8609191799</v>
      </c>
      <c r="BW101" s="716"/>
      <c r="BX101" s="716">
        <f t="shared" si="329"/>
        <v>31400</v>
      </c>
      <c r="BY101" s="716">
        <f t="shared" si="240"/>
        <v>3160346.8609191799</v>
      </c>
      <c r="BZ101" s="716"/>
      <c r="CA101" s="716">
        <f t="shared" si="241"/>
        <v>3160346.8609191799</v>
      </c>
      <c r="CB101" s="1135">
        <f t="shared" si="242"/>
        <v>3160346.8609191799</v>
      </c>
      <c r="CC101" s="1164">
        <f t="shared" si="286"/>
        <v>3160346.8609191799</v>
      </c>
      <c r="CD101" s="1164"/>
      <c r="CE101" s="1164">
        <f t="shared" si="243"/>
        <v>0</v>
      </c>
      <c r="CF101" s="1164">
        <f t="shared" si="291"/>
        <v>0</v>
      </c>
      <c r="CG101" s="1164">
        <f t="shared" si="292"/>
        <v>0</v>
      </c>
      <c r="CH101" s="1154">
        <f t="shared" si="339"/>
        <v>3160346.8609191799</v>
      </c>
      <c r="CI101" s="935">
        <f t="shared" si="340"/>
        <v>3160346.8609191799</v>
      </c>
      <c r="CJ101" s="935">
        <f t="shared" si="244"/>
        <v>0</v>
      </c>
      <c r="CK101" s="935">
        <f t="shared" si="208"/>
        <v>323935.5532442159</v>
      </c>
      <c r="CL101" s="935">
        <f t="shared" si="209"/>
        <v>110612.14013217131</v>
      </c>
      <c r="CM101" s="1006">
        <f t="shared" si="306"/>
        <v>3594894.5542955669</v>
      </c>
      <c r="CN101" s="1007">
        <f t="shared" si="307"/>
        <v>0.125</v>
      </c>
      <c r="CO101" s="935">
        <f t="shared" si="210"/>
        <v>449361.81928694586</v>
      </c>
      <c r="CP101" s="935">
        <f t="shared" si="330"/>
        <v>30000</v>
      </c>
      <c r="CQ101" s="935">
        <f t="shared" si="211"/>
        <v>419361.81928694586</v>
      </c>
      <c r="CR101" s="745">
        <f t="shared" si="308"/>
        <v>1</v>
      </c>
      <c r="CS101" s="935">
        <f t="shared" si="212"/>
        <v>419361.81928694586</v>
      </c>
      <c r="CT101" s="1007">
        <f t="shared" si="245"/>
        <v>0.875</v>
      </c>
      <c r="CU101" s="935">
        <f t="shared" si="246"/>
        <v>3145532.7350086211</v>
      </c>
      <c r="CV101" s="1008">
        <f t="shared" si="247"/>
        <v>24387.281814065114</v>
      </c>
      <c r="CW101" s="1008">
        <f t="shared" si="248"/>
        <v>28272.937491175042</v>
      </c>
      <c r="CX101" s="1008">
        <f t="shared" si="249"/>
        <v>36522.302219425015</v>
      </c>
      <c r="CY101" s="1008">
        <f t="shared" si="250"/>
        <v>62285.318201074391</v>
      </c>
      <c r="CZ101" s="1119">
        <f t="shared" si="251"/>
        <v>255521.62218548471</v>
      </c>
      <c r="DA101" s="1119">
        <f t="shared" si="252"/>
        <v>101108.66118151163</v>
      </c>
      <c r="DB101" s="1119">
        <f t="shared" si="253"/>
        <v>73029.353949761615</v>
      </c>
      <c r="DC101" s="1119">
        <f t="shared" si="254"/>
        <v>55578.700453579295</v>
      </c>
      <c r="DD101" s="1028">
        <f t="shared" si="294"/>
        <v>0.4226044329356281</v>
      </c>
      <c r="DE101" s="1028">
        <f t="shared" si="341"/>
        <v>0</v>
      </c>
      <c r="DF101" s="1009" t="s">
        <v>270</v>
      </c>
      <c r="DG101" s="1009" t="s">
        <v>271</v>
      </c>
      <c r="DH101" s="966">
        <f t="shared" si="287"/>
        <v>45658</v>
      </c>
      <c r="DI101" s="912">
        <f t="shared" si="255"/>
        <v>14</v>
      </c>
      <c r="DJ101" s="939"/>
      <c r="DK101" s="913">
        <f t="shared" si="213"/>
        <v>45723</v>
      </c>
      <c r="DL101" s="912">
        <f t="shared" si="256"/>
        <v>16</v>
      </c>
      <c r="DM101" s="750" t="s">
        <v>272</v>
      </c>
      <c r="DN101" s="750" t="s">
        <v>273</v>
      </c>
      <c r="DO101" s="751">
        <f t="shared" si="214"/>
        <v>43028.814989809405</v>
      </c>
      <c r="DP101" s="751">
        <f t="shared" si="215"/>
        <v>946633.92977580696</v>
      </c>
      <c r="DQ101" s="752">
        <f t="shared" si="295"/>
        <v>0.47331696488790348</v>
      </c>
      <c r="DR101" s="503"/>
      <c r="DS101" s="751">
        <f t="shared" si="296"/>
        <v>3160346.8609191799</v>
      </c>
      <c r="DT101" s="751">
        <f>'[4]INTERNAL PRICELIST'!N95</f>
        <v>2113804</v>
      </c>
      <c r="DU101" s="751">
        <f t="shared" si="216"/>
        <v>1046542.8609191799</v>
      </c>
      <c r="DV101" s="503"/>
      <c r="DW101" s="951">
        <f t="shared" si="297"/>
        <v>143652.13004178091</v>
      </c>
      <c r="DX101" s="503"/>
      <c r="DZ101" s="1010" t="s">
        <v>498</v>
      </c>
      <c r="EA101" s="1052" t="b">
        <f t="shared" si="217"/>
        <v>1</v>
      </c>
      <c r="EB101" s="1072" t="s">
        <v>499</v>
      </c>
      <c r="EC101" s="1072" t="s">
        <v>486</v>
      </c>
      <c r="ED101" s="503"/>
      <c r="EH101" s="930"/>
      <c r="EI101" s="930"/>
      <c r="EJ101" s="503"/>
      <c r="EK101" s="503"/>
      <c r="EL101" s="503"/>
      <c r="EM101" s="503"/>
      <c r="EN101" s="503"/>
      <c r="EO101" s="503"/>
      <c r="EP101" s="503"/>
      <c r="EQ101" s="503"/>
      <c r="ER101" s="1017" t="s">
        <v>264</v>
      </c>
      <c r="ES101" s="1391" t="s">
        <v>264</v>
      </c>
      <c r="ET101" s="1018" t="b">
        <f t="shared" si="257"/>
        <v>1</v>
      </c>
      <c r="EU101" s="940"/>
      <c r="EV101" s="941"/>
      <c r="EW101" s="940"/>
      <c r="EX101" s="1019">
        <v>2957690.4849336315</v>
      </c>
      <c r="EY101" s="1019">
        <f t="shared" si="310"/>
        <v>443653.57274004474</v>
      </c>
      <c r="EZ101" s="1019">
        <f t="shared" si="311"/>
        <v>2514036.9121935866</v>
      </c>
      <c r="FA101" s="1019">
        <f t="shared" si="312"/>
        <v>295769.04849336314</v>
      </c>
      <c r="FB101" s="1019">
        <f t="shared" si="313"/>
        <v>2661921.4364402685</v>
      </c>
      <c r="FC101" s="1019">
        <f t="shared" si="314"/>
        <v>147884.52424668195</v>
      </c>
      <c r="FD101" s="1020"/>
      <c r="FE101" s="1021"/>
      <c r="FF101" s="1022">
        <f t="shared" si="315"/>
        <v>2514036.9121935866</v>
      </c>
      <c r="FG101" s="1022">
        <f t="shared" si="316"/>
        <v>213693.13753645489</v>
      </c>
      <c r="FH101" s="1022">
        <f t="shared" si="317"/>
        <v>106846.56876822744</v>
      </c>
      <c r="FI101" s="1023">
        <f t="shared" si="318"/>
        <v>2661921.4364402685</v>
      </c>
      <c r="FJ101" s="1023">
        <f t="shared" si="319"/>
        <v>226263.32209742285</v>
      </c>
      <c r="FK101" s="1023">
        <f t="shared" si="320"/>
        <v>113131.66104871142</v>
      </c>
      <c r="FL101" s="1019">
        <f t="shared" si="321"/>
        <v>12570.184560967959</v>
      </c>
      <c r="FM101" s="1019">
        <f t="shared" si="322"/>
        <v>6285.0922804839793</v>
      </c>
      <c r="FN101" s="1019" t="str">
        <f t="shared" si="323"/>
        <v>VS</v>
      </c>
      <c r="FO101" s="1019">
        <f t="shared" si="324"/>
        <v>27537.409960060559</v>
      </c>
      <c r="FP101" s="1019">
        <f t="shared" si="325"/>
        <v>-21252.317679576579</v>
      </c>
      <c r="FQ101" s="1021"/>
      <c r="FR101" s="1021"/>
      <c r="FS101" s="1020"/>
      <c r="FT101" s="503"/>
      <c r="FU101" s="956"/>
      <c r="FV101" s="503"/>
      <c r="FW101" s="503"/>
      <c r="FX101" s="1040"/>
      <c r="FY101" s="503"/>
      <c r="FZ101" s="503"/>
      <c r="GA101" s="503"/>
      <c r="GE101" s="503"/>
      <c r="GF101" s="1059"/>
      <c r="GG101" s="956"/>
      <c r="GH101" s="945"/>
      <c r="GI101" s="1024">
        <f t="shared" si="258"/>
        <v>3594894.5542955669</v>
      </c>
      <c r="GJ101" s="1025">
        <f t="shared" si="259"/>
        <v>0.125</v>
      </c>
      <c r="GK101" s="1024">
        <f t="shared" si="260"/>
        <v>449361.81928694586</v>
      </c>
      <c r="GL101" s="1024">
        <f t="shared" si="261"/>
        <v>30000</v>
      </c>
      <c r="GM101" s="1024">
        <f t="shared" si="262"/>
        <v>419361.81928694586</v>
      </c>
      <c r="GN101" s="1024">
        <f t="shared" si="263"/>
        <v>1</v>
      </c>
      <c r="GO101" s="1024">
        <f t="shared" si="264"/>
        <v>419361.81928694586</v>
      </c>
      <c r="GP101" s="1025">
        <f t="shared" si="265"/>
        <v>0.875</v>
      </c>
      <c r="GQ101" s="1024">
        <f t="shared" si="266"/>
        <v>3145532.7350086211</v>
      </c>
      <c r="GR101" s="1024">
        <f t="shared" si="267"/>
        <v>24387.281814065114</v>
      </c>
      <c r="GS101" s="1024">
        <f t="shared" si="268"/>
        <v>28272.937491175042</v>
      </c>
      <c r="GT101" s="1024">
        <f t="shared" si="269"/>
        <v>36522.302219425015</v>
      </c>
      <c r="GU101" s="1024">
        <f t="shared" si="270"/>
        <v>62285.318201074391</v>
      </c>
      <c r="GV101" s="945"/>
      <c r="GW101" s="1024">
        <f t="shared" si="271"/>
        <v>3594894.5542955669</v>
      </c>
      <c r="GX101" s="1025">
        <f t="shared" si="272"/>
        <v>0.125</v>
      </c>
      <c r="GY101" s="1024">
        <f t="shared" si="273"/>
        <v>449361.81928694586</v>
      </c>
      <c r="GZ101" s="1024">
        <f t="shared" si="274"/>
        <v>30000</v>
      </c>
      <c r="HA101" s="1024">
        <f t="shared" si="275"/>
        <v>419361.81928694586</v>
      </c>
      <c r="HB101" s="1026">
        <f t="shared" si="276"/>
        <v>25</v>
      </c>
      <c r="HC101" s="1009">
        <f t="shared" si="277"/>
        <v>16774.472771477835</v>
      </c>
      <c r="HD101" s="1027">
        <f t="shared" si="278"/>
        <v>0.875</v>
      </c>
      <c r="HE101" s="1009">
        <f t="shared" si="279"/>
        <v>3145532.7350086211</v>
      </c>
      <c r="HF101" s="1008">
        <f t="shared" si="280"/>
        <v>24387.281814065114</v>
      </c>
      <c r="HG101" s="1008">
        <f t="shared" si="281"/>
        <v>28272.937491175042</v>
      </c>
      <c r="HH101" s="1008">
        <f t="shared" si="282"/>
        <v>36522.302219425015</v>
      </c>
      <c r="HI101" s="1008">
        <f t="shared" si="283"/>
        <v>62285.318201074391</v>
      </c>
      <c r="HJ101" s="945"/>
      <c r="HK101" s="1009">
        <f t="shared" si="284"/>
        <v>-402587.34651546803</v>
      </c>
      <c r="HL101" s="503"/>
      <c r="HM101" s="503"/>
      <c r="HN101" s="503"/>
      <c r="HO101" s="503"/>
      <c r="HP101" s="503"/>
      <c r="HQ101" s="503"/>
      <c r="HR101" s="956">
        <f t="shared" si="285"/>
        <v>0</v>
      </c>
      <c r="HS101" s="503"/>
      <c r="HT101" s="503"/>
      <c r="HU101" s="956"/>
      <c r="HV101" s="503"/>
      <c r="HW101" s="956"/>
      <c r="HX101" s="956"/>
      <c r="HY101" s="503"/>
      <c r="HZ101" s="503"/>
      <c r="IA101" s="503"/>
      <c r="ID101" s="1394"/>
    </row>
    <row r="102" spans="1:238" s="1051" customFormat="1" ht="14.25" hidden="1" customHeight="1">
      <c r="A102" s="1018">
        <f t="shared" si="326"/>
        <v>96</v>
      </c>
      <c r="B102" s="716" t="s">
        <v>264</v>
      </c>
      <c r="C102" s="741">
        <f t="shared" si="337"/>
        <v>12</v>
      </c>
      <c r="D102" s="716" t="s">
        <v>276</v>
      </c>
      <c r="E102" s="743" t="str">
        <f t="shared" si="332"/>
        <v>7th Floor</v>
      </c>
      <c r="F102" s="1048"/>
      <c r="G102" s="745" t="s">
        <v>500</v>
      </c>
      <c r="H102" s="745" t="s">
        <v>331</v>
      </c>
      <c r="I102" s="745" t="s">
        <v>267</v>
      </c>
      <c r="J102" s="1005">
        <v>22</v>
      </c>
      <c r="K102" s="1049"/>
      <c r="L102" s="1006" t="s">
        <v>268</v>
      </c>
      <c r="M102" s="745" t="s">
        <v>79</v>
      </c>
      <c r="N102" s="1050">
        <v>95909.091</v>
      </c>
      <c r="O102" s="934">
        <f t="shared" si="298"/>
        <v>2110000.0019999999</v>
      </c>
      <c r="P102" s="934">
        <f t="shared" si="327"/>
        <v>22400</v>
      </c>
      <c r="Q102" s="934">
        <f t="shared" si="293"/>
        <v>50000</v>
      </c>
      <c r="R102" s="934"/>
      <c r="S102" s="934"/>
      <c r="T102" s="934"/>
      <c r="U102" s="934"/>
      <c r="V102" s="749"/>
      <c r="W102" s="934"/>
      <c r="X102" s="934"/>
      <c r="Y102" s="934">
        <f t="shared" si="338"/>
        <v>60000</v>
      </c>
      <c r="Z102" s="934">
        <f t="shared" si="299"/>
        <v>75000</v>
      </c>
      <c r="AA102" s="934"/>
      <c r="AB102" s="934"/>
      <c r="AC102" s="934"/>
      <c r="AD102" s="934"/>
      <c r="AE102" s="934">
        <f t="shared" si="199"/>
        <v>207400</v>
      </c>
      <c r="AF102" s="1005">
        <f t="shared" si="200"/>
        <v>2317400.0019999999</v>
      </c>
      <c r="AG102" s="1005">
        <f t="shared" si="220"/>
        <v>57935.000050000002</v>
      </c>
      <c r="AH102" s="1005">
        <f t="shared" si="221"/>
        <v>2375335.0020499998</v>
      </c>
      <c r="AI102" s="1005">
        <f t="shared" si="222"/>
        <v>59383.375051249997</v>
      </c>
      <c r="AJ102" s="1005">
        <f t="shared" si="223"/>
        <v>2434718.37710125</v>
      </c>
      <c r="AK102" s="1005">
        <f t="shared" si="224"/>
        <v>121735.91885506251</v>
      </c>
      <c r="AL102" s="1005">
        <f t="shared" si="300"/>
        <v>2556454.2959563127</v>
      </c>
      <c r="AM102" s="934">
        <f t="shared" si="225"/>
        <v>25564.542959563129</v>
      </c>
      <c r="AN102" s="934">
        <f t="shared" si="226"/>
        <v>27537.409960060559</v>
      </c>
      <c r="AO102" s="934"/>
      <c r="AP102" s="934">
        <f t="shared" si="301"/>
        <v>113131.66104871142</v>
      </c>
      <c r="AQ102" s="1005">
        <f t="shared" si="201"/>
        <v>2722687.9099246473</v>
      </c>
      <c r="AR102" s="1005">
        <f t="shared" si="227"/>
        <v>122520.95594660913</v>
      </c>
      <c r="AS102" s="1147">
        <f t="shared" si="228"/>
        <v>2845208.8658712562</v>
      </c>
      <c r="AT102" s="1148">
        <f t="shared" si="302"/>
        <v>2000000</v>
      </c>
      <c r="AU102" s="1148">
        <f t="shared" si="202"/>
        <v>38418.584812329827</v>
      </c>
      <c r="AV102" s="1148">
        <f t="shared" si="303"/>
        <v>845208.86587125622</v>
      </c>
      <c r="AW102" s="1148">
        <f t="shared" si="203"/>
        <v>101425.06390455074</v>
      </c>
      <c r="AX102" s="1148">
        <f t="shared" si="204"/>
        <v>946633.92977580696</v>
      </c>
      <c r="AY102" s="1147">
        <f t="shared" si="229"/>
        <v>2946633.9297758071</v>
      </c>
      <c r="AZ102" s="934">
        <f t="shared" si="230"/>
        <v>36832.92412219759</v>
      </c>
      <c r="BA102" s="716" t="s">
        <v>269</v>
      </c>
      <c r="BB102" s="716">
        <f t="shared" si="205"/>
        <v>2983466.8538980046</v>
      </c>
      <c r="BC102" s="716" t="s">
        <v>269</v>
      </c>
      <c r="BD102" s="716">
        <f t="shared" si="231"/>
        <v>111880.00702117517</v>
      </c>
      <c r="BE102" s="716">
        <f t="shared" si="232"/>
        <v>33600</v>
      </c>
      <c r="BF102" s="716">
        <f t="shared" si="233"/>
        <v>3128946.8609191799</v>
      </c>
      <c r="BG102" s="716"/>
      <c r="BH102" s="716">
        <f t="shared" si="234"/>
        <v>3128946.8609191799</v>
      </c>
      <c r="BI102" s="716"/>
      <c r="BJ102" s="716">
        <f t="shared" si="235"/>
        <v>3128946.8609191799</v>
      </c>
      <c r="BK102" s="716"/>
      <c r="BL102" s="716">
        <f t="shared" si="236"/>
        <v>3128946.8609191799</v>
      </c>
      <c r="BM102" s="716"/>
      <c r="BN102" s="716">
        <f t="shared" si="206"/>
        <v>3128946.8609191799</v>
      </c>
      <c r="BO102" s="716"/>
      <c r="BP102" s="716">
        <f t="shared" si="237"/>
        <v>3128946.8609191799</v>
      </c>
      <c r="BQ102" s="716"/>
      <c r="BR102" s="716">
        <f t="shared" si="238"/>
        <v>3128946.8609191799</v>
      </c>
      <c r="BS102" s="716"/>
      <c r="BT102" s="716">
        <f t="shared" si="239"/>
        <v>3128946.8609191799</v>
      </c>
      <c r="BU102" s="716"/>
      <c r="BV102" s="716">
        <f t="shared" si="207"/>
        <v>3128946.8609191799</v>
      </c>
      <c r="BW102" s="716"/>
      <c r="BX102" s="716">
        <f t="shared" si="329"/>
        <v>31400</v>
      </c>
      <c r="BY102" s="716">
        <f t="shared" si="240"/>
        <v>3160346.8609191799</v>
      </c>
      <c r="BZ102" s="716"/>
      <c r="CA102" s="716">
        <f t="shared" si="241"/>
        <v>3160346.8609191799</v>
      </c>
      <c r="CB102" s="1135">
        <f t="shared" si="242"/>
        <v>3160346.8609191799</v>
      </c>
      <c r="CC102" s="1164">
        <f t="shared" si="286"/>
        <v>3160346.8609191799</v>
      </c>
      <c r="CD102" s="1164"/>
      <c r="CE102" s="1164">
        <f t="shared" si="243"/>
        <v>0</v>
      </c>
      <c r="CF102" s="1164">
        <f t="shared" si="291"/>
        <v>0</v>
      </c>
      <c r="CG102" s="1164">
        <f t="shared" si="292"/>
        <v>0</v>
      </c>
      <c r="CH102" s="1154">
        <f t="shared" si="339"/>
        <v>3160346.8609191799</v>
      </c>
      <c r="CI102" s="935">
        <f t="shared" si="340"/>
        <v>3160346.8609191799</v>
      </c>
      <c r="CJ102" s="935">
        <f t="shared" si="244"/>
        <v>0</v>
      </c>
      <c r="CK102" s="935">
        <f t="shared" si="208"/>
        <v>323935.5532442159</v>
      </c>
      <c r="CL102" s="935">
        <f t="shared" si="209"/>
        <v>110612.14013217131</v>
      </c>
      <c r="CM102" s="1006">
        <f t="shared" si="306"/>
        <v>3594894.5542955669</v>
      </c>
      <c r="CN102" s="1007">
        <f t="shared" si="307"/>
        <v>0.125</v>
      </c>
      <c r="CO102" s="935">
        <f t="shared" si="210"/>
        <v>449361.81928694586</v>
      </c>
      <c r="CP102" s="935">
        <f t="shared" si="330"/>
        <v>30000</v>
      </c>
      <c r="CQ102" s="935">
        <f t="shared" si="211"/>
        <v>419361.81928694586</v>
      </c>
      <c r="CR102" s="745">
        <f t="shared" si="308"/>
        <v>1</v>
      </c>
      <c r="CS102" s="935">
        <f t="shared" si="212"/>
        <v>419361.81928694586</v>
      </c>
      <c r="CT102" s="1007">
        <f t="shared" si="245"/>
        <v>0.875</v>
      </c>
      <c r="CU102" s="935">
        <f t="shared" si="246"/>
        <v>3145532.7350086211</v>
      </c>
      <c r="CV102" s="1008">
        <f t="shared" si="247"/>
        <v>24387.281814065114</v>
      </c>
      <c r="CW102" s="1008">
        <f t="shared" si="248"/>
        <v>28272.937491175042</v>
      </c>
      <c r="CX102" s="1008">
        <f t="shared" si="249"/>
        <v>36522.302219425015</v>
      </c>
      <c r="CY102" s="1008">
        <f t="shared" si="250"/>
        <v>62285.318201074391</v>
      </c>
      <c r="CZ102" s="1119">
        <f t="shared" si="251"/>
        <v>255521.62218548471</v>
      </c>
      <c r="DA102" s="1119">
        <f t="shared" si="252"/>
        <v>101108.66118151163</v>
      </c>
      <c r="DB102" s="1119">
        <f t="shared" si="253"/>
        <v>73029.353949761615</v>
      </c>
      <c r="DC102" s="1119">
        <f t="shared" si="254"/>
        <v>55578.700453579295</v>
      </c>
      <c r="DD102" s="1028">
        <f t="shared" si="294"/>
        <v>0.4226044329356281</v>
      </c>
      <c r="DE102" s="1028">
        <f t="shared" si="341"/>
        <v>0</v>
      </c>
      <c r="DF102" s="1009" t="s">
        <v>270</v>
      </c>
      <c r="DG102" s="1009" t="s">
        <v>271</v>
      </c>
      <c r="DH102" s="966">
        <f t="shared" si="287"/>
        <v>45658</v>
      </c>
      <c r="DI102" s="912">
        <f t="shared" si="255"/>
        <v>14</v>
      </c>
      <c r="DJ102" s="939"/>
      <c r="DK102" s="913">
        <f t="shared" si="213"/>
        <v>45723</v>
      </c>
      <c r="DL102" s="912">
        <f t="shared" si="256"/>
        <v>16</v>
      </c>
      <c r="DM102" s="750" t="s">
        <v>272</v>
      </c>
      <c r="DN102" s="750" t="s">
        <v>273</v>
      </c>
      <c r="DO102" s="751">
        <f t="shared" si="214"/>
        <v>43028.814989809405</v>
      </c>
      <c r="DP102" s="751">
        <f t="shared" si="215"/>
        <v>946633.92977580696</v>
      </c>
      <c r="DQ102" s="752">
        <f t="shared" si="295"/>
        <v>0.47331696488790348</v>
      </c>
      <c r="DR102" s="503"/>
      <c r="DS102" s="751">
        <f t="shared" si="296"/>
        <v>3160346.8609191799</v>
      </c>
      <c r="DT102" s="751">
        <f>'[4]INTERNAL PRICELIST'!N96</f>
        <v>2111900</v>
      </c>
      <c r="DU102" s="751">
        <f t="shared" si="216"/>
        <v>1048446.8609191799</v>
      </c>
      <c r="DV102" s="503"/>
      <c r="DW102" s="951">
        <f t="shared" si="297"/>
        <v>143652.13004178091</v>
      </c>
      <c r="DX102" s="503"/>
      <c r="DZ102" s="1010" t="s">
        <v>500</v>
      </c>
      <c r="EA102" s="1052" t="b">
        <f t="shared" si="217"/>
        <v>1</v>
      </c>
      <c r="EB102" s="1072" t="s">
        <v>501</v>
      </c>
      <c r="EC102" s="1072" t="s">
        <v>486</v>
      </c>
      <c r="ED102" s="503"/>
      <c r="EH102" s="930"/>
      <c r="EI102" s="930"/>
      <c r="EJ102" s="503"/>
      <c r="EK102" s="503"/>
      <c r="EL102" s="503"/>
      <c r="EM102" s="503"/>
      <c r="EN102" s="503"/>
      <c r="EO102" s="503"/>
      <c r="EP102" s="503"/>
      <c r="EQ102" s="503"/>
      <c r="ER102" s="1017" t="s">
        <v>264</v>
      </c>
      <c r="ES102" s="1391" t="s">
        <v>264</v>
      </c>
      <c r="ET102" s="1018" t="b">
        <f t="shared" si="257"/>
        <v>1</v>
      </c>
      <c r="EU102" s="940"/>
      <c r="EV102" s="941"/>
      <c r="EW102" s="940"/>
      <c r="EX102" s="1019">
        <v>2957690.4849336315</v>
      </c>
      <c r="EY102" s="1019">
        <f t="shared" si="310"/>
        <v>443653.57274004474</v>
      </c>
      <c r="EZ102" s="1019">
        <f t="shared" si="311"/>
        <v>2514036.9121935866</v>
      </c>
      <c r="FA102" s="1019">
        <f t="shared" si="312"/>
        <v>295769.04849336314</v>
      </c>
      <c r="FB102" s="1019">
        <f t="shared" si="313"/>
        <v>2661921.4364402685</v>
      </c>
      <c r="FC102" s="1019">
        <f t="shared" si="314"/>
        <v>147884.52424668195</v>
      </c>
      <c r="FD102" s="1020"/>
      <c r="FE102" s="1021"/>
      <c r="FF102" s="1022">
        <f t="shared" si="315"/>
        <v>2514036.9121935866</v>
      </c>
      <c r="FG102" s="1022">
        <f t="shared" si="316"/>
        <v>213693.13753645489</v>
      </c>
      <c r="FH102" s="1022">
        <f t="shared" si="317"/>
        <v>106846.56876822744</v>
      </c>
      <c r="FI102" s="1023">
        <f t="shared" si="318"/>
        <v>2661921.4364402685</v>
      </c>
      <c r="FJ102" s="1023">
        <f t="shared" si="319"/>
        <v>226263.32209742285</v>
      </c>
      <c r="FK102" s="1023">
        <f t="shared" si="320"/>
        <v>113131.66104871142</v>
      </c>
      <c r="FL102" s="1019">
        <f t="shared" si="321"/>
        <v>12570.184560967959</v>
      </c>
      <c r="FM102" s="1019">
        <f t="shared" si="322"/>
        <v>6285.0922804839793</v>
      </c>
      <c r="FN102" s="1019" t="str">
        <f t="shared" si="323"/>
        <v>VS</v>
      </c>
      <c r="FO102" s="1019">
        <f t="shared" si="324"/>
        <v>27537.409960060559</v>
      </c>
      <c r="FP102" s="1019">
        <f t="shared" si="325"/>
        <v>-21252.317679576579</v>
      </c>
      <c r="FQ102" s="1021"/>
      <c r="FR102" s="1021"/>
      <c r="FS102" s="1020"/>
      <c r="FT102" s="503"/>
      <c r="FU102" s="956"/>
      <c r="FV102" s="503"/>
      <c r="FW102" s="503"/>
      <c r="FX102" s="1040"/>
      <c r="FY102" s="503"/>
      <c r="FZ102" s="503"/>
      <c r="GA102" s="503"/>
      <c r="GE102" s="503"/>
      <c r="GF102" s="1059"/>
      <c r="GG102" s="956"/>
      <c r="GH102" s="945"/>
      <c r="GI102" s="1024">
        <f t="shared" si="258"/>
        <v>3594894.5542955669</v>
      </c>
      <c r="GJ102" s="1025">
        <f t="shared" si="259"/>
        <v>0.125</v>
      </c>
      <c r="GK102" s="1024">
        <f t="shared" si="260"/>
        <v>449361.81928694586</v>
      </c>
      <c r="GL102" s="1024">
        <f t="shared" si="261"/>
        <v>30000</v>
      </c>
      <c r="GM102" s="1024">
        <f t="shared" si="262"/>
        <v>419361.81928694586</v>
      </c>
      <c r="GN102" s="1024">
        <f t="shared" si="263"/>
        <v>1</v>
      </c>
      <c r="GO102" s="1024">
        <f t="shared" si="264"/>
        <v>419361.81928694586</v>
      </c>
      <c r="GP102" s="1025">
        <f t="shared" si="265"/>
        <v>0.875</v>
      </c>
      <c r="GQ102" s="1024">
        <f t="shared" si="266"/>
        <v>3145532.7350086211</v>
      </c>
      <c r="GR102" s="1024">
        <f t="shared" si="267"/>
        <v>24387.281814065114</v>
      </c>
      <c r="GS102" s="1024">
        <f t="shared" si="268"/>
        <v>28272.937491175042</v>
      </c>
      <c r="GT102" s="1024">
        <f t="shared" si="269"/>
        <v>36522.302219425015</v>
      </c>
      <c r="GU102" s="1024">
        <f t="shared" si="270"/>
        <v>62285.318201074391</v>
      </c>
      <c r="GV102" s="945"/>
      <c r="GW102" s="1024">
        <f t="shared" si="271"/>
        <v>3594894.5542955669</v>
      </c>
      <c r="GX102" s="1025">
        <f t="shared" si="272"/>
        <v>0.125</v>
      </c>
      <c r="GY102" s="1024">
        <f t="shared" si="273"/>
        <v>449361.81928694586</v>
      </c>
      <c r="GZ102" s="1024">
        <f t="shared" si="274"/>
        <v>30000</v>
      </c>
      <c r="HA102" s="1024">
        <f t="shared" si="275"/>
        <v>419361.81928694586</v>
      </c>
      <c r="HB102" s="1026">
        <f t="shared" si="276"/>
        <v>25</v>
      </c>
      <c r="HC102" s="1009">
        <f t="shared" si="277"/>
        <v>16774.472771477835</v>
      </c>
      <c r="HD102" s="1027">
        <f t="shared" si="278"/>
        <v>0.875</v>
      </c>
      <c r="HE102" s="1009">
        <f t="shared" si="279"/>
        <v>3145532.7350086211</v>
      </c>
      <c r="HF102" s="1008">
        <f t="shared" si="280"/>
        <v>24387.281814065114</v>
      </c>
      <c r="HG102" s="1008">
        <f t="shared" si="281"/>
        <v>28272.937491175042</v>
      </c>
      <c r="HH102" s="1008">
        <f t="shared" si="282"/>
        <v>36522.302219425015</v>
      </c>
      <c r="HI102" s="1008">
        <f t="shared" si="283"/>
        <v>62285.318201074391</v>
      </c>
      <c r="HJ102" s="945"/>
      <c r="HK102" s="1009">
        <f t="shared" si="284"/>
        <v>-402587.34651546803</v>
      </c>
      <c r="HL102" s="503"/>
      <c r="HM102" s="503"/>
      <c r="HN102" s="503"/>
      <c r="HO102" s="503"/>
      <c r="HP102" s="503"/>
      <c r="HQ102" s="503"/>
      <c r="HR102" s="956">
        <f t="shared" si="285"/>
        <v>0</v>
      </c>
      <c r="HS102" s="503"/>
      <c r="HT102" s="503"/>
      <c r="HU102" s="956"/>
      <c r="HV102" s="503"/>
      <c r="HW102" s="956"/>
      <c r="HX102" s="956"/>
      <c r="HY102" s="503"/>
      <c r="HZ102" s="503"/>
      <c r="IA102" s="503"/>
      <c r="ID102" s="1394"/>
    </row>
    <row r="103" spans="1:238" s="1051" customFormat="1" ht="14.25" hidden="1" customHeight="1">
      <c r="A103" s="1018">
        <f t="shared" si="326"/>
        <v>97</v>
      </c>
      <c r="B103" s="716" t="s">
        <v>264</v>
      </c>
      <c r="C103" s="741">
        <f t="shared" si="337"/>
        <v>13</v>
      </c>
      <c r="D103" s="716" t="s">
        <v>276</v>
      </c>
      <c r="E103" s="743" t="str">
        <f>D103</f>
        <v>7th Floor</v>
      </c>
      <c r="F103" s="1048"/>
      <c r="G103" s="745" t="s">
        <v>502</v>
      </c>
      <c r="H103" s="745" t="s">
        <v>336</v>
      </c>
      <c r="I103" s="745" t="s">
        <v>267</v>
      </c>
      <c r="J103" s="1005">
        <v>22</v>
      </c>
      <c r="K103" s="1049"/>
      <c r="L103" s="1006" t="s">
        <v>268</v>
      </c>
      <c r="M103" s="745" t="s">
        <v>79</v>
      </c>
      <c r="N103" s="1050">
        <v>95909.091</v>
      </c>
      <c r="O103" s="934">
        <f t="shared" si="298"/>
        <v>2110000.0019999999</v>
      </c>
      <c r="P103" s="934">
        <f t="shared" si="327"/>
        <v>22400</v>
      </c>
      <c r="Q103" s="934">
        <f t="shared" si="293"/>
        <v>50000</v>
      </c>
      <c r="R103" s="934"/>
      <c r="S103" s="934"/>
      <c r="T103" s="934"/>
      <c r="U103" s="934"/>
      <c r="V103" s="934"/>
      <c r="W103" s="749"/>
      <c r="X103" s="934"/>
      <c r="Y103" s="934">
        <f t="shared" si="338"/>
        <v>60000</v>
      </c>
      <c r="Z103" s="934">
        <f t="shared" si="299"/>
        <v>75000</v>
      </c>
      <c r="AA103" s="934"/>
      <c r="AB103" s="934"/>
      <c r="AC103" s="934"/>
      <c r="AD103" s="934"/>
      <c r="AE103" s="934">
        <f t="shared" si="199"/>
        <v>207400</v>
      </c>
      <c r="AF103" s="1005">
        <f t="shared" si="200"/>
        <v>2317400.0019999999</v>
      </c>
      <c r="AG103" s="1005">
        <f t="shared" si="220"/>
        <v>57935.000050000002</v>
      </c>
      <c r="AH103" s="1005">
        <f t="shared" si="221"/>
        <v>2375335.0020499998</v>
      </c>
      <c r="AI103" s="1005">
        <f t="shared" si="222"/>
        <v>59383.375051249997</v>
      </c>
      <c r="AJ103" s="1005">
        <f t="shared" si="223"/>
        <v>2434718.37710125</v>
      </c>
      <c r="AK103" s="1005">
        <f t="shared" si="224"/>
        <v>121735.91885506251</v>
      </c>
      <c r="AL103" s="1005">
        <f t="shared" si="300"/>
        <v>2556454.2959563127</v>
      </c>
      <c r="AM103" s="934">
        <f t="shared" si="225"/>
        <v>25564.542959563129</v>
      </c>
      <c r="AN103" s="934">
        <f t="shared" si="226"/>
        <v>27537.409960060559</v>
      </c>
      <c r="AO103" s="934"/>
      <c r="AP103" s="934">
        <f t="shared" si="301"/>
        <v>113131.66104871142</v>
      </c>
      <c r="AQ103" s="1005">
        <f t="shared" si="201"/>
        <v>2722687.9099246473</v>
      </c>
      <c r="AR103" s="1005">
        <f t="shared" si="227"/>
        <v>122520.95594660913</v>
      </c>
      <c r="AS103" s="1147">
        <f t="shared" si="228"/>
        <v>2845208.8658712562</v>
      </c>
      <c r="AT103" s="1148">
        <f t="shared" si="302"/>
        <v>2000000</v>
      </c>
      <c r="AU103" s="1148">
        <f t="shared" ref="AU103:AU108" si="342">AV103/J103</f>
        <v>38418.584812329827</v>
      </c>
      <c r="AV103" s="1148">
        <f t="shared" si="303"/>
        <v>845208.86587125622</v>
      </c>
      <c r="AW103" s="1148">
        <f t="shared" si="203"/>
        <v>101425.06390455074</v>
      </c>
      <c r="AX103" s="1148">
        <f t="shared" si="204"/>
        <v>946633.92977580696</v>
      </c>
      <c r="AY103" s="1147">
        <f t="shared" si="229"/>
        <v>2946633.9297758071</v>
      </c>
      <c r="AZ103" s="934">
        <f t="shared" si="230"/>
        <v>36832.92412219759</v>
      </c>
      <c r="BA103" s="716" t="s">
        <v>269</v>
      </c>
      <c r="BB103" s="716">
        <f t="shared" ref="BB103:BB123" si="343">SUM(AY103:BA103)</f>
        <v>2983466.8538980046</v>
      </c>
      <c r="BC103" s="716" t="s">
        <v>269</v>
      </c>
      <c r="BD103" s="716">
        <f t="shared" si="231"/>
        <v>111880.00702117517</v>
      </c>
      <c r="BE103" s="716">
        <f t="shared" si="232"/>
        <v>33600</v>
      </c>
      <c r="BF103" s="716">
        <f t="shared" si="233"/>
        <v>3128946.8609191799</v>
      </c>
      <c r="BG103" s="716"/>
      <c r="BH103" s="716">
        <f t="shared" si="234"/>
        <v>3128946.8609191799</v>
      </c>
      <c r="BI103" s="716"/>
      <c r="BJ103" s="716">
        <f t="shared" si="235"/>
        <v>3128946.8609191799</v>
      </c>
      <c r="BK103" s="716"/>
      <c r="BL103" s="716">
        <f t="shared" si="236"/>
        <v>3128946.8609191799</v>
      </c>
      <c r="BM103" s="716"/>
      <c r="BN103" s="716">
        <f t="shared" si="206"/>
        <v>3128946.8609191799</v>
      </c>
      <c r="BO103" s="716"/>
      <c r="BP103" s="716">
        <f t="shared" si="237"/>
        <v>3128946.8609191799</v>
      </c>
      <c r="BQ103" s="716"/>
      <c r="BR103" s="716">
        <f t="shared" si="238"/>
        <v>3128946.8609191799</v>
      </c>
      <c r="BS103" s="716"/>
      <c r="BT103" s="716">
        <f t="shared" si="239"/>
        <v>3128946.8609191799</v>
      </c>
      <c r="BU103" s="716"/>
      <c r="BV103" s="716">
        <f t="shared" si="207"/>
        <v>3128946.8609191799</v>
      </c>
      <c r="BW103" s="716"/>
      <c r="BX103" s="716">
        <f t="shared" si="329"/>
        <v>31400</v>
      </c>
      <c r="BY103" s="716">
        <f t="shared" si="240"/>
        <v>3160346.8609191799</v>
      </c>
      <c r="BZ103" s="716"/>
      <c r="CA103" s="716">
        <f t="shared" si="241"/>
        <v>3160346.8609191799</v>
      </c>
      <c r="CB103" s="1135">
        <f t="shared" si="242"/>
        <v>3160346.8609191799</v>
      </c>
      <c r="CC103" s="1164">
        <f t="shared" si="286"/>
        <v>3160346.8609191799</v>
      </c>
      <c r="CD103" s="1164"/>
      <c r="CE103" s="1164">
        <f t="shared" si="243"/>
        <v>0</v>
      </c>
      <c r="CF103" s="1164">
        <f t="shared" si="291"/>
        <v>0</v>
      </c>
      <c r="CG103" s="1164">
        <f t="shared" si="292"/>
        <v>0</v>
      </c>
      <c r="CH103" s="1154">
        <f t="shared" si="339"/>
        <v>3160346.8609191799</v>
      </c>
      <c r="CI103" s="935">
        <f t="shared" si="340"/>
        <v>3160346.8609191799</v>
      </c>
      <c r="CJ103" s="935">
        <f t="shared" si="244"/>
        <v>0</v>
      </c>
      <c r="CK103" s="935">
        <f t="shared" si="208"/>
        <v>323935.5532442159</v>
      </c>
      <c r="CL103" s="935">
        <f t="shared" si="209"/>
        <v>110612.14013217131</v>
      </c>
      <c r="CM103" s="1006">
        <f t="shared" si="306"/>
        <v>3594894.5542955669</v>
      </c>
      <c r="CN103" s="1007">
        <f t="shared" si="307"/>
        <v>0.125</v>
      </c>
      <c r="CO103" s="935">
        <f t="shared" si="210"/>
        <v>449361.81928694586</v>
      </c>
      <c r="CP103" s="935">
        <f t="shared" si="330"/>
        <v>30000</v>
      </c>
      <c r="CQ103" s="935">
        <f t="shared" si="211"/>
        <v>419361.81928694586</v>
      </c>
      <c r="CR103" s="745">
        <f t="shared" si="308"/>
        <v>1</v>
      </c>
      <c r="CS103" s="935">
        <f t="shared" si="212"/>
        <v>419361.81928694586</v>
      </c>
      <c r="CT103" s="1007">
        <f t="shared" si="245"/>
        <v>0.875</v>
      </c>
      <c r="CU103" s="935">
        <f t="shared" si="246"/>
        <v>3145532.7350086211</v>
      </c>
      <c r="CV103" s="1008">
        <f t="shared" si="247"/>
        <v>24387.281814065114</v>
      </c>
      <c r="CW103" s="1008">
        <f t="shared" si="248"/>
        <v>28272.937491175042</v>
      </c>
      <c r="CX103" s="1008">
        <f t="shared" si="249"/>
        <v>36522.302219425015</v>
      </c>
      <c r="CY103" s="1008">
        <f t="shared" si="250"/>
        <v>62285.318201074391</v>
      </c>
      <c r="CZ103" s="1119">
        <f t="shared" si="251"/>
        <v>255521.62218548471</v>
      </c>
      <c r="DA103" s="1119">
        <f t="shared" si="252"/>
        <v>101108.66118151163</v>
      </c>
      <c r="DB103" s="1119">
        <f t="shared" si="253"/>
        <v>73029.353949761615</v>
      </c>
      <c r="DC103" s="1119">
        <f t="shared" si="254"/>
        <v>55578.700453579295</v>
      </c>
      <c r="DD103" s="1028">
        <f t="shared" si="294"/>
        <v>0.4226044329356281</v>
      </c>
      <c r="DE103" s="1028">
        <f t="shared" si="341"/>
        <v>0</v>
      </c>
      <c r="DF103" s="1009" t="s">
        <v>270</v>
      </c>
      <c r="DG103" s="1009" t="s">
        <v>271</v>
      </c>
      <c r="DH103" s="966">
        <f t="shared" si="287"/>
        <v>45658</v>
      </c>
      <c r="DI103" s="912">
        <f t="shared" si="255"/>
        <v>14</v>
      </c>
      <c r="DJ103" s="939"/>
      <c r="DK103" s="913">
        <f t="shared" si="213"/>
        <v>45723</v>
      </c>
      <c r="DL103" s="912">
        <f t="shared" si="256"/>
        <v>16</v>
      </c>
      <c r="DM103" s="750" t="s">
        <v>272</v>
      </c>
      <c r="DN103" s="750" t="s">
        <v>273</v>
      </c>
      <c r="DO103" s="751">
        <f t="shared" si="214"/>
        <v>43028.814989809405</v>
      </c>
      <c r="DP103" s="751">
        <f t="shared" si="215"/>
        <v>946633.92977580696</v>
      </c>
      <c r="DQ103" s="752">
        <f t="shared" si="295"/>
        <v>0.47331696488790348</v>
      </c>
      <c r="DR103" s="503"/>
      <c r="DS103" s="751">
        <f t="shared" si="296"/>
        <v>3160346.8609191799</v>
      </c>
      <c r="DT103" s="751">
        <f>'[4]INTERNAL PRICELIST'!N97</f>
        <v>2111900</v>
      </c>
      <c r="DU103" s="751">
        <f t="shared" si="216"/>
        <v>1048446.8609191799</v>
      </c>
      <c r="DV103" s="503"/>
      <c r="DW103" s="951">
        <f t="shared" si="297"/>
        <v>143652.13004178091</v>
      </c>
      <c r="DX103" s="503"/>
      <c r="DZ103" s="1010" t="s">
        <v>502</v>
      </c>
      <c r="EA103" s="1052" t="b">
        <f t="shared" si="217"/>
        <v>1</v>
      </c>
      <c r="EB103" s="1072" t="s">
        <v>501</v>
      </c>
      <c r="EC103" s="1072" t="s">
        <v>486</v>
      </c>
      <c r="ED103" s="503"/>
      <c r="EH103" s="930"/>
      <c r="EI103" s="930"/>
      <c r="EJ103" s="503"/>
      <c r="EK103" s="503"/>
      <c r="EL103" s="503"/>
      <c r="EM103" s="503"/>
      <c r="EN103" s="503"/>
      <c r="EO103" s="503"/>
      <c r="EP103" s="503"/>
      <c r="EQ103" s="503"/>
      <c r="ER103" s="1017" t="s">
        <v>264</v>
      </c>
      <c r="ES103" s="1391" t="s">
        <v>264</v>
      </c>
      <c r="ET103" s="1018" t="b">
        <f t="shared" si="257"/>
        <v>1</v>
      </c>
      <c r="EU103" s="940"/>
      <c r="EV103" s="941"/>
      <c r="EW103" s="940"/>
      <c r="EX103" s="1019">
        <v>2957690.4849336315</v>
      </c>
      <c r="EY103" s="1019">
        <f t="shared" si="310"/>
        <v>443653.57274004474</v>
      </c>
      <c r="EZ103" s="1019">
        <f t="shared" si="311"/>
        <v>2514036.9121935866</v>
      </c>
      <c r="FA103" s="1019">
        <f t="shared" si="312"/>
        <v>295769.04849336314</v>
      </c>
      <c r="FB103" s="1019">
        <f t="shared" si="313"/>
        <v>2661921.4364402685</v>
      </c>
      <c r="FC103" s="1019">
        <f t="shared" si="314"/>
        <v>147884.52424668195</v>
      </c>
      <c r="FD103" s="1020"/>
      <c r="FE103" s="1021"/>
      <c r="FF103" s="1022">
        <f t="shared" si="315"/>
        <v>2514036.9121935866</v>
      </c>
      <c r="FG103" s="1022">
        <f t="shared" si="316"/>
        <v>213693.13753645489</v>
      </c>
      <c r="FH103" s="1022">
        <f t="shared" si="317"/>
        <v>106846.56876822744</v>
      </c>
      <c r="FI103" s="1023">
        <f t="shared" si="318"/>
        <v>2661921.4364402685</v>
      </c>
      <c r="FJ103" s="1023">
        <f t="shared" si="319"/>
        <v>226263.32209742285</v>
      </c>
      <c r="FK103" s="1023">
        <f t="shared" si="320"/>
        <v>113131.66104871142</v>
      </c>
      <c r="FL103" s="1019">
        <f t="shared" si="321"/>
        <v>12570.184560967959</v>
      </c>
      <c r="FM103" s="1019">
        <f t="shared" si="322"/>
        <v>6285.0922804839793</v>
      </c>
      <c r="FN103" s="1019" t="str">
        <f t="shared" si="323"/>
        <v>VS</v>
      </c>
      <c r="FO103" s="1019">
        <f t="shared" si="324"/>
        <v>27537.409960060559</v>
      </c>
      <c r="FP103" s="1019">
        <f t="shared" si="325"/>
        <v>-21252.317679576579</v>
      </c>
      <c r="FQ103" s="1021"/>
      <c r="FR103" s="1021"/>
      <c r="FS103" s="1020"/>
      <c r="FT103" s="503"/>
      <c r="FU103" s="956"/>
      <c r="FV103" s="503"/>
      <c r="FW103" s="503"/>
      <c r="FX103" s="1040"/>
      <c r="FY103" s="503"/>
      <c r="FZ103" s="503"/>
      <c r="GA103" s="503"/>
      <c r="GE103" s="503"/>
      <c r="GF103" s="1059"/>
      <c r="GG103" s="956"/>
      <c r="GH103" s="1058"/>
      <c r="GI103" s="1024">
        <f t="shared" si="258"/>
        <v>3594894.5542955669</v>
      </c>
      <c r="GJ103" s="1025">
        <f t="shared" si="259"/>
        <v>0.125</v>
      </c>
      <c r="GK103" s="1024">
        <f t="shared" si="260"/>
        <v>449361.81928694586</v>
      </c>
      <c r="GL103" s="1024">
        <f t="shared" si="261"/>
        <v>30000</v>
      </c>
      <c r="GM103" s="1024">
        <f t="shared" si="262"/>
        <v>419361.81928694586</v>
      </c>
      <c r="GN103" s="1024">
        <f t="shared" si="263"/>
        <v>1</v>
      </c>
      <c r="GO103" s="1024">
        <f t="shared" si="264"/>
        <v>419361.81928694586</v>
      </c>
      <c r="GP103" s="1025">
        <f t="shared" si="265"/>
        <v>0.875</v>
      </c>
      <c r="GQ103" s="1024">
        <f t="shared" si="266"/>
        <v>3145532.7350086211</v>
      </c>
      <c r="GR103" s="1024">
        <f t="shared" si="267"/>
        <v>24387.281814065114</v>
      </c>
      <c r="GS103" s="1024">
        <f t="shared" si="268"/>
        <v>28272.937491175042</v>
      </c>
      <c r="GT103" s="1024">
        <f t="shared" si="269"/>
        <v>36522.302219425015</v>
      </c>
      <c r="GU103" s="1024">
        <f t="shared" si="270"/>
        <v>62285.318201074391</v>
      </c>
      <c r="GV103" s="945"/>
      <c r="GW103" s="1024">
        <f t="shared" si="271"/>
        <v>3594894.5542955669</v>
      </c>
      <c r="GX103" s="1025">
        <f t="shared" si="272"/>
        <v>0.125</v>
      </c>
      <c r="GY103" s="1024">
        <f t="shared" si="273"/>
        <v>449361.81928694586</v>
      </c>
      <c r="GZ103" s="1024">
        <f t="shared" si="274"/>
        <v>30000</v>
      </c>
      <c r="HA103" s="1024">
        <f t="shared" si="275"/>
        <v>419361.81928694586</v>
      </c>
      <c r="HB103" s="1026">
        <f t="shared" si="276"/>
        <v>25</v>
      </c>
      <c r="HC103" s="1009">
        <f t="shared" si="277"/>
        <v>16774.472771477835</v>
      </c>
      <c r="HD103" s="1027">
        <f t="shared" si="278"/>
        <v>0.875</v>
      </c>
      <c r="HE103" s="1009">
        <f t="shared" si="279"/>
        <v>3145532.7350086211</v>
      </c>
      <c r="HF103" s="1008">
        <f t="shared" si="280"/>
        <v>24387.281814065114</v>
      </c>
      <c r="HG103" s="1008">
        <f t="shared" si="281"/>
        <v>28272.937491175042</v>
      </c>
      <c r="HH103" s="1008">
        <f t="shared" si="282"/>
        <v>36522.302219425015</v>
      </c>
      <c r="HI103" s="1008">
        <f t="shared" si="283"/>
        <v>62285.318201074391</v>
      </c>
      <c r="HJ103" s="945"/>
      <c r="HK103" s="1009">
        <f t="shared" si="284"/>
        <v>-402587.34651546803</v>
      </c>
      <c r="HL103" s="503"/>
      <c r="HM103" s="503"/>
      <c r="HN103" s="503"/>
      <c r="HO103" s="503"/>
      <c r="HP103" s="503"/>
      <c r="HQ103" s="503"/>
      <c r="HR103" s="956">
        <f t="shared" si="285"/>
        <v>0</v>
      </c>
      <c r="HS103" s="503"/>
      <c r="HT103" s="503"/>
      <c r="HU103" s="956"/>
      <c r="HV103" s="503"/>
      <c r="HW103" s="956"/>
      <c r="HX103" s="956"/>
      <c r="HY103" s="503"/>
      <c r="HZ103" s="503"/>
      <c r="IA103" s="503"/>
      <c r="ID103" s="1394"/>
    </row>
    <row r="104" spans="1:238" s="1051" customFormat="1" ht="14.25" hidden="1" customHeight="1">
      <c r="A104" s="1018">
        <f t="shared" si="326"/>
        <v>98</v>
      </c>
      <c r="B104" s="716" t="s">
        <v>264</v>
      </c>
      <c r="C104" s="741">
        <f t="shared" si="337"/>
        <v>14</v>
      </c>
      <c r="D104" s="716" t="s">
        <v>276</v>
      </c>
      <c r="E104" s="743" t="str">
        <f t="shared" ref="E104:E114" si="344">D104</f>
        <v>7th Floor</v>
      </c>
      <c r="F104" s="1048"/>
      <c r="G104" s="745" t="s">
        <v>503</v>
      </c>
      <c r="H104" s="745" t="s">
        <v>338</v>
      </c>
      <c r="I104" s="745" t="s">
        <v>267</v>
      </c>
      <c r="J104" s="1005">
        <v>22</v>
      </c>
      <c r="K104" s="1049"/>
      <c r="L104" s="1006" t="s">
        <v>268</v>
      </c>
      <c r="M104" s="745" t="s">
        <v>79</v>
      </c>
      <c r="N104" s="1050">
        <v>95909.091</v>
      </c>
      <c r="O104" s="934">
        <f t="shared" si="298"/>
        <v>2110000.0019999999</v>
      </c>
      <c r="P104" s="934">
        <f t="shared" si="327"/>
        <v>22400</v>
      </c>
      <c r="Q104" s="934">
        <f t="shared" si="293"/>
        <v>50000</v>
      </c>
      <c r="R104" s="934"/>
      <c r="S104" s="934"/>
      <c r="T104" s="934"/>
      <c r="U104" s="934"/>
      <c r="V104" s="934"/>
      <c r="W104" s="749"/>
      <c r="X104" s="934"/>
      <c r="Y104" s="934">
        <f t="shared" si="338"/>
        <v>60000</v>
      </c>
      <c r="Z104" s="934">
        <f t="shared" si="299"/>
        <v>75000</v>
      </c>
      <c r="AA104" s="934"/>
      <c r="AB104" s="934"/>
      <c r="AC104" s="934"/>
      <c r="AD104" s="934"/>
      <c r="AE104" s="934">
        <f t="shared" si="199"/>
        <v>207400</v>
      </c>
      <c r="AF104" s="1005">
        <f t="shared" si="200"/>
        <v>2317400.0019999999</v>
      </c>
      <c r="AG104" s="1005">
        <f t="shared" si="220"/>
        <v>57935.000050000002</v>
      </c>
      <c r="AH104" s="1005">
        <f t="shared" si="221"/>
        <v>2375335.0020499998</v>
      </c>
      <c r="AI104" s="1005">
        <f t="shared" si="222"/>
        <v>59383.375051249997</v>
      </c>
      <c r="AJ104" s="1005">
        <f t="shared" si="223"/>
        <v>2434718.37710125</v>
      </c>
      <c r="AK104" s="1005">
        <f t="shared" si="224"/>
        <v>121735.91885506251</v>
      </c>
      <c r="AL104" s="1005">
        <f t="shared" si="300"/>
        <v>2556454.2959563127</v>
      </c>
      <c r="AM104" s="934">
        <f t="shared" si="225"/>
        <v>25564.542959563129</v>
      </c>
      <c r="AN104" s="934">
        <f t="shared" si="226"/>
        <v>27537.409960060559</v>
      </c>
      <c r="AO104" s="934"/>
      <c r="AP104" s="934">
        <f t="shared" si="301"/>
        <v>113131.66104871142</v>
      </c>
      <c r="AQ104" s="1005">
        <f t="shared" si="201"/>
        <v>2722687.9099246473</v>
      </c>
      <c r="AR104" s="1005">
        <f t="shared" si="227"/>
        <v>122520.95594660913</v>
      </c>
      <c r="AS104" s="1147">
        <f t="shared" si="228"/>
        <v>2845208.8658712562</v>
      </c>
      <c r="AT104" s="1148">
        <f t="shared" si="302"/>
        <v>2000000</v>
      </c>
      <c r="AU104" s="1148">
        <f t="shared" si="342"/>
        <v>38418.584812329827</v>
      </c>
      <c r="AV104" s="1148">
        <f t="shared" si="303"/>
        <v>845208.86587125622</v>
      </c>
      <c r="AW104" s="1148">
        <f t="shared" si="203"/>
        <v>101425.06390455074</v>
      </c>
      <c r="AX104" s="1148">
        <f t="shared" si="204"/>
        <v>946633.92977580696</v>
      </c>
      <c r="AY104" s="1147">
        <f t="shared" si="229"/>
        <v>2946633.9297758071</v>
      </c>
      <c r="AZ104" s="934">
        <f t="shared" si="230"/>
        <v>36832.92412219759</v>
      </c>
      <c r="BA104" s="716" t="s">
        <v>269</v>
      </c>
      <c r="BB104" s="716">
        <f t="shared" si="343"/>
        <v>2983466.8538980046</v>
      </c>
      <c r="BC104" s="716" t="s">
        <v>269</v>
      </c>
      <c r="BD104" s="716">
        <f t="shared" si="231"/>
        <v>111880.00702117517</v>
      </c>
      <c r="BE104" s="716">
        <f t="shared" si="232"/>
        <v>33600</v>
      </c>
      <c r="BF104" s="716">
        <f t="shared" si="233"/>
        <v>3128946.8609191799</v>
      </c>
      <c r="BG104" s="716"/>
      <c r="BH104" s="716">
        <f t="shared" si="234"/>
        <v>3128946.8609191799</v>
      </c>
      <c r="BI104" s="716"/>
      <c r="BJ104" s="716">
        <f t="shared" si="235"/>
        <v>3128946.8609191799</v>
      </c>
      <c r="BK104" s="716"/>
      <c r="BL104" s="716">
        <f t="shared" si="236"/>
        <v>3128946.8609191799</v>
      </c>
      <c r="BM104" s="716"/>
      <c r="BN104" s="716">
        <f t="shared" si="206"/>
        <v>3128946.8609191799</v>
      </c>
      <c r="BO104" s="716"/>
      <c r="BP104" s="716">
        <f t="shared" si="237"/>
        <v>3128946.8609191799</v>
      </c>
      <c r="BQ104" s="716"/>
      <c r="BR104" s="716">
        <f t="shared" si="238"/>
        <v>3128946.8609191799</v>
      </c>
      <c r="BS104" s="716"/>
      <c r="BT104" s="716">
        <f t="shared" si="239"/>
        <v>3128946.8609191799</v>
      </c>
      <c r="BU104" s="716"/>
      <c r="BV104" s="716">
        <f t="shared" si="207"/>
        <v>3128946.8609191799</v>
      </c>
      <c r="BW104" s="716"/>
      <c r="BX104" s="716">
        <f t="shared" si="329"/>
        <v>31400</v>
      </c>
      <c r="BY104" s="716">
        <f t="shared" si="240"/>
        <v>3160346.8609191799</v>
      </c>
      <c r="BZ104" s="716"/>
      <c r="CA104" s="716">
        <f t="shared" si="241"/>
        <v>3160346.8609191799</v>
      </c>
      <c r="CB104" s="1135">
        <f t="shared" si="242"/>
        <v>3160346.8609191799</v>
      </c>
      <c r="CC104" s="1164">
        <f t="shared" si="286"/>
        <v>3160346.8609191799</v>
      </c>
      <c r="CD104" s="1164"/>
      <c r="CE104" s="1164">
        <f t="shared" si="243"/>
        <v>0</v>
      </c>
      <c r="CF104" s="1164">
        <f t="shared" si="291"/>
        <v>0</v>
      </c>
      <c r="CG104" s="1164">
        <f t="shared" si="292"/>
        <v>0</v>
      </c>
      <c r="CH104" s="1154">
        <f t="shared" si="339"/>
        <v>3160346.8609191799</v>
      </c>
      <c r="CI104" s="935">
        <f t="shared" si="340"/>
        <v>3160346.8609191799</v>
      </c>
      <c r="CJ104" s="935">
        <f t="shared" si="244"/>
        <v>0</v>
      </c>
      <c r="CK104" s="935">
        <f t="shared" si="208"/>
        <v>323935.5532442159</v>
      </c>
      <c r="CL104" s="935">
        <f t="shared" si="209"/>
        <v>110612.14013217131</v>
      </c>
      <c r="CM104" s="1006">
        <f t="shared" si="306"/>
        <v>3594894.5542955669</v>
      </c>
      <c r="CN104" s="1007">
        <f t="shared" si="307"/>
        <v>0.125</v>
      </c>
      <c r="CO104" s="935">
        <f t="shared" si="210"/>
        <v>449361.81928694586</v>
      </c>
      <c r="CP104" s="935">
        <f t="shared" si="330"/>
        <v>30000</v>
      </c>
      <c r="CQ104" s="935">
        <f t="shared" si="211"/>
        <v>419361.81928694586</v>
      </c>
      <c r="CR104" s="745">
        <f t="shared" si="308"/>
        <v>1</v>
      </c>
      <c r="CS104" s="935">
        <f t="shared" si="212"/>
        <v>419361.81928694586</v>
      </c>
      <c r="CT104" s="1007">
        <f t="shared" si="245"/>
        <v>0.875</v>
      </c>
      <c r="CU104" s="935">
        <f t="shared" si="246"/>
        <v>3145532.7350086211</v>
      </c>
      <c r="CV104" s="1008">
        <f t="shared" si="247"/>
        <v>24387.281814065114</v>
      </c>
      <c r="CW104" s="1008">
        <f t="shared" si="248"/>
        <v>28272.937491175042</v>
      </c>
      <c r="CX104" s="1008">
        <f t="shared" si="249"/>
        <v>36522.302219425015</v>
      </c>
      <c r="CY104" s="1008">
        <f t="shared" si="250"/>
        <v>62285.318201074391</v>
      </c>
      <c r="CZ104" s="1119">
        <f t="shared" si="251"/>
        <v>255521.62218548471</v>
      </c>
      <c r="DA104" s="1119">
        <f t="shared" si="252"/>
        <v>101108.66118151163</v>
      </c>
      <c r="DB104" s="1119">
        <f t="shared" si="253"/>
        <v>73029.353949761615</v>
      </c>
      <c r="DC104" s="1119">
        <f t="shared" si="254"/>
        <v>55578.700453579295</v>
      </c>
      <c r="DD104" s="1028">
        <f t="shared" si="294"/>
        <v>0.4226044329356281</v>
      </c>
      <c r="DE104" s="1028">
        <f t="shared" si="341"/>
        <v>0</v>
      </c>
      <c r="DF104" s="1009" t="s">
        <v>270</v>
      </c>
      <c r="DG104" s="1009" t="s">
        <v>271</v>
      </c>
      <c r="DH104" s="966">
        <f t="shared" si="287"/>
        <v>45658</v>
      </c>
      <c r="DI104" s="912">
        <f t="shared" si="255"/>
        <v>14</v>
      </c>
      <c r="DJ104" s="939"/>
      <c r="DK104" s="913">
        <f t="shared" si="213"/>
        <v>45723</v>
      </c>
      <c r="DL104" s="912">
        <f t="shared" si="256"/>
        <v>16</v>
      </c>
      <c r="DM104" s="750" t="s">
        <v>272</v>
      </c>
      <c r="DN104" s="750" t="s">
        <v>273</v>
      </c>
      <c r="DO104" s="751">
        <f t="shared" si="214"/>
        <v>43028.814989809405</v>
      </c>
      <c r="DP104" s="751">
        <f t="shared" si="215"/>
        <v>946633.92977580696</v>
      </c>
      <c r="DQ104" s="752">
        <f t="shared" si="295"/>
        <v>0.47331696488790348</v>
      </c>
      <c r="DR104" s="503"/>
      <c r="DS104" s="751">
        <f t="shared" si="296"/>
        <v>3160346.8609191799</v>
      </c>
      <c r="DT104" s="751">
        <f>'[4]INTERNAL PRICELIST'!N98</f>
        <v>2111900</v>
      </c>
      <c r="DU104" s="751">
        <f t="shared" si="216"/>
        <v>1048446.8609191799</v>
      </c>
      <c r="DV104" s="503"/>
      <c r="DW104" s="951">
        <f t="shared" si="297"/>
        <v>143652.13004178091</v>
      </c>
      <c r="DX104" s="503"/>
      <c r="DZ104" s="1010" t="s">
        <v>503</v>
      </c>
      <c r="EA104" s="1052" t="b">
        <f t="shared" si="217"/>
        <v>1</v>
      </c>
      <c r="EB104" s="1072" t="s">
        <v>379</v>
      </c>
      <c r="EC104" s="1072" t="s">
        <v>486</v>
      </c>
      <c r="ED104" s="503"/>
      <c r="EH104" s="930"/>
      <c r="EI104" s="930"/>
      <c r="EJ104" s="503"/>
      <c r="EK104" s="503"/>
      <c r="EL104" s="503"/>
      <c r="EM104" s="503"/>
      <c r="EN104" s="503"/>
      <c r="EO104" s="503"/>
      <c r="EP104" s="503"/>
      <c r="EQ104" s="503"/>
      <c r="ER104" s="1017" t="s">
        <v>264</v>
      </c>
      <c r="ES104" s="1391" t="s">
        <v>264</v>
      </c>
      <c r="ET104" s="1018" t="b">
        <f t="shared" si="257"/>
        <v>1</v>
      </c>
      <c r="EU104" s="940"/>
      <c r="EV104" s="941"/>
      <c r="EW104" s="940"/>
      <c r="EX104" s="1019">
        <v>2957690.4849336315</v>
      </c>
      <c r="EY104" s="1019">
        <f t="shared" si="310"/>
        <v>443653.57274004474</v>
      </c>
      <c r="EZ104" s="1019">
        <f t="shared" si="311"/>
        <v>2514036.9121935866</v>
      </c>
      <c r="FA104" s="1019">
        <f t="shared" si="312"/>
        <v>295769.04849336314</v>
      </c>
      <c r="FB104" s="1019">
        <f t="shared" si="313"/>
        <v>2661921.4364402685</v>
      </c>
      <c r="FC104" s="1019">
        <f t="shared" si="314"/>
        <v>147884.52424668195</v>
      </c>
      <c r="FD104" s="1020"/>
      <c r="FE104" s="1021"/>
      <c r="FF104" s="1022">
        <f t="shared" si="315"/>
        <v>2514036.9121935866</v>
      </c>
      <c r="FG104" s="1022">
        <f t="shared" si="316"/>
        <v>213693.13753645489</v>
      </c>
      <c r="FH104" s="1022">
        <f t="shared" si="317"/>
        <v>106846.56876822744</v>
      </c>
      <c r="FI104" s="1023">
        <f t="shared" si="318"/>
        <v>2661921.4364402685</v>
      </c>
      <c r="FJ104" s="1023">
        <f t="shared" si="319"/>
        <v>226263.32209742285</v>
      </c>
      <c r="FK104" s="1023">
        <f t="shared" si="320"/>
        <v>113131.66104871142</v>
      </c>
      <c r="FL104" s="1019">
        <f t="shared" si="321"/>
        <v>12570.184560967959</v>
      </c>
      <c r="FM104" s="1019">
        <f t="shared" si="322"/>
        <v>6285.0922804839793</v>
      </c>
      <c r="FN104" s="1019" t="str">
        <f t="shared" si="323"/>
        <v>VS</v>
      </c>
      <c r="FO104" s="1019">
        <f t="shared" si="324"/>
        <v>27537.409960060559</v>
      </c>
      <c r="FP104" s="1019">
        <f t="shared" si="325"/>
        <v>-21252.317679576579</v>
      </c>
      <c r="FQ104" s="1021"/>
      <c r="FR104" s="1021"/>
      <c r="FS104" s="1020"/>
      <c r="FT104" s="503"/>
      <c r="FU104" s="956"/>
      <c r="FV104" s="503"/>
      <c r="FW104" s="503"/>
      <c r="FX104" s="1040"/>
      <c r="FY104" s="503"/>
      <c r="FZ104" s="503"/>
      <c r="GA104" s="503"/>
      <c r="GE104" s="503"/>
      <c r="GF104" s="1059"/>
      <c r="GG104" s="956"/>
      <c r="GH104" s="945"/>
      <c r="GI104" s="1024">
        <f t="shared" si="258"/>
        <v>3594894.5542955669</v>
      </c>
      <c r="GJ104" s="1025">
        <f t="shared" si="259"/>
        <v>0.125</v>
      </c>
      <c r="GK104" s="1024">
        <f t="shared" si="260"/>
        <v>449361.81928694586</v>
      </c>
      <c r="GL104" s="1024">
        <f t="shared" si="261"/>
        <v>30000</v>
      </c>
      <c r="GM104" s="1024">
        <f t="shared" si="262"/>
        <v>419361.81928694586</v>
      </c>
      <c r="GN104" s="1024">
        <f t="shared" si="263"/>
        <v>1</v>
      </c>
      <c r="GO104" s="1024">
        <f t="shared" si="264"/>
        <v>419361.81928694586</v>
      </c>
      <c r="GP104" s="1025">
        <f t="shared" si="265"/>
        <v>0.875</v>
      </c>
      <c r="GQ104" s="1024">
        <f t="shared" si="266"/>
        <v>3145532.7350086211</v>
      </c>
      <c r="GR104" s="1024">
        <f t="shared" si="267"/>
        <v>24387.281814065114</v>
      </c>
      <c r="GS104" s="1024">
        <f t="shared" si="268"/>
        <v>28272.937491175042</v>
      </c>
      <c r="GT104" s="1024">
        <f t="shared" si="269"/>
        <v>36522.302219425015</v>
      </c>
      <c r="GU104" s="1024">
        <f t="shared" si="270"/>
        <v>62285.318201074391</v>
      </c>
      <c r="GV104" s="945"/>
      <c r="GW104" s="1024">
        <f t="shared" si="271"/>
        <v>3594894.5542955669</v>
      </c>
      <c r="GX104" s="1025">
        <f t="shared" si="272"/>
        <v>0.125</v>
      </c>
      <c r="GY104" s="1024">
        <f t="shared" si="273"/>
        <v>449361.81928694586</v>
      </c>
      <c r="GZ104" s="1024">
        <f t="shared" si="274"/>
        <v>30000</v>
      </c>
      <c r="HA104" s="1024">
        <f t="shared" si="275"/>
        <v>419361.81928694586</v>
      </c>
      <c r="HB104" s="1026">
        <f t="shared" si="276"/>
        <v>25</v>
      </c>
      <c r="HC104" s="1009">
        <f t="shared" si="277"/>
        <v>16774.472771477835</v>
      </c>
      <c r="HD104" s="1027">
        <f t="shared" si="278"/>
        <v>0.875</v>
      </c>
      <c r="HE104" s="1009">
        <f t="shared" si="279"/>
        <v>3145532.7350086211</v>
      </c>
      <c r="HF104" s="1008">
        <f t="shared" si="280"/>
        <v>24387.281814065114</v>
      </c>
      <c r="HG104" s="1008">
        <f t="shared" si="281"/>
        <v>28272.937491175042</v>
      </c>
      <c r="HH104" s="1008">
        <f t="shared" si="282"/>
        <v>36522.302219425015</v>
      </c>
      <c r="HI104" s="1008">
        <f t="shared" si="283"/>
        <v>62285.318201074391</v>
      </c>
      <c r="HJ104" s="945"/>
      <c r="HK104" s="1009">
        <f t="shared" si="284"/>
        <v>-402587.34651546803</v>
      </c>
      <c r="HL104" s="503"/>
      <c r="HM104" s="503"/>
      <c r="HN104" s="503"/>
      <c r="HO104" s="503"/>
      <c r="HP104" s="503"/>
      <c r="HQ104" s="503"/>
      <c r="HR104" s="956">
        <f t="shared" si="285"/>
        <v>0</v>
      </c>
      <c r="HS104" s="503"/>
      <c r="HT104" s="503"/>
      <c r="HU104" s="956"/>
      <c r="HV104" s="503"/>
      <c r="HW104" s="956"/>
      <c r="HX104" s="956"/>
      <c r="HY104" s="503"/>
      <c r="HZ104" s="503"/>
      <c r="IA104" s="503"/>
      <c r="ID104" s="1394"/>
    </row>
    <row r="105" spans="1:238" s="1051" customFormat="1" ht="14.25" hidden="1" customHeight="1">
      <c r="A105" s="1018">
        <f t="shared" si="326"/>
        <v>99</v>
      </c>
      <c r="B105" s="716" t="s">
        <v>264</v>
      </c>
      <c r="C105" s="741">
        <f t="shared" si="337"/>
        <v>15</v>
      </c>
      <c r="D105" s="716" t="s">
        <v>276</v>
      </c>
      <c r="E105" s="743" t="str">
        <f t="shared" si="344"/>
        <v>7th Floor</v>
      </c>
      <c r="F105" s="1048"/>
      <c r="G105" s="745" t="s">
        <v>504</v>
      </c>
      <c r="H105" s="745" t="s">
        <v>342</v>
      </c>
      <c r="I105" s="745" t="s">
        <v>267</v>
      </c>
      <c r="J105" s="1005">
        <v>22</v>
      </c>
      <c r="K105" s="1049"/>
      <c r="L105" s="1006" t="s">
        <v>268</v>
      </c>
      <c r="M105" s="745" t="s">
        <v>79</v>
      </c>
      <c r="N105" s="1050">
        <v>95909.091</v>
      </c>
      <c r="O105" s="934">
        <f t="shared" si="298"/>
        <v>2110000.0019999999</v>
      </c>
      <c r="P105" s="934">
        <f t="shared" si="327"/>
        <v>22400</v>
      </c>
      <c r="Q105" s="934">
        <f t="shared" si="293"/>
        <v>50000</v>
      </c>
      <c r="R105" s="934"/>
      <c r="S105" s="934"/>
      <c r="T105" s="934"/>
      <c r="U105" s="934"/>
      <c r="V105" s="934"/>
      <c r="W105" s="749"/>
      <c r="X105" s="934"/>
      <c r="Y105" s="934">
        <f t="shared" si="338"/>
        <v>60000</v>
      </c>
      <c r="Z105" s="934">
        <f t="shared" si="299"/>
        <v>75000</v>
      </c>
      <c r="AA105" s="934"/>
      <c r="AB105" s="934"/>
      <c r="AC105" s="934"/>
      <c r="AD105" s="934"/>
      <c r="AE105" s="934">
        <f t="shared" si="199"/>
        <v>207400</v>
      </c>
      <c r="AF105" s="1005">
        <f t="shared" si="200"/>
        <v>2317400.0019999999</v>
      </c>
      <c r="AG105" s="1005">
        <f t="shared" si="220"/>
        <v>57935.000050000002</v>
      </c>
      <c r="AH105" s="1005">
        <f t="shared" si="221"/>
        <v>2375335.0020499998</v>
      </c>
      <c r="AI105" s="1005">
        <f t="shared" si="222"/>
        <v>59383.375051249997</v>
      </c>
      <c r="AJ105" s="1005">
        <f t="shared" si="223"/>
        <v>2434718.37710125</v>
      </c>
      <c r="AK105" s="1005">
        <f t="shared" si="224"/>
        <v>121735.91885506251</v>
      </c>
      <c r="AL105" s="1005">
        <f t="shared" si="300"/>
        <v>2556454.2959563127</v>
      </c>
      <c r="AM105" s="934">
        <f t="shared" si="225"/>
        <v>25564.542959563129</v>
      </c>
      <c r="AN105" s="934">
        <f t="shared" si="226"/>
        <v>27537.409960060559</v>
      </c>
      <c r="AO105" s="934"/>
      <c r="AP105" s="934">
        <f t="shared" si="301"/>
        <v>113131.66104871142</v>
      </c>
      <c r="AQ105" s="1005">
        <f t="shared" si="201"/>
        <v>2722687.9099246473</v>
      </c>
      <c r="AR105" s="1005">
        <f t="shared" si="227"/>
        <v>122520.95594660913</v>
      </c>
      <c r="AS105" s="1147">
        <f t="shared" si="228"/>
        <v>2845208.8658712562</v>
      </c>
      <c r="AT105" s="1148">
        <f t="shared" si="302"/>
        <v>2000000</v>
      </c>
      <c r="AU105" s="1148">
        <f t="shared" si="342"/>
        <v>38418.584812329827</v>
      </c>
      <c r="AV105" s="1148">
        <f t="shared" si="303"/>
        <v>845208.86587125622</v>
      </c>
      <c r="AW105" s="1148">
        <f t="shared" si="203"/>
        <v>101425.06390455074</v>
      </c>
      <c r="AX105" s="1148">
        <f t="shared" si="204"/>
        <v>946633.92977580696</v>
      </c>
      <c r="AY105" s="1147">
        <f t="shared" si="229"/>
        <v>2946633.9297758071</v>
      </c>
      <c r="AZ105" s="934">
        <f t="shared" si="230"/>
        <v>36832.92412219759</v>
      </c>
      <c r="BA105" s="716" t="s">
        <v>269</v>
      </c>
      <c r="BB105" s="716">
        <f t="shared" si="343"/>
        <v>2983466.8538980046</v>
      </c>
      <c r="BC105" s="716" t="s">
        <v>269</v>
      </c>
      <c r="BD105" s="716">
        <f t="shared" si="231"/>
        <v>111880.00702117517</v>
      </c>
      <c r="BE105" s="716">
        <f t="shared" si="232"/>
        <v>33600</v>
      </c>
      <c r="BF105" s="716">
        <f t="shared" si="233"/>
        <v>3128946.8609191799</v>
      </c>
      <c r="BG105" s="716"/>
      <c r="BH105" s="716">
        <f t="shared" si="234"/>
        <v>3128946.8609191799</v>
      </c>
      <c r="BI105" s="716"/>
      <c r="BJ105" s="716">
        <f t="shared" si="235"/>
        <v>3128946.8609191799</v>
      </c>
      <c r="BK105" s="716"/>
      <c r="BL105" s="716">
        <f t="shared" si="236"/>
        <v>3128946.8609191799</v>
      </c>
      <c r="BM105" s="716"/>
      <c r="BN105" s="716">
        <f t="shared" si="206"/>
        <v>3128946.8609191799</v>
      </c>
      <c r="BO105" s="716"/>
      <c r="BP105" s="716">
        <f t="shared" si="237"/>
        <v>3128946.8609191799</v>
      </c>
      <c r="BQ105" s="716"/>
      <c r="BR105" s="716">
        <f t="shared" si="238"/>
        <v>3128946.8609191799</v>
      </c>
      <c r="BS105" s="716"/>
      <c r="BT105" s="716">
        <f t="shared" si="239"/>
        <v>3128946.8609191799</v>
      </c>
      <c r="BU105" s="716"/>
      <c r="BV105" s="716">
        <f t="shared" si="207"/>
        <v>3128946.8609191799</v>
      </c>
      <c r="BW105" s="716"/>
      <c r="BX105" s="716">
        <f t="shared" si="329"/>
        <v>31400</v>
      </c>
      <c r="BY105" s="716">
        <f t="shared" si="240"/>
        <v>3160346.8609191799</v>
      </c>
      <c r="BZ105" s="716"/>
      <c r="CA105" s="716">
        <f t="shared" si="241"/>
        <v>3160346.8609191799</v>
      </c>
      <c r="CB105" s="1135">
        <f t="shared" si="242"/>
        <v>3160346.8609191799</v>
      </c>
      <c r="CC105" s="1164">
        <f t="shared" si="286"/>
        <v>3160346.8609191799</v>
      </c>
      <c r="CD105" s="1164"/>
      <c r="CE105" s="1164">
        <f t="shared" si="243"/>
        <v>0</v>
      </c>
      <c r="CF105" s="1164">
        <f t="shared" si="291"/>
        <v>0</v>
      </c>
      <c r="CG105" s="1164">
        <f t="shared" si="292"/>
        <v>0</v>
      </c>
      <c r="CH105" s="1154">
        <f t="shared" si="339"/>
        <v>3160346.8609191799</v>
      </c>
      <c r="CI105" s="935">
        <f t="shared" si="340"/>
        <v>3160346.8609191799</v>
      </c>
      <c r="CJ105" s="935">
        <f t="shared" si="244"/>
        <v>0</v>
      </c>
      <c r="CK105" s="935">
        <f t="shared" si="208"/>
        <v>323935.5532442159</v>
      </c>
      <c r="CL105" s="935">
        <f t="shared" si="209"/>
        <v>110612.14013217131</v>
      </c>
      <c r="CM105" s="1006">
        <f t="shared" si="306"/>
        <v>3594894.5542955669</v>
      </c>
      <c r="CN105" s="1007">
        <f t="shared" si="307"/>
        <v>0.125</v>
      </c>
      <c r="CO105" s="935">
        <f t="shared" si="210"/>
        <v>449361.81928694586</v>
      </c>
      <c r="CP105" s="935">
        <f t="shared" si="330"/>
        <v>30000</v>
      </c>
      <c r="CQ105" s="935">
        <f t="shared" si="211"/>
        <v>419361.81928694586</v>
      </c>
      <c r="CR105" s="745">
        <f t="shared" si="308"/>
        <v>1</v>
      </c>
      <c r="CS105" s="935">
        <f t="shared" si="212"/>
        <v>419361.81928694586</v>
      </c>
      <c r="CT105" s="1007">
        <f t="shared" si="245"/>
        <v>0.875</v>
      </c>
      <c r="CU105" s="935">
        <f t="shared" si="246"/>
        <v>3145532.7350086211</v>
      </c>
      <c r="CV105" s="1008">
        <f t="shared" si="247"/>
        <v>24387.281814065114</v>
      </c>
      <c r="CW105" s="1008">
        <f t="shared" si="248"/>
        <v>28272.937491175042</v>
      </c>
      <c r="CX105" s="1008">
        <f t="shared" si="249"/>
        <v>36522.302219425015</v>
      </c>
      <c r="CY105" s="1008">
        <f t="shared" si="250"/>
        <v>62285.318201074391</v>
      </c>
      <c r="CZ105" s="1119">
        <f t="shared" si="251"/>
        <v>255521.62218548471</v>
      </c>
      <c r="DA105" s="1119">
        <f t="shared" si="252"/>
        <v>101108.66118151163</v>
      </c>
      <c r="DB105" s="1119">
        <f t="shared" si="253"/>
        <v>73029.353949761615</v>
      </c>
      <c r="DC105" s="1119">
        <f t="shared" si="254"/>
        <v>55578.700453579295</v>
      </c>
      <c r="DD105" s="1028">
        <f t="shared" si="294"/>
        <v>0.4226044329356281</v>
      </c>
      <c r="DE105" s="1028">
        <f t="shared" si="341"/>
        <v>0</v>
      </c>
      <c r="DF105" s="1009" t="s">
        <v>270</v>
      </c>
      <c r="DG105" s="1009" t="s">
        <v>271</v>
      </c>
      <c r="DH105" s="966">
        <f t="shared" si="287"/>
        <v>45658</v>
      </c>
      <c r="DI105" s="912">
        <f t="shared" si="255"/>
        <v>14</v>
      </c>
      <c r="DJ105" s="939"/>
      <c r="DK105" s="913">
        <f t="shared" si="213"/>
        <v>45723</v>
      </c>
      <c r="DL105" s="912">
        <f t="shared" si="256"/>
        <v>16</v>
      </c>
      <c r="DM105" s="750" t="s">
        <v>272</v>
      </c>
      <c r="DN105" s="750" t="s">
        <v>273</v>
      </c>
      <c r="DO105" s="751">
        <f t="shared" si="214"/>
        <v>43028.814989809405</v>
      </c>
      <c r="DP105" s="751">
        <f t="shared" si="215"/>
        <v>946633.92977580696</v>
      </c>
      <c r="DQ105" s="752">
        <f t="shared" si="295"/>
        <v>0.47331696488790348</v>
      </c>
      <c r="DR105" s="503"/>
      <c r="DS105" s="751">
        <f t="shared" si="296"/>
        <v>3160346.8609191799</v>
      </c>
      <c r="DT105" s="751">
        <f>'[4]INTERNAL PRICELIST'!N99</f>
        <v>2111900</v>
      </c>
      <c r="DU105" s="751">
        <f t="shared" si="216"/>
        <v>1048446.8609191799</v>
      </c>
      <c r="DV105" s="503"/>
      <c r="DW105" s="951">
        <f t="shared" si="297"/>
        <v>143652.13004178091</v>
      </c>
      <c r="DX105" s="503"/>
      <c r="DZ105" s="1010" t="s">
        <v>504</v>
      </c>
      <c r="EA105" s="1052" t="b">
        <f t="shared" si="217"/>
        <v>1</v>
      </c>
      <c r="EB105" s="1072" t="s">
        <v>505</v>
      </c>
      <c r="EC105" s="1072" t="s">
        <v>486</v>
      </c>
      <c r="ED105" s="503"/>
      <c r="EH105" s="930"/>
      <c r="EI105" s="930"/>
      <c r="EJ105" s="503"/>
      <c r="EK105" s="503"/>
      <c r="EL105" s="503"/>
      <c r="EM105" s="503"/>
      <c r="EN105" s="503"/>
      <c r="EO105" s="503"/>
      <c r="EP105" s="503"/>
      <c r="EQ105" s="503"/>
      <c r="ER105" s="1017" t="s">
        <v>264</v>
      </c>
      <c r="ES105" s="1391" t="s">
        <v>264</v>
      </c>
      <c r="ET105" s="1018" t="b">
        <f t="shared" si="257"/>
        <v>1</v>
      </c>
      <c r="EU105" s="940"/>
      <c r="EV105" s="941"/>
      <c r="EW105" s="940"/>
      <c r="EX105" s="1019">
        <v>2957690.4849336315</v>
      </c>
      <c r="EY105" s="1019">
        <f t="shared" si="310"/>
        <v>443653.57274004474</v>
      </c>
      <c r="EZ105" s="1019">
        <f t="shared" si="311"/>
        <v>2514036.9121935866</v>
      </c>
      <c r="FA105" s="1019">
        <f t="shared" si="312"/>
        <v>295769.04849336314</v>
      </c>
      <c r="FB105" s="1019">
        <f t="shared" si="313"/>
        <v>2661921.4364402685</v>
      </c>
      <c r="FC105" s="1019">
        <f t="shared" si="314"/>
        <v>147884.52424668195</v>
      </c>
      <c r="FD105" s="1020"/>
      <c r="FE105" s="1021"/>
      <c r="FF105" s="1022">
        <f t="shared" si="315"/>
        <v>2514036.9121935866</v>
      </c>
      <c r="FG105" s="1022">
        <f t="shared" si="316"/>
        <v>213693.13753645489</v>
      </c>
      <c r="FH105" s="1022">
        <f t="shared" si="317"/>
        <v>106846.56876822744</v>
      </c>
      <c r="FI105" s="1023">
        <f t="shared" si="318"/>
        <v>2661921.4364402685</v>
      </c>
      <c r="FJ105" s="1023">
        <f t="shared" si="319"/>
        <v>226263.32209742285</v>
      </c>
      <c r="FK105" s="1023">
        <f t="shared" si="320"/>
        <v>113131.66104871142</v>
      </c>
      <c r="FL105" s="1019">
        <f t="shared" si="321"/>
        <v>12570.184560967959</v>
      </c>
      <c r="FM105" s="1019">
        <f t="shared" si="322"/>
        <v>6285.0922804839793</v>
      </c>
      <c r="FN105" s="1019" t="str">
        <f t="shared" si="323"/>
        <v>VS</v>
      </c>
      <c r="FO105" s="1019">
        <f t="shared" si="324"/>
        <v>27537.409960060559</v>
      </c>
      <c r="FP105" s="1019">
        <f t="shared" si="325"/>
        <v>-21252.317679576579</v>
      </c>
      <c r="FQ105" s="1021"/>
      <c r="FR105" s="1021"/>
      <c r="FS105" s="1020"/>
      <c r="FT105" s="503"/>
      <c r="FU105" s="956"/>
      <c r="FV105" s="503"/>
      <c r="FW105" s="503"/>
      <c r="FX105" s="1040"/>
      <c r="FY105" s="503"/>
      <c r="FZ105" s="503"/>
      <c r="GA105" s="503"/>
      <c r="GE105" s="503"/>
      <c r="GF105" s="1059"/>
      <c r="GG105" s="956"/>
      <c r="GH105" s="945"/>
      <c r="GI105" s="1024">
        <f t="shared" si="258"/>
        <v>3594894.5542955669</v>
      </c>
      <c r="GJ105" s="1025">
        <f t="shared" si="259"/>
        <v>0.125</v>
      </c>
      <c r="GK105" s="1024">
        <f t="shared" si="260"/>
        <v>449361.81928694586</v>
      </c>
      <c r="GL105" s="1024">
        <f t="shared" si="261"/>
        <v>30000</v>
      </c>
      <c r="GM105" s="1024">
        <f t="shared" si="262"/>
        <v>419361.81928694586</v>
      </c>
      <c r="GN105" s="1024">
        <f t="shared" si="263"/>
        <v>1</v>
      </c>
      <c r="GO105" s="1024">
        <f t="shared" si="264"/>
        <v>419361.81928694586</v>
      </c>
      <c r="GP105" s="1025">
        <f t="shared" si="265"/>
        <v>0.875</v>
      </c>
      <c r="GQ105" s="1024">
        <f t="shared" si="266"/>
        <v>3145532.7350086211</v>
      </c>
      <c r="GR105" s="1024">
        <f t="shared" si="267"/>
        <v>24387.281814065114</v>
      </c>
      <c r="GS105" s="1024">
        <f t="shared" si="268"/>
        <v>28272.937491175042</v>
      </c>
      <c r="GT105" s="1024">
        <f t="shared" si="269"/>
        <v>36522.302219425015</v>
      </c>
      <c r="GU105" s="1024">
        <f t="shared" si="270"/>
        <v>62285.318201074391</v>
      </c>
      <c r="GV105" s="945"/>
      <c r="GW105" s="1024">
        <f t="shared" si="271"/>
        <v>3594894.5542955669</v>
      </c>
      <c r="GX105" s="1025">
        <f t="shared" si="272"/>
        <v>0.125</v>
      </c>
      <c r="GY105" s="1024">
        <f t="shared" si="273"/>
        <v>449361.81928694586</v>
      </c>
      <c r="GZ105" s="1024">
        <f t="shared" si="274"/>
        <v>30000</v>
      </c>
      <c r="HA105" s="1024">
        <f t="shared" si="275"/>
        <v>419361.81928694586</v>
      </c>
      <c r="HB105" s="1026">
        <f t="shared" si="276"/>
        <v>25</v>
      </c>
      <c r="HC105" s="1009">
        <f t="shared" si="277"/>
        <v>16774.472771477835</v>
      </c>
      <c r="HD105" s="1027">
        <f t="shared" si="278"/>
        <v>0.875</v>
      </c>
      <c r="HE105" s="1009">
        <f t="shared" si="279"/>
        <v>3145532.7350086211</v>
      </c>
      <c r="HF105" s="1008">
        <f t="shared" si="280"/>
        <v>24387.281814065114</v>
      </c>
      <c r="HG105" s="1008">
        <f t="shared" si="281"/>
        <v>28272.937491175042</v>
      </c>
      <c r="HH105" s="1008">
        <f t="shared" si="282"/>
        <v>36522.302219425015</v>
      </c>
      <c r="HI105" s="1008">
        <f t="shared" si="283"/>
        <v>62285.318201074391</v>
      </c>
      <c r="HJ105" s="945"/>
      <c r="HK105" s="1009">
        <f t="shared" si="284"/>
        <v>-402587.34651546803</v>
      </c>
      <c r="HL105" s="503"/>
      <c r="HM105" s="503"/>
      <c r="HN105" s="503"/>
      <c r="HO105" s="503"/>
      <c r="HP105" s="503"/>
      <c r="HQ105" s="503"/>
      <c r="HR105" s="956">
        <f t="shared" si="285"/>
        <v>0</v>
      </c>
      <c r="HS105" s="503"/>
      <c r="HT105" s="503"/>
      <c r="HU105" s="956"/>
      <c r="HV105" s="503"/>
      <c r="HW105" s="956"/>
      <c r="HX105" s="956"/>
      <c r="HY105" s="503"/>
      <c r="HZ105" s="503"/>
      <c r="IA105" s="503"/>
      <c r="ID105" s="1394"/>
    </row>
    <row r="106" spans="1:238" s="1051" customFormat="1" ht="14.25" hidden="1" customHeight="1">
      <c r="A106" s="1018">
        <f t="shared" si="326"/>
        <v>100</v>
      </c>
      <c r="B106" s="716" t="s">
        <v>264</v>
      </c>
      <c r="C106" s="741">
        <f t="shared" si="337"/>
        <v>16</v>
      </c>
      <c r="D106" s="716" t="s">
        <v>276</v>
      </c>
      <c r="E106" s="743" t="str">
        <f t="shared" si="344"/>
        <v>7th Floor</v>
      </c>
      <c r="F106" s="1048"/>
      <c r="G106" s="745" t="s">
        <v>506</v>
      </c>
      <c r="H106" s="745" t="s">
        <v>345</v>
      </c>
      <c r="I106" s="745" t="s">
        <v>267</v>
      </c>
      <c r="J106" s="1005">
        <v>22</v>
      </c>
      <c r="K106" s="1049"/>
      <c r="L106" s="1006" t="s">
        <v>268</v>
      </c>
      <c r="M106" s="745" t="s">
        <v>79</v>
      </c>
      <c r="N106" s="1050">
        <v>95909.091</v>
      </c>
      <c r="O106" s="934">
        <f t="shared" si="298"/>
        <v>2110000.0019999999</v>
      </c>
      <c r="P106" s="934">
        <f t="shared" si="327"/>
        <v>22400</v>
      </c>
      <c r="Q106" s="934">
        <f t="shared" si="293"/>
        <v>50000</v>
      </c>
      <c r="R106" s="934"/>
      <c r="S106" s="934"/>
      <c r="T106" s="934"/>
      <c r="U106" s="934"/>
      <c r="V106" s="934"/>
      <c r="W106" s="749"/>
      <c r="X106" s="934"/>
      <c r="Y106" s="934">
        <f t="shared" si="338"/>
        <v>60000</v>
      </c>
      <c r="Z106" s="934">
        <f t="shared" si="299"/>
        <v>75000</v>
      </c>
      <c r="AA106" s="934"/>
      <c r="AB106" s="934"/>
      <c r="AC106" s="934"/>
      <c r="AD106" s="934"/>
      <c r="AE106" s="934">
        <f t="shared" si="199"/>
        <v>207400</v>
      </c>
      <c r="AF106" s="1005">
        <f t="shared" si="200"/>
        <v>2317400.0019999999</v>
      </c>
      <c r="AG106" s="1005">
        <f t="shared" si="220"/>
        <v>57935.000050000002</v>
      </c>
      <c r="AH106" s="1005">
        <f t="shared" si="221"/>
        <v>2375335.0020499998</v>
      </c>
      <c r="AI106" s="1005">
        <f t="shared" si="222"/>
        <v>59383.375051249997</v>
      </c>
      <c r="AJ106" s="1005">
        <f t="shared" si="223"/>
        <v>2434718.37710125</v>
      </c>
      <c r="AK106" s="1005">
        <f t="shared" si="224"/>
        <v>121735.91885506251</v>
      </c>
      <c r="AL106" s="1005">
        <f t="shared" si="300"/>
        <v>2556454.2959563127</v>
      </c>
      <c r="AM106" s="934">
        <f t="shared" si="225"/>
        <v>25564.542959563129</v>
      </c>
      <c r="AN106" s="934">
        <f t="shared" si="226"/>
        <v>27537.409960060559</v>
      </c>
      <c r="AO106" s="934"/>
      <c r="AP106" s="934">
        <f t="shared" si="301"/>
        <v>113131.66104871142</v>
      </c>
      <c r="AQ106" s="1005">
        <f t="shared" si="201"/>
        <v>2722687.9099246473</v>
      </c>
      <c r="AR106" s="1005">
        <f t="shared" si="227"/>
        <v>122520.95594660913</v>
      </c>
      <c r="AS106" s="1147">
        <f t="shared" si="228"/>
        <v>2845208.8658712562</v>
      </c>
      <c r="AT106" s="1148">
        <f t="shared" si="302"/>
        <v>2000000</v>
      </c>
      <c r="AU106" s="1148">
        <f t="shared" si="342"/>
        <v>38418.584812329827</v>
      </c>
      <c r="AV106" s="1148">
        <f t="shared" si="303"/>
        <v>845208.86587125622</v>
      </c>
      <c r="AW106" s="1148">
        <f t="shared" si="203"/>
        <v>101425.06390455074</v>
      </c>
      <c r="AX106" s="1148">
        <f t="shared" si="204"/>
        <v>946633.92977580696</v>
      </c>
      <c r="AY106" s="1147">
        <f t="shared" si="229"/>
        <v>2946633.9297758071</v>
      </c>
      <c r="AZ106" s="934">
        <f t="shared" si="230"/>
        <v>36832.92412219759</v>
      </c>
      <c r="BA106" s="716" t="s">
        <v>269</v>
      </c>
      <c r="BB106" s="716">
        <f t="shared" si="343"/>
        <v>2983466.8538980046</v>
      </c>
      <c r="BC106" s="716" t="s">
        <v>269</v>
      </c>
      <c r="BD106" s="716">
        <f t="shared" si="231"/>
        <v>111880.00702117517</v>
      </c>
      <c r="BE106" s="716">
        <f t="shared" si="232"/>
        <v>33600</v>
      </c>
      <c r="BF106" s="716">
        <f t="shared" si="233"/>
        <v>3128946.8609191799</v>
      </c>
      <c r="BG106" s="716"/>
      <c r="BH106" s="716">
        <f t="shared" si="234"/>
        <v>3128946.8609191799</v>
      </c>
      <c r="BI106" s="716"/>
      <c r="BJ106" s="716">
        <f t="shared" si="235"/>
        <v>3128946.8609191799</v>
      </c>
      <c r="BK106" s="716"/>
      <c r="BL106" s="716">
        <f t="shared" si="236"/>
        <v>3128946.8609191799</v>
      </c>
      <c r="BM106" s="716"/>
      <c r="BN106" s="716">
        <f t="shared" si="206"/>
        <v>3128946.8609191799</v>
      </c>
      <c r="BO106" s="716"/>
      <c r="BP106" s="716">
        <f t="shared" si="237"/>
        <v>3128946.8609191799</v>
      </c>
      <c r="BQ106" s="716"/>
      <c r="BR106" s="716">
        <f t="shared" si="238"/>
        <v>3128946.8609191799</v>
      </c>
      <c r="BS106" s="716"/>
      <c r="BT106" s="716">
        <f t="shared" si="239"/>
        <v>3128946.8609191799</v>
      </c>
      <c r="BU106" s="716"/>
      <c r="BV106" s="716">
        <f t="shared" si="207"/>
        <v>3128946.8609191799</v>
      </c>
      <c r="BW106" s="716"/>
      <c r="BX106" s="716">
        <f t="shared" si="329"/>
        <v>31400</v>
      </c>
      <c r="BY106" s="716">
        <f t="shared" si="240"/>
        <v>3160346.8609191799</v>
      </c>
      <c r="BZ106" s="716"/>
      <c r="CA106" s="716">
        <f t="shared" si="241"/>
        <v>3160346.8609191799</v>
      </c>
      <c r="CB106" s="1135">
        <f t="shared" si="242"/>
        <v>3160346.8609191799</v>
      </c>
      <c r="CC106" s="1164">
        <f t="shared" si="286"/>
        <v>3160346.8609191799</v>
      </c>
      <c r="CD106" s="1164"/>
      <c r="CE106" s="1164">
        <f t="shared" si="243"/>
        <v>0</v>
      </c>
      <c r="CF106" s="1164">
        <f t="shared" si="291"/>
        <v>0</v>
      </c>
      <c r="CG106" s="1164">
        <f t="shared" si="292"/>
        <v>0</v>
      </c>
      <c r="CH106" s="1154">
        <f t="shared" si="339"/>
        <v>3160346.8609191799</v>
      </c>
      <c r="CI106" s="935">
        <f t="shared" si="340"/>
        <v>3160346.8609191799</v>
      </c>
      <c r="CJ106" s="935">
        <f t="shared" si="244"/>
        <v>0</v>
      </c>
      <c r="CK106" s="935">
        <f t="shared" si="208"/>
        <v>323935.5532442159</v>
      </c>
      <c r="CL106" s="935">
        <f t="shared" si="209"/>
        <v>110612.14013217131</v>
      </c>
      <c r="CM106" s="1006">
        <f t="shared" si="306"/>
        <v>3594894.5542955669</v>
      </c>
      <c r="CN106" s="1007">
        <f t="shared" si="307"/>
        <v>0.125</v>
      </c>
      <c r="CO106" s="935">
        <f t="shared" si="210"/>
        <v>449361.81928694586</v>
      </c>
      <c r="CP106" s="935">
        <f t="shared" si="330"/>
        <v>30000</v>
      </c>
      <c r="CQ106" s="935">
        <f t="shared" si="211"/>
        <v>419361.81928694586</v>
      </c>
      <c r="CR106" s="745">
        <f t="shared" si="308"/>
        <v>1</v>
      </c>
      <c r="CS106" s="935">
        <f t="shared" si="212"/>
        <v>419361.81928694586</v>
      </c>
      <c r="CT106" s="1007">
        <f t="shared" si="245"/>
        <v>0.875</v>
      </c>
      <c r="CU106" s="935">
        <f t="shared" si="246"/>
        <v>3145532.7350086211</v>
      </c>
      <c r="CV106" s="1008">
        <f t="shared" si="247"/>
        <v>24387.281814065114</v>
      </c>
      <c r="CW106" s="1008">
        <f t="shared" si="248"/>
        <v>28272.937491175042</v>
      </c>
      <c r="CX106" s="1008">
        <f t="shared" si="249"/>
        <v>36522.302219425015</v>
      </c>
      <c r="CY106" s="1008">
        <f t="shared" si="250"/>
        <v>62285.318201074391</v>
      </c>
      <c r="CZ106" s="1119">
        <f t="shared" si="251"/>
        <v>255521.62218548471</v>
      </c>
      <c r="DA106" s="1119">
        <f t="shared" si="252"/>
        <v>101108.66118151163</v>
      </c>
      <c r="DB106" s="1119">
        <f t="shared" si="253"/>
        <v>73029.353949761615</v>
      </c>
      <c r="DC106" s="1119">
        <f t="shared" si="254"/>
        <v>55578.700453579295</v>
      </c>
      <c r="DD106" s="1028">
        <f t="shared" si="294"/>
        <v>0.4226044329356281</v>
      </c>
      <c r="DE106" s="1028">
        <f t="shared" si="341"/>
        <v>0</v>
      </c>
      <c r="DF106" s="1009" t="s">
        <v>270</v>
      </c>
      <c r="DG106" s="1009" t="s">
        <v>271</v>
      </c>
      <c r="DH106" s="966">
        <f t="shared" si="287"/>
        <v>45658</v>
      </c>
      <c r="DI106" s="912">
        <f t="shared" si="255"/>
        <v>14</v>
      </c>
      <c r="DJ106" s="939"/>
      <c r="DK106" s="913">
        <f t="shared" si="213"/>
        <v>45723</v>
      </c>
      <c r="DL106" s="912">
        <f t="shared" si="256"/>
        <v>16</v>
      </c>
      <c r="DM106" s="750" t="s">
        <v>272</v>
      </c>
      <c r="DN106" s="750" t="s">
        <v>273</v>
      </c>
      <c r="DO106" s="751">
        <f t="shared" si="214"/>
        <v>43028.814989809405</v>
      </c>
      <c r="DP106" s="751">
        <f t="shared" si="215"/>
        <v>946633.92977580696</v>
      </c>
      <c r="DQ106" s="752">
        <f t="shared" si="295"/>
        <v>0.47331696488790348</v>
      </c>
      <c r="DR106" s="503"/>
      <c r="DS106" s="751">
        <f t="shared" si="296"/>
        <v>3160346.8609191799</v>
      </c>
      <c r="DT106" s="751">
        <f>'[4]INTERNAL PRICELIST'!N100</f>
        <v>2111900</v>
      </c>
      <c r="DU106" s="751">
        <f t="shared" si="216"/>
        <v>1048446.8609191799</v>
      </c>
      <c r="DV106" s="503"/>
      <c r="DW106" s="951">
        <f t="shared" si="297"/>
        <v>143652.13004178091</v>
      </c>
      <c r="DX106" s="503"/>
      <c r="DZ106" s="1010" t="s">
        <v>506</v>
      </c>
      <c r="EA106" s="1052" t="b">
        <f t="shared" si="217"/>
        <v>1</v>
      </c>
      <c r="EB106" s="1072" t="s">
        <v>413</v>
      </c>
      <c r="EC106" s="1072" t="s">
        <v>486</v>
      </c>
      <c r="ED106" s="503"/>
      <c r="EH106" s="930"/>
      <c r="EI106" s="930"/>
      <c r="EJ106" s="503"/>
      <c r="EK106" s="503"/>
      <c r="EL106" s="503"/>
      <c r="EM106" s="503"/>
      <c r="EN106" s="503"/>
      <c r="EO106" s="503"/>
      <c r="EP106" s="503"/>
      <c r="EQ106" s="503"/>
      <c r="ER106" s="1017" t="s">
        <v>264</v>
      </c>
      <c r="ES106" s="1391" t="s">
        <v>264</v>
      </c>
      <c r="ET106" s="1018" t="b">
        <f t="shared" si="257"/>
        <v>1</v>
      </c>
      <c r="EU106" s="940"/>
      <c r="EV106" s="941"/>
      <c r="EW106" s="940"/>
      <c r="EX106" s="1019">
        <v>2957690.4849336315</v>
      </c>
      <c r="EY106" s="1019">
        <f t="shared" si="310"/>
        <v>443653.57274004474</v>
      </c>
      <c r="EZ106" s="1019">
        <f t="shared" si="311"/>
        <v>2514036.9121935866</v>
      </c>
      <c r="FA106" s="1019">
        <f t="shared" si="312"/>
        <v>295769.04849336314</v>
      </c>
      <c r="FB106" s="1019">
        <f t="shared" si="313"/>
        <v>2661921.4364402685</v>
      </c>
      <c r="FC106" s="1019">
        <f t="shared" si="314"/>
        <v>147884.52424668195</v>
      </c>
      <c r="FD106" s="1020"/>
      <c r="FE106" s="1021"/>
      <c r="FF106" s="1022">
        <f t="shared" si="315"/>
        <v>2514036.9121935866</v>
      </c>
      <c r="FG106" s="1022">
        <f t="shared" si="316"/>
        <v>213693.13753645489</v>
      </c>
      <c r="FH106" s="1022">
        <f t="shared" si="317"/>
        <v>106846.56876822744</v>
      </c>
      <c r="FI106" s="1023">
        <f t="shared" si="318"/>
        <v>2661921.4364402685</v>
      </c>
      <c r="FJ106" s="1023">
        <f t="shared" si="319"/>
        <v>226263.32209742285</v>
      </c>
      <c r="FK106" s="1023">
        <f t="shared" si="320"/>
        <v>113131.66104871142</v>
      </c>
      <c r="FL106" s="1019">
        <f t="shared" si="321"/>
        <v>12570.184560967959</v>
      </c>
      <c r="FM106" s="1019">
        <f t="shared" si="322"/>
        <v>6285.0922804839793</v>
      </c>
      <c r="FN106" s="1019" t="str">
        <f t="shared" si="323"/>
        <v>VS</v>
      </c>
      <c r="FO106" s="1019">
        <f t="shared" si="324"/>
        <v>27537.409960060559</v>
      </c>
      <c r="FP106" s="1019">
        <f t="shared" si="325"/>
        <v>-21252.317679576579</v>
      </c>
      <c r="FQ106" s="1021"/>
      <c r="FR106" s="1021"/>
      <c r="FS106" s="1020"/>
      <c r="FT106" s="503"/>
      <c r="FU106" s="956"/>
      <c r="FV106" s="503"/>
      <c r="FW106" s="503"/>
      <c r="FX106" s="1040"/>
      <c r="FY106" s="503"/>
      <c r="FZ106" s="503"/>
      <c r="GA106" s="503"/>
      <c r="GE106" s="503"/>
      <c r="GF106" s="1059"/>
      <c r="GG106" s="956"/>
      <c r="GH106" s="945"/>
      <c r="GI106" s="1024">
        <f t="shared" si="258"/>
        <v>3594894.5542955669</v>
      </c>
      <c r="GJ106" s="1025">
        <f t="shared" si="259"/>
        <v>0.125</v>
      </c>
      <c r="GK106" s="1024">
        <f t="shared" si="260"/>
        <v>449361.81928694586</v>
      </c>
      <c r="GL106" s="1024">
        <f t="shared" si="261"/>
        <v>30000</v>
      </c>
      <c r="GM106" s="1024">
        <f t="shared" si="262"/>
        <v>419361.81928694586</v>
      </c>
      <c r="GN106" s="1024">
        <f t="shared" si="263"/>
        <v>1</v>
      </c>
      <c r="GO106" s="1024">
        <f t="shared" si="264"/>
        <v>419361.81928694586</v>
      </c>
      <c r="GP106" s="1025">
        <f t="shared" si="265"/>
        <v>0.875</v>
      </c>
      <c r="GQ106" s="1024">
        <f t="shared" si="266"/>
        <v>3145532.7350086211</v>
      </c>
      <c r="GR106" s="1024">
        <f t="shared" si="267"/>
        <v>24387.281814065114</v>
      </c>
      <c r="GS106" s="1024">
        <f t="shared" si="268"/>
        <v>28272.937491175042</v>
      </c>
      <c r="GT106" s="1024">
        <f t="shared" si="269"/>
        <v>36522.302219425015</v>
      </c>
      <c r="GU106" s="1024">
        <f t="shared" si="270"/>
        <v>62285.318201074391</v>
      </c>
      <c r="GV106" s="945"/>
      <c r="GW106" s="1024">
        <f t="shared" si="271"/>
        <v>3594894.5542955669</v>
      </c>
      <c r="GX106" s="1025">
        <f t="shared" si="272"/>
        <v>0.125</v>
      </c>
      <c r="GY106" s="1024">
        <f t="shared" si="273"/>
        <v>449361.81928694586</v>
      </c>
      <c r="GZ106" s="1024">
        <f t="shared" si="274"/>
        <v>30000</v>
      </c>
      <c r="HA106" s="1024">
        <f t="shared" si="275"/>
        <v>419361.81928694586</v>
      </c>
      <c r="HB106" s="1026">
        <f t="shared" si="276"/>
        <v>25</v>
      </c>
      <c r="HC106" s="1009">
        <f t="shared" si="277"/>
        <v>16774.472771477835</v>
      </c>
      <c r="HD106" s="1027">
        <f t="shared" si="278"/>
        <v>0.875</v>
      </c>
      <c r="HE106" s="1009">
        <f t="shared" si="279"/>
        <v>3145532.7350086211</v>
      </c>
      <c r="HF106" s="1008">
        <f t="shared" si="280"/>
        <v>24387.281814065114</v>
      </c>
      <c r="HG106" s="1008">
        <f t="shared" si="281"/>
        <v>28272.937491175042</v>
      </c>
      <c r="HH106" s="1008">
        <f t="shared" si="282"/>
        <v>36522.302219425015</v>
      </c>
      <c r="HI106" s="1008">
        <f t="shared" si="283"/>
        <v>62285.318201074391</v>
      </c>
      <c r="HJ106" s="945"/>
      <c r="HK106" s="1009">
        <f t="shared" si="284"/>
        <v>-402587.34651546803</v>
      </c>
      <c r="HL106" s="503"/>
      <c r="HM106" s="503"/>
      <c r="HN106" s="503"/>
      <c r="HO106" s="503"/>
      <c r="HP106" s="503"/>
      <c r="HQ106" s="503"/>
      <c r="HR106" s="956">
        <f t="shared" si="285"/>
        <v>0</v>
      </c>
      <c r="HS106" s="503"/>
      <c r="HT106" s="503"/>
      <c r="HU106" s="956"/>
      <c r="HV106" s="503"/>
      <c r="HW106" s="956"/>
      <c r="HX106" s="956"/>
      <c r="HY106" s="503"/>
      <c r="HZ106" s="503"/>
      <c r="IA106" s="503"/>
      <c r="ID106" s="1394"/>
    </row>
    <row r="107" spans="1:238" s="1051" customFormat="1" ht="14.25" hidden="1" customHeight="1">
      <c r="A107" s="1018">
        <f t="shared" si="326"/>
        <v>101</v>
      </c>
      <c r="B107" s="716" t="s">
        <v>264</v>
      </c>
      <c r="C107" s="741">
        <f t="shared" si="337"/>
        <v>17</v>
      </c>
      <c r="D107" s="716" t="s">
        <v>276</v>
      </c>
      <c r="E107" s="743" t="str">
        <f t="shared" si="344"/>
        <v>7th Floor</v>
      </c>
      <c r="F107" s="1048"/>
      <c r="G107" s="745" t="s">
        <v>507</v>
      </c>
      <c r="H107" s="745" t="s">
        <v>349</v>
      </c>
      <c r="I107" s="745" t="s">
        <v>267</v>
      </c>
      <c r="J107" s="1005">
        <v>22</v>
      </c>
      <c r="K107" s="1049"/>
      <c r="L107" s="1006" t="s">
        <v>268</v>
      </c>
      <c r="M107" s="745" t="s">
        <v>79</v>
      </c>
      <c r="N107" s="1050">
        <v>95909.091</v>
      </c>
      <c r="O107" s="934">
        <f t="shared" si="298"/>
        <v>2110000.0019999999</v>
      </c>
      <c r="P107" s="934">
        <f t="shared" si="327"/>
        <v>22400</v>
      </c>
      <c r="Q107" s="934">
        <f t="shared" si="293"/>
        <v>50000</v>
      </c>
      <c r="R107" s="934"/>
      <c r="S107" s="934"/>
      <c r="T107" s="934"/>
      <c r="U107" s="934"/>
      <c r="V107" s="934"/>
      <c r="W107" s="934"/>
      <c r="X107" s="934"/>
      <c r="Y107" s="934">
        <f t="shared" si="338"/>
        <v>60000</v>
      </c>
      <c r="Z107" s="934">
        <f t="shared" si="299"/>
        <v>75000</v>
      </c>
      <c r="AA107" s="934"/>
      <c r="AB107" s="934"/>
      <c r="AC107" s="934"/>
      <c r="AD107" s="934"/>
      <c r="AE107" s="934">
        <f t="shared" si="199"/>
        <v>207400</v>
      </c>
      <c r="AF107" s="1005">
        <f t="shared" si="200"/>
        <v>2317400.0019999999</v>
      </c>
      <c r="AG107" s="1005">
        <f t="shared" si="220"/>
        <v>57935.000050000002</v>
      </c>
      <c r="AH107" s="1005">
        <f t="shared" si="221"/>
        <v>2375335.0020499998</v>
      </c>
      <c r="AI107" s="1005">
        <f t="shared" si="222"/>
        <v>59383.375051249997</v>
      </c>
      <c r="AJ107" s="1005">
        <f t="shared" si="223"/>
        <v>2434718.37710125</v>
      </c>
      <c r="AK107" s="1005">
        <f t="shared" si="224"/>
        <v>121735.91885506251</v>
      </c>
      <c r="AL107" s="1005">
        <f t="shared" si="300"/>
        <v>2556454.2959563127</v>
      </c>
      <c r="AM107" s="934">
        <f t="shared" si="225"/>
        <v>25564.542959563129</v>
      </c>
      <c r="AN107" s="934">
        <f t="shared" si="226"/>
        <v>27537.409960060559</v>
      </c>
      <c r="AO107" s="934"/>
      <c r="AP107" s="934">
        <f t="shared" si="301"/>
        <v>113131.66104871142</v>
      </c>
      <c r="AQ107" s="1005">
        <f t="shared" si="201"/>
        <v>2722687.9099246473</v>
      </c>
      <c r="AR107" s="1005">
        <f t="shared" si="227"/>
        <v>122520.95594660913</v>
      </c>
      <c r="AS107" s="1147">
        <f t="shared" si="228"/>
        <v>2845208.8658712562</v>
      </c>
      <c r="AT107" s="1148">
        <f t="shared" si="302"/>
        <v>2000000</v>
      </c>
      <c r="AU107" s="1148">
        <f t="shared" si="342"/>
        <v>38418.584812329827</v>
      </c>
      <c r="AV107" s="1148">
        <f t="shared" si="303"/>
        <v>845208.86587125622</v>
      </c>
      <c r="AW107" s="1148">
        <f t="shared" si="203"/>
        <v>101425.06390455074</v>
      </c>
      <c r="AX107" s="1148">
        <f t="shared" si="204"/>
        <v>946633.92977580696</v>
      </c>
      <c r="AY107" s="1147">
        <f t="shared" si="229"/>
        <v>2946633.9297758071</v>
      </c>
      <c r="AZ107" s="934">
        <f t="shared" si="230"/>
        <v>36832.92412219759</v>
      </c>
      <c r="BA107" s="716" t="s">
        <v>269</v>
      </c>
      <c r="BB107" s="716">
        <f t="shared" si="343"/>
        <v>2983466.8538980046</v>
      </c>
      <c r="BC107" s="716" t="s">
        <v>269</v>
      </c>
      <c r="BD107" s="716">
        <f t="shared" si="231"/>
        <v>111880.00702117517</v>
      </c>
      <c r="BE107" s="716">
        <f t="shared" si="232"/>
        <v>33600</v>
      </c>
      <c r="BF107" s="716">
        <f t="shared" si="233"/>
        <v>3128946.8609191799</v>
      </c>
      <c r="BG107" s="716">
        <v>5248.8000000000011</v>
      </c>
      <c r="BH107" s="716">
        <f t="shared" si="234"/>
        <v>3134195.6609191797</v>
      </c>
      <c r="BI107" s="716"/>
      <c r="BJ107" s="716">
        <f t="shared" si="235"/>
        <v>3134195.6609191797</v>
      </c>
      <c r="BK107" s="716"/>
      <c r="BL107" s="716">
        <f t="shared" si="236"/>
        <v>3134195.6609191797</v>
      </c>
      <c r="BM107" s="716"/>
      <c r="BN107" s="716">
        <f t="shared" si="206"/>
        <v>3134195.6609191797</v>
      </c>
      <c r="BO107" s="716"/>
      <c r="BP107" s="716">
        <f t="shared" si="237"/>
        <v>3134195.6609191797</v>
      </c>
      <c r="BQ107" s="716"/>
      <c r="BR107" s="716">
        <f t="shared" si="238"/>
        <v>3134195.6609191797</v>
      </c>
      <c r="BS107" s="716"/>
      <c r="BT107" s="716">
        <f t="shared" si="239"/>
        <v>3134195.6609191797</v>
      </c>
      <c r="BU107" s="716"/>
      <c r="BV107" s="716">
        <f t="shared" si="207"/>
        <v>3134195.6609191797</v>
      </c>
      <c r="BW107" s="716"/>
      <c r="BX107" s="716">
        <f t="shared" si="329"/>
        <v>31400</v>
      </c>
      <c r="BY107" s="716">
        <f t="shared" si="240"/>
        <v>3165595.6609191797</v>
      </c>
      <c r="BZ107" s="716"/>
      <c r="CA107" s="716">
        <f t="shared" si="241"/>
        <v>3165595.6609191797</v>
      </c>
      <c r="CB107" s="1135">
        <f t="shared" si="242"/>
        <v>3165595.6609191797</v>
      </c>
      <c r="CC107" s="1164">
        <f t="shared" si="286"/>
        <v>3165595.6609191797</v>
      </c>
      <c r="CD107" s="1164"/>
      <c r="CE107" s="1164">
        <f t="shared" si="243"/>
        <v>0</v>
      </c>
      <c r="CF107" s="1164">
        <f t="shared" si="291"/>
        <v>0</v>
      </c>
      <c r="CG107" s="1164">
        <f t="shared" si="292"/>
        <v>0</v>
      </c>
      <c r="CH107" s="1154">
        <f t="shared" si="339"/>
        <v>3165595.6609191797</v>
      </c>
      <c r="CI107" s="935">
        <f t="shared" si="340"/>
        <v>3165595.6609191797</v>
      </c>
      <c r="CJ107" s="935">
        <f t="shared" si="244"/>
        <v>0</v>
      </c>
      <c r="CK107" s="935">
        <f t="shared" si="208"/>
        <v>324473.55524421588</v>
      </c>
      <c r="CL107" s="935">
        <f t="shared" si="209"/>
        <v>110795.8481321713</v>
      </c>
      <c r="CM107" s="1006">
        <f t="shared" si="306"/>
        <v>3600865.0642955666</v>
      </c>
      <c r="CN107" s="1007">
        <f t="shared" si="307"/>
        <v>0.125</v>
      </c>
      <c r="CO107" s="935">
        <f t="shared" si="210"/>
        <v>450108.13303694583</v>
      </c>
      <c r="CP107" s="935">
        <f t="shared" si="330"/>
        <v>30000</v>
      </c>
      <c r="CQ107" s="935">
        <f t="shared" si="211"/>
        <v>420108.13303694583</v>
      </c>
      <c r="CR107" s="745">
        <f t="shared" si="308"/>
        <v>1</v>
      </c>
      <c r="CS107" s="935">
        <f t="shared" si="212"/>
        <v>420108.13303694583</v>
      </c>
      <c r="CT107" s="1007">
        <f t="shared" si="245"/>
        <v>0.875</v>
      </c>
      <c r="CU107" s="935">
        <f t="shared" si="246"/>
        <v>3150756.9312586207</v>
      </c>
      <c r="CV107" s="1008">
        <f t="shared" si="247"/>
        <v>24427.784951986003</v>
      </c>
      <c r="CW107" s="1008">
        <f t="shared" si="248"/>
        <v>28319.894043994853</v>
      </c>
      <c r="CX107" s="1008">
        <f t="shared" si="249"/>
        <v>36582.959567597725</v>
      </c>
      <c r="CY107" s="1008">
        <f t="shared" si="250"/>
        <v>62388.763548234383</v>
      </c>
      <c r="CZ107" s="1119">
        <f t="shared" si="251"/>
        <v>255946.0002520546</v>
      </c>
      <c r="DA107" s="1119">
        <f t="shared" si="252"/>
        <v>101276.58551518909</v>
      </c>
      <c r="DB107" s="1119">
        <f t="shared" si="253"/>
        <v>73150.643317631824</v>
      </c>
      <c r="DC107" s="1119">
        <f t="shared" si="254"/>
        <v>55671.007246402623</v>
      </c>
      <c r="DD107" s="1028">
        <f t="shared" si="294"/>
        <v>0.4226044329356281</v>
      </c>
      <c r="DE107" s="1028">
        <f t="shared" si="341"/>
        <v>0</v>
      </c>
      <c r="DF107" s="1009" t="s">
        <v>270</v>
      </c>
      <c r="DG107" s="1009" t="s">
        <v>271</v>
      </c>
      <c r="DH107" s="966">
        <f t="shared" si="287"/>
        <v>45658</v>
      </c>
      <c r="DI107" s="912">
        <f t="shared" si="255"/>
        <v>14</v>
      </c>
      <c r="DJ107" s="939"/>
      <c r="DK107" s="913">
        <f t="shared" si="213"/>
        <v>45723</v>
      </c>
      <c r="DL107" s="912">
        <f t="shared" si="256"/>
        <v>16</v>
      </c>
      <c r="DM107" s="750" t="s">
        <v>272</v>
      </c>
      <c r="DN107" s="750" t="s">
        <v>273</v>
      </c>
      <c r="DO107" s="751">
        <f t="shared" si="214"/>
        <v>43028.814989809405</v>
      </c>
      <c r="DP107" s="751">
        <f t="shared" si="215"/>
        <v>946633.92977580696</v>
      </c>
      <c r="DQ107" s="752">
        <f t="shared" si="295"/>
        <v>0.47331696488790348</v>
      </c>
      <c r="DR107" s="503"/>
      <c r="DS107" s="751">
        <f t="shared" si="296"/>
        <v>3165595.6609191797</v>
      </c>
      <c r="DT107" s="751">
        <f>'[4]INTERNAL PRICELIST'!N101</f>
        <v>2111900</v>
      </c>
      <c r="DU107" s="751">
        <f t="shared" si="216"/>
        <v>1053695.6609191797</v>
      </c>
      <c r="DV107" s="503"/>
      <c r="DW107" s="951">
        <f t="shared" si="297"/>
        <v>143890.7118599627</v>
      </c>
      <c r="DX107" s="503"/>
      <c r="DZ107" s="1010" t="s">
        <v>507</v>
      </c>
      <c r="EA107" s="1052" t="b">
        <f t="shared" si="217"/>
        <v>1</v>
      </c>
      <c r="EB107" s="1072" t="s">
        <v>508</v>
      </c>
      <c r="EC107" s="1072" t="s">
        <v>486</v>
      </c>
      <c r="ED107" s="503"/>
      <c r="EH107" s="930"/>
      <c r="EI107" s="930"/>
      <c r="EJ107" s="503"/>
      <c r="EK107" s="503"/>
      <c r="EL107" s="503"/>
      <c r="EM107" s="503"/>
      <c r="EN107" s="503"/>
      <c r="EO107" s="503"/>
      <c r="EP107" s="503"/>
      <c r="EQ107" s="503"/>
      <c r="ER107" s="1017" t="s">
        <v>264</v>
      </c>
      <c r="ES107" s="1391" t="s">
        <v>264</v>
      </c>
      <c r="ET107" s="1018" t="b">
        <f t="shared" si="257"/>
        <v>1</v>
      </c>
      <c r="EU107" s="940"/>
      <c r="EV107" s="941"/>
      <c r="EW107" s="940"/>
      <c r="EX107" s="1019">
        <v>2957690.4849336315</v>
      </c>
      <c r="EY107" s="1019">
        <f t="shared" si="310"/>
        <v>443653.57274004474</v>
      </c>
      <c r="EZ107" s="1019">
        <f t="shared" si="311"/>
        <v>2514036.9121935866</v>
      </c>
      <c r="FA107" s="1019">
        <f t="shared" si="312"/>
        <v>295769.04849336314</v>
      </c>
      <c r="FB107" s="1019">
        <f t="shared" si="313"/>
        <v>2661921.4364402685</v>
      </c>
      <c r="FC107" s="1019">
        <f t="shared" si="314"/>
        <v>147884.52424668195</v>
      </c>
      <c r="FD107" s="1020"/>
      <c r="FE107" s="1021"/>
      <c r="FF107" s="1022">
        <f t="shared" si="315"/>
        <v>2514036.9121935866</v>
      </c>
      <c r="FG107" s="1022">
        <f t="shared" si="316"/>
        <v>213693.13753645489</v>
      </c>
      <c r="FH107" s="1022">
        <f t="shared" si="317"/>
        <v>106846.56876822744</v>
      </c>
      <c r="FI107" s="1023">
        <f t="shared" si="318"/>
        <v>2661921.4364402685</v>
      </c>
      <c r="FJ107" s="1023">
        <f t="shared" si="319"/>
        <v>226263.32209742285</v>
      </c>
      <c r="FK107" s="1023">
        <f t="shared" si="320"/>
        <v>113131.66104871142</v>
      </c>
      <c r="FL107" s="1019">
        <f t="shared" si="321"/>
        <v>12570.184560967959</v>
      </c>
      <c r="FM107" s="1019">
        <f t="shared" si="322"/>
        <v>6285.0922804839793</v>
      </c>
      <c r="FN107" s="1019" t="str">
        <f t="shared" si="323"/>
        <v>VS</v>
      </c>
      <c r="FO107" s="1019">
        <f t="shared" si="324"/>
        <v>27537.409960060559</v>
      </c>
      <c r="FP107" s="1019">
        <f t="shared" si="325"/>
        <v>-21252.317679576579</v>
      </c>
      <c r="FQ107" s="1021"/>
      <c r="FR107" s="1021"/>
      <c r="FS107" s="1020"/>
      <c r="FT107" s="503"/>
      <c r="FU107" s="956"/>
      <c r="FV107" s="503"/>
      <c r="FW107" s="503"/>
      <c r="FX107" s="1040"/>
      <c r="FY107" s="503"/>
      <c r="FZ107" s="503"/>
      <c r="GA107" s="503"/>
      <c r="GE107" s="503"/>
      <c r="GF107" s="1059"/>
      <c r="GG107" s="956"/>
      <c r="GH107" s="945"/>
      <c r="GI107" s="1024">
        <f t="shared" si="258"/>
        <v>3600865.0642955666</v>
      </c>
      <c r="GJ107" s="1025">
        <f t="shared" si="259"/>
        <v>0.125</v>
      </c>
      <c r="GK107" s="1024">
        <f t="shared" si="260"/>
        <v>450108.13303694583</v>
      </c>
      <c r="GL107" s="1024">
        <f t="shared" si="261"/>
        <v>30000</v>
      </c>
      <c r="GM107" s="1024">
        <f t="shared" si="262"/>
        <v>420108.13303694583</v>
      </c>
      <c r="GN107" s="1024">
        <f t="shared" si="263"/>
        <v>1</v>
      </c>
      <c r="GO107" s="1024">
        <f t="shared" si="264"/>
        <v>420108.13303694583</v>
      </c>
      <c r="GP107" s="1025">
        <f t="shared" si="265"/>
        <v>0.875</v>
      </c>
      <c r="GQ107" s="1024">
        <f t="shared" si="266"/>
        <v>3150756.9312586207</v>
      </c>
      <c r="GR107" s="1024">
        <f t="shared" si="267"/>
        <v>24427.784951986003</v>
      </c>
      <c r="GS107" s="1024">
        <f t="shared" si="268"/>
        <v>28319.894043994853</v>
      </c>
      <c r="GT107" s="1024">
        <f t="shared" si="269"/>
        <v>36582.959567597725</v>
      </c>
      <c r="GU107" s="1024">
        <f t="shared" si="270"/>
        <v>62388.763548234383</v>
      </c>
      <c r="GV107" s="945"/>
      <c r="GW107" s="1024">
        <f t="shared" si="271"/>
        <v>3600865.0642955666</v>
      </c>
      <c r="GX107" s="1025">
        <f t="shared" si="272"/>
        <v>0.125</v>
      </c>
      <c r="GY107" s="1024">
        <f t="shared" si="273"/>
        <v>450108.13303694583</v>
      </c>
      <c r="GZ107" s="1024">
        <f t="shared" si="274"/>
        <v>30000</v>
      </c>
      <c r="HA107" s="1024">
        <f t="shared" si="275"/>
        <v>420108.13303694583</v>
      </c>
      <c r="HB107" s="1026">
        <f t="shared" si="276"/>
        <v>25</v>
      </c>
      <c r="HC107" s="1009">
        <f t="shared" si="277"/>
        <v>16804.325321477834</v>
      </c>
      <c r="HD107" s="1027">
        <f t="shared" si="278"/>
        <v>0.875</v>
      </c>
      <c r="HE107" s="1009">
        <f t="shared" si="279"/>
        <v>3150756.9312586207</v>
      </c>
      <c r="HF107" s="1008">
        <f t="shared" si="280"/>
        <v>24427.784951986003</v>
      </c>
      <c r="HG107" s="1008">
        <f t="shared" si="281"/>
        <v>28319.894043994853</v>
      </c>
      <c r="HH107" s="1008">
        <f t="shared" si="282"/>
        <v>36582.959567597725</v>
      </c>
      <c r="HI107" s="1008">
        <f t="shared" si="283"/>
        <v>62388.763548234383</v>
      </c>
      <c r="HJ107" s="945"/>
      <c r="HK107" s="1009">
        <f t="shared" si="284"/>
        <v>-403303.80771546799</v>
      </c>
      <c r="HL107" s="503"/>
      <c r="HM107" s="503"/>
      <c r="HN107" s="503"/>
      <c r="HO107" s="503"/>
      <c r="HP107" s="503"/>
      <c r="HQ107" s="503"/>
      <c r="HR107" s="956">
        <f t="shared" si="285"/>
        <v>0</v>
      </c>
      <c r="HS107" s="503"/>
      <c r="HT107" s="503"/>
      <c r="HU107" s="956"/>
      <c r="HV107" s="503"/>
      <c r="HW107" s="956"/>
      <c r="HX107" s="956"/>
      <c r="HY107" s="503"/>
      <c r="HZ107" s="503"/>
      <c r="IA107" s="503"/>
      <c r="ID107" s="1394"/>
    </row>
    <row r="108" spans="1:238" s="1051" customFormat="1" ht="14.25" hidden="1" customHeight="1">
      <c r="A108" s="1018">
        <f t="shared" si="326"/>
        <v>102</v>
      </c>
      <c r="B108" s="716" t="s">
        <v>264</v>
      </c>
      <c r="C108" s="741">
        <f t="shared" si="337"/>
        <v>18</v>
      </c>
      <c r="D108" s="716" t="s">
        <v>276</v>
      </c>
      <c r="E108" s="743" t="str">
        <f t="shared" si="344"/>
        <v>7th Floor</v>
      </c>
      <c r="F108" s="1048"/>
      <c r="G108" s="745" t="s">
        <v>509</v>
      </c>
      <c r="H108" s="745" t="s">
        <v>353</v>
      </c>
      <c r="I108" s="745" t="s">
        <v>267</v>
      </c>
      <c r="J108" s="1005">
        <v>22</v>
      </c>
      <c r="K108" s="1049"/>
      <c r="L108" s="1006" t="s">
        <v>268</v>
      </c>
      <c r="M108" s="745" t="s">
        <v>65</v>
      </c>
      <c r="N108" s="1050">
        <v>95909.091</v>
      </c>
      <c r="O108" s="934">
        <f t="shared" si="298"/>
        <v>2110000.0019999999</v>
      </c>
      <c r="P108" s="934">
        <f t="shared" si="327"/>
        <v>22400</v>
      </c>
      <c r="Q108" s="934">
        <f t="shared" si="293"/>
        <v>50000</v>
      </c>
      <c r="R108" s="934"/>
      <c r="S108" s="934"/>
      <c r="T108" s="934"/>
      <c r="U108" s="934"/>
      <c r="V108" s="749">
        <f t="shared" ref="V108:V109" si="345">J108*$V$5</f>
        <v>55000</v>
      </c>
      <c r="W108" s="749"/>
      <c r="X108" s="934"/>
      <c r="Y108" s="934">
        <f t="shared" si="338"/>
        <v>60000</v>
      </c>
      <c r="Z108" s="934">
        <f t="shared" si="299"/>
        <v>75000</v>
      </c>
      <c r="AA108" s="934"/>
      <c r="AB108" s="934"/>
      <c r="AC108" s="934"/>
      <c r="AD108" s="934"/>
      <c r="AE108" s="934">
        <f t="shared" si="199"/>
        <v>262400</v>
      </c>
      <c r="AF108" s="1005">
        <f t="shared" si="200"/>
        <v>2372400.0019999999</v>
      </c>
      <c r="AG108" s="1005">
        <f t="shared" si="220"/>
        <v>59310.000050000002</v>
      </c>
      <c r="AH108" s="1005">
        <f t="shared" si="221"/>
        <v>2431710.0020499998</v>
      </c>
      <c r="AI108" s="1005">
        <f t="shared" si="222"/>
        <v>60792.750051249997</v>
      </c>
      <c r="AJ108" s="1005">
        <f t="shared" si="223"/>
        <v>2492502.75210125</v>
      </c>
      <c r="AK108" s="1005">
        <f t="shared" si="224"/>
        <v>124625.13760506251</v>
      </c>
      <c r="AL108" s="1005">
        <f t="shared" si="300"/>
        <v>2617127.8897063127</v>
      </c>
      <c r="AM108" s="934">
        <f t="shared" si="225"/>
        <v>26171.278897063126</v>
      </c>
      <c r="AN108" s="934">
        <f t="shared" si="226"/>
        <v>27537.409960060559</v>
      </c>
      <c r="AO108" s="934"/>
      <c r="AP108" s="934">
        <f t="shared" si="301"/>
        <v>118264.67920039015</v>
      </c>
      <c r="AQ108" s="1005">
        <f t="shared" si="201"/>
        <v>2789101.2577638268</v>
      </c>
      <c r="AR108" s="1005">
        <f t="shared" si="227"/>
        <v>125509.5565993722</v>
      </c>
      <c r="AS108" s="1147">
        <f t="shared" si="228"/>
        <v>2914610.8143631988</v>
      </c>
      <c r="AT108" s="1148">
        <f t="shared" si="302"/>
        <v>2000000</v>
      </c>
      <c r="AU108" s="1148">
        <f t="shared" si="342"/>
        <v>41573.218834690859</v>
      </c>
      <c r="AV108" s="1148">
        <f t="shared" si="303"/>
        <v>914610.81436319882</v>
      </c>
      <c r="AW108" s="1148">
        <f t="shared" si="203"/>
        <v>109753.29772358385</v>
      </c>
      <c r="AX108" s="1148">
        <f t="shared" si="204"/>
        <v>1024364.1120867827</v>
      </c>
      <c r="AY108" s="1147">
        <f t="shared" si="229"/>
        <v>3024364.1120867827</v>
      </c>
      <c r="AZ108" s="934">
        <f t="shared" si="230"/>
        <v>37804.551401084784</v>
      </c>
      <c r="BA108" s="716" t="s">
        <v>269</v>
      </c>
      <c r="BB108" s="716">
        <f t="shared" si="343"/>
        <v>3062168.6634878675</v>
      </c>
      <c r="BC108" s="716" t="s">
        <v>269</v>
      </c>
      <c r="BD108" s="716">
        <f t="shared" si="231"/>
        <v>114831.32488079503</v>
      </c>
      <c r="BE108" s="716">
        <f t="shared" si="232"/>
        <v>33600</v>
      </c>
      <c r="BF108" s="716">
        <f t="shared" si="233"/>
        <v>3210599.9883686625</v>
      </c>
      <c r="BG108" s="716"/>
      <c r="BH108" s="716">
        <f t="shared" si="234"/>
        <v>3210599.9883686625</v>
      </c>
      <c r="BI108" s="716"/>
      <c r="BJ108" s="716">
        <f t="shared" si="235"/>
        <v>3210599.9883686625</v>
      </c>
      <c r="BK108" s="716"/>
      <c r="BL108" s="716">
        <f t="shared" si="236"/>
        <v>3210599.9883686625</v>
      </c>
      <c r="BM108" s="716"/>
      <c r="BN108" s="716">
        <f t="shared" si="206"/>
        <v>3210599.9883686625</v>
      </c>
      <c r="BO108" s="716"/>
      <c r="BP108" s="716">
        <f t="shared" si="237"/>
        <v>3210599.9883686625</v>
      </c>
      <c r="BQ108" s="716"/>
      <c r="BR108" s="716">
        <f t="shared" si="238"/>
        <v>3210599.9883686625</v>
      </c>
      <c r="BS108" s="716"/>
      <c r="BT108" s="716">
        <f t="shared" si="239"/>
        <v>3210599.9883686625</v>
      </c>
      <c r="BU108" s="716"/>
      <c r="BV108" s="716">
        <f t="shared" si="207"/>
        <v>3210599.9883686625</v>
      </c>
      <c r="BW108" s="716"/>
      <c r="BX108" s="716">
        <f t="shared" si="329"/>
        <v>31400</v>
      </c>
      <c r="BY108" s="716">
        <f t="shared" si="240"/>
        <v>3241999.9883686625</v>
      </c>
      <c r="BZ108" s="716"/>
      <c r="CA108" s="716">
        <f t="shared" si="241"/>
        <v>3241999.9883686625</v>
      </c>
      <c r="CB108" s="1135">
        <f t="shared" si="242"/>
        <v>3241999.9883686625</v>
      </c>
      <c r="CC108" s="1164">
        <f t="shared" si="286"/>
        <v>3241999.9883686625</v>
      </c>
      <c r="CD108" s="1164"/>
      <c r="CE108" s="1164">
        <f t="shared" si="243"/>
        <v>0</v>
      </c>
      <c r="CF108" s="1164">
        <f t="shared" si="291"/>
        <v>0</v>
      </c>
      <c r="CG108" s="1164">
        <f t="shared" si="292"/>
        <v>0</v>
      </c>
      <c r="CH108" s="1154">
        <f t="shared" si="339"/>
        <v>3241999.9883686625</v>
      </c>
      <c r="CI108" s="935">
        <f t="shared" si="340"/>
        <v>3241999.9883686625</v>
      </c>
      <c r="CJ108" s="935">
        <f t="shared" si="244"/>
        <v>0</v>
      </c>
      <c r="CK108" s="935">
        <f t="shared" si="208"/>
        <v>332304.9988077879</v>
      </c>
      <c r="CL108" s="935">
        <f t="shared" si="209"/>
        <v>113469.9995929032</v>
      </c>
      <c r="CM108" s="1006">
        <f t="shared" si="306"/>
        <v>3687774.9867693535</v>
      </c>
      <c r="CN108" s="1007">
        <f t="shared" si="307"/>
        <v>0.125</v>
      </c>
      <c r="CO108" s="935">
        <f t="shared" si="210"/>
        <v>460971.87334616919</v>
      </c>
      <c r="CP108" s="935">
        <f t="shared" si="330"/>
        <v>30000</v>
      </c>
      <c r="CQ108" s="935">
        <f t="shared" si="211"/>
        <v>430971.87334616919</v>
      </c>
      <c r="CR108" s="745">
        <f t="shared" si="308"/>
        <v>1</v>
      </c>
      <c r="CS108" s="935">
        <f t="shared" si="212"/>
        <v>430971.87334616919</v>
      </c>
      <c r="CT108" s="1007">
        <f t="shared" si="245"/>
        <v>0.875</v>
      </c>
      <c r="CU108" s="935">
        <f t="shared" si="246"/>
        <v>3226803.1134231845</v>
      </c>
      <c r="CV108" s="1008">
        <f t="shared" si="247"/>
        <v>25017.370192886658</v>
      </c>
      <c r="CW108" s="1008">
        <f t="shared" si="248"/>
        <v>29003.418628193889</v>
      </c>
      <c r="CX108" s="1008">
        <f t="shared" si="249"/>
        <v>37465.920223748719</v>
      </c>
      <c r="CY108" s="1008">
        <f t="shared" si="250"/>
        <v>63894.569099510503</v>
      </c>
      <c r="CZ108" s="1119">
        <f t="shared" si="251"/>
        <v>262123.47334315849</v>
      </c>
      <c r="DA108" s="1119">
        <f t="shared" si="252"/>
        <v>103720.98152513978</v>
      </c>
      <c r="DB108" s="1119">
        <f t="shared" si="253"/>
        <v>74916.195935162847</v>
      </c>
      <c r="DC108" s="1119">
        <f t="shared" si="254"/>
        <v>57014.674070188201</v>
      </c>
      <c r="DD108" s="1028">
        <f t="shared" si="294"/>
        <v>0.4573054071815994</v>
      </c>
      <c r="DE108" s="1028">
        <f t="shared" si="341"/>
        <v>0</v>
      </c>
      <c r="DF108" s="1009" t="s">
        <v>270</v>
      </c>
      <c r="DG108" s="1009" t="s">
        <v>271</v>
      </c>
      <c r="DH108" s="966">
        <f t="shared" si="287"/>
        <v>45658</v>
      </c>
      <c r="DI108" s="912">
        <f t="shared" si="255"/>
        <v>14</v>
      </c>
      <c r="DJ108" s="939"/>
      <c r="DK108" s="913">
        <f t="shared" si="213"/>
        <v>45723</v>
      </c>
      <c r="DL108" s="912">
        <f t="shared" si="256"/>
        <v>16</v>
      </c>
      <c r="DM108" s="750" t="s">
        <v>272</v>
      </c>
      <c r="DN108" s="750" t="s">
        <v>273</v>
      </c>
      <c r="DO108" s="751">
        <f t="shared" si="214"/>
        <v>46562.005094853761</v>
      </c>
      <c r="DP108" s="751">
        <f t="shared" si="215"/>
        <v>1024364.1120867827</v>
      </c>
      <c r="DQ108" s="752">
        <f t="shared" si="295"/>
        <v>0.5121820560433914</v>
      </c>
      <c r="DR108" s="503"/>
      <c r="DS108" s="751">
        <f t="shared" si="296"/>
        <v>3241999.9883686625</v>
      </c>
      <c r="DT108" s="751">
        <f>'[4]INTERNAL PRICELIST'!N102</f>
        <v>2111900</v>
      </c>
      <c r="DU108" s="751">
        <f t="shared" si="216"/>
        <v>1130099.9883686625</v>
      </c>
      <c r="DV108" s="503"/>
      <c r="DW108" s="951">
        <f t="shared" si="297"/>
        <v>147363.6358349392</v>
      </c>
      <c r="DX108" s="503"/>
      <c r="DZ108" s="1010" t="s">
        <v>509</v>
      </c>
      <c r="EA108" s="1052" t="b">
        <f t="shared" si="217"/>
        <v>1</v>
      </c>
      <c r="EB108" s="1072" t="s">
        <v>510</v>
      </c>
      <c r="EC108" s="1072" t="s">
        <v>486</v>
      </c>
      <c r="ED108" s="503"/>
      <c r="EH108" s="930"/>
      <c r="EI108" s="930"/>
      <c r="EJ108" s="503"/>
      <c r="EK108" s="503"/>
      <c r="EL108" s="503"/>
      <c r="EM108" s="503"/>
      <c r="EN108" s="503"/>
      <c r="EO108" s="503"/>
      <c r="EP108" s="503"/>
      <c r="EQ108" s="503"/>
      <c r="ER108" s="1017" t="s">
        <v>264</v>
      </c>
      <c r="ES108" s="1391" t="s">
        <v>264</v>
      </c>
      <c r="ET108" s="1018" t="b">
        <f t="shared" si="257"/>
        <v>1</v>
      </c>
      <c r="EU108" s="940"/>
      <c r="EV108" s="941"/>
      <c r="EW108" s="940"/>
      <c r="EX108" s="1019">
        <v>3091887.0379186962</v>
      </c>
      <c r="EY108" s="1019">
        <f t="shared" si="310"/>
        <v>463783.05568780442</v>
      </c>
      <c r="EZ108" s="1019">
        <f t="shared" si="311"/>
        <v>2628103.9822308915</v>
      </c>
      <c r="FA108" s="1019">
        <f t="shared" si="312"/>
        <v>309188.70379186963</v>
      </c>
      <c r="FB108" s="1019">
        <f t="shared" si="313"/>
        <v>2782698.3341268268</v>
      </c>
      <c r="FC108" s="1019">
        <f t="shared" si="314"/>
        <v>154594.35189593537</v>
      </c>
      <c r="FD108" s="1020"/>
      <c r="FE108" s="1021"/>
      <c r="FF108" s="1022">
        <f t="shared" si="315"/>
        <v>2628103.9822308915</v>
      </c>
      <c r="FG108" s="1022">
        <f t="shared" si="316"/>
        <v>223388.83848962578</v>
      </c>
      <c r="FH108" s="1022">
        <f t="shared" si="317"/>
        <v>111694.41924481289</v>
      </c>
      <c r="FI108" s="1023">
        <f t="shared" si="318"/>
        <v>2782698.3341268268</v>
      </c>
      <c r="FJ108" s="1023">
        <f t="shared" si="319"/>
        <v>236529.3584007803</v>
      </c>
      <c r="FK108" s="1023">
        <f t="shared" si="320"/>
        <v>118264.67920039015</v>
      </c>
      <c r="FL108" s="1019">
        <f t="shared" si="321"/>
        <v>13140.519911154523</v>
      </c>
      <c r="FM108" s="1019">
        <f t="shared" si="322"/>
        <v>6570.2599555772613</v>
      </c>
      <c r="FN108" s="1019" t="str">
        <f t="shared" si="323"/>
        <v>VS</v>
      </c>
      <c r="FO108" s="1019">
        <f t="shared" si="324"/>
        <v>27537.409960060559</v>
      </c>
      <c r="FP108" s="1019">
        <f t="shared" si="325"/>
        <v>-20967.150004483297</v>
      </c>
      <c r="FQ108" s="1021"/>
      <c r="FR108" s="1021"/>
      <c r="FS108" s="1020"/>
      <c r="FT108" s="503"/>
      <c r="FU108" s="956"/>
      <c r="FV108" s="503"/>
      <c r="FW108" s="503"/>
      <c r="FX108" s="1040"/>
      <c r="FY108" s="503"/>
      <c r="FZ108" s="503"/>
      <c r="GA108" s="503"/>
      <c r="GE108" s="503"/>
      <c r="GF108" s="1059"/>
      <c r="GG108" s="956"/>
      <c r="GH108" s="945"/>
      <c r="GI108" s="1024">
        <f t="shared" si="258"/>
        <v>3687774.9867693535</v>
      </c>
      <c r="GJ108" s="1025">
        <f t="shared" si="259"/>
        <v>0.125</v>
      </c>
      <c r="GK108" s="1024">
        <f t="shared" si="260"/>
        <v>460971.87334616919</v>
      </c>
      <c r="GL108" s="1024">
        <f t="shared" si="261"/>
        <v>30000</v>
      </c>
      <c r="GM108" s="1024">
        <f t="shared" si="262"/>
        <v>430971.87334616919</v>
      </c>
      <c r="GN108" s="1024">
        <f t="shared" si="263"/>
        <v>1</v>
      </c>
      <c r="GO108" s="1024">
        <f t="shared" si="264"/>
        <v>430971.87334616919</v>
      </c>
      <c r="GP108" s="1025">
        <f t="shared" si="265"/>
        <v>0.875</v>
      </c>
      <c r="GQ108" s="1024">
        <f t="shared" si="266"/>
        <v>3226803.1134231845</v>
      </c>
      <c r="GR108" s="1024">
        <f t="shared" si="267"/>
        <v>25017.370192886658</v>
      </c>
      <c r="GS108" s="1024">
        <f t="shared" si="268"/>
        <v>29003.418628193889</v>
      </c>
      <c r="GT108" s="1024">
        <f t="shared" si="269"/>
        <v>37465.920223748719</v>
      </c>
      <c r="GU108" s="1024">
        <f t="shared" si="270"/>
        <v>63894.569099510503</v>
      </c>
      <c r="GV108" s="945"/>
      <c r="GW108" s="1024">
        <f t="shared" si="271"/>
        <v>3687774.9867693535</v>
      </c>
      <c r="GX108" s="1025">
        <f t="shared" si="272"/>
        <v>0.125</v>
      </c>
      <c r="GY108" s="1024">
        <f t="shared" si="273"/>
        <v>460971.87334616919</v>
      </c>
      <c r="GZ108" s="1024">
        <f t="shared" si="274"/>
        <v>30000</v>
      </c>
      <c r="HA108" s="1024">
        <f t="shared" si="275"/>
        <v>430971.87334616919</v>
      </c>
      <c r="HB108" s="1026">
        <f t="shared" si="276"/>
        <v>25</v>
      </c>
      <c r="HC108" s="1009">
        <f t="shared" si="277"/>
        <v>17238.874933846768</v>
      </c>
      <c r="HD108" s="1027">
        <f t="shared" si="278"/>
        <v>0.875</v>
      </c>
      <c r="HE108" s="1009">
        <f t="shared" si="279"/>
        <v>3226803.1134231845</v>
      </c>
      <c r="HF108" s="1008">
        <f t="shared" si="280"/>
        <v>25017.370192886658</v>
      </c>
      <c r="HG108" s="1008">
        <f t="shared" si="281"/>
        <v>29003.418628193889</v>
      </c>
      <c r="HH108" s="1008">
        <f t="shared" si="282"/>
        <v>37465.920223748719</v>
      </c>
      <c r="HI108" s="1008">
        <f t="shared" si="283"/>
        <v>63894.569099510503</v>
      </c>
      <c r="HJ108" s="945"/>
      <c r="HK108" s="1009">
        <f t="shared" si="284"/>
        <v>-413732.99841232243</v>
      </c>
      <c r="HL108" s="503"/>
      <c r="HM108" s="503"/>
      <c r="HN108" s="503"/>
      <c r="HO108" s="503"/>
      <c r="HP108" s="503"/>
      <c r="HQ108" s="503"/>
      <c r="HR108" s="956">
        <f t="shared" si="285"/>
        <v>0</v>
      </c>
      <c r="HS108" s="503"/>
      <c r="HT108" s="503"/>
      <c r="HU108" s="956"/>
      <c r="HV108" s="503"/>
      <c r="HW108" s="956"/>
      <c r="HX108" s="956"/>
      <c r="HY108" s="503"/>
      <c r="HZ108" s="503"/>
      <c r="IA108" s="503"/>
      <c r="ID108" s="1394"/>
    </row>
    <row r="109" spans="1:238" s="1051" customFormat="1" ht="14.25" hidden="1" customHeight="1">
      <c r="A109" s="1018">
        <f t="shared" si="326"/>
        <v>103</v>
      </c>
      <c r="B109" s="716" t="s">
        <v>264</v>
      </c>
      <c r="C109" s="741">
        <v>1</v>
      </c>
      <c r="D109" s="716" t="s">
        <v>281</v>
      </c>
      <c r="E109" s="743" t="str">
        <f t="shared" si="344"/>
        <v>8th Floor</v>
      </c>
      <c r="F109" s="1048"/>
      <c r="G109" s="745" t="s">
        <v>511</v>
      </c>
      <c r="H109" s="745" t="s">
        <v>266</v>
      </c>
      <c r="I109" s="745" t="s">
        <v>267</v>
      </c>
      <c r="J109" s="1005">
        <v>22</v>
      </c>
      <c r="K109" s="1049"/>
      <c r="L109" s="1006" t="s">
        <v>73</v>
      </c>
      <c r="M109" s="745" t="s">
        <v>65</v>
      </c>
      <c r="N109" s="1050">
        <v>95909.091</v>
      </c>
      <c r="O109" s="934">
        <f t="shared" si="298"/>
        <v>2110000.0019999999</v>
      </c>
      <c r="P109" s="934">
        <f t="shared" si="327"/>
        <v>22400</v>
      </c>
      <c r="Q109" s="934">
        <f t="shared" si="293"/>
        <v>50000</v>
      </c>
      <c r="R109" s="934"/>
      <c r="S109" s="934"/>
      <c r="T109" s="934">
        <f>J109*$T$5</f>
        <v>66000</v>
      </c>
      <c r="U109" s="934"/>
      <c r="V109" s="749">
        <f t="shared" si="345"/>
        <v>55000</v>
      </c>
      <c r="W109" s="749"/>
      <c r="X109" s="934"/>
      <c r="Y109" s="934">
        <f>Y108+Y5</f>
        <v>80000</v>
      </c>
      <c r="Z109" s="934">
        <f t="shared" si="299"/>
        <v>75000</v>
      </c>
      <c r="AA109" s="934"/>
      <c r="AB109" s="934"/>
      <c r="AC109" s="934"/>
      <c r="AD109" s="934"/>
      <c r="AE109" s="934">
        <f t="shared" si="199"/>
        <v>348400</v>
      </c>
      <c r="AF109" s="1005">
        <f t="shared" si="200"/>
        <v>2458400.0019999999</v>
      </c>
      <c r="AG109" s="1005">
        <f t="shared" si="220"/>
        <v>61460.000050000002</v>
      </c>
      <c r="AH109" s="1005">
        <f t="shared" si="221"/>
        <v>2519860.0020499998</v>
      </c>
      <c r="AI109" s="1005">
        <f t="shared" si="222"/>
        <v>62996.500051249997</v>
      </c>
      <c r="AJ109" s="1005">
        <f t="shared" si="223"/>
        <v>2582856.50210125</v>
      </c>
      <c r="AK109" s="1005">
        <f t="shared" si="224"/>
        <v>129142.82510506251</v>
      </c>
      <c r="AL109" s="1005">
        <f t="shared" si="300"/>
        <v>2711999.3272063127</v>
      </c>
      <c r="AM109" s="934">
        <f t="shared" si="225"/>
        <v>27119.993272063126</v>
      </c>
      <c r="AN109" s="934">
        <f t="shared" si="226"/>
        <v>27537.409960060559</v>
      </c>
      <c r="AO109" s="934"/>
      <c r="AP109" s="934">
        <f t="shared" si="301"/>
        <v>122914.30766367284</v>
      </c>
      <c r="AQ109" s="1005">
        <f t="shared" si="201"/>
        <v>2889571.038102109</v>
      </c>
      <c r="AR109" s="1005">
        <f t="shared" si="227"/>
        <v>130030.6967145949</v>
      </c>
      <c r="AS109" s="1147">
        <f t="shared" si="228"/>
        <v>3019601.7348167039</v>
      </c>
      <c r="AT109" s="1148">
        <f>AS109</f>
        <v>3019601.7348167039</v>
      </c>
      <c r="AU109" s="1148"/>
      <c r="AV109" s="1148"/>
      <c r="AW109" s="1148"/>
      <c r="AX109" s="1148">
        <f t="shared" si="204"/>
        <v>0</v>
      </c>
      <c r="AY109" s="1147">
        <f t="shared" si="229"/>
        <v>3019601.7348167039</v>
      </c>
      <c r="AZ109" s="934">
        <f t="shared" si="230"/>
        <v>37745.021685208798</v>
      </c>
      <c r="BA109" s="716" t="s">
        <v>269</v>
      </c>
      <c r="BB109" s="716">
        <f t="shared" si="343"/>
        <v>3057346.7565019126</v>
      </c>
      <c r="BC109" s="716" t="s">
        <v>269</v>
      </c>
      <c r="BD109" s="716">
        <f t="shared" si="231"/>
        <v>114650.50336882172</v>
      </c>
      <c r="BE109" s="716">
        <f t="shared" si="232"/>
        <v>33600</v>
      </c>
      <c r="BF109" s="716">
        <f t="shared" si="233"/>
        <v>3205597.2598707345</v>
      </c>
      <c r="BG109" s="716"/>
      <c r="BH109" s="716">
        <f t="shared" si="234"/>
        <v>3205597.2598707345</v>
      </c>
      <c r="BI109" s="716"/>
      <c r="BJ109" s="716">
        <f t="shared" si="235"/>
        <v>3205597.2598707345</v>
      </c>
      <c r="BK109" s="716"/>
      <c r="BL109" s="716">
        <f t="shared" si="236"/>
        <v>3205597.2598707345</v>
      </c>
      <c r="BM109" s="716"/>
      <c r="BN109" s="716">
        <f t="shared" si="206"/>
        <v>3205597.2598707345</v>
      </c>
      <c r="BO109" s="716"/>
      <c r="BP109" s="716">
        <f t="shared" si="237"/>
        <v>3205597.2598707345</v>
      </c>
      <c r="BQ109" s="716"/>
      <c r="BR109" s="716">
        <f t="shared" si="238"/>
        <v>3205597.2598707345</v>
      </c>
      <c r="BS109" s="716"/>
      <c r="BT109" s="716">
        <f t="shared" si="239"/>
        <v>3205597.2598707345</v>
      </c>
      <c r="BU109" s="716"/>
      <c r="BV109" s="716">
        <f t="shared" si="207"/>
        <v>3205597.2598707345</v>
      </c>
      <c r="BW109" s="716"/>
      <c r="BX109" s="716">
        <f t="shared" si="329"/>
        <v>31400</v>
      </c>
      <c r="BY109" s="716">
        <f t="shared" si="240"/>
        <v>3236997.2598707345</v>
      </c>
      <c r="BZ109" s="716"/>
      <c r="CA109" s="716">
        <f t="shared" si="241"/>
        <v>3236997.2598707345</v>
      </c>
      <c r="CB109" s="1135">
        <f t="shared" si="242"/>
        <v>3236997.2598707345</v>
      </c>
      <c r="CC109" s="1164">
        <f t="shared" si="286"/>
        <v>3236997.2598707345</v>
      </c>
      <c r="CD109" s="1164"/>
      <c r="CE109" s="1164">
        <f t="shared" si="243"/>
        <v>0</v>
      </c>
      <c r="CF109" s="1164">
        <f t="shared" si="291"/>
        <v>0</v>
      </c>
      <c r="CG109" s="1164">
        <f t="shared" si="292"/>
        <v>0</v>
      </c>
      <c r="CH109" s="1154">
        <f t="shared" si="339"/>
        <v>3236997.2598707345</v>
      </c>
      <c r="CI109" s="935">
        <f t="shared" si="340"/>
        <v>3236997.2598707345</v>
      </c>
      <c r="CJ109" s="935">
        <f t="shared" si="244"/>
        <v>0</v>
      </c>
      <c r="CK109" s="935">
        <f t="shared" si="208"/>
        <v>331792.21913675027</v>
      </c>
      <c r="CL109" s="935">
        <f t="shared" si="209"/>
        <v>113294.90409547572</v>
      </c>
      <c r="CM109" s="1006">
        <f t="shared" si="306"/>
        <v>3682084.3831029604</v>
      </c>
      <c r="CN109" s="1007">
        <f t="shared" si="307"/>
        <v>0.125</v>
      </c>
      <c r="CO109" s="935">
        <f t="shared" si="210"/>
        <v>460260.54788787005</v>
      </c>
      <c r="CP109" s="935">
        <f t="shared" si="330"/>
        <v>30000</v>
      </c>
      <c r="CQ109" s="935">
        <f t="shared" si="211"/>
        <v>430260.54788787005</v>
      </c>
      <c r="CR109" s="745">
        <f t="shared" si="308"/>
        <v>2</v>
      </c>
      <c r="CS109" s="935">
        <f t="shared" si="212"/>
        <v>215130.27394393503</v>
      </c>
      <c r="CT109" s="1007">
        <f t="shared" si="245"/>
        <v>0.875</v>
      </c>
      <c r="CU109" s="935">
        <f t="shared" si="246"/>
        <v>3221823.8352150903</v>
      </c>
      <c r="CV109" s="1008">
        <f t="shared" si="247"/>
        <v>24978.765901937801</v>
      </c>
      <c r="CW109" s="1008">
        <f t="shared" si="248"/>
        <v>28958.663467975144</v>
      </c>
      <c r="CX109" s="1008">
        <f t="shared" si="249"/>
        <v>37408.106581713902</v>
      </c>
      <c r="CY109" s="1008">
        <f t="shared" si="250"/>
        <v>63795.973423124386</v>
      </c>
      <c r="CZ109" s="1119">
        <f t="shared" si="251"/>
        <v>261718.99074760807</v>
      </c>
      <c r="DA109" s="1119">
        <f t="shared" si="252"/>
        <v>103560.92973242833</v>
      </c>
      <c r="DB109" s="1119">
        <f t="shared" si="253"/>
        <v>74800.59279213204</v>
      </c>
      <c r="DC109" s="1119">
        <f t="shared" si="254"/>
        <v>56926.69475624794</v>
      </c>
      <c r="DD109" s="1028">
        <f t="shared" si="294"/>
        <v>0</v>
      </c>
      <c r="DE109" s="1028">
        <f t="shared" si="341"/>
        <v>0</v>
      </c>
      <c r="DF109" s="916" t="s">
        <v>512</v>
      </c>
      <c r="DG109" s="1009" t="s">
        <v>271</v>
      </c>
      <c r="DH109" s="966">
        <f t="shared" si="287"/>
        <v>45658</v>
      </c>
      <c r="DI109" s="912">
        <f t="shared" si="255"/>
        <v>14</v>
      </c>
      <c r="DJ109" s="939"/>
      <c r="DK109" s="913">
        <f t="shared" si="213"/>
        <v>45723</v>
      </c>
      <c r="DL109" s="912">
        <f t="shared" si="256"/>
        <v>16</v>
      </c>
      <c r="DM109" s="750" t="s">
        <v>272</v>
      </c>
      <c r="DN109" s="750" t="s">
        <v>273</v>
      </c>
      <c r="DO109" s="751">
        <f t="shared" si="214"/>
        <v>0</v>
      </c>
      <c r="DP109" s="751">
        <f t="shared" si="215"/>
        <v>0</v>
      </c>
      <c r="DQ109" s="752">
        <f t="shared" si="295"/>
        <v>0</v>
      </c>
      <c r="DR109" s="503"/>
      <c r="DS109" s="751">
        <f t="shared" si="296"/>
        <v>3236997.2598707345</v>
      </c>
      <c r="DT109" s="751">
        <f>'[4]INTERNAL PRICELIST'!N103</f>
        <v>2113804</v>
      </c>
      <c r="DU109" s="751">
        <f t="shared" si="216"/>
        <v>1123193.2598707345</v>
      </c>
      <c r="DV109" s="503"/>
      <c r="DW109" s="951">
        <f t="shared" si="297"/>
        <v>147136.23908503339</v>
      </c>
      <c r="DX109" s="503"/>
      <c r="DZ109" s="1010" t="s">
        <v>511</v>
      </c>
      <c r="EA109" s="1052" t="b">
        <f t="shared" si="217"/>
        <v>1</v>
      </c>
      <c r="EB109" s="1072" t="s">
        <v>513</v>
      </c>
      <c r="EC109" s="1072" t="s">
        <v>514</v>
      </c>
      <c r="ED109" s="503"/>
      <c r="EE109" s="503"/>
      <c r="EF109" s="503"/>
      <c r="EG109" s="503"/>
      <c r="EH109" s="930"/>
      <c r="EI109" s="930"/>
      <c r="EJ109" s="503"/>
      <c r="EK109" s="503"/>
      <c r="EL109" s="503"/>
      <c r="EM109" s="503"/>
      <c r="EN109" s="503"/>
      <c r="EO109" s="503"/>
      <c r="EP109" s="503"/>
      <c r="EQ109" s="503"/>
      <c r="ER109" s="1017" t="s">
        <v>264</v>
      </c>
      <c r="ES109" s="1391" t="s">
        <v>264</v>
      </c>
      <c r="ET109" s="1018" t="b">
        <f t="shared" si="257"/>
        <v>1</v>
      </c>
      <c r="EU109" s="940"/>
      <c r="EV109" s="941"/>
      <c r="EW109" s="940"/>
      <c r="EX109" s="1019">
        <v>3213445.9519914463</v>
      </c>
      <c r="EY109" s="1019">
        <f t="shared" si="310"/>
        <v>482016.8927987169</v>
      </c>
      <c r="EZ109" s="1019">
        <f t="shared" si="311"/>
        <v>2731429.0591927292</v>
      </c>
      <c r="FA109" s="1019">
        <f t="shared" si="312"/>
        <v>321344.59519914468</v>
      </c>
      <c r="FB109" s="1019">
        <f t="shared" si="313"/>
        <v>2892101.3567923019</v>
      </c>
      <c r="FC109" s="1019">
        <f t="shared" si="314"/>
        <v>160672.29759957269</v>
      </c>
      <c r="FD109" s="1020"/>
      <c r="FE109" s="1021"/>
      <c r="FF109" s="1022">
        <f t="shared" si="315"/>
        <v>2731429.0591927292</v>
      </c>
      <c r="FG109" s="1022">
        <f t="shared" si="316"/>
        <v>232171.47003138199</v>
      </c>
      <c r="FH109" s="1022">
        <f t="shared" si="317"/>
        <v>116085.735015691</v>
      </c>
      <c r="FI109" s="1023">
        <f t="shared" si="318"/>
        <v>2892101.3567923019</v>
      </c>
      <c r="FJ109" s="1023">
        <f t="shared" si="319"/>
        <v>245828.61532734567</v>
      </c>
      <c r="FK109" s="1023">
        <f t="shared" si="320"/>
        <v>122914.30766367284</v>
      </c>
      <c r="FL109" s="1019">
        <f t="shared" si="321"/>
        <v>13657.145295963681</v>
      </c>
      <c r="FM109" s="1019">
        <f t="shared" si="322"/>
        <v>6828.5726479818404</v>
      </c>
      <c r="FN109" s="1019" t="str">
        <f t="shared" si="323"/>
        <v>VS</v>
      </c>
      <c r="FO109" s="1019">
        <f t="shared" si="324"/>
        <v>27537.409960060559</v>
      </c>
      <c r="FP109" s="1019">
        <f t="shared" si="325"/>
        <v>-20708.837312078718</v>
      </c>
      <c r="FQ109" s="1021"/>
      <c r="FR109" s="1021"/>
      <c r="FS109" s="1020"/>
      <c r="FT109" s="1055">
        <f>FB109</f>
        <v>2892101.3567923019</v>
      </c>
      <c r="FU109" s="1056"/>
      <c r="FV109" s="1056"/>
      <c r="FW109" s="503"/>
      <c r="FX109" s="1040"/>
      <c r="FY109" s="503"/>
      <c r="FZ109" s="503"/>
      <c r="GA109" s="503"/>
      <c r="GE109" s="503"/>
      <c r="GF109" s="1059"/>
      <c r="GG109" s="956"/>
      <c r="GH109" s="1058"/>
      <c r="GI109" s="1024">
        <f t="shared" si="258"/>
        <v>3682084.3831029604</v>
      </c>
      <c r="GJ109" s="1025">
        <f t="shared" si="259"/>
        <v>0.125</v>
      </c>
      <c r="GK109" s="1024">
        <f t="shared" si="260"/>
        <v>460260.54788787005</v>
      </c>
      <c r="GL109" s="1024">
        <f t="shared" si="261"/>
        <v>30000</v>
      </c>
      <c r="GM109" s="1024">
        <f t="shared" si="262"/>
        <v>430260.54788787005</v>
      </c>
      <c r="GN109" s="1024">
        <f t="shared" si="263"/>
        <v>2</v>
      </c>
      <c r="GO109" s="1024">
        <f t="shared" si="264"/>
        <v>215130.27394393503</v>
      </c>
      <c r="GP109" s="1025">
        <f t="shared" si="265"/>
        <v>0.875</v>
      </c>
      <c r="GQ109" s="1024">
        <f t="shared" si="266"/>
        <v>3221823.8352150903</v>
      </c>
      <c r="GR109" s="1024">
        <f t="shared" si="267"/>
        <v>24978.765901937801</v>
      </c>
      <c r="GS109" s="1024">
        <f t="shared" si="268"/>
        <v>28958.663467975144</v>
      </c>
      <c r="GT109" s="1024">
        <f t="shared" si="269"/>
        <v>37408.106581713902</v>
      </c>
      <c r="GU109" s="1024">
        <f t="shared" si="270"/>
        <v>63795.973423124386</v>
      </c>
      <c r="GV109" s="945"/>
      <c r="GW109" s="1024">
        <f t="shared" si="271"/>
        <v>3682084.3831029604</v>
      </c>
      <c r="GX109" s="1025">
        <f t="shared" si="272"/>
        <v>0.125</v>
      </c>
      <c r="GY109" s="1024">
        <f t="shared" si="273"/>
        <v>460260.54788787005</v>
      </c>
      <c r="GZ109" s="1024">
        <f t="shared" si="274"/>
        <v>30000</v>
      </c>
      <c r="HA109" s="1024">
        <f t="shared" si="275"/>
        <v>430260.54788787005</v>
      </c>
      <c r="HB109" s="1026">
        <f t="shared" si="276"/>
        <v>25</v>
      </c>
      <c r="HC109" s="1009">
        <f t="shared" si="277"/>
        <v>17210.421915514802</v>
      </c>
      <c r="HD109" s="1027">
        <f t="shared" si="278"/>
        <v>0.875</v>
      </c>
      <c r="HE109" s="1009">
        <f t="shared" si="279"/>
        <v>3221823.8352150903</v>
      </c>
      <c r="HF109" s="1008">
        <f t="shared" si="280"/>
        <v>24978.765901937801</v>
      </c>
      <c r="HG109" s="1008">
        <f t="shared" si="281"/>
        <v>28958.663467975144</v>
      </c>
      <c r="HH109" s="1008">
        <f t="shared" si="282"/>
        <v>37408.106581713902</v>
      </c>
      <c r="HI109" s="1008">
        <f t="shared" si="283"/>
        <v>63795.973423124386</v>
      </c>
      <c r="HJ109" s="945"/>
      <c r="HK109" s="1009">
        <f t="shared" si="284"/>
        <v>-197919.85202842022</v>
      </c>
      <c r="HL109" s="503"/>
      <c r="HM109" s="503"/>
      <c r="HN109" s="503"/>
      <c r="HO109" s="503"/>
      <c r="HP109" s="503"/>
      <c r="HQ109" s="503"/>
      <c r="HR109" s="956">
        <f t="shared" si="285"/>
        <v>0</v>
      </c>
      <c r="HS109" s="503"/>
      <c r="HT109" s="503"/>
      <c r="HU109" s="956"/>
      <c r="HV109" s="503"/>
      <c r="HW109" s="956"/>
      <c r="HX109" s="956"/>
      <c r="HY109" s="503"/>
      <c r="HZ109" s="503"/>
      <c r="IA109" s="503"/>
      <c r="ID109" s="1394"/>
    </row>
    <row r="110" spans="1:238" s="1051" customFormat="1" ht="14.25" hidden="1" customHeight="1">
      <c r="A110" s="1018">
        <f t="shared" si="326"/>
        <v>104</v>
      </c>
      <c r="B110" s="716" t="s">
        <v>264</v>
      </c>
      <c r="C110" s="741">
        <f>C109+1</f>
        <v>2</v>
      </c>
      <c r="D110" s="716" t="s">
        <v>281</v>
      </c>
      <c r="E110" s="743" t="str">
        <f t="shared" si="344"/>
        <v>8th Floor</v>
      </c>
      <c r="F110" s="1048"/>
      <c r="G110" s="745" t="s">
        <v>515</v>
      </c>
      <c r="H110" s="745" t="s">
        <v>278</v>
      </c>
      <c r="I110" s="745" t="s">
        <v>267</v>
      </c>
      <c r="J110" s="1005">
        <v>22</v>
      </c>
      <c r="K110" s="1049"/>
      <c r="L110" s="1006" t="s">
        <v>73</v>
      </c>
      <c r="M110" s="745" t="s">
        <v>240</v>
      </c>
      <c r="N110" s="1050">
        <v>95909.091</v>
      </c>
      <c r="O110" s="934">
        <f t="shared" si="298"/>
        <v>2110000.0019999999</v>
      </c>
      <c r="P110" s="934">
        <f t="shared" si="327"/>
        <v>22400</v>
      </c>
      <c r="Q110" s="934">
        <f t="shared" si="293"/>
        <v>50000</v>
      </c>
      <c r="R110" s="934"/>
      <c r="S110" s="934"/>
      <c r="T110" s="934">
        <f t="shared" ref="T110:T126" si="346">J110*$T$5</f>
        <v>66000</v>
      </c>
      <c r="U110" s="934"/>
      <c r="V110" s="934"/>
      <c r="W110" s="749">
        <f t="shared" ref="W110:W113" si="347">J110*$W$5</f>
        <v>22000</v>
      </c>
      <c r="X110" s="934"/>
      <c r="Y110" s="934">
        <f>$Y$109</f>
        <v>80000</v>
      </c>
      <c r="Z110" s="934">
        <f t="shared" si="299"/>
        <v>75000</v>
      </c>
      <c r="AA110" s="934"/>
      <c r="AB110" s="934"/>
      <c r="AC110" s="934"/>
      <c r="AD110" s="934"/>
      <c r="AE110" s="934">
        <f t="shared" si="199"/>
        <v>315400</v>
      </c>
      <c r="AF110" s="1005">
        <f t="shared" si="200"/>
        <v>2425400.0019999999</v>
      </c>
      <c r="AG110" s="1005">
        <f t="shared" si="220"/>
        <v>60635.000050000002</v>
      </c>
      <c r="AH110" s="1005">
        <f t="shared" si="221"/>
        <v>2486035.0020499998</v>
      </c>
      <c r="AI110" s="1005">
        <f t="shared" si="222"/>
        <v>62150.875051249997</v>
      </c>
      <c r="AJ110" s="1005">
        <f t="shared" si="223"/>
        <v>2548185.87710125</v>
      </c>
      <c r="AK110" s="1005">
        <f t="shared" si="224"/>
        <v>127409.29385506251</v>
      </c>
      <c r="AL110" s="1005">
        <f t="shared" si="300"/>
        <v>2675595.1709563127</v>
      </c>
      <c r="AM110" s="934">
        <f t="shared" si="225"/>
        <v>26755.951709563127</v>
      </c>
      <c r="AN110" s="934">
        <f t="shared" si="226"/>
        <v>27537.409960060559</v>
      </c>
      <c r="AO110" s="934"/>
      <c r="AP110" s="934">
        <f t="shared" si="301"/>
        <v>118886.41550704892</v>
      </c>
      <c r="AQ110" s="1005">
        <f t="shared" si="201"/>
        <v>2848774.9481329848</v>
      </c>
      <c r="AR110" s="1005">
        <f t="shared" si="227"/>
        <v>128194.87266598431</v>
      </c>
      <c r="AS110" s="1147">
        <f t="shared" si="228"/>
        <v>2976969.8207989689</v>
      </c>
      <c r="AT110" s="1148">
        <f t="shared" ref="AT110:AT141" si="348">$AT$5</f>
        <v>2000000</v>
      </c>
      <c r="AU110" s="1148">
        <f t="shared" ref="AU110:AU115" si="349">AV110/J110</f>
        <v>44407.719127225857</v>
      </c>
      <c r="AV110" s="1148">
        <f t="shared" si="303"/>
        <v>976969.8207989689</v>
      </c>
      <c r="AW110" s="1148">
        <f t="shared" si="203"/>
        <v>117236.37849587627</v>
      </c>
      <c r="AX110" s="1148">
        <f t="shared" si="204"/>
        <v>1094206.1992948451</v>
      </c>
      <c r="AY110" s="1147">
        <f t="shared" si="229"/>
        <v>3094206.1992948451</v>
      </c>
      <c r="AZ110" s="934">
        <f t="shared" si="230"/>
        <v>38677.577491185562</v>
      </c>
      <c r="BA110" s="716" t="s">
        <v>269</v>
      </c>
      <c r="BB110" s="716">
        <f t="shared" si="343"/>
        <v>3132883.7767860307</v>
      </c>
      <c r="BC110" s="716" t="s">
        <v>269</v>
      </c>
      <c r="BD110" s="716">
        <f t="shared" si="231"/>
        <v>117483.14162947614</v>
      </c>
      <c r="BE110" s="716">
        <f t="shared" si="232"/>
        <v>33600</v>
      </c>
      <c r="BF110" s="716">
        <f t="shared" si="233"/>
        <v>3283966.9184155068</v>
      </c>
      <c r="BG110" s="716"/>
      <c r="BH110" s="716">
        <f t="shared" si="234"/>
        <v>3283966.9184155068</v>
      </c>
      <c r="BI110" s="716"/>
      <c r="BJ110" s="716">
        <f t="shared" si="235"/>
        <v>3283966.9184155068</v>
      </c>
      <c r="BK110" s="716"/>
      <c r="BL110" s="716">
        <f t="shared" si="236"/>
        <v>3283966.9184155068</v>
      </c>
      <c r="BM110" s="716"/>
      <c r="BN110" s="716">
        <f t="shared" si="206"/>
        <v>3283966.9184155068</v>
      </c>
      <c r="BO110" s="716"/>
      <c r="BP110" s="716">
        <f t="shared" si="237"/>
        <v>3283966.9184155068</v>
      </c>
      <c r="BQ110" s="716"/>
      <c r="BR110" s="716">
        <f t="shared" si="238"/>
        <v>3283966.9184155068</v>
      </c>
      <c r="BS110" s="716"/>
      <c r="BT110" s="716">
        <f t="shared" si="239"/>
        <v>3283966.9184155068</v>
      </c>
      <c r="BU110" s="716"/>
      <c r="BV110" s="716">
        <f t="shared" si="207"/>
        <v>3283966.9184155068</v>
      </c>
      <c r="BW110" s="716"/>
      <c r="BX110" s="716">
        <f t="shared" si="329"/>
        <v>31400</v>
      </c>
      <c r="BY110" s="716">
        <f t="shared" si="240"/>
        <v>3315366.9184155068</v>
      </c>
      <c r="BZ110" s="716"/>
      <c r="CA110" s="716">
        <f t="shared" si="241"/>
        <v>3315366.9184155068</v>
      </c>
      <c r="CB110" s="1135">
        <f t="shared" si="242"/>
        <v>3315366.9184155068</v>
      </c>
      <c r="CC110" s="1164">
        <f t="shared" si="286"/>
        <v>3315366.9184155068</v>
      </c>
      <c r="CD110" s="1164"/>
      <c r="CE110" s="1164">
        <f t="shared" si="243"/>
        <v>0</v>
      </c>
      <c r="CF110" s="1164">
        <f t="shared" si="291"/>
        <v>0</v>
      </c>
      <c r="CG110" s="1164">
        <f t="shared" si="292"/>
        <v>0</v>
      </c>
      <c r="CH110" s="1154">
        <f t="shared" si="339"/>
        <v>3315366.9184155068</v>
      </c>
      <c r="CI110" s="935">
        <f t="shared" si="340"/>
        <v>3315366.9184155068</v>
      </c>
      <c r="CJ110" s="935">
        <f t="shared" si="244"/>
        <v>0</v>
      </c>
      <c r="CK110" s="935">
        <f t="shared" si="208"/>
        <v>339825.1091375894</v>
      </c>
      <c r="CL110" s="935">
        <f t="shared" si="209"/>
        <v>116037.84214454275</v>
      </c>
      <c r="CM110" s="1006">
        <f t="shared" si="306"/>
        <v>3771229.8696976393</v>
      </c>
      <c r="CN110" s="1007">
        <f t="shared" si="307"/>
        <v>0.125</v>
      </c>
      <c r="CO110" s="935">
        <f t="shared" si="210"/>
        <v>471403.73371220491</v>
      </c>
      <c r="CP110" s="935">
        <f t="shared" si="330"/>
        <v>30000</v>
      </c>
      <c r="CQ110" s="935">
        <f t="shared" si="211"/>
        <v>441403.73371220491</v>
      </c>
      <c r="CR110" s="745">
        <f t="shared" si="308"/>
        <v>2</v>
      </c>
      <c r="CS110" s="935">
        <f t="shared" si="212"/>
        <v>220701.86685610245</v>
      </c>
      <c r="CT110" s="1007">
        <f t="shared" si="245"/>
        <v>0.875</v>
      </c>
      <c r="CU110" s="935">
        <f t="shared" si="246"/>
        <v>3299826.1359854345</v>
      </c>
      <c r="CV110" s="1008">
        <f t="shared" si="247"/>
        <v>25583.516909568512</v>
      </c>
      <c r="CW110" s="1008">
        <f t="shared" si="248"/>
        <v>29659.770199214337</v>
      </c>
      <c r="CX110" s="1008">
        <f t="shared" si="249"/>
        <v>38313.779433513737</v>
      </c>
      <c r="CY110" s="1008">
        <f t="shared" si="250"/>
        <v>65340.512467282031</v>
      </c>
      <c r="CZ110" s="1119">
        <f t="shared" si="251"/>
        <v>268055.36557061045</v>
      </c>
      <c r="DA110" s="1119">
        <f t="shared" si="252"/>
        <v>106068.20238363648</v>
      </c>
      <c r="DB110" s="1119">
        <f t="shared" si="253"/>
        <v>76611.560317109208</v>
      </c>
      <c r="DC110" s="1119">
        <f t="shared" si="254"/>
        <v>58304.924415394395</v>
      </c>
      <c r="DD110" s="1028">
        <f t="shared" si="294"/>
        <v>0.48848491039948444</v>
      </c>
      <c r="DE110" s="1028">
        <f t="shared" si="341"/>
        <v>0</v>
      </c>
      <c r="DF110" s="1009" t="s">
        <v>270</v>
      </c>
      <c r="DG110" s="1009" t="s">
        <v>271</v>
      </c>
      <c r="DH110" s="966">
        <f t="shared" si="287"/>
        <v>45658</v>
      </c>
      <c r="DI110" s="912">
        <f t="shared" si="255"/>
        <v>14</v>
      </c>
      <c r="DJ110" s="939"/>
      <c r="DK110" s="913">
        <f t="shared" si="213"/>
        <v>45723</v>
      </c>
      <c r="DL110" s="912">
        <f t="shared" si="256"/>
        <v>16</v>
      </c>
      <c r="DM110" s="750" t="s">
        <v>272</v>
      </c>
      <c r="DN110" s="750" t="s">
        <v>273</v>
      </c>
      <c r="DO110" s="751">
        <f t="shared" si="214"/>
        <v>49736.645422492962</v>
      </c>
      <c r="DP110" s="751">
        <f t="shared" si="215"/>
        <v>1094206.1992948451</v>
      </c>
      <c r="DQ110" s="752">
        <f t="shared" si="295"/>
        <v>0.54710309964742254</v>
      </c>
      <c r="DR110" s="503"/>
      <c r="DS110" s="751">
        <f t="shared" si="296"/>
        <v>3315366.9184155068</v>
      </c>
      <c r="DT110" s="751">
        <f>'[4]INTERNAL PRICELIST'!N104</f>
        <v>2111900</v>
      </c>
      <c r="DU110" s="751">
        <f t="shared" si="216"/>
        <v>1203466.9184155068</v>
      </c>
      <c r="DV110" s="503"/>
      <c r="DW110" s="951">
        <f t="shared" si="297"/>
        <v>150698.49629161393</v>
      </c>
      <c r="DX110" s="503"/>
      <c r="DZ110" s="1010" t="s">
        <v>515</v>
      </c>
      <c r="EA110" s="1052" t="b">
        <f t="shared" si="217"/>
        <v>1</v>
      </c>
      <c r="EB110" s="1072" t="s">
        <v>516</v>
      </c>
      <c r="EC110" s="1072" t="s">
        <v>514</v>
      </c>
      <c r="ED110" s="503"/>
      <c r="EH110" s="930"/>
      <c r="EI110" s="930"/>
      <c r="EJ110" s="503"/>
      <c r="EK110" s="503"/>
      <c r="EL110" s="503"/>
      <c r="EM110" s="503"/>
      <c r="EN110" s="503"/>
      <c r="EO110" s="503"/>
      <c r="EP110" s="503"/>
      <c r="EQ110" s="503"/>
      <c r="ER110" s="1017" t="s">
        <v>264</v>
      </c>
      <c r="ES110" s="1391" t="s">
        <v>264</v>
      </c>
      <c r="ET110" s="1018" t="b">
        <f t="shared" si="257"/>
        <v>1</v>
      </c>
      <c r="EU110" s="940"/>
      <c r="EV110" s="941"/>
      <c r="EW110" s="940"/>
      <c r="EX110" s="1019">
        <v>3108141.5818836316</v>
      </c>
      <c r="EY110" s="1019">
        <f t="shared" si="310"/>
        <v>466221.23728254472</v>
      </c>
      <c r="EZ110" s="1019">
        <f t="shared" si="311"/>
        <v>2641920.3446010868</v>
      </c>
      <c r="FA110" s="1019">
        <f t="shared" si="312"/>
        <v>310814.15818836319</v>
      </c>
      <c r="FB110" s="1019">
        <f t="shared" si="313"/>
        <v>2797327.4236952686</v>
      </c>
      <c r="FC110" s="1019">
        <f t="shared" si="314"/>
        <v>155407.07909418177</v>
      </c>
      <c r="FD110" s="1020"/>
      <c r="FE110" s="1021"/>
      <c r="FF110" s="1022">
        <f t="shared" si="315"/>
        <v>2641920.3446010868</v>
      </c>
      <c r="FG110" s="1022">
        <f t="shared" si="316"/>
        <v>224563.2292910924</v>
      </c>
      <c r="FH110" s="1022">
        <f t="shared" si="317"/>
        <v>112281.6146455462</v>
      </c>
      <c r="FI110" s="1023">
        <f t="shared" si="318"/>
        <v>2797327.4236952686</v>
      </c>
      <c r="FJ110" s="1023">
        <f t="shared" si="319"/>
        <v>237772.83101409784</v>
      </c>
      <c r="FK110" s="1023">
        <f t="shared" si="320"/>
        <v>118886.41550704892</v>
      </c>
      <c r="FL110" s="1019">
        <f t="shared" si="321"/>
        <v>13209.601723005442</v>
      </c>
      <c r="FM110" s="1019">
        <f t="shared" si="322"/>
        <v>6604.8008615027211</v>
      </c>
      <c r="FN110" s="1019" t="str">
        <f t="shared" si="323"/>
        <v>VS</v>
      </c>
      <c r="FO110" s="1019">
        <f t="shared" si="324"/>
        <v>27537.409960060559</v>
      </c>
      <c r="FP110" s="1019">
        <f t="shared" si="325"/>
        <v>-20932.609098557838</v>
      </c>
      <c r="FQ110" s="1021"/>
      <c r="FR110" s="1021"/>
      <c r="FS110" s="1020"/>
      <c r="FT110" s="503"/>
      <c r="FU110" s="956"/>
      <c r="FV110" s="503"/>
      <c r="FW110" s="503"/>
      <c r="FX110" s="1040"/>
      <c r="FY110" s="503"/>
      <c r="FZ110" s="503"/>
      <c r="GA110" s="503"/>
      <c r="GE110" s="503"/>
      <c r="GF110" s="1059"/>
      <c r="GG110" s="956"/>
      <c r="GH110" s="945"/>
      <c r="GI110" s="1024">
        <f t="shared" si="258"/>
        <v>3771229.8696976393</v>
      </c>
      <c r="GJ110" s="1025">
        <f t="shared" si="259"/>
        <v>0.125</v>
      </c>
      <c r="GK110" s="1024">
        <f t="shared" si="260"/>
        <v>471403.73371220491</v>
      </c>
      <c r="GL110" s="1024">
        <f t="shared" si="261"/>
        <v>30000</v>
      </c>
      <c r="GM110" s="1024">
        <f t="shared" si="262"/>
        <v>441403.73371220491</v>
      </c>
      <c r="GN110" s="1024">
        <f t="shared" si="263"/>
        <v>2</v>
      </c>
      <c r="GO110" s="1024">
        <f t="shared" si="264"/>
        <v>220701.86685610245</v>
      </c>
      <c r="GP110" s="1025">
        <f t="shared" si="265"/>
        <v>0.875</v>
      </c>
      <c r="GQ110" s="1024">
        <f t="shared" si="266"/>
        <v>3299826.1359854345</v>
      </c>
      <c r="GR110" s="1024">
        <f t="shared" si="267"/>
        <v>25583.516909568512</v>
      </c>
      <c r="GS110" s="1024">
        <f t="shared" si="268"/>
        <v>29659.770199214337</v>
      </c>
      <c r="GT110" s="1024">
        <f t="shared" si="269"/>
        <v>38313.779433513737</v>
      </c>
      <c r="GU110" s="1024">
        <f t="shared" si="270"/>
        <v>65340.512467282031</v>
      </c>
      <c r="GV110" s="945"/>
      <c r="GW110" s="1024">
        <f t="shared" si="271"/>
        <v>3771229.8696976393</v>
      </c>
      <c r="GX110" s="1025">
        <f t="shared" si="272"/>
        <v>0.125</v>
      </c>
      <c r="GY110" s="1024">
        <f t="shared" si="273"/>
        <v>471403.73371220491</v>
      </c>
      <c r="GZ110" s="1024">
        <f t="shared" si="274"/>
        <v>30000</v>
      </c>
      <c r="HA110" s="1024">
        <f t="shared" si="275"/>
        <v>441403.73371220491</v>
      </c>
      <c r="HB110" s="1026">
        <f t="shared" si="276"/>
        <v>25</v>
      </c>
      <c r="HC110" s="1009">
        <f t="shared" si="277"/>
        <v>17656.149348488198</v>
      </c>
      <c r="HD110" s="1027">
        <f t="shared" si="278"/>
        <v>0.875</v>
      </c>
      <c r="HE110" s="1009">
        <f t="shared" si="279"/>
        <v>3299826.1359854345</v>
      </c>
      <c r="HF110" s="1008">
        <f t="shared" si="280"/>
        <v>25583.516909568512</v>
      </c>
      <c r="HG110" s="1008">
        <f t="shared" si="281"/>
        <v>29659.770199214337</v>
      </c>
      <c r="HH110" s="1008">
        <f t="shared" si="282"/>
        <v>38313.779433513737</v>
      </c>
      <c r="HI110" s="1008">
        <f t="shared" si="283"/>
        <v>65340.512467282031</v>
      </c>
      <c r="HJ110" s="945"/>
      <c r="HK110" s="1009">
        <f t="shared" si="284"/>
        <v>-203045.71750761426</v>
      </c>
      <c r="HL110" s="503"/>
      <c r="HM110" s="503"/>
      <c r="HN110" s="503"/>
      <c r="HO110" s="503"/>
      <c r="HP110" s="503"/>
      <c r="HQ110" s="503"/>
      <c r="HR110" s="956">
        <f t="shared" si="285"/>
        <v>0</v>
      </c>
      <c r="HS110" s="503"/>
      <c r="HT110" s="503"/>
      <c r="HU110" s="956"/>
      <c r="HV110" s="503"/>
      <c r="HW110" s="956"/>
      <c r="HX110" s="956"/>
      <c r="HY110" s="503"/>
      <c r="HZ110" s="503"/>
      <c r="IA110" s="503"/>
      <c r="ID110" s="1394"/>
    </row>
    <row r="111" spans="1:238" s="1051" customFormat="1" ht="14.25" hidden="1" customHeight="1">
      <c r="A111" s="1018">
        <f t="shared" si="326"/>
        <v>105</v>
      </c>
      <c r="B111" s="716" t="s">
        <v>264</v>
      </c>
      <c r="C111" s="741">
        <f t="shared" ref="C111:C126" si="350">C110+1</f>
        <v>3</v>
      </c>
      <c r="D111" s="716" t="s">
        <v>281</v>
      </c>
      <c r="E111" s="743" t="str">
        <f t="shared" si="344"/>
        <v>8th Floor</v>
      </c>
      <c r="F111" s="1048"/>
      <c r="G111" s="745" t="s">
        <v>517</v>
      </c>
      <c r="H111" s="745" t="s">
        <v>283</v>
      </c>
      <c r="I111" s="745" t="s">
        <v>267</v>
      </c>
      <c r="J111" s="1005">
        <v>22</v>
      </c>
      <c r="K111" s="1049"/>
      <c r="L111" s="1006" t="s">
        <v>73</v>
      </c>
      <c r="M111" s="745" t="s">
        <v>240</v>
      </c>
      <c r="N111" s="1050">
        <v>95909.091</v>
      </c>
      <c r="O111" s="934">
        <f t="shared" si="298"/>
        <v>2110000.0019999999</v>
      </c>
      <c r="P111" s="934">
        <f t="shared" si="327"/>
        <v>22400</v>
      </c>
      <c r="Q111" s="934">
        <f t="shared" si="293"/>
        <v>50000</v>
      </c>
      <c r="R111" s="934"/>
      <c r="S111" s="934"/>
      <c r="T111" s="934">
        <f t="shared" si="346"/>
        <v>66000</v>
      </c>
      <c r="U111" s="934"/>
      <c r="V111" s="934"/>
      <c r="W111" s="749">
        <f t="shared" si="347"/>
        <v>22000</v>
      </c>
      <c r="X111" s="934"/>
      <c r="Y111" s="934">
        <f t="shared" ref="Y111:Y126" si="351">$Y$109</f>
        <v>80000</v>
      </c>
      <c r="Z111" s="934">
        <f t="shared" si="299"/>
        <v>75000</v>
      </c>
      <c r="AA111" s="934"/>
      <c r="AB111" s="934"/>
      <c r="AC111" s="934"/>
      <c r="AD111" s="934"/>
      <c r="AE111" s="934">
        <f t="shared" si="199"/>
        <v>315400</v>
      </c>
      <c r="AF111" s="1005">
        <f t="shared" si="200"/>
        <v>2425400.0019999999</v>
      </c>
      <c r="AG111" s="1005">
        <f t="shared" si="220"/>
        <v>60635.000050000002</v>
      </c>
      <c r="AH111" s="1005">
        <f t="shared" si="221"/>
        <v>2486035.0020499998</v>
      </c>
      <c r="AI111" s="1005">
        <f t="shared" si="222"/>
        <v>62150.875051249997</v>
      </c>
      <c r="AJ111" s="1005">
        <f t="shared" si="223"/>
        <v>2548185.87710125</v>
      </c>
      <c r="AK111" s="1005">
        <f t="shared" si="224"/>
        <v>127409.29385506251</v>
      </c>
      <c r="AL111" s="1005">
        <f t="shared" si="300"/>
        <v>2675595.1709563127</v>
      </c>
      <c r="AM111" s="934">
        <f t="shared" si="225"/>
        <v>26755.951709563127</v>
      </c>
      <c r="AN111" s="934">
        <f t="shared" si="226"/>
        <v>27537.409960060559</v>
      </c>
      <c r="AO111" s="934"/>
      <c r="AP111" s="934">
        <f t="shared" si="301"/>
        <v>118886.41550704892</v>
      </c>
      <c r="AQ111" s="1005">
        <f t="shared" si="201"/>
        <v>2848774.9481329848</v>
      </c>
      <c r="AR111" s="1005">
        <f t="shared" si="227"/>
        <v>128194.87266598431</v>
      </c>
      <c r="AS111" s="1147">
        <f t="shared" si="228"/>
        <v>2976969.8207989689</v>
      </c>
      <c r="AT111" s="1148">
        <f t="shared" si="348"/>
        <v>2000000</v>
      </c>
      <c r="AU111" s="1148">
        <f t="shared" si="349"/>
        <v>44407.719127225857</v>
      </c>
      <c r="AV111" s="1148">
        <f t="shared" si="303"/>
        <v>976969.8207989689</v>
      </c>
      <c r="AW111" s="1148">
        <f t="shared" si="203"/>
        <v>117236.37849587627</v>
      </c>
      <c r="AX111" s="1148">
        <f t="shared" si="204"/>
        <v>1094206.1992948451</v>
      </c>
      <c r="AY111" s="1147">
        <f t="shared" si="229"/>
        <v>3094206.1992948451</v>
      </c>
      <c r="AZ111" s="934">
        <f t="shared" si="230"/>
        <v>38677.577491185562</v>
      </c>
      <c r="BA111" s="716" t="s">
        <v>269</v>
      </c>
      <c r="BB111" s="716">
        <f t="shared" si="343"/>
        <v>3132883.7767860307</v>
      </c>
      <c r="BC111" s="716" t="s">
        <v>269</v>
      </c>
      <c r="BD111" s="716">
        <f t="shared" si="231"/>
        <v>117483.14162947614</v>
      </c>
      <c r="BE111" s="716">
        <f t="shared" si="232"/>
        <v>33600</v>
      </c>
      <c r="BF111" s="716">
        <f t="shared" si="233"/>
        <v>3283966.9184155068</v>
      </c>
      <c r="BG111" s="716"/>
      <c r="BH111" s="716">
        <f t="shared" si="234"/>
        <v>3283966.9184155068</v>
      </c>
      <c r="BI111" s="716"/>
      <c r="BJ111" s="716">
        <f t="shared" si="235"/>
        <v>3283966.9184155068</v>
      </c>
      <c r="BK111" s="716"/>
      <c r="BL111" s="716">
        <f t="shared" si="236"/>
        <v>3283966.9184155068</v>
      </c>
      <c r="BM111" s="716"/>
      <c r="BN111" s="716">
        <f t="shared" si="206"/>
        <v>3283966.9184155068</v>
      </c>
      <c r="BO111" s="716"/>
      <c r="BP111" s="716">
        <f t="shared" si="237"/>
        <v>3283966.9184155068</v>
      </c>
      <c r="BQ111" s="716"/>
      <c r="BR111" s="716">
        <f t="shared" si="238"/>
        <v>3283966.9184155068</v>
      </c>
      <c r="BS111" s="716"/>
      <c r="BT111" s="716">
        <f t="shared" si="239"/>
        <v>3283966.9184155068</v>
      </c>
      <c r="BU111" s="716"/>
      <c r="BV111" s="716">
        <f t="shared" si="207"/>
        <v>3283966.9184155068</v>
      </c>
      <c r="BW111" s="716"/>
      <c r="BX111" s="716">
        <f t="shared" si="329"/>
        <v>31400</v>
      </c>
      <c r="BY111" s="716">
        <f t="shared" si="240"/>
        <v>3315366.9184155068</v>
      </c>
      <c r="BZ111" s="716"/>
      <c r="CA111" s="716">
        <f t="shared" si="241"/>
        <v>3315366.9184155068</v>
      </c>
      <c r="CB111" s="1135">
        <f t="shared" si="242"/>
        <v>3315366.9184155068</v>
      </c>
      <c r="CC111" s="1164">
        <f t="shared" si="286"/>
        <v>3315366.9184155068</v>
      </c>
      <c r="CD111" s="1164"/>
      <c r="CE111" s="1164">
        <f t="shared" si="243"/>
        <v>0</v>
      </c>
      <c r="CF111" s="1164">
        <f t="shared" si="291"/>
        <v>0</v>
      </c>
      <c r="CG111" s="1164">
        <f t="shared" si="292"/>
        <v>0</v>
      </c>
      <c r="CH111" s="1154">
        <f t="shared" si="339"/>
        <v>3315366.9184155068</v>
      </c>
      <c r="CI111" s="935">
        <f t="shared" si="340"/>
        <v>3315366.9184155068</v>
      </c>
      <c r="CJ111" s="935">
        <f t="shared" si="244"/>
        <v>0</v>
      </c>
      <c r="CK111" s="935">
        <f t="shared" si="208"/>
        <v>339825.1091375894</v>
      </c>
      <c r="CL111" s="935">
        <f t="shared" si="209"/>
        <v>116037.84214454275</v>
      </c>
      <c r="CM111" s="1006">
        <f t="shared" si="306"/>
        <v>3771229.8696976393</v>
      </c>
      <c r="CN111" s="1007">
        <f t="shared" si="307"/>
        <v>0.125</v>
      </c>
      <c r="CO111" s="935">
        <f t="shared" si="210"/>
        <v>471403.73371220491</v>
      </c>
      <c r="CP111" s="935">
        <f t="shared" si="330"/>
        <v>30000</v>
      </c>
      <c r="CQ111" s="935">
        <f t="shared" si="211"/>
        <v>441403.73371220491</v>
      </c>
      <c r="CR111" s="745">
        <f t="shared" si="308"/>
        <v>2</v>
      </c>
      <c r="CS111" s="935">
        <f t="shared" si="212"/>
        <v>220701.86685610245</v>
      </c>
      <c r="CT111" s="1007">
        <f t="shared" si="245"/>
        <v>0.875</v>
      </c>
      <c r="CU111" s="935">
        <f t="shared" si="246"/>
        <v>3299826.1359854345</v>
      </c>
      <c r="CV111" s="1008">
        <f t="shared" si="247"/>
        <v>25583.516909568512</v>
      </c>
      <c r="CW111" s="1008">
        <f t="shared" si="248"/>
        <v>29659.770199214337</v>
      </c>
      <c r="CX111" s="1008">
        <f t="shared" si="249"/>
        <v>38313.779433513737</v>
      </c>
      <c r="CY111" s="1008">
        <f t="shared" si="250"/>
        <v>65340.512467282031</v>
      </c>
      <c r="CZ111" s="1119">
        <f t="shared" si="251"/>
        <v>268055.36557061045</v>
      </c>
      <c r="DA111" s="1119">
        <f t="shared" si="252"/>
        <v>106068.20238363648</v>
      </c>
      <c r="DB111" s="1119">
        <f t="shared" si="253"/>
        <v>76611.560317109208</v>
      </c>
      <c r="DC111" s="1119">
        <f t="shared" si="254"/>
        <v>58304.924415394395</v>
      </c>
      <c r="DD111" s="1028">
        <f t="shared" si="294"/>
        <v>0.48848491039948444</v>
      </c>
      <c r="DE111" s="1028">
        <f t="shared" si="341"/>
        <v>0</v>
      </c>
      <c r="DF111" s="1009" t="s">
        <v>270</v>
      </c>
      <c r="DG111" s="1009" t="s">
        <v>271</v>
      </c>
      <c r="DH111" s="966">
        <f t="shared" si="287"/>
        <v>45658</v>
      </c>
      <c r="DI111" s="912">
        <f t="shared" si="255"/>
        <v>14</v>
      </c>
      <c r="DJ111" s="939"/>
      <c r="DK111" s="913">
        <f t="shared" si="213"/>
        <v>45723</v>
      </c>
      <c r="DL111" s="912">
        <f t="shared" si="256"/>
        <v>16</v>
      </c>
      <c r="DM111" s="750" t="s">
        <v>272</v>
      </c>
      <c r="DN111" s="750" t="s">
        <v>273</v>
      </c>
      <c r="DO111" s="751">
        <f t="shared" si="214"/>
        <v>49736.645422492962</v>
      </c>
      <c r="DP111" s="751">
        <f t="shared" si="215"/>
        <v>1094206.1992948451</v>
      </c>
      <c r="DQ111" s="752">
        <f t="shared" si="295"/>
        <v>0.54710309964742254</v>
      </c>
      <c r="DR111" s="503"/>
      <c r="DS111" s="751">
        <f t="shared" si="296"/>
        <v>3315366.9184155068</v>
      </c>
      <c r="DT111" s="751">
        <f>'[4]INTERNAL PRICELIST'!N105</f>
        <v>2111900</v>
      </c>
      <c r="DU111" s="751">
        <f t="shared" si="216"/>
        <v>1203466.9184155068</v>
      </c>
      <c r="DV111" s="503"/>
      <c r="DW111" s="951">
        <f t="shared" si="297"/>
        <v>150698.49629161393</v>
      </c>
      <c r="DX111" s="503"/>
      <c r="DZ111" s="1010" t="s">
        <v>517</v>
      </c>
      <c r="EA111" s="1052" t="b">
        <f t="shared" si="217"/>
        <v>1</v>
      </c>
      <c r="EB111" s="1072" t="s">
        <v>518</v>
      </c>
      <c r="EC111" s="1072" t="s">
        <v>514</v>
      </c>
      <c r="ED111" s="503"/>
      <c r="EE111" s="503"/>
      <c r="EF111" s="503"/>
      <c r="EG111" s="503"/>
      <c r="EH111" s="930"/>
      <c r="EI111" s="930"/>
      <c r="EJ111" s="503"/>
      <c r="EK111" s="503"/>
      <c r="EL111" s="503"/>
      <c r="EM111" s="503"/>
      <c r="EN111" s="503"/>
      <c r="EO111" s="503"/>
      <c r="EP111" s="503"/>
      <c r="EQ111" s="503"/>
      <c r="ER111" s="1017" t="s">
        <v>264</v>
      </c>
      <c r="ES111" s="1391" t="s">
        <v>264</v>
      </c>
      <c r="ET111" s="1018" t="b">
        <f t="shared" si="257"/>
        <v>1</v>
      </c>
      <c r="EU111" s="940"/>
      <c r="EV111" s="941"/>
      <c r="EW111" s="940"/>
      <c r="EX111" s="1019">
        <v>3108141.5818836316</v>
      </c>
      <c r="EY111" s="1019">
        <f t="shared" si="310"/>
        <v>466221.23728254472</v>
      </c>
      <c r="EZ111" s="1019">
        <f t="shared" si="311"/>
        <v>2641920.3446010868</v>
      </c>
      <c r="FA111" s="1019">
        <f t="shared" si="312"/>
        <v>310814.15818836319</v>
      </c>
      <c r="FB111" s="1019">
        <f t="shared" si="313"/>
        <v>2797327.4236952686</v>
      </c>
      <c r="FC111" s="1019">
        <f t="shared" si="314"/>
        <v>155407.07909418177</v>
      </c>
      <c r="FD111" s="1020"/>
      <c r="FE111" s="1021"/>
      <c r="FF111" s="1022">
        <f t="shared" si="315"/>
        <v>2641920.3446010868</v>
      </c>
      <c r="FG111" s="1022">
        <f t="shared" si="316"/>
        <v>224563.2292910924</v>
      </c>
      <c r="FH111" s="1022">
        <f t="shared" si="317"/>
        <v>112281.6146455462</v>
      </c>
      <c r="FI111" s="1023">
        <f t="shared" si="318"/>
        <v>2797327.4236952686</v>
      </c>
      <c r="FJ111" s="1023">
        <f t="shared" si="319"/>
        <v>237772.83101409784</v>
      </c>
      <c r="FK111" s="1023">
        <f t="shared" si="320"/>
        <v>118886.41550704892</v>
      </c>
      <c r="FL111" s="1019">
        <f t="shared" si="321"/>
        <v>13209.601723005442</v>
      </c>
      <c r="FM111" s="1019">
        <f t="shared" si="322"/>
        <v>6604.8008615027211</v>
      </c>
      <c r="FN111" s="1019" t="str">
        <f t="shared" si="323"/>
        <v>VS</v>
      </c>
      <c r="FO111" s="1019">
        <f t="shared" si="324"/>
        <v>27537.409960060559</v>
      </c>
      <c r="FP111" s="1019">
        <f t="shared" si="325"/>
        <v>-20932.609098557838</v>
      </c>
      <c r="FQ111" s="1021"/>
      <c r="FR111" s="1021"/>
      <c r="FS111" s="1020"/>
      <c r="FT111" s="1055">
        <f>FB111</f>
        <v>2797327.4236952686</v>
      </c>
      <c r="FU111" s="1056"/>
      <c r="FV111" s="1056"/>
      <c r="FW111" s="503"/>
      <c r="FX111" s="1040"/>
      <c r="FY111" s="503"/>
      <c r="FZ111" s="503"/>
      <c r="GA111" s="503"/>
      <c r="GE111" s="503"/>
      <c r="GF111" s="1059"/>
      <c r="GG111" s="956"/>
      <c r="GH111" s="945"/>
      <c r="GI111" s="1024">
        <f t="shared" si="258"/>
        <v>3771229.8696976393</v>
      </c>
      <c r="GJ111" s="1025">
        <f t="shared" si="259"/>
        <v>0.125</v>
      </c>
      <c r="GK111" s="1024">
        <f t="shared" si="260"/>
        <v>471403.73371220491</v>
      </c>
      <c r="GL111" s="1024">
        <f t="shared" si="261"/>
        <v>30000</v>
      </c>
      <c r="GM111" s="1024">
        <f t="shared" si="262"/>
        <v>441403.73371220491</v>
      </c>
      <c r="GN111" s="1024">
        <f t="shared" si="263"/>
        <v>2</v>
      </c>
      <c r="GO111" s="1024">
        <f t="shared" si="264"/>
        <v>220701.86685610245</v>
      </c>
      <c r="GP111" s="1025">
        <f t="shared" si="265"/>
        <v>0.875</v>
      </c>
      <c r="GQ111" s="1024">
        <f t="shared" si="266"/>
        <v>3299826.1359854345</v>
      </c>
      <c r="GR111" s="1024">
        <f t="shared" si="267"/>
        <v>25583.516909568512</v>
      </c>
      <c r="GS111" s="1024">
        <f t="shared" si="268"/>
        <v>29659.770199214337</v>
      </c>
      <c r="GT111" s="1024">
        <f t="shared" si="269"/>
        <v>38313.779433513737</v>
      </c>
      <c r="GU111" s="1024">
        <f t="shared" si="270"/>
        <v>65340.512467282031</v>
      </c>
      <c r="GV111" s="945"/>
      <c r="GW111" s="1024">
        <f t="shared" si="271"/>
        <v>3771229.8696976393</v>
      </c>
      <c r="GX111" s="1025">
        <f t="shared" si="272"/>
        <v>0.125</v>
      </c>
      <c r="GY111" s="1024">
        <f t="shared" si="273"/>
        <v>471403.73371220491</v>
      </c>
      <c r="GZ111" s="1024">
        <f t="shared" si="274"/>
        <v>30000</v>
      </c>
      <c r="HA111" s="1024">
        <f t="shared" si="275"/>
        <v>441403.73371220491</v>
      </c>
      <c r="HB111" s="1026">
        <f t="shared" si="276"/>
        <v>25</v>
      </c>
      <c r="HC111" s="1009">
        <f t="shared" si="277"/>
        <v>17656.149348488198</v>
      </c>
      <c r="HD111" s="1027">
        <f t="shared" si="278"/>
        <v>0.875</v>
      </c>
      <c r="HE111" s="1009">
        <f t="shared" si="279"/>
        <v>3299826.1359854345</v>
      </c>
      <c r="HF111" s="1008">
        <f t="shared" si="280"/>
        <v>25583.516909568512</v>
      </c>
      <c r="HG111" s="1008">
        <f t="shared" si="281"/>
        <v>29659.770199214337</v>
      </c>
      <c r="HH111" s="1008">
        <f t="shared" si="282"/>
        <v>38313.779433513737</v>
      </c>
      <c r="HI111" s="1008">
        <f t="shared" si="283"/>
        <v>65340.512467282031</v>
      </c>
      <c r="HJ111" s="945"/>
      <c r="HK111" s="1009">
        <f t="shared" si="284"/>
        <v>-203045.71750761426</v>
      </c>
      <c r="HL111" s="503"/>
      <c r="HM111" s="503"/>
      <c r="HN111" s="503"/>
      <c r="HO111" s="503"/>
      <c r="HP111" s="503"/>
      <c r="HQ111" s="503"/>
      <c r="HR111" s="956">
        <f t="shared" si="285"/>
        <v>0</v>
      </c>
      <c r="HS111" s="503"/>
      <c r="HT111" s="503"/>
      <c r="HU111" s="956"/>
      <c r="HV111" s="503"/>
      <c r="HW111" s="956"/>
      <c r="HX111" s="956"/>
      <c r="HY111" s="503"/>
      <c r="HZ111" s="503"/>
      <c r="IA111" s="503"/>
      <c r="ID111" s="1394"/>
    </row>
    <row r="112" spans="1:238" ht="14.25" customHeight="1">
      <c r="A112" s="1018">
        <f t="shared" si="326"/>
        <v>106</v>
      </c>
      <c r="B112" s="716"/>
      <c r="C112" s="741">
        <f t="shared" si="350"/>
        <v>4</v>
      </c>
      <c r="D112" s="716" t="s">
        <v>281</v>
      </c>
      <c r="E112" s="743" t="str">
        <f t="shared" si="344"/>
        <v>8th Floor</v>
      </c>
      <c r="F112" s="1048"/>
      <c r="G112" s="745" t="s">
        <v>519</v>
      </c>
      <c r="H112" s="745" t="s">
        <v>288</v>
      </c>
      <c r="I112" s="745" t="s">
        <v>267</v>
      </c>
      <c r="J112" s="1005">
        <v>22</v>
      </c>
      <c r="K112" s="1049"/>
      <c r="L112" s="1006" t="s">
        <v>73</v>
      </c>
      <c r="M112" s="745" t="s">
        <v>240</v>
      </c>
      <c r="N112" s="1050">
        <v>95909.091</v>
      </c>
      <c r="O112" s="934">
        <f t="shared" si="298"/>
        <v>2110000.0019999999</v>
      </c>
      <c r="P112" s="934">
        <f t="shared" si="327"/>
        <v>22400</v>
      </c>
      <c r="Q112" s="934">
        <f t="shared" si="293"/>
        <v>50000</v>
      </c>
      <c r="R112" s="934"/>
      <c r="S112" s="934"/>
      <c r="T112" s="934">
        <f t="shared" si="346"/>
        <v>66000</v>
      </c>
      <c r="U112" s="934"/>
      <c r="V112" s="934"/>
      <c r="W112" s="749">
        <f t="shared" si="347"/>
        <v>22000</v>
      </c>
      <c r="X112" s="934"/>
      <c r="Y112" s="934">
        <f t="shared" si="351"/>
        <v>80000</v>
      </c>
      <c r="Z112" s="934">
        <f t="shared" si="299"/>
        <v>75000</v>
      </c>
      <c r="AA112" s="934"/>
      <c r="AB112" s="934"/>
      <c r="AC112" s="934"/>
      <c r="AD112" s="934"/>
      <c r="AE112" s="934">
        <f t="shared" si="199"/>
        <v>315400</v>
      </c>
      <c r="AF112" s="1005">
        <f t="shared" si="200"/>
        <v>2425400.0019999999</v>
      </c>
      <c r="AG112" s="1005">
        <f t="shared" si="220"/>
        <v>60635.000050000002</v>
      </c>
      <c r="AH112" s="1005">
        <f t="shared" si="221"/>
        <v>2486035.0020499998</v>
      </c>
      <c r="AI112" s="1005">
        <f t="shared" si="222"/>
        <v>62150.875051249997</v>
      </c>
      <c r="AJ112" s="1005">
        <f t="shared" si="223"/>
        <v>2548185.87710125</v>
      </c>
      <c r="AK112" s="1005">
        <f t="shared" si="224"/>
        <v>127409.29385506251</v>
      </c>
      <c r="AL112" s="1005">
        <f t="shared" si="300"/>
        <v>2675595.1709563127</v>
      </c>
      <c r="AM112" s="934">
        <f t="shared" si="225"/>
        <v>26755.951709563127</v>
      </c>
      <c r="AN112" s="934">
        <f t="shared" si="226"/>
        <v>27537.409960060559</v>
      </c>
      <c r="AO112" s="934"/>
      <c r="AP112" s="934">
        <f t="shared" si="301"/>
        <v>118886.41550704892</v>
      </c>
      <c r="AQ112" s="1005">
        <f t="shared" si="201"/>
        <v>2848774.9481329848</v>
      </c>
      <c r="AR112" s="1005">
        <f t="shared" si="227"/>
        <v>128194.87266598431</v>
      </c>
      <c r="AS112" s="1147">
        <f t="shared" si="228"/>
        <v>2976969.8207989689</v>
      </c>
      <c r="AT112" s="1148">
        <f t="shared" si="348"/>
        <v>2000000</v>
      </c>
      <c r="AU112" s="1148">
        <f t="shared" si="349"/>
        <v>44407.719127225857</v>
      </c>
      <c r="AV112" s="1148">
        <f t="shared" si="303"/>
        <v>976969.8207989689</v>
      </c>
      <c r="AW112" s="1148">
        <f t="shared" si="203"/>
        <v>117236.37849587627</v>
      </c>
      <c r="AX112" s="1148">
        <f t="shared" si="204"/>
        <v>1094206.1992948451</v>
      </c>
      <c r="AY112" s="1147">
        <f t="shared" si="229"/>
        <v>3094206.1992948451</v>
      </c>
      <c r="AZ112" s="934">
        <f t="shared" si="230"/>
        <v>38677.577491185562</v>
      </c>
      <c r="BA112" s="716" t="s">
        <v>269</v>
      </c>
      <c r="BB112" s="716">
        <f t="shared" si="343"/>
        <v>3132883.7767860307</v>
      </c>
      <c r="BC112" s="716" t="s">
        <v>269</v>
      </c>
      <c r="BD112" s="716">
        <f t="shared" si="231"/>
        <v>117483.14162947614</v>
      </c>
      <c r="BE112" s="716">
        <f t="shared" si="232"/>
        <v>33600</v>
      </c>
      <c r="BF112" s="716">
        <f t="shared" si="233"/>
        <v>3283966.9184155068</v>
      </c>
      <c r="BG112" s="716"/>
      <c r="BH112" s="716">
        <f t="shared" si="234"/>
        <v>3283966.9184155068</v>
      </c>
      <c r="BI112" s="716"/>
      <c r="BJ112" s="716">
        <f t="shared" si="235"/>
        <v>3283966.9184155068</v>
      </c>
      <c r="BK112" s="716"/>
      <c r="BL112" s="716">
        <f t="shared" si="236"/>
        <v>3283966.9184155068</v>
      </c>
      <c r="BM112" s="716"/>
      <c r="BN112" s="716">
        <f t="shared" si="206"/>
        <v>3283966.9184155068</v>
      </c>
      <c r="BO112" s="716"/>
      <c r="BP112" s="716">
        <f t="shared" si="237"/>
        <v>3283966.9184155068</v>
      </c>
      <c r="BQ112" s="716">
        <v>8500</v>
      </c>
      <c r="BR112" s="716">
        <f t="shared" si="238"/>
        <v>3292466.9184155068</v>
      </c>
      <c r="BS112" s="716">
        <v>8500</v>
      </c>
      <c r="BT112" s="716">
        <f t="shared" si="239"/>
        <v>3300966.9184155068</v>
      </c>
      <c r="BU112" s="716">
        <f>$BU$5/24</f>
        <v>546.00000000000011</v>
      </c>
      <c r="BV112" s="716">
        <f t="shared" si="207"/>
        <v>3301512.9184155068</v>
      </c>
      <c r="BW112" s="716"/>
      <c r="BX112" s="716">
        <f t="shared" si="329"/>
        <v>31400</v>
      </c>
      <c r="BY112" s="716">
        <f t="shared" si="240"/>
        <v>3332912.9184155068</v>
      </c>
      <c r="BZ112" s="716">
        <f>$BZ$5/20</f>
        <v>33654.337039807535</v>
      </c>
      <c r="CA112" s="716">
        <f t="shared" si="241"/>
        <v>3366567.2554553142</v>
      </c>
      <c r="CB112" s="1135">
        <f>CA112</f>
        <v>3366567.2554553142</v>
      </c>
      <c r="CC112" s="1164">
        <f t="shared" si="286"/>
        <v>3366567.2554553142</v>
      </c>
      <c r="CD112" s="1164"/>
      <c r="CE112" s="1164">
        <f t="shared" si="243"/>
        <v>0</v>
      </c>
      <c r="CF112" s="1164">
        <f t="shared" si="291"/>
        <v>0</v>
      </c>
      <c r="CG112" s="1164">
        <f t="shared" si="292"/>
        <v>0</v>
      </c>
      <c r="CH112" s="1154">
        <f t="shared" si="339"/>
        <v>3366567.2554553142</v>
      </c>
      <c r="CI112" s="935">
        <f t="shared" si="340"/>
        <v>3366567.2554553142</v>
      </c>
      <c r="CJ112" s="935">
        <f t="shared" si="244"/>
        <v>0</v>
      </c>
      <c r="CK112" s="935">
        <f t="shared" si="208"/>
        <v>345073.14368416969</v>
      </c>
      <c r="CL112" s="935">
        <f t="shared" si="209"/>
        <v>117829.85394093601</v>
      </c>
      <c r="CM112" s="1006">
        <f t="shared" si="306"/>
        <v>3829470.2530804197</v>
      </c>
      <c r="CN112" s="1007">
        <f t="shared" si="307"/>
        <v>0.125</v>
      </c>
      <c r="CO112" s="935">
        <f t="shared" si="210"/>
        <v>478683.78163505247</v>
      </c>
      <c r="CP112" s="935">
        <f t="shared" si="330"/>
        <v>30000</v>
      </c>
      <c r="CQ112" s="935">
        <f t="shared" si="211"/>
        <v>448683.78163505247</v>
      </c>
      <c r="CR112" s="745">
        <v>1</v>
      </c>
      <c r="CS112" s="935">
        <f t="shared" si="212"/>
        <v>448683.78163505247</v>
      </c>
      <c r="CT112" s="1007">
        <f t="shared" si="245"/>
        <v>0.875</v>
      </c>
      <c r="CU112" s="935">
        <f t="shared" si="246"/>
        <v>3350786.4714453672</v>
      </c>
      <c r="CV112" s="1008">
        <f t="shared" si="247"/>
        <v>25978.611847977179</v>
      </c>
      <c r="CW112" s="1008">
        <f t="shared" si="248"/>
        <v>30117.816101249446</v>
      </c>
      <c r="CX112" s="1008">
        <f t="shared" si="249"/>
        <v>38905.472138586105</v>
      </c>
      <c r="CY112" s="1008">
        <f t="shared" si="250"/>
        <v>66349.588187406975</v>
      </c>
      <c r="CZ112" s="1119">
        <f t="shared" si="251"/>
        <v>272195.03559817508</v>
      </c>
      <c r="DA112" s="1119">
        <f t="shared" si="252"/>
        <v>107706.24964805333</v>
      </c>
      <c r="DB112" s="1119">
        <f t="shared" si="253"/>
        <v>77794.698656215332</v>
      </c>
      <c r="DC112" s="1119">
        <f t="shared" si="254"/>
        <v>59205.347160330086</v>
      </c>
      <c r="DD112" s="1028">
        <f t="shared" si="294"/>
        <v>0.48848491039948444</v>
      </c>
      <c r="DE112" s="1028">
        <f t="shared" si="341"/>
        <v>0</v>
      </c>
      <c r="DF112" s="1009" t="s">
        <v>270</v>
      </c>
      <c r="DG112" s="1009" t="s">
        <v>271</v>
      </c>
      <c r="DH112" s="966">
        <f t="shared" si="287"/>
        <v>45658</v>
      </c>
      <c r="DI112" s="912">
        <f t="shared" si="255"/>
        <v>14</v>
      </c>
      <c r="DK112" s="913">
        <f t="shared" si="213"/>
        <v>45723</v>
      </c>
      <c r="DL112" s="912">
        <f t="shared" si="256"/>
        <v>16</v>
      </c>
      <c r="DM112" s="750" t="s">
        <v>272</v>
      </c>
      <c r="DN112" s="750" t="s">
        <v>273</v>
      </c>
      <c r="DO112" s="751">
        <f t="shared" si="214"/>
        <v>49736.645422492962</v>
      </c>
      <c r="DP112" s="751">
        <f t="shared" si="215"/>
        <v>1094206.1992948451</v>
      </c>
      <c r="DQ112" s="752">
        <f t="shared" si="295"/>
        <v>0.54710309964742254</v>
      </c>
      <c r="DS112" s="751">
        <f t="shared" si="296"/>
        <v>3366567.2554553142</v>
      </c>
      <c r="DT112" s="751">
        <f>'[4]INTERNAL PRICELIST'!N106</f>
        <v>2111900</v>
      </c>
      <c r="DU112" s="751">
        <f t="shared" si="216"/>
        <v>1254667.2554553142</v>
      </c>
      <c r="DW112" s="951">
        <f t="shared" si="297"/>
        <v>153025.78433887791</v>
      </c>
      <c r="DZ112" s="1010" t="s">
        <v>519</v>
      </c>
      <c r="EA112" s="1011" t="b">
        <f t="shared" si="217"/>
        <v>1</v>
      </c>
      <c r="EB112" s="1011"/>
      <c r="EC112" s="1011"/>
      <c r="ER112" s="1017" t="s">
        <v>243</v>
      </c>
      <c r="ES112" s="1391" t="s">
        <v>243</v>
      </c>
      <c r="ET112" s="1018" t="b">
        <f t="shared" si="257"/>
        <v>1</v>
      </c>
      <c r="EX112" s="1019">
        <v>3108141.5818836316</v>
      </c>
      <c r="EY112" s="1019">
        <f t="shared" si="310"/>
        <v>466221.23728254472</v>
      </c>
      <c r="EZ112" s="1019">
        <f t="shared" si="311"/>
        <v>2641920.3446010868</v>
      </c>
      <c r="FA112" s="1019">
        <f t="shared" si="312"/>
        <v>310814.15818836319</v>
      </c>
      <c r="FB112" s="1019">
        <f t="shared" si="313"/>
        <v>2797327.4236952686</v>
      </c>
      <c r="FC112" s="1019">
        <f t="shared" si="314"/>
        <v>155407.07909418177</v>
      </c>
      <c r="FD112" s="1020"/>
      <c r="FE112" s="1021"/>
      <c r="FF112" s="1022">
        <f t="shared" si="315"/>
        <v>2641920.3446010868</v>
      </c>
      <c r="FG112" s="1022">
        <f t="shared" si="316"/>
        <v>224563.2292910924</v>
      </c>
      <c r="FH112" s="1022">
        <f t="shared" si="317"/>
        <v>112281.6146455462</v>
      </c>
      <c r="FI112" s="1023">
        <f t="shared" si="318"/>
        <v>2797327.4236952686</v>
      </c>
      <c r="FJ112" s="1023">
        <f t="shared" si="319"/>
        <v>237772.83101409784</v>
      </c>
      <c r="FK112" s="1023">
        <f t="shared" si="320"/>
        <v>118886.41550704892</v>
      </c>
      <c r="FL112" s="1019">
        <f t="shared" si="321"/>
        <v>13209.601723005442</v>
      </c>
      <c r="FM112" s="1019">
        <f t="shared" si="322"/>
        <v>6604.8008615027211</v>
      </c>
      <c r="FN112" s="1019" t="str">
        <f t="shared" si="323"/>
        <v>VS</v>
      </c>
      <c r="FO112" s="1019">
        <f t="shared" si="324"/>
        <v>27537.409960060559</v>
      </c>
      <c r="FP112" s="1019">
        <f t="shared" si="325"/>
        <v>-20932.609098557838</v>
      </c>
      <c r="FQ112" s="1021"/>
      <c r="FR112" s="1021"/>
      <c r="FS112" s="1020"/>
      <c r="FT112" s="503"/>
      <c r="FU112" s="956"/>
      <c r="FV112" s="503"/>
      <c r="FX112" s="1040"/>
      <c r="GF112" s="1059"/>
      <c r="GG112" s="956"/>
      <c r="GI112" s="1024">
        <f t="shared" si="258"/>
        <v>3829470.2530804197</v>
      </c>
      <c r="GJ112" s="1025">
        <f t="shared" si="259"/>
        <v>0.125</v>
      </c>
      <c r="GK112" s="1024">
        <f t="shared" si="260"/>
        <v>478683.78163505247</v>
      </c>
      <c r="GL112" s="1024">
        <f t="shared" si="261"/>
        <v>30000</v>
      </c>
      <c r="GM112" s="1024">
        <f t="shared" si="262"/>
        <v>448683.78163505247</v>
      </c>
      <c r="GN112" s="1024">
        <f t="shared" si="263"/>
        <v>1</v>
      </c>
      <c r="GO112" s="1024">
        <f t="shared" si="264"/>
        <v>448683.78163505247</v>
      </c>
      <c r="GP112" s="1025">
        <f t="shared" si="265"/>
        <v>0.875</v>
      </c>
      <c r="GQ112" s="1024">
        <f t="shared" si="266"/>
        <v>3350786.4714453672</v>
      </c>
      <c r="GR112" s="1024">
        <f t="shared" si="267"/>
        <v>25978.611847977179</v>
      </c>
      <c r="GS112" s="1024">
        <f t="shared" si="268"/>
        <v>30117.816101249446</v>
      </c>
      <c r="GT112" s="1024">
        <f t="shared" si="269"/>
        <v>38905.472138586105</v>
      </c>
      <c r="GU112" s="1024">
        <f t="shared" si="270"/>
        <v>66349.588187406975</v>
      </c>
      <c r="GW112" s="1024">
        <f t="shared" si="271"/>
        <v>3829470.2530804197</v>
      </c>
      <c r="GX112" s="1025">
        <f t="shared" si="272"/>
        <v>0.125</v>
      </c>
      <c r="GY112" s="1024">
        <f t="shared" si="273"/>
        <v>478683.78163505247</v>
      </c>
      <c r="GZ112" s="1024">
        <f t="shared" si="274"/>
        <v>30000</v>
      </c>
      <c r="HA112" s="1024">
        <f t="shared" si="275"/>
        <v>448683.78163505247</v>
      </c>
      <c r="HB112" s="1026">
        <f t="shared" si="276"/>
        <v>25</v>
      </c>
      <c r="HC112" s="1009">
        <f t="shared" si="277"/>
        <v>17947.3512654021</v>
      </c>
      <c r="HD112" s="1027">
        <f t="shared" si="278"/>
        <v>0.875</v>
      </c>
      <c r="HE112" s="1009">
        <f t="shared" si="279"/>
        <v>3350786.4714453672</v>
      </c>
      <c r="HF112" s="1008">
        <f t="shared" si="280"/>
        <v>25978.611847977179</v>
      </c>
      <c r="HG112" s="1008">
        <f t="shared" si="281"/>
        <v>30117.816101249446</v>
      </c>
      <c r="HH112" s="1008">
        <f t="shared" si="282"/>
        <v>38905.472138586105</v>
      </c>
      <c r="HI112" s="1008">
        <f t="shared" si="283"/>
        <v>66349.588187406975</v>
      </c>
      <c r="HK112" s="1009">
        <f t="shared" si="284"/>
        <v>-430736.43036965036</v>
      </c>
      <c r="HR112" s="956">
        <f t="shared" si="285"/>
        <v>0</v>
      </c>
      <c r="HU112" s="956"/>
      <c r="HW112" s="956"/>
      <c r="HX112" s="956"/>
    </row>
    <row r="113" spans="1:238" s="1051" customFormat="1" ht="14.25" hidden="1" customHeight="1">
      <c r="A113" s="1018">
        <f t="shared" si="326"/>
        <v>107</v>
      </c>
      <c r="B113" s="716" t="s">
        <v>264</v>
      </c>
      <c r="C113" s="741">
        <f t="shared" si="350"/>
        <v>5</v>
      </c>
      <c r="D113" s="716" t="s">
        <v>281</v>
      </c>
      <c r="E113" s="743" t="str">
        <f t="shared" si="344"/>
        <v>8th Floor</v>
      </c>
      <c r="F113" s="1048"/>
      <c r="G113" s="745" t="s">
        <v>520</v>
      </c>
      <c r="H113" s="745" t="s">
        <v>292</v>
      </c>
      <c r="I113" s="745" t="s">
        <v>267</v>
      </c>
      <c r="J113" s="1005">
        <v>22</v>
      </c>
      <c r="K113" s="1049"/>
      <c r="L113" s="1006" t="s">
        <v>73</v>
      </c>
      <c r="M113" s="745" t="s">
        <v>240</v>
      </c>
      <c r="N113" s="1050">
        <v>95909.091</v>
      </c>
      <c r="O113" s="934">
        <f t="shared" si="298"/>
        <v>2110000.0019999999</v>
      </c>
      <c r="P113" s="934">
        <f t="shared" si="327"/>
        <v>22400</v>
      </c>
      <c r="Q113" s="934">
        <f t="shared" si="293"/>
        <v>50000</v>
      </c>
      <c r="R113" s="934"/>
      <c r="S113" s="934"/>
      <c r="T113" s="934">
        <f t="shared" si="346"/>
        <v>66000</v>
      </c>
      <c r="U113" s="934"/>
      <c r="V113" s="934"/>
      <c r="W113" s="749">
        <f t="shared" si="347"/>
        <v>22000</v>
      </c>
      <c r="X113" s="934"/>
      <c r="Y113" s="934">
        <f t="shared" si="351"/>
        <v>80000</v>
      </c>
      <c r="Z113" s="934">
        <f t="shared" si="299"/>
        <v>75000</v>
      </c>
      <c r="AA113" s="934"/>
      <c r="AB113" s="934"/>
      <c r="AC113" s="934"/>
      <c r="AD113" s="934"/>
      <c r="AE113" s="934">
        <f t="shared" si="199"/>
        <v>315400</v>
      </c>
      <c r="AF113" s="1005">
        <f t="shared" si="200"/>
        <v>2425400.0019999999</v>
      </c>
      <c r="AG113" s="1005">
        <f t="shared" si="220"/>
        <v>60635.000050000002</v>
      </c>
      <c r="AH113" s="1005">
        <f t="shared" si="221"/>
        <v>2486035.0020499998</v>
      </c>
      <c r="AI113" s="1005">
        <f t="shared" si="222"/>
        <v>62150.875051249997</v>
      </c>
      <c r="AJ113" s="1005">
        <f t="shared" si="223"/>
        <v>2548185.87710125</v>
      </c>
      <c r="AK113" s="1005">
        <f t="shared" si="224"/>
        <v>127409.29385506251</v>
      </c>
      <c r="AL113" s="1005">
        <f t="shared" si="300"/>
        <v>2675595.1709563127</v>
      </c>
      <c r="AM113" s="934">
        <f t="shared" si="225"/>
        <v>26755.951709563127</v>
      </c>
      <c r="AN113" s="934">
        <f t="shared" si="226"/>
        <v>27537.409960060559</v>
      </c>
      <c r="AO113" s="934"/>
      <c r="AP113" s="934">
        <f t="shared" si="301"/>
        <v>118886.41550704892</v>
      </c>
      <c r="AQ113" s="1005">
        <f t="shared" si="201"/>
        <v>2848774.9481329848</v>
      </c>
      <c r="AR113" s="1005">
        <f t="shared" si="227"/>
        <v>128194.87266598431</v>
      </c>
      <c r="AS113" s="1147">
        <f t="shared" si="228"/>
        <v>2976969.8207989689</v>
      </c>
      <c r="AT113" s="1148">
        <f t="shared" si="348"/>
        <v>2000000</v>
      </c>
      <c r="AU113" s="1148">
        <f t="shared" si="349"/>
        <v>44407.719127225857</v>
      </c>
      <c r="AV113" s="1148">
        <f t="shared" si="303"/>
        <v>976969.8207989689</v>
      </c>
      <c r="AW113" s="1148">
        <f t="shared" si="203"/>
        <v>117236.37849587627</v>
      </c>
      <c r="AX113" s="1148">
        <f t="shared" si="204"/>
        <v>1094206.1992948451</v>
      </c>
      <c r="AY113" s="1147">
        <f t="shared" si="229"/>
        <v>3094206.1992948451</v>
      </c>
      <c r="AZ113" s="934">
        <f t="shared" si="230"/>
        <v>38677.577491185562</v>
      </c>
      <c r="BA113" s="716" t="s">
        <v>269</v>
      </c>
      <c r="BB113" s="716">
        <f t="shared" si="343"/>
        <v>3132883.7767860307</v>
      </c>
      <c r="BC113" s="716" t="s">
        <v>269</v>
      </c>
      <c r="BD113" s="716">
        <f t="shared" si="231"/>
        <v>117483.14162947614</v>
      </c>
      <c r="BE113" s="716">
        <f t="shared" si="232"/>
        <v>33600</v>
      </c>
      <c r="BF113" s="716">
        <f t="shared" si="233"/>
        <v>3283966.9184155068</v>
      </c>
      <c r="BG113" s="716"/>
      <c r="BH113" s="716">
        <f t="shared" si="234"/>
        <v>3283966.9184155068</v>
      </c>
      <c r="BI113" s="716"/>
      <c r="BJ113" s="716">
        <f t="shared" si="235"/>
        <v>3283966.9184155068</v>
      </c>
      <c r="BK113" s="716"/>
      <c r="BL113" s="716">
        <f t="shared" si="236"/>
        <v>3283966.9184155068</v>
      </c>
      <c r="BM113" s="716"/>
      <c r="BN113" s="716">
        <f t="shared" si="206"/>
        <v>3283966.9184155068</v>
      </c>
      <c r="BO113" s="716"/>
      <c r="BP113" s="716">
        <f t="shared" si="237"/>
        <v>3283966.9184155068</v>
      </c>
      <c r="BQ113" s="716"/>
      <c r="BR113" s="716">
        <f t="shared" si="238"/>
        <v>3283966.9184155068</v>
      </c>
      <c r="BS113" s="716"/>
      <c r="BT113" s="716">
        <f t="shared" si="239"/>
        <v>3283966.9184155068</v>
      </c>
      <c r="BU113" s="716"/>
      <c r="BV113" s="716">
        <f t="shared" si="207"/>
        <v>3283966.9184155068</v>
      </c>
      <c r="BW113" s="716"/>
      <c r="BX113" s="716">
        <f t="shared" si="329"/>
        <v>31400</v>
      </c>
      <c r="BY113" s="716">
        <f t="shared" si="240"/>
        <v>3315366.9184155068</v>
      </c>
      <c r="BZ113" s="716"/>
      <c r="CA113" s="716">
        <f t="shared" si="241"/>
        <v>3315366.9184155068</v>
      </c>
      <c r="CB113" s="1135">
        <f t="shared" si="242"/>
        <v>3315366.9184155068</v>
      </c>
      <c r="CC113" s="1164">
        <f t="shared" si="286"/>
        <v>3315366.9184155068</v>
      </c>
      <c r="CD113" s="1164"/>
      <c r="CE113" s="1164">
        <f t="shared" si="243"/>
        <v>0</v>
      </c>
      <c r="CF113" s="1164">
        <f t="shared" si="291"/>
        <v>0</v>
      </c>
      <c r="CG113" s="1164">
        <f t="shared" si="292"/>
        <v>0</v>
      </c>
      <c r="CH113" s="1154">
        <f t="shared" si="339"/>
        <v>3315366.9184155068</v>
      </c>
      <c r="CI113" s="935">
        <f t="shared" si="340"/>
        <v>3315366.9184155068</v>
      </c>
      <c r="CJ113" s="935">
        <f t="shared" si="244"/>
        <v>0</v>
      </c>
      <c r="CK113" s="935">
        <f t="shared" si="208"/>
        <v>339825.1091375894</v>
      </c>
      <c r="CL113" s="935">
        <f t="shared" si="209"/>
        <v>116037.84214454275</v>
      </c>
      <c r="CM113" s="1006">
        <f t="shared" si="306"/>
        <v>3771229.8696976393</v>
      </c>
      <c r="CN113" s="1007">
        <f t="shared" si="307"/>
        <v>0.125</v>
      </c>
      <c r="CO113" s="935">
        <f t="shared" si="210"/>
        <v>471403.73371220491</v>
      </c>
      <c r="CP113" s="935">
        <f t="shared" si="330"/>
        <v>30000</v>
      </c>
      <c r="CQ113" s="935">
        <f t="shared" si="211"/>
        <v>441403.73371220491</v>
      </c>
      <c r="CR113" s="745">
        <f t="shared" si="308"/>
        <v>2</v>
      </c>
      <c r="CS113" s="935">
        <f t="shared" si="212"/>
        <v>220701.86685610245</v>
      </c>
      <c r="CT113" s="1007">
        <f t="shared" si="245"/>
        <v>0.875</v>
      </c>
      <c r="CU113" s="935">
        <f t="shared" si="246"/>
        <v>3299826.1359854345</v>
      </c>
      <c r="CV113" s="1008">
        <f t="shared" si="247"/>
        <v>25583.516909568512</v>
      </c>
      <c r="CW113" s="1008">
        <f t="shared" si="248"/>
        <v>29659.770199214337</v>
      </c>
      <c r="CX113" s="1008">
        <f t="shared" si="249"/>
        <v>38313.779433513737</v>
      </c>
      <c r="CY113" s="1008">
        <f t="shared" si="250"/>
        <v>65340.512467282031</v>
      </c>
      <c r="CZ113" s="1119">
        <f t="shared" si="251"/>
        <v>268055.36557061045</v>
      </c>
      <c r="DA113" s="1119">
        <f t="shared" si="252"/>
        <v>106068.20238363648</v>
      </c>
      <c r="DB113" s="1119">
        <f t="shared" si="253"/>
        <v>76611.560317109208</v>
      </c>
      <c r="DC113" s="1119">
        <f t="shared" si="254"/>
        <v>58304.924415394395</v>
      </c>
      <c r="DD113" s="1028">
        <f t="shared" si="294"/>
        <v>0.48848491039948444</v>
      </c>
      <c r="DE113" s="1028">
        <f t="shared" si="341"/>
        <v>0</v>
      </c>
      <c r="DF113" s="1009" t="s">
        <v>270</v>
      </c>
      <c r="DG113" s="1009" t="s">
        <v>271</v>
      </c>
      <c r="DH113" s="966">
        <f t="shared" si="287"/>
        <v>45658</v>
      </c>
      <c r="DI113" s="912">
        <f t="shared" si="255"/>
        <v>14</v>
      </c>
      <c r="DJ113" s="939"/>
      <c r="DK113" s="913">
        <f t="shared" si="213"/>
        <v>45723</v>
      </c>
      <c r="DL113" s="912">
        <f t="shared" si="256"/>
        <v>16</v>
      </c>
      <c r="DM113" s="750" t="s">
        <v>272</v>
      </c>
      <c r="DN113" s="750" t="s">
        <v>273</v>
      </c>
      <c r="DO113" s="751">
        <f t="shared" si="214"/>
        <v>49736.645422492962</v>
      </c>
      <c r="DP113" s="751">
        <f t="shared" si="215"/>
        <v>1094206.1992948451</v>
      </c>
      <c r="DQ113" s="752">
        <f t="shared" si="295"/>
        <v>0.54710309964742254</v>
      </c>
      <c r="DR113" s="503"/>
      <c r="DS113" s="751">
        <f t="shared" si="296"/>
        <v>3315366.9184155068</v>
      </c>
      <c r="DT113" s="751">
        <f>'[4]INTERNAL PRICELIST'!N107</f>
        <v>2111900</v>
      </c>
      <c r="DU113" s="751">
        <f t="shared" si="216"/>
        <v>1203466.9184155068</v>
      </c>
      <c r="DV113" s="503"/>
      <c r="DW113" s="951">
        <f t="shared" si="297"/>
        <v>150698.49629161393</v>
      </c>
      <c r="DX113" s="503"/>
      <c r="DZ113" s="1010" t="s">
        <v>520</v>
      </c>
      <c r="EA113" s="1052" t="b">
        <f t="shared" si="217"/>
        <v>1</v>
      </c>
      <c r="EB113" s="1072" t="s">
        <v>521</v>
      </c>
      <c r="EC113" s="1072" t="s">
        <v>514</v>
      </c>
      <c r="ED113" s="503"/>
      <c r="EE113" s="503"/>
      <c r="EF113" s="503"/>
      <c r="EG113" s="503"/>
      <c r="EH113" s="930"/>
      <c r="EI113" s="930"/>
      <c r="EJ113" s="503"/>
      <c r="EK113" s="503"/>
      <c r="EL113" s="503"/>
      <c r="EM113" s="503"/>
      <c r="EN113" s="503"/>
      <c r="EO113" s="503"/>
      <c r="EP113" s="503"/>
      <c r="EQ113" s="503"/>
      <c r="ER113" s="1017" t="s">
        <v>264</v>
      </c>
      <c r="ES113" s="1391" t="s">
        <v>264</v>
      </c>
      <c r="ET113" s="1018" t="b">
        <f t="shared" si="257"/>
        <v>1</v>
      </c>
      <c r="EU113" s="940"/>
      <c r="EV113" s="941"/>
      <c r="EW113" s="940"/>
      <c r="EX113" s="1019">
        <v>3108141.5818836316</v>
      </c>
      <c r="EY113" s="1019">
        <f t="shared" si="310"/>
        <v>466221.23728254472</v>
      </c>
      <c r="EZ113" s="1019">
        <f t="shared" si="311"/>
        <v>2641920.3446010868</v>
      </c>
      <c r="FA113" s="1019">
        <f t="shared" si="312"/>
        <v>310814.15818836319</v>
      </c>
      <c r="FB113" s="1019">
        <f t="shared" si="313"/>
        <v>2797327.4236952686</v>
      </c>
      <c r="FC113" s="1019">
        <f t="shared" si="314"/>
        <v>155407.07909418177</v>
      </c>
      <c r="FD113" s="1020"/>
      <c r="FE113" s="1021"/>
      <c r="FF113" s="1022">
        <f t="shared" si="315"/>
        <v>2641920.3446010868</v>
      </c>
      <c r="FG113" s="1022">
        <f t="shared" si="316"/>
        <v>224563.2292910924</v>
      </c>
      <c r="FH113" s="1022">
        <f t="shared" si="317"/>
        <v>112281.6146455462</v>
      </c>
      <c r="FI113" s="1023">
        <f t="shared" si="318"/>
        <v>2797327.4236952686</v>
      </c>
      <c r="FJ113" s="1023">
        <f t="shared" si="319"/>
        <v>237772.83101409784</v>
      </c>
      <c r="FK113" s="1023">
        <f t="shared" si="320"/>
        <v>118886.41550704892</v>
      </c>
      <c r="FL113" s="1019">
        <f t="shared" si="321"/>
        <v>13209.601723005442</v>
      </c>
      <c r="FM113" s="1019">
        <f t="shared" si="322"/>
        <v>6604.8008615027211</v>
      </c>
      <c r="FN113" s="1019" t="str">
        <f t="shared" si="323"/>
        <v>VS</v>
      </c>
      <c r="FO113" s="1019">
        <f t="shared" si="324"/>
        <v>27537.409960060559</v>
      </c>
      <c r="FP113" s="1019">
        <f t="shared" si="325"/>
        <v>-20932.609098557838</v>
      </c>
      <c r="FQ113" s="1021"/>
      <c r="FR113" s="1021"/>
      <c r="FS113" s="1020"/>
      <c r="FT113" s="1055">
        <f>FB113</f>
        <v>2797327.4236952686</v>
      </c>
      <c r="FU113" s="1056"/>
      <c r="FV113" s="1056"/>
      <c r="FW113" s="503"/>
      <c r="FX113" s="1040"/>
      <c r="FY113" s="503"/>
      <c r="FZ113" s="503"/>
      <c r="GA113" s="503"/>
      <c r="GE113" s="503"/>
      <c r="GF113" s="1059"/>
      <c r="GG113" s="956"/>
      <c r="GH113" s="1058"/>
      <c r="GI113" s="1024">
        <f t="shared" si="258"/>
        <v>3771229.8696976393</v>
      </c>
      <c r="GJ113" s="1025">
        <f t="shared" si="259"/>
        <v>0.125</v>
      </c>
      <c r="GK113" s="1024">
        <f t="shared" si="260"/>
        <v>471403.73371220491</v>
      </c>
      <c r="GL113" s="1024">
        <f t="shared" si="261"/>
        <v>30000</v>
      </c>
      <c r="GM113" s="1024">
        <f t="shared" si="262"/>
        <v>441403.73371220491</v>
      </c>
      <c r="GN113" s="1024">
        <f t="shared" si="263"/>
        <v>2</v>
      </c>
      <c r="GO113" s="1024">
        <f t="shared" si="264"/>
        <v>220701.86685610245</v>
      </c>
      <c r="GP113" s="1025">
        <f t="shared" si="265"/>
        <v>0.875</v>
      </c>
      <c r="GQ113" s="1024">
        <f t="shared" si="266"/>
        <v>3299826.1359854345</v>
      </c>
      <c r="GR113" s="1024">
        <f t="shared" si="267"/>
        <v>25583.516909568512</v>
      </c>
      <c r="GS113" s="1024">
        <f t="shared" si="268"/>
        <v>29659.770199214337</v>
      </c>
      <c r="GT113" s="1024">
        <f t="shared" si="269"/>
        <v>38313.779433513737</v>
      </c>
      <c r="GU113" s="1024">
        <f t="shared" si="270"/>
        <v>65340.512467282031</v>
      </c>
      <c r="GV113" s="945"/>
      <c r="GW113" s="1024">
        <f t="shared" si="271"/>
        <v>3771229.8696976393</v>
      </c>
      <c r="GX113" s="1025">
        <f t="shared" si="272"/>
        <v>0.125</v>
      </c>
      <c r="GY113" s="1024">
        <f t="shared" si="273"/>
        <v>471403.73371220491</v>
      </c>
      <c r="GZ113" s="1024">
        <f t="shared" si="274"/>
        <v>30000</v>
      </c>
      <c r="HA113" s="1024">
        <f t="shared" si="275"/>
        <v>441403.73371220491</v>
      </c>
      <c r="HB113" s="1026">
        <f t="shared" si="276"/>
        <v>25</v>
      </c>
      <c r="HC113" s="1009">
        <f t="shared" si="277"/>
        <v>17656.149348488198</v>
      </c>
      <c r="HD113" s="1027">
        <f t="shared" si="278"/>
        <v>0.875</v>
      </c>
      <c r="HE113" s="1009">
        <f t="shared" si="279"/>
        <v>3299826.1359854345</v>
      </c>
      <c r="HF113" s="1008">
        <f t="shared" si="280"/>
        <v>25583.516909568512</v>
      </c>
      <c r="HG113" s="1008">
        <f t="shared" si="281"/>
        <v>29659.770199214337</v>
      </c>
      <c r="HH113" s="1008">
        <f t="shared" si="282"/>
        <v>38313.779433513737</v>
      </c>
      <c r="HI113" s="1008">
        <f t="shared" si="283"/>
        <v>65340.512467282031</v>
      </c>
      <c r="HJ113" s="945"/>
      <c r="HK113" s="1009">
        <f t="shared" si="284"/>
        <v>-203045.71750761426</v>
      </c>
      <c r="HL113" s="503"/>
      <c r="HM113" s="503"/>
      <c r="HN113" s="503"/>
      <c r="HO113" s="503"/>
      <c r="HP113" s="503"/>
      <c r="HQ113" s="503"/>
      <c r="HR113" s="956">
        <f t="shared" si="285"/>
        <v>0</v>
      </c>
      <c r="HS113" s="503"/>
      <c r="HT113" s="503"/>
      <c r="HU113" s="956"/>
      <c r="HV113" s="503"/>
      <c r="HW113" s="956"/>
      <c r="HX113" s="956"/>
      <c r="HY113" s="503"/>
      <c r="HZ113" s="503"/>
      <c r="IA113" s="503"/>
      <c r="ID113" s="1394"/>
    </row>
    <row r="114" spans="1:238" s="1051" customFormat="1" ht="14.25" hidden="1" customHeight="1">
      <c r="A114" s="1018">
        <f t="shared" si="326"/>
        <v>108</v>
      </c>
      <c r="B114" s="716" t="s">
        <v>264</v>
      </c>
      <c r="C114" s="741">
        <f t="shared" si="350"/>
        <v>6</v>
      </c>
      <c r="D114" s="716" t="s">
        <v>281</v>
      </c>
      <c r="E114" s="743" t="str">
        <f t="shared" si="344"/>
        <v>8th Floor</v>
      </c>
      <c r="F114" s="1048"/>
      <c r="G114" s="745" t="s">
        <v>522</v>
      </c>
      <c r="H114" s="745" t="s">
        <v>296</v>
      </c>
      <c r="I114" s="745" t="s">
        <v>267</v>
      </c>
      <c r="J114" s="1005">
        <v>22</v>
      </c>
      <c r="K114" s="1049"/>
      <c r="L114" s="1006" t="s">
        <v>73</v>
      </c>
      <c r="M114" s="745" t="s">
        <v>79</v>
      </c>
      <c r="N114" s="1050">
        <v>95909.091</v>
      </c>
      <c r="O114" s="934">
        <f t="shared" si="298"/>
        <v>2110000.0019999999</v>
      </c>
      <c r="P114" s="934">
        <f t="shared" si="327"/>
        <v>22400</v>
      </c>
      <c r="Q114" s="934">
        <f t="shared" si="293"/>
        <v>50000</v>
      </c>
      <c r="R114" s="934"/>
      <c r="S114" s="934"/>
      <c r="T114" s="934">
        <f t="shared" si="346"/>
        <v>66000</v>
      </c>
      <c r="U114" s="934"/>
      <c r="V114" s="934"/>
      <c r="W114" s="934"/>
      <c r="X114" s="934"/>
      <c r="Y114" s="934">
        <f t="shared" si="351"/>
        <v>80000</v>
      </c>
      <c r="Z114" s="934">
        <f t="shared" si="299"/>
        <v>75000</v>
      </c>
      <c r="AA114" s="934"/>
      <c r="AB114" s="934"/>
      <c r="AC114" s="934"/>
      <c r="AD114" s="934"/>
      <c r="AE114" s="934">
        <f t="shared" si="199"/>
        <v>293400</v>
      </c>
      <c r="AF114" s="1005">
        <f t="shared" si="200"/>
        <v>2403400.0019999999</v>
      </c>
      <c r="AG114" s="1005">
        <f t="shared" si="220"/>
        <v>60085.000050000002</v>
      </c>
      <c r="AH114" s="1005">
        <f t="shared" si="221"/>
        <v>2463485.0020499998</v>
      </c>
      <c r="AI114" s="1005">
        <f t="shared" si="222"/>
        <v>61587.125051249997</v>
      </c>
      <c r="AJ114" s="1005">
        <f t="shared" si="223"/>
        <v>2525072.12710125</v>
      </c>
      <c r="AK114" s="1005">
        <f t="shared" si="224"/>
        <v>126253.60635506251</v>
      </c>
      <c r="AL114" s="1005">
        <f t="shared" si="300"/>
        <v>2651325.7334563127</v>
      </c>
      <c r="AM114" s="934">
        <f t="shared" si="225"/>
        <v>26513.257334563128</v>
      </c>
      <c r="AN114" s="934">
        <f t="shared" si="226"/>
        <v>27537.409960060559</v>
      </c>
      <c r="AO114" s="934"/>
      <c r="AP114" s="934">
        <f t="shared" si="301"/>
        <v>117714.15070998018</v>
      </c>
      <c r="AQ114" s="1005">
        <f t="shared" si="201"/>
        <v>2823090.5514609162</v>
      </c>
      <c r="AR114" s="1005">
        <f t="shared" si="227"/>
        <v>127039.07481574122</v>
      </c>
      <c r="AS114" s="1147">
        <f t="shared" si="228"/>
        <v>2950129.6262766575</v>
      </c>
      <c r="AT114" s="1148">
        <f t="shared" si="348"/>
        <v>2000000</v>
      </c>
      <c r="AU114" s="1148">
        <f t="shared" si="349"/>
        <v>43187.710285302608</v>
      </c>
      <c r="AV114" s="1148">
        <f t="shared" si="303"/>
        <v>950129.62627665745</v>
      </c>
      <c r="AW114" s="1148">
        <f t="shared" si="203"/>
        <v>114015.55515319889</v>
      </c>
      <c r="AX114" s="1148">
        <f t="shared" si="204"/>
        <v>1064145.1814298565</v>
      </c>
      <c r="AY114" s="1147">
        <f t="shared" si="229"/>
        <v>3064145.1814298565</v>
      </c>
      <c r="AZ114" s="934">
        <f t="shared" si="230"/>
        <v>38301.814767873206</v>
      </c>
      <c r="BA114" s="716" t="s">
        <v>269</v>
      </c>
      <c r="BB114" s="716">
        <f t="shared" si="343"/>
        <v>3102446.9961977298</v>
      </c>
      <c r="BC114" s="716" t="s">
        <v>269</v>
      </c>
      <c r="BD114" s="716">
        <f t="shared" si="231"/>
        <v>116341.76235741486</v>
      </c>
      <c r="BE114" s="716">
        <f t="shared" si="232"/>
        <v>33600</v>
      </c>
      <c r="BF114" s="716">
        <f t="shared" si="233"/>
        <v>3252388.7585551445</v>
      </c>
      <c r="BG114" s="716"/>
      <c r="BH114" s="716">
        <f t="shared" si="234"/>
        <v>3252388.7585551445</v>
      </c>
      <c r="BI114" s="716"/>
      <c r="BJ114" s="716">
        <f t="shared" si="235"/>
        <v>3252388.7585551445</v>
      </c>
      <c r="BK114" s="716"/>
      <c r="BL114" s="716">
        <f t="shared" si="236"/>
        <v>3252388.7585551445</v>
      </c>
      <c r="BM114" s="716"/>
      <c r="BN114" s="716">
        <f t="shared" si="206"/>
        <v>3252388.7585551445</v>
      </c>
      <c r="BO114" s="716"/>
      <c r="BP114" s="716">
        <f t="shared" si="237"/>
        <v>3252388.7585551445</v>
      </c>
      <c r="BQ114" s="716"/>
      <c r="BR114" s="716">
        <f t="shared" si="238"/>
        <v>3252388.7585551445</v>
      </c>
      <c r="BS114" s="716"/>
      <c r="BT114" s="716">
        <f t="shared" si="239"/>
        <v>3252388.7585551445</v>
      </c>
      <c r="BU114" s="716"/>
      <c r="BV114" s="716">
        <f t="shared" si="207"/>
        <v>3252388.7585551445</v>
      </c>
      <c r="BW114" s="716"/>
      <c r="BX114" s="716">
        <f t="shared" si="329"/>
        <v>31400</v>
      </c>
      <c r="BY114" s="716">
        <f t="shared" si="240"/>
        <v>3283788.7585551445</v>
      </c>
      <c r="BZ114" s="716"/>
      <c r="CA114" s="716">
        <f t="shared" si="241"/>
        <v>3283788.7585551445</v>
      </c>
      <c r="CB114" s="1135">
        <f t="shared" si="242"/>
        <v>3283788.7585551445</v>
      </c>
      <c r="CC114" s="1164">
        <f t="shared" si="286"/>
        <v>3283788.7585551445</v>
      </c>
      <c r="CD114" s="1164"/>
      <c r="CE114" s="1164">
        <f t="shared" si="243"/>
        <v>0</v>
      </c>
      <c r="CF114" s="1164">
        <f t="shared" si="291"/>
        <v>0</v>
      </c>
      <c r="CG114" s="1164">
        <f t="shared" si="292"/>
        <v>0</v>
      </c>
      <c r="CH114" s="1154">
        <f t="shared" si="339"/>
        <v>3283788.7585551445</v>
      </c>
      <c r="CI114" s="935">
        <f t="shared" si="340"/>
        <v>3283788.7585551445</v>
      </c>
      <c r="CJ114" s="935">
        <f t="shared" si="244"/>
        <v>0</v>
      </c>
      <c r="CK114" s="935">
        <f t="shared" si="208"/>
        <v>336588.3477519023</v>
      </c>
      <c r="CL114" s="935">
        <f t="shared" si="209"/>
        <v>114932.60654943007</v>
      </c>
      <c r="CM114" s="1006">
        <f t="shared" si="306"/>
        <v>3735309.7128564771</v>
      </c>
      <c r="CN114" s="1007">
        <f t="shared" si="307"/>
        <v>0.125</v>
      </c>
      <c r="CO114" s="935">
        <f t="shared" si="210"/>
        <v>466913.71410705964</v>
      </c>
      <c r="CP114" s="935">
        <f t="shared" si="330"/>
        <v>30000</v>
      </c>
      <c r="CQ114" s="935">
        <f t="shared" si="211"/>
        <v>436913.71410705964</v>
      </c>
      <c r="CR114" s="745">
        <f t="shared" si="308"/>
        <v>2</v>
      </c>
      <c r="CS114" s="935">
        <f t="shared" si="212"/>
        <v>218456.85705352982</v>
      </c>
      <c r="CT114" s="1007">
        <f t="shared" si="245"/>
        <v>0.875</v>
      </c>
      <c r="CU114" s="935">
        <f t="shared" si="246"/>
        <v>3268395.9987494173</v>
      </c>
      <c r="CV114" s="1008">
        <f t="shared" si="247"/>
        <v>25339.839390114121</v>
      </c>
      <c r="CW114" s="1008">
        <f t="shared" si="248"/>
        <v>29377.267240169302</v>
      </c>
      <c r="CX114" s="1008">
        <f t="shared" si="249"/>
        <v>37948.848889903078</v>
      </c>
      <c r="CY114" s="1008">
        <f t="shared" si="250"/>
        <v>64718.158079721215</v>
      </c>
      <c r="CZ114" s="1119">
        <f t="shared" si="251"/>
        <v>265502.19562178856</v>
      </c>
      <c r="DA114" s="1119">
        <f t="shared" si="252"/>
        <v>105057.92547209254</v>
      </c>
      <c r="DB114" s="1119">
        <f t="shared" si="253"/>
        <v>75881.851612649523</v>
      </c>
      <c r="DC114" s="1119">
        <f t="shared" si="254"/>
        <v>57749.582497246884</v>
      </c>
      <c r="DD114" s="1028">
        <f t="shared" si="294"/>
        <v>0.47506481313832871</v>
      </c>
      <c r="DE114" s="1028">
        <f t="shared" si="341"/>
        <v>0</v>
      </c>
      <c r="DF114" s="1009" t="s">
        <v>270</v>
      </c>
      <c r="DG114" s="1009" t="s">
        <v>271</v>
      </c>
      <c r="DH114" s="966">
        <f t="shared" si="287"/>
        <v>45658</v>
      </c>
      <c r="DI114" s="912">
        <f t="shared" si="255"/>
        <v>14</v>
      </c>
      <c r="DJ114" s="939"/>
      <c r="DK114" s="913">
        <f t="shared" si="213"/>
        <v>45723</v>
      </c>
      <c r="DL114" s="912">
        <f t="shared" si="256"/>
        <v>16</v>
      </c>
      <c r="DM114" s="750" t="s">
        <v>272</v>
      </c>
      <c r="DN114" s="750" t="s">
        <v>273</v>
      </c>
      <c r="DO114" s="751">
        <f t="shared" si="214"/>
        <v>48370.235519538932</v>
      </c>
      <c r="DP114" s="751">
        <f t="shared" si="215"/>
        <v>1064145.1814298565</v>
      </c>
      <c r="DQ114" s="752">
        <f t="shared" si="295"/>
        <v>0.53207259071492818</v>
      </c>
      <c r="DR114" s="503"/>
      <c r="DS114" s="751">
        <f t="shared" si="296"/>
        <v>3283788.7585551445</v>
      </c>
      <c r="DT114" s="751">
        <f>'[4]INTERNAL PRICELIST'!N108</f>
        <v>2111900</v>
      </c>
      <c r="DU114" s="751">
        <f t="shared" si="216"/>
        <v>1171888.7585551445</v>
      </c>
      <c r="DV114" s="503"/>
      <c r="DW114" s="951">
        <f t="shared" si="297"/>
        <v>149263.12538887022</v>
      </c>
      <c r="DX114" s="503"/>
      <c r="DZ114" s="1010" t="s">
        <v>522</v>
      </c>
      <c r="EA114" s="1052" t="b">
        <f t="shared" si="217"/>
        <v>1</v>
      </c>
      <c r="EB114" s="1072" t="s">
        <v>523</v>
      </c>
      <c r="EC114" s="1072" t="s">
        <v>514</v>
      </c>
      <c r="ED114" s="503"/>
      <c r="EH114" s="930"/>
      <c r="EI114" s="930"/>
      <c r="EJ114" s="503"/>
      <c r="EK114" s="503"/>
      <c r="EL114" s="503"/>
      <c r="EM114" s="503"/>
      <c r="EN114" s="503"/>
      <c r="EO114" s="503"/>
      <c r="EP114" s="503"/>
      <c r="EQ114" s="503"/>
      <c r="ER114" s="1017" t="s">
        <v>264</v>
      </c>
      <c r="ES114" s="1391" t="s">
        <v>264</v>
      </c>
      <c r="ET114" s="1018" t="b">
        <f t="shared" si="257"/>
        <v>1</v>
      </c>
      <c r="EU114" s="940"/>
      <c r="EV114" s="941"/>
      <c r="EW114" s="940"/>
      <c r="EX114" s="1019">
        <v>3077494.136208632</v>
      </c>
      <c r="EY114" s="1019">
        <f t="shared" si="310"/>
        <v>461624.12043129478</v>
      </c>
      <c r="EZ114" s="1019">
        <f t="shared" si="311"/>
        <v>2615870.0157773374</v>
      </c>
      <c r="FA114" s="1019">
        <f t="shared" si="312"/>
        <v>307749.41362086323</v>
      </c>
      <c r="FB114" s="1019">
        <f t="shared" si="313"/>
        <v>2769744.7225877689</v>
      </c>
      <c r="FC114" s="1019">
        <f t="shared" si="314"/>
        <v>153874.70681043155</v>
      </c>
      <c r="FD114" s="1020"/>
      <c r="FE114" s="1021"/>
      <c r="FF114" s="1022">
        <f t="shared" si="315"/>
        <v>2615870.0157773374</v>
      </c>
      <c r="FG114" s="1022">
        <f t="shared" si="316"/>
        <v>222348.9513410737</v>
      </c>
      <c r="FH114" s="1022">
        <f t="shared" si="317"/>
        <v>111174.47567053685</v>
      </c>
      <c r="FI114" s="1023">
        <f t="shared" si="318"/>
        <v>2769744.7225877689</v>
      </c>
      <c r="FJ114" s="1023">
        <f t="shared" si="319"/>
        <v>235428.30141996036</v>
      </c>
      <c r="FK114" s="1023">
        <f t="shared" si="320"/>
        <v>117714.15070998018</v>
      </c>
      <c r="FL114" s="1019">
        <f t="shared" si="321"/>
        <v>13079.350078886666</v>
      </c>
      <c r="FM114" s="1019">
        <f t="shared" si="322"/>
        <v>6539.6750394433329</v>
      </c>
      <c r="FN114" s="1019" t="str">
        <f t="shared" si="323"/>
        <v>VS</v>
      </c>
      <c r="FO114" s="1019">
        <f t="shared" si="324"/>
        <v>27537.409960060559</v>
      </c>
      <c r="FP114" s="1019">
        <f t="shared" si="325"/>
        <v>-20997.734920617226</v>
      </c>
      <c r="FQ114" s="1021"/>
      <c r="FR114" s="1021"/>
      <c r="FS114" s="1020"/>
      <c r="FT114" s="503"/>
      <c r="FU114" s="956"/>
      <c r="FV114" s="503"/>
      <c r="FW114" s="503"/>
      <c r="FX114" s="1040"/>
      <c r="FY114" s="503"/>
      <c r="FZ114" s="503"/>
      <c r="GA114" s="503"/>
      <c r="GE114" s="503"/>
      <c r="GF114" s="1059"/>
      <c r="GG114" s="956"/>
      <c r="GH114" s="945"/>
      <c r="GI114" s="1024">
        <f t="shared" si="258"/>
        <v>3735309.7128564771</v>
      </c>
      <c r="GJ114" s="1025">
        <f t="shared" si="259"/>
        <v>0.125</v>
      </c>
      <c r="GK114" s="1024">
        <f t="shared" si="260"/>
        <v>466913.71410705964</v>
      </c>
      <c r="GL114" s="1024">
        <f t="shared" si="261"/>
        <v>30000</v>
      </c>
      <c r="GM114" s="1024">
        <f t="shared" si="262"/>
        <v>436913.71410705964</v>
      </c>
      <c r="GN114" s="1024">
        <f t="shared" si="263"/>
        <v>2</v>
      </c>
      <c r="GO114" s="1024">
        <f t="shared" si="264"/>
        <v>218456.85705352982</v>
      </c>
      <c r="GP114" s="1025">
        <f t="shared" si="265"/>
        <v>0.875</v>
      </c>
      <c r="GQ114" s="1024">
        <f t="shared" si="266"/>
        <v>3268395.9987494173</v>
      </c>
      <c r="GR114" s="1024">
        <f t="shared" si="267"/>
        <v>25339.839390114121</v>
      </c>
      <c r="GS114" s="1024">
        <f t="shared" si="268"/>
        <v>29377.267240169302</v>
      </c>
      <c r="GT114" s="1024">
        <f t="shared" si="269"/>
        <v>37948.848889903078</v>
      </c>
      <c r="GU114" s="1024">
        <f t="shared" si="270"/>
        <v>64718.158079721215</v>
      </c>
      <c r="GV114" s="945"/>
      <c r="GW114" s="1024">
        <f t="shared" si="271"/>
        <v>3735309.7128564771</v>
      </c>
      <c r="GX114" s="1025">
        <f t="shared" si="272"/>
        <v>0.125</v>
      </c>
      <c r="GY114" s="1024">
        <f t="shared" si="273"/>
        <v>466913.71410705964</v>
      </c>
      <c r="GZ114" s="1024">
        <f t="shared" si="274"/>
        <v>30000</v>
      </c>
      <c r="HA114" s="1024">
        <f t="shared" si="275"/>
        <v>436913.71410705964</v>
      </c>
      <c r="HB114" s="1026">
        <f t="shared" si="276"/>
        <v>25</v>
      </c>
      <c r="HC114" s="1009">
        <f t="shared" si="277"/>
        <v>17476.548564282384</v>
      </c>
      <c r="HD114" s="1027">
        <f t="shared" si="278"/>
        <v>0.875</v>
      </c>
      <c r="HE114" s="1009">
        <f t="shared" si="279"/>
        <v>3268395.9987494173</v>
      </c>
      <c r="HF114" s="1008">
        <f t="shared" si="280"/>
        <v>25339.839390114121</v>
      </c>
      <c r="HG114" s="1008">
        <f t="shared" si="281"/>
        <v>29377.267240169302</v>
      </c>
      <c r="HH114" s="1008">
        <f t="shared" si="282"/>
        <v>37948.848889903078</v>
      </c>
      <c r="HI114" s="1008">
        <f t="shared" si="283"/>
        <v>64718.158079721215</v>
      </c>
      <c r="HJ114" s="945"/>
      <c r="HK114" s="1009">
        <f t="shared" si="284"/>
        <v>-200980.30848924743</v>
      </c>
      <c r="HL114" s="503"/>
      <c r="HM114" s="503"/>
      <c r="HN114" s="503"/>
      <c r="HO114" s="503"/>
      <c r="HP114" s="503"/>
      <c r="HQ114" s="503"/>
      <c r="HR114" s="956">
        <f t="shared" si="285"/>
        <v>0</v>
      </c>
      <c r="HS114" s="503"/>
      <c r="HT114" s="503"/>
      <c r="HU114" s="956"/>
      <c r="HV114" s="503"/>
      <c r="HW114" s="956"/>
      <c r="HX114" s="956"/>
      <c r="HY114" s="503"/>
      <c r="HZ114" s="503"/>
      <c r="IA114" s="503"/>
      <c r="ID114" s="1394"/>
    </row>
    <row r="115" spans="1:238" s="1051" customFormat="1" ht="14.25" hidden="1" customHeight="1">
      <c r="A115" s="1018">
        <f t="shared" si="326"/>
        <v>109</v>
      </c>
      <c r="B115" s="716" t="s">
        <v>264</v>
      </c>
      <c r="C115" s="741">
        <f t="shared" si="350"/>
        <v>7</v>
      </c>
      <c r="D115" s="716" t="s">
        <v>281</v>
      </c>
      <c r="E115" s="743" t="str">
        <f>D115</f>
        <v>8th Floor</v>
      </c>
      <c r="F115" s="1048"/>
      <c r="G115" s="745" t="s">
        <v>524</v>
      </c>
      <c r="H115" s="745" t="s">
        <v>310</v>
      </c>
      <c r="I115" s="745" t="s">
        <v>267</v>
      </c>
      <c r="J115" s="1005">
        <v>22</v>
      </c>
      <c r="K115" s="1049"/>
      <c r="L115" s="1006" t="s">
        <v>73</v>
      </c>
      <c r="M115" s="745" t="s">
        <v>240</v>
      </c>
      <c r="N115" s="1050">
        <v>95909.091</v>
      </c>
      <c r="O115" s="934">
        <f t="shared" si="298"/>
        <v>2110000.0019999999</v>
      </c>
      <c r="P115" s="934">
        <f t="shared" si="327"/>
        <v>22400</v>
      </c>
      <c r="Q115" s="934">
        <f t="shared" si="293"/>
        <v>50000</v>
      </c>
      <c r="R115" s="934"/>
      <c r="S115" s="934"/>
      <c r="T115" s="934">
        <f t="shared" si="346"/>
        <v>66000</v>
      </c>
      <c r="U115" s="934"/>
      <c r="V115" s="934"/>
      <c r="W115" s="749">
        <f>J115*$W$5</f>
        <v>22000</v>
      </c>
      <c r="X115" s="934"/>
      <c r="Y115" s="934">
        <f t="shared" si="351"/>
        <v>80000</v>
      </c>
      <c r="Z115" s="934">
        <f t="shared" si="299"/>
        <v>75000</v>
      </c>
      <c r="AA115" s="934"/>
      <c r="AB115" s="934"/>
      <c r="AC115" s="934"/>
      <c r="AD115" s="934"/>
      <c r="AE115" s="934">
        <f t="shared" si="199"/>
        <v>315400</v>
      </c>
      <c r="AF115" s="1005">
        <f t="shared" si="200"/>
        <v>2425400.0019999999</v>
      </c>
      <c r="AG115" s="1005">
        <f t="shared" si="220"/>
        <v>60635.000050000002</v>
      </c>
      <c r="AH115" s="1005">
        <f t="shared" si="221"/>
        <v>2486035.0020499998</v>
      </c>
      <c r="AI115" s="1005">
        <f t="shared" si="222"/>
        <v>62150.875051249997</v>
      </c>
      <c r="AJ115" s="1005">
        <f t="shared" si="223"/>
        <v>2548185.87710125</v>
      </c>
      <c r="AK115" s="1005">
        <f t="shared" si="224"/>
        <v>127409.29385506251</v>
      </c>
      <c r="AL115" s="1005">
        <f t="shared" si="300"/>
        <v>2675595.1709563127</v>
      </c>
      <c r="AM115" s="934">
        <f t="shared" si="225"/>
        <v>26755.951709563127</v>
      </c>
      <c r="AN115" s="934">
        <f t="shared" si="226"/>
        <v>27537.409960060559</v>
      </c>
      <c r="AO115" s="934"/>
      <c r="AP115" s="934">
        <f t="shared" si="301"/>
        <v>118886.41550704892</v>
      </c>
      <c r="AQ115" s="1005">
        <f t="shared" si="201"/>
        <v>2848774.9481329848</v>
      </c>
      <c r="AR115" s="1005">
        <f t="shared" si="227"/>
        <v>128194.87266598431</v>
      </c>
      <c r="AS115" s="1147">
        <f t="shared" si="228"/>
        <v>2976969.8207989689</v>
      </c>
      <c r="AT115" s="1148">
        <f t="shared" si="348"/>
        <v>2000000</v>
      </c>
      <c r="AU115" s="1148">
        <f t="shared" si="349"/>
        <v>44407.719127225857</v>
      </c>
      <c r="AV115" s="1148">
        <f t="shared" si="303"/>
        <v>976969.8207989689</v>
      </c>
      <c r="AW115" s="1148">
        <f t="shared" si="203"/>
        <v>117236.37849587627</v>
      </c>
      <c r="AX115" s="1148">
        <f t="shared" si="204"/>
        <v>1094206.1992948451</v>
      </c>
      <c r="AY115" s="1147">
        <f t="shared" si="229"/>
        <v>3094206.1992948451</v>
      </c>
      <c r="AZ115" s="934">
        <f t="shared" si="230"/>
        <v>38677.577491185562</v>
      </c>
      <c r="BA115" s="716" t="s">
        <v>269</v>
      </c>
      <c r="BB115" s="716">
        <f t="shared" si="343"/>
        <v>3132883.7767860307</v>
      </c>
      <c r="BC115" s="716" t="s">
        <v>269</v>
      </c>
      <c r="BD115" s="716">
        <f t="shared" si="231"/>
        <v>117483.14162947614</v>
      </c>
      <c r="BE115" s="716">
        <f t="shared" si="232"/>
        <v>33600</v>
      </c>
      <c r="BF115" s="716">
        <f t="shared" si="233"/>
        <v>3283966.9184155068</v>
      </c>
      <c r="BG115" s="716"/>
      <c r="BH115" s="716">
        <f t="shared" si="234"/>
        <v>3283966.9184155068</v>
      </c>
      <c r="BI115" s="716"/>
      <c r="BJ115" s="716">
        <f t="shared" si="235"/>
        <v>3283966.9184155068</v>
      </c>
      <c r="BK115" s="716"/>
      <c r="BL115" s="716">
        <f t="shared" si="236"/>
        <v>3283966.9184155068</v>
      </c>
      <c r="BM115" s="716"/>
      <c r="BN115" s="716">
        <f t="shared" si="206"/>
        <v>3283966.9184155068</v>
      </c>
      <c r="BO115" s="716"/>
      <c r="BP115" s="716">
        <f t="shared" si="237"/>
        <v>3283966.9184155068</v>
      </c>
      <c r="BQ115" s="716"/>
      <c r="BR115" s="716">
        <f t="shared" si="238"/>
        <v>3283966.9184155068</v>
      </c>
      <c r="BS115" s="716"/>
      <c r="BT115" s="716">
        <f t="shared" si="239"/>
        <v>3283966.9184155068</v>
      </c>
      <c r="BU115" s="716"/>
      <c r="BV115" s="716">
        <f t="shared" si="207"/>
        <v>3283966.9184155068</v>
      </c>
      <c r="BW115" s="716"/>
      <c r="BX115" s="716">
        <f t="shared" si="329"/>
        <v>31400</v>
      </c>
      <c r="BY115" s="716">
        <f t="shared" si="240"/>
        <v>3315366.9184155068</v>
      </c>
      <c r="BZ115" s="716"/>
      <c r="CA115" s="716">
        <f t="shared" si="241"/>
        <v>3315366.9184155068</v>
      </c>
      <c r="CB115" s="1135">
        <f t="shared" si="242"/>
        <v>3315366.9184155068</v>
      </c>
      <c r="CC115" s="1164">
        <f t="shared" si="286"/>
        <v>3315366.9184155068</v>
      </c>
      <c r="CD115" s="1164"/>
      <c r="CE115" s="1164">
        <f t="shared" si="243"/>
        <v>0</v>
      </c>
      <c r="CF115" s="1164">
        <f t="shared" si="291"/>
        <v>0</v>
      </c>
      <c r="CG115" s="1164">
        <f t="shared" si="292"/>
        <v>0</v>
      </c>
      <c r="CH115" s="1154">
        <f t="shared" si="339"/>
        <v>3315366.9184155068</v>
      </c>
      <c r="CI115" s="935">
        <f t="shared" si="340"/>
        <v>3315366.9184155068</v>
      </c>
      <c r="CJ115" s="935">
        <f t="shared" si="244"/>
        <v>0</v>
      </c>
      <c r="CK115" s="935">
        <f t="shared" si="208"/>
        <v>339825.1091375894</v>
      </c>
      <c r="CL115" s="935">
        <f t="shared" si="209"/>
        <v>116037.84214454275</v>
      </c>
      <c r="CM115" s="1006">
        <f t="shared" si="306"/>
        <v>3771229.8696976393</v>
      </c>
      <c r="CN115" s="1007">
        <f t="shared" si="307"/>
        <v>0.125</v>
      </c>
      <c r="CO115" s="935">
        <f t="shared" si="210"/>
        <v>471403.73371220491</v>
      </c>
      <c r="CP115" s="935">
        <f t="shared" si="330"/>
        <v>30000</v>
      </c>
      <c r="CQ115" s="935">
        <f t="shared" si="211"/>
        <v>441403.73371220491</v>
      </c>
      <c r="CR115" s="745">
        <f t="shared" si="308"/>
        <v>2</v>
      </c>
      <c r="CS115" s="935">
        <f t="shared" si="212"/>
        <v>220701.86685610245</v>
      </c>
      <c r="CT115" s="1007">
        <f t="shared" si="245"/>
        <v>0.875</v>
      </c>
      <c r="CU115" s="935">
        <f t="shared" si="246"/>
        <v>3299826.1359854345</v>
      </c>
      <c r="CV115" s="1008">
        <f t="shared" si="247"/>
        <v>25583.516909568512</v>
      </c>
      <c r="CW115" s="1008">
        <f t="shared" si="248"/>
        <v>29659.770199214337</v>
      </c>
      <c r="CX115" s="1008">
        <f t="shared" si="249"/>
        <v>38313.779433513737</v>
      </c>
      <c r="CY115" s="1008">
        <f t="shared" si="250"/>
        <v>65340.512467282031</v>
      </c>
      <c r="CZ115" s="1119">
        <f t="shared" si="251"/>
        <v>268055.36557061045</v>
      </c>
      <c r="DA115" s="1119">
        <f t="shared" si="252"/>
        <v>106068.20238363648</v>
      </c>
      <c r="DB115" s="1119">
        <f t="shared" si="253"/>
        <v>76611.560317109208</v>
      </c>
      <c r="DC115" s="1119">
        <f t="shared" si="254"/>
        <v>58304.924415394395</v>
      </c>
      <c r="DD115" s="1028">
        <f t="shared" si="294"/>
        <v>0.48848491039948444</v>
      </c>
      <c r="DE115" s="1028">
        <f t="shared" si="341"/>
        <v>0</v>
      </c>
      <c r="DF115" s="1009" t="s">
        <v>270</v>
      </c>
      <c r="DG115" s="1009" t="s">
        <v>271</v>
      </c>
      <c r="DH115" s="966">
        <f t="shared" si="287"/>
        <v>45658</v>
      </c>
      <c r="DI115" s="912">
        <f t="shared" si="255"/>
        <v>14</v>
      </c>
      <c r="DJ115" s="939"/>
      <c r="DK115" s="913">
        <f t="shared" si="213"/>
        <v>45723</v>
      </c>
      <c r="DL115" s="912">
        <f t="shared" si="256"/>
        <v>16</v>
      </c>
      <c r="DM115" s="750" t="s">
        <v>272</v>
      </c>
      <c r="DN115" s="750" t="s">
        <v>273</v>
      </c>
      <c r="DO115" s="751">
        <f t="shared" si="214"/>
        <v>49736.645422492962</v>
      </c>
      <c r="DP115" s="751">
        <f t="shared" si="215"/>
        <v>1094206.1992948451</v>
      </c>
      <c r="DQ115" s="752">
        <f t="shared" si="295"/>
        <v>0.54710309964742254</v>
      </c>
      <c r="DR115" s="503"/>
      <c r="DS115" s="751">
        <f t="shared" si="296"/>
        <v>3315366.9184155068</v>
      </c>
      <c r="DT115" s="751">
        <f>'[4]INTERNAL PRICELIST'!N109</f>
        <v>2111900</v>
      </c>
      <c r="DU115" s="751">
        <f t="shared" si="216"/>
        <v>1203466.9184155068</v>
      </c>
      <c r="DV115" s="503"/>
      <c r="DW115" s="951">
        <f t="shared" si="297"/>
        <v>150698.49629161393</v>
      </c>
      <c r="DX115" s="503"/>
      <c r="DZ115" s="1010" t="s">
        <v>524</v>
      </c>
      <c r="EA115" s="1052" t="b">
        <f t="shared" si="217"/>
        <v>1</v>
      </c>
      <c r="EB115" s="1072" t="s">
        <v>523</v>
      </c>
      <c r="EC115" s="1072" t="s">
        <v>514</v>
      </c>
      <c r="ED115" s="503"/>
      <c r="EH115" s="930"/>
      <c r="EI115" s="930"/>
      <c r="EJ115" s="503"/>
      <c r="EK115" s="503"/>
      <c r="EL115" s="503"/>
      <c r="EM115" s="503"/>
      <c r="EN115" s="503"/>
      <c r="EO115" s="503"/>
      <c r="EP115" s="503"/>
      <c r="EQ115" s="503"/>
      <c r="ER115" s="1017" t="s">
        <v>264</v>
      </c>
      <c r="ES115" s="1391" t="s">
        <v>264</v>
      </c>
      <c r="ET115" s="1018" t="b">
        <f t="shared" si="257"/>
        <v>1</v>
      </c>
      <c r="EU115" s="940"/>
      <c r="EV115" s="941"/>
      <c r="EW115" s="940"/>
      <c r="EX115" s="1019">
        <v>3108141.5818836316</v>
      </c>
      <c r="EY115" s="1019">
        <f t="shared" si="310"/>
        <v>466221.23728254472</v>
      </c>
      <c r="EZ115" s="1019">
        <f t="shared" si="311"/>
        <v>2641920.3446010868</v>
      </c>
      <c r="FA115" s="1019">
        <f t="shared" si="312"/>
        <v>310814.15818836319</v>
      </c>
      <c r="FB115" s="1019">
        <f t="shared" si="313"/>
        <v>2797327.4236952686</v>
      </c>
      <c r="FC115" s="1019">
        <f t="shared" si="314"/>
        <v>155407.07909418177</v>
      </c>
      <c r="FD115" s="1020"/>
      <c r="FE115" s="1021"/>
      <c r="FF115" s="1022">
        <f t="shared" si="315"/>
        <v>2641920.3446010868</v>
      </c>
      <c r="FG115" s="1022">
        <f t="shared" si="316"/>
        <v>224563.2292910924</v>
      </c>
      <c r="FH115" s="1022">
        <f t="shared" si="317"/>
        <v>112281.6146455462</v>
      </c>
      <c r="FI115" s="1023">
        <f t="shared" si="318"/>
        <v>2797327.4236952686</v>
      </c>
      <c r="FJ115" s="1023">
        <f t="shared" si="319"/>
        <v>237772.83101409784</v>
      </c>
      <c r="FK115" s="1023">
        <f t="shared" si="320"/>
        <v>118886.41550704892</v>
      </c>
      <c r="FL115" s="1019">
        <f t="shared" si="321"/>
        <v>13209.601723005442</v>
      </c>
      <c r="FM115" s="1019">
        <f t="shared" si="322"/>
        <v>6604.8008615027211</v>
      </c>
      <c r="FN115" s="1019" t="str">
        <f t="shared" si="323"/>
        <v>VS</v>
      </c>
      <c r="FO115" s="1019">
        <f t="shared" si="324"/>
        <v>27537.409960060559</v>
      </c>
      <c r="FP115" s="1019">
        <f t="shared" si="325"/>
        <v>-20932.609098557838</v>
      </c>
      <c r="FQ115" s="1021"/>
      <c r="FR115" s="1021"/>
      <c r="FS115" s="1020"/>
      <c r="FT115" s="503"/>
      <c r="FU115" s="956"/>
      <c r="FV115" s="503"/>
      <c r="FW115" s="503"/>
      <c r="FX115" s="1040"/>
      <c r="FY115" s="503"/>
      <c r="FZ115" s="503"/>
      <c r="GA115" s="503"/>
      <c r="GE115" s="503"/>
      <c r="GF115" s="1059"/>
      <c r="GG115" s="956"/>
      <c r="GH115" s="945"/>
      <c r="GI115" s="1024">
        <f t="shared" si="258"/>
        <v>3771229.8696976393</v>
      </c>
      <c r="GJ115" s="1025">
        <f t="shared" si="259"/>
        <v>0.125</v>
      </c>
      <c r="GK115" s="1024">
        <f t="shared" si="260"/>
        <v>471403.73371220491</v>
      </c>
      <c r="GL115" s="1024">
        <f t="shared" si="261"/>
        <v>30000</v>
      </c>
      <c r="GM115" s="1024">
        <f t="shared" si="262"/>
        <v>441403.73371220491</v>
      </c>
      <c r="GN115" s="1024">
        <f t="shared" si="263"/>
        <v>2</v>
      </c>
      <c r="GO115" s="1024">
        <f t="shared" si="264"/>
        <v>220701.86685610245</v>
      </c>
      <c r="GP115" s="1025">
        <f t="shared" si="265"/>
        <v>0.875</v>
      </c>
      <c r="GQ115" s="1024">
        <f t="shared" si="266"/>
        <v>3299826.1359854345</v>
      </c>
      <c r="GR115" s="1024">
        <f t="shared" si="267"/>
        <v>25583.516909568512</v>
      </c>
      <c r="GS115" s="1024">
        <f t="shared" si="268"/>
        <v>29659.770199214337</v>
      </c>
      <c r="GT115" s="1024">
        <f t="shared" si="269"/>
        <v>38313.779433513737</v>
      </c>
      <c r="GU115" s="1024">
        <f t="shared" si="270"/>
        <v>65340.512467282031</v>
      </c>
      <c r="GV115" s="945"/>
      <c r="GW115" s="1024">
        <f t="shared" si="271"/>
        <v>3771229.8696976393</v>
      </c>
      <c r="GX115" s="1025">
        <f t="shared" si="272"/>
        <v>0.125</v>
      </c>
      <c r="GY115" s="1024">
        <f t="shared" si="273"/>
        <v>471403.73371220491</v>
      </c>
      <c r="GZ115" s="1024">
        <f t="shared" si="274"/>
        <v>30000</v>
      </c>
      <c r="HA115" s="1024">
        <f t="shared" si="275"/>
        <v>441403.73371220491</v>
      </c>
      <c r="HB115" s="1026">
        <f t="shared" si="276"/>
        <v>25</v>
      </c>
      <c r="HC115" s="1009">
        <f t="shared" si="277"/>
        <v>17656.149348488198</v>
      </c>
      <c r="HD115" s="1027">
        <f t="shared" si="278"/>
        <v>0.875</v>
      </c>
      <c r="HE115" s="1009">
        <f t="shared" si="279"/>
        <v>3299826.1359854345</v>
      </c>
      <c r="HF115" s="1008">
        <f t="shared" si="280"/>
        <v>25583.516909568512</v>
      </c>
      <c r="HG115" s="1008">
        <f t="shared" si="281"/>
        <v>29659.770199214337</v>
      </c>
      <c r="HH115" s="1008">
        <f t="shared" si="282"/>
        <v>38313.779433513737</v>
      </c>
      <c r="HI115" s="1008">
        <f t="shared" si="283"/>
        <v>65340.512467282031</v>
      </c>
      <c r="HJ115" s="945"/>
      <c r="HK115" s="1009">
        <f t="shared" si="284"/>
        <v>-203045.71750761426</v>
      </c>
      <c r="HL115" s="503"/>
      <c r="HM115" s="503"/>
      <c r="HN115" s="503"/>
      <c r="HO115" s="503"/>
      <c r="HP115" s="503"/>
      <c r="HQ115" s="503"/>
      <c r="HR115" s="956">
        <f t="shared" si="285"/>
        <v>0</v>
      </c>
      <c r="HS115" s="503"/>
      <c r="HT115" s="503"/>
      <c r="HU115" s="956"/>
      <c r="HV115" s="503"/>
      <c r="HW115" s="956"/>
      <c r="HX115" s="956"/>
      <c r="HY115" s="503"/>
      <c r="HZ115" s="503"/>
      <c r="IA115" s="503"/>
      <c r="ID115" s="1394"/>
    </row>
    <row r="116" spans="1:238" s="1051" customFormat="1" ht="14.25" hidden="1" customHeight="1">
      <c r="A116" s="1018">
        <f t="shared" si="326"/>
        <v>110</v>
      </c>
      <c r="B116" s="716" t="s">
        <v>264</v>
      </c>
      <c r="C116" s="741">
        <f t="shared" si="350"/>
        <v>8</v>
      </c>
      <c r="D116" s="716" t="s">
        <v>281</v>
      </c>
      <c r="E116" s="743" t="str">
        <f t="shared" ref="E116:E179" si="352">D116</f>
        <v>8th Floor</v>
      </c>
      <c r="F116" s="1048"/>
      <c r="G116" s="745" t="s">
        <v>525</v>
      </c>
      <c r="H116" s="745" t="s">
        <v>316</v>
      </c>
      <c r="I116" s="745" t="s">
        <v>267</v>
      </c>
      <c r="J116" s="1005">
        <v>22</v>
      </c>
      <c r="K116" s="1049"/>
      <c r="L116" s="1006" t="s">
        <v>268</v>
      </c>
      <c r="M116" s="745" t="s">
        <v>65</v>
      </c>
      <c r="N116" s="1050">
        <v>95909.091</v>
      </c>
      <c r="O116" s="934">
        <f t="shared" si="298"/>
        <v>2110000.0019999999</v>
      </c>
      <c r="P116" s="934">
        <f t="shared" si="327"/>
        <v>22400</v>
      </c>
      <c r="Q116" s="934">
        <f t="shared" si="293"/>
        <v>50000</v>
      </c>
      <c r="R116" s="934"/>
      <c r="S116" s="934"/>
      <c r="T116" s="934">
        <f t="shared" si="346"/>
        <v>66000</v>
      </c>
      <c r="U116" s="934"/>
      <c r="V116" s="749">
        <f>J116*$V$5</f>
        <v>55000</v>
      </c>
      <c r="W116" s="934"/>
      <c r="X116" s="934"/>
      <c r="Y116" s="934">
        <f t="shared" si="351"/>
        <v>80000</v>
      </c>
      <c r="Z116" s="934">
        <f t="shared" si="299"/>
        <v>75000</v>
      </c>
      <c r="AA116" s="934"/>
      <c r="AB116" s="934"/>
      <c r="AC116" s="934"/>
      <c r="AD116" s="934"/>
      <c r="AE116" s="934">
        <f t="shared" si="199"/>
        <v>348400</v>
      </c>
      <c r="AF116" s="1005">
        <f t="shared" si="200"/>
        <v>2458400.0019999999</v>
      </c>
      <c r="AG116" s="1005">
        <f t="shared" si="220"/>
        <v>61460.000050000002</v>
      </c>
      <c r="AH116" s="1005">
        <f t="shared" si="221"/>
        <v>2519860.0020499998</v>
      </c>
      <c r="AI116" s="1005">
        <f t="shared" si="222"/>
        <v>62996.500051249997</v>
      </c>
      <c r="AJ116" s="1005">
        <f t="shared" si="223"/>
        <v>2582856.50210125</v>
      </c>
      <c r="AK116" s="1005">
        <f t="shared" si="224"/>
        <v>129142.82510506251</v>
      </c>
      <c r="AL116" s="1005">
        <f t="shared" si="300"/>
        <v>2711999.3272063127</v>
      </c>
      <c r="AM116" s="934">
        <f t="shared" si="225"/>
        <v>27119.993272063126</v>
      </c>
      <c r="AN116" s="934">
        <f t="shared" si="226"/>
        <v>27537.409960060559</v>
      </c>
      <c r="AO116" s="934"/>
      <c r="AP116" s="934">
        <f t="shared" si="301"/>
        <v>122914.30766367284</v>
      </c>
      <c r="AQ116" s="1005">
        <f t="shared" si="201"/>
        <v>2889571.038102109</v>
      </c>
      <c r="AR116" s="1005">
        <f t="shared" si="227"/>
        <v>130030.6967145949</v>
      </c>
      <c r="AS116" s="1147">
        <f t="shared" si="228"/>
        <v>3019601.7348167039</v>
      </c>
      <c r="AT116" s="1148">
        <f>AS116</f>
        <v>3019601.7348167039</v>
      </c>
      <c r="AU116" s="1148"/>
      <c r="AV116" s="1148"/>
      <c r="AW116" s="1148"/>
      <c r="AX116" s="1148">
        <f t="shared" si="204"/>
        <v>0</v>
      </c>
      <c r="AY116" s="1147">
        <f t="shared" si="229"/>
        <v>3019601.7348167039</v>
      </c>
      <c r="AZ116" s="934">
        <f t="shared" si="230"/>
        <v>37745.021685208798</v>
      </c>
      <c r="BA116" s="716" t="s">
        <v>269</v>
      </c>
      <c r="BB116" s="716">
        <f t="shared" si="343"/>
        <v>3057346.7565019126</v>
      </c>
      <c r="BC116" s="716" t="s">
        <v>269</v>
      </c>
      <c r="BD116" s="716">
        <f t="shared" si="231"/>
        <v>114650.50336882172</v>
      </c>
      <c r="BE116" s="716">
        <f t="shared" si="232"/>
        <v>33600</v>
      </c>
      <c r="BF116" s="716">
        <f t="shared" si="233"/>
        <v>3205597.2598707345</v>
      </c>
      <c r="BG116" s="716"/>
      <c r="BH116" s="716">
        <f t="shared" si="234"/>
        <v>3205597.2598707345</v>
      </c>
      <c r="BI116" s="716"/>
      <c r="BJ116" s="716">
        <f t="shared" si="235"/>
        <v>3205597.2598707345</v>
      </c>
      <c r="BK116" s="716"/>
      <c r="BL116" s="716">
        <f t="shared" si="236"/>
        <v>3205597.2598707345</v>
      </c>
      <c r="BM116" s="716"/>
      <c r="BN116" s="716">
        <f t="shared" si="206"/>
        <v>3205597.2598707345</v>
      </c>
      <c r="BO116" s="716"/>
      <c r="BP116" s="716">
        <f t="shared" si="237"/>
        <v>3205597.2598707345</v>
      </c>
      <c r="BQ116" s="716"/>
      <c r="BR116" s="716">
        <f t="shared" si="238"/>
        <v>3205597.2598707345</v>
      </c>
      <c r="BS116" s="716"/>
      <c r="BT116" s="716">
        <f t="shared" si="239"/>
        <v>3205597.2598707345</v>
      </c>
      <c r="BU116" s="716"/>
      <c r="BV116" s="716">
        <f t="shared" si="207"/>
        <v>3205597.2598707345</v>
      </c>
      <c r="BW116" s="716"/>
      <c r="BX116" s="716">
        <f t="shared" si="329"/>
        <v>31400</v>
      </c>
      <c r="BY116" s="716">
        <f t="shared" si="240"/>
        <v>3236997.2598707345</v>
      </c>
      <c r="BZ116" s="716"/>
      <c r="CA116" s="716">
        <f t="shared" si="241"/>
        <v>3236997.2598707345</v>
      </c>
      <c r="CB116" s="1135">
        <f t="shared" si="242"/>
        <v>3236997.2598707345</v>
      </c>
      <c r="CC116" s="1164">
        <f t="shared" si="286"/>
        <v>3236997.2598707345</v>
      </c>
      <c r="CD116" s="1164"/>
      <c r="CE116" s="1164">
        <f t="shared" si="243"/>
        <v>0</v>
      </c>
      <c r="CF116" s="1164">
        <f t="shared" si="291"/>
        <v>0</v>
      </c>
      <c r="CG116" s="1164">
        <f t="shared" si="292"/>
        <v>0</v>
      </c>
      <c r="CH116" s="1154">
        <f t="shared" si="339"/>
        <v>3236997.2598707345</v>
      </c>
      <c r="CI116" s="935">
        <f t="shared" si="340"/>
        <v>3236997.2598707345</v>
      </c>
      <c r="CJ116" s="935">
        <f t="shared" si="244"/>
        <v>0</v>
      </c>
      <c r="CK116" s="935">
        <f t="shared" si="208"/>
        <v>331792.21913675027</v>
      </c>
      <c r="CL116" s="935">
        <f t="shared" si="209"/>
        <v>113294.90409547572</v>
      </c>
      <c r="CM116" s="1006">
        <f t="shared" si="306"/>
        <v>3682084.3831029604</v>
      </c>
      <c r="CN116" s="1007">
        <f t="shared" si="307"/>
        <v>0.125</v>
      </c>
      <c r="CO116" s="935">
        <f t="shared" si="210"/>
        <v>460260.54788787005</v>
      </c>
      <c r="CP116" s="935">
        <f t="shared" si="330"/>
        <v>30000</v>
      </c>
      <c r="CQ116" s="935">
        <f t="shared" si="211"/>
        <v>430260.54788787005</v>
      </c>
      <c r="CR116" s="745">
        <f t="shared" si="308"/>
        <v>2</v>
      </c>
      <c r="CS116" s="935">
        <f t="shared" si="212"/>
        <v>215130.27394393503</v>
      </c>
      <c r="CT116" s="1007">
        <f t="shared" si="245"/>
        <v>0.875</v>
      </c>
      <c r="CU116" s="935">
        <f t="shared" si="246"/>
        <v>3221823.8352150903</v>
      </c>
      <c r="CV116" s="1008">
        <f t="shared" si="247"/>
        <v>24978.765901937801</v>
      </c>
      <c r="CW116" s="1008">
        <f t="shared" si="248"/>
        <v>28958.663467975144</v>
      </c>
      <c r="CX116" s="1008">
        <f t="shared" si="249"/>
        <v>37408.106581713902</v>
      </c>
      <c r="CY116" s="1008">
        <f t="shared" si="250"/>
        <v>63795.973423124386</v>
      </c>
      <c r="CZ116" s="1119">
        <f t="shared" si="251"/>
        <v>261718.99074760807</v>
      </c>
      <c r="DA116" s="1119">
        <f t="shared" si="252"/>
        <v>103560.92973242833</v>
      </c>
      <c r="DB116" s="1119">
        <f t="shared" si="253"/>
        <v>74800.59279213204</v>
      </c>
      <c r="DC116" s="1119">
        <f t="shared" si="254"/>
        <v>56926.69475624794</v>
      </c>
      <c r="DD116" s="1028">
        <f t="shared" si="294"/>
        <v>0</v>
      </c>
      <c r="DE116" s="1028">
        <f t="shared" si="341"/>
        <v>0</v>
      </c>
      <c r="DF116" s="916" t="s">
        <v>512</v>
      </c>
      <c r="DG116" s="1009" t="s">
        <v>271</v>
      </c>
      <c r="DH116" s="966">
        <f t="shared" si="287"/>
        <v>45658</v>
      </c>
      <c r="DI116" s="912">
        <f t="shared" si="255"/>
        <v>14</v>
      </c>
      <c r="DJ116" s="939"/>
      <c r="DK116" s="913">
        <f t="shared" si="213"/>
        <v>45723</v>
      </c>
      <c r="DL116" s="912">
        <f t="shared" si="256"/>
        <v>16</v>
      </c>
      <c r="DM116" s="750" t="s">
        <v>272</v>
      </c>
      <c r="DN116" s="750" t="s">
        <v>273</v>
      </c>
      <c r="DO116" s="751">
        <f t="shared" si="214"/>
        <v>0</v>
      </c>
      <c r="DP116" s="751">
        <f t="shared" si="215"/>
        <v>0</v>
      </c>
      <c r="DQ116" s="752">
        <f t="shared" si="295"/>
        <v>0</v>
      </c>
      <c r="DR116" s="503"/>
      <c r="DS116" s="751">
        <f t="shared" si="296"/>
        <v>3236997.2598707345</v>
      </c>
      <c r="DT116" s="751">
        <f>'[4]INTERNAL PRICELIST'!N110</f>
        <v>2111900</v>
      </c>
      <c r="DU116" s="751">
        <f t="shared" si="216"/>
        <v>1125097.2598707345</v>
      </c>
      <c r="DV116" s="503"/>
      <c r="DW116" s="951">
        <f t="shared" si="297"/>
        <v>147136.23908503339</v>
      </c>
      <c r="DX116" s="503"/>
      <c r="DZ116" s="1010" t="s">
        <v>525</v>
      </c>
      <c r="EA116" s="1052" t="b">
        <f t="shared" si="217"/>
        <v>1</v>
      </c>
      <c r="EB116" s="1072" t="s">
        <v>526</v>
      </c>
      <c r="EC116" s="1072" t="s">
        <v>514</v>
      </c>
      <c r="ED116" s="503"/>
      <c r="EH116" s="930"/>
      <c r="EI116" s="930"/>
      <c r="EJ116" s="503"/>
      <c r="EK116" s="503"/>
      <c r="EL116" s="503"/>
      <c r="EM116" s="503"/>
      <c r="EN116" s="503"/>
      <c r="EO116" s="503"/>
      <c r="EP116" s="503"/>
      <c r="EQ116" s="503"/>
      <c r="ER116" s="1017" t="s">
        <v>264</v>
      </c>
      <c r="ES116" s="1391" t="s">
        <v>264</v>
      </c>
      <c r="ET116" s="1018" t="b">
        <f t="shared" si="257"/>
        <v>1</v>
      </c>
      <c r="EU116" s="940"/>
      <c r="EV116" s="941"/>
      <c r="EW116" s="940"/>
      <c r="EX116" s="1019">
        <v>3213445.9519914463</v>
      </c>
      <c r="EY116" s="1019">
        <f t="shared" si="310"/>
        <v>482016.8927987169</v>
      </c>
      <c r="EZ116" s="1019">
        <f t="shared" si="311"/>
        <v>2731429.0591927292</v>
      </c>
      <c r="FA116" s="1019">
        <f t="shared" si="312"/>
        <v>321344.59519914468</v>
      </c>
      <c r="FB116" s="1019">
        <f t="shared" si="313"/>
        <v>2892101.3567923019</v>
      </c>
      <c r="FC116" s="1019">
        <f t="shared" si="314"/>
        <v>160672.29759957269</v>
      </c>
      <c r="FD116" s="1020"/>
      <c r="FE116" s="1021"/>
      <c r="FF116" s="1022">
        <f t="shared" si="315"/>
        <v>2731429.0591927292</v>
      </c>
      <c r="FG116" s="1022">
        <f t="shared" si="316"/>
        <v>232171.47003138199</v>
      </c>
      <c r="FH116" s="1022">
        <f t="shared" si="317"/>
        <v>116085.735015691</v>
      </c>
      <c r="FI116" s="1023">
        <f t="shared" si="318"/>
        <v>2892101.3567923019</v>
      </c>
      <c r="FJ116" s="1023">
        <f t="shared" si="319"/>
        <v>245828.61532734567</v>
      </c>
      <c r="FK116" s="1023">
        <f t="shared" si="320"/>
        <v>122914.30766367284</v>
      </c>
      <c r="FL116" s="1019">
        <f t="shared" si="321"/>
        <v>13657.145295963681</v>
      </c>
      <c r="FM116" s="1019">
        <f t="shared" si="322"/>
        <v>6828.5726479818404</v>
      </c>
      <c r="FN116" s="1019" t="str">
        <f t="shared" si="323"/>
        <v>VS</v>
      </c>
      <c r="FO116" s="1019">
        <f t="shared" si="324"/>
        <v>27537.409960060559</v>
      </c>
      <c r="FP116" s="1019">
        <f t="shared" si="325"/>
        <v>-20708.837312078718</v>
      </c>
      <c r="FQ116" s="1021"/>
      <c r="FR116" s="1021"/>
      <c r="FS116" s="1020"/>
      <c r="FT116" s="503"/>
      <c r="FU116" s="956"/>
      <c r="FV116" s="503"/>
      <c r="FW116" s="503"/>
      <c r="FX116" s="1040"/>
      <c r="FY116" s="503"/>
      <c r="FZ116" s="503"/>
      <c r="GA116" s="503"/>
      <c r="GE116" s="503"/>
      <c r="GF116" s="1059"/>
      <c r="GG116" s="956"/>
      <c r="GH116" s="945"/>
      <c r="GI116" s="1024">
        <f t="shared" si="258"/>
        <v>3682084.3831029604</v>
      </c>
      <c r="GJ116" s="1025">
        <f t="shared" si="259"/>
        <v>0.125</v>
      </c>
      <c r="GK116" s="1024">
        <f t="shared" si="260"/>
        <v>460260.54788787005</v>
      </c>
      <c r="GL116" s="1024">
        <f t="shared" si="261"/>
        <v>30000</v>
      </c>
      <c r="GM116" s="1024">
        <f t="shared" si="262"/>
        <v>430260.54788787005</v>
      </c>
      <c r="GN116" s="1024">
        <f t="shared" si="263"/>
        <v>2</v>
      </c>
      <c r="GO116" s="1024">
        <f t="shared" si="264"/>
        <v>215130.27394393503</v>
      </c>
      <c r="GP116" s="1025">
        <f t="shared" si="265"/>
        <v>0.875</v>
      </c>
      <c r="GQ116" s="1024">
        <f t="shared" si="266"/>
        <v>3221823.8352150903</v>
      </c>
      <c r="GR116" s="1024">
        <f t="shared" si="267"/>
        <v>24978.765901937801</v>
      </c>
      <c r="GS116" s="1024">
        <f t="shared" si="268"/>
        <v>28958.663467975144</v>
      </c>
      <c r="GT116" s="1024">
        <f t="shared" si="269"/>
        <v>37408.106581713902</v>
      </c>
      <c r="GU116" s="1024">
        <f t="shared" si="270"/>
        <v>63795.973423124386</v>
      </c>
      <c r="GV116" s="945"/>
      <c r="GW116" s="1024">
        <f t="shared" si="271"/>
        <v>3682084.3831029604</v>
      </c>
      <c r="GX116" s="1025">
        <f t="shared" si="272"/>
        <v>0.125</v>
      </c>
      <c r="GY116" s="1024">
        <f t="shared" si="273"/>
        <v>460260.54788787005</v>
      </c>
      <c r="GZ116" s="1024">
        <f t="shared" si="274"/>
        <v>30000</v>
      </c>
      <c r="HA116" s="1024">
        <f t="shared" si="275"/>
        <v>430260.54788787005</v>
      </c>
      <c r="HB116" s="1026">
        <f t="shared" si="276"/>
        <v>25</v>
      </c>
      <c r="HC116" s="1009">
        <f t="shared" si="277"/>
        <v>17210.421915514802</v>
      </c>
      <c r="HD116" s="1027">
        <f t="shared" si="278"/>
        <v>0.875</v>
      </c>
      <c r="HE116" s="1009">
        <f t="shared" si="279"/>
        <v>3221823.8352150903</v>
      </c>
      <c r="HF116" s="1008">
        <f t="shared" si="280"/>
        <v>24978.765901937801</v>
      </c>
      <c r="HG116" s="1008">
        <f t="shared" si="281"/>
        <v>28958.663467975144</v>
      </c>
      <c r="HH116" s="1008">
        <f t="shared" si="282"/>
        <v>37408.106581713902</v>
      </c>
      <c r="HI116" s="1008">
        <f t="shared" si="283"/>
        <v>63795.973423124386</v>
      </c>
      <c r="HJ116" s="945"/>
      <c r="HK116" s="1009">
        <f t="shared" si="284"/>
        <v>-197919.85202842022</v>
      </c>
      <c r="HL116" s="503"/>
      <c r="HM116" s="503"/>
      <c r="HN116" s="503"/>
      <c r="HO116" s="503"/>
      <c r="HP116" s="503"/>
      <c r="HQ116" s="503"/>
      <c r="HR116" s="956">
        <f t="shared" si="285"/>
        <v>0</v>
      </c>
      <c r="HS116" s="503"/>
      <c r="HT116" s="503"/>
      <c r="HU116" s="956"/>
      <c r="HV116" s="503"/>
      <c r="HW116" s="956"/>
      <c r="HX116" s="956"/>
      <c r="HY116" s="503"/>
      <c r="HZ116" s="503"/>
      <c r="IA116" s="503"/>
      <c r="ID116" s="1394"/>
    </row>
    <row r="117" spans="1:238" s="1051" customFormat="1" ht="14.25" hidden="1" customHeight="1">
      <c r="A117" s="1018">
        <f t="shared" si="326"/>
        <v>111</v>
      </c>
      <c r="B117" s="716" t="s">
        <v>264</v>
      </c>
      <c r="C117" s="741">
        <f t="shared" si="350"/>
        <v>9</v>
      </c>
      <c r="D117" s="716" t="s">
        <v>281</v>
      </c>
      <c r="E117" s="743" t="str">
        <f t="shared" si="352"/>
        <v>8th Floor</v>
      </c>
      <c r="F117" s="1048"/>
      <c r="G117" s="745" t="s">
        <v>527</v>
      </c>
      <c r="H117" s="745" t="s">
        <v>321</v>
      </c>
      <c r="I117" s="745" t="s">
        <v>267</v>
      </c>
      <c r="J117" s="1005">
        <v>22</v>
      </c>
      <c r="K117" s="1049"/>
      <c r="L117" s="1006" t="s">
        <v>268</v>
      </c>
      <c r="M117" s="745" t="s">
        <v>79</v>
      </c>
      <c r="N117" s="1050">
        <v>95909.091</v>
      </c>
      <c r="O117" s="934">
        <f t="shared" si="298"/>
        <v>2110000.0019999999</v>
      </c>
      <c r="P117" s="934">
        <f t="shared" si="327"/>
        <v>22400</v>
      </c>
      <c r="Q117" s="934">
        <f t="shared" si="293"/>
        <v>50000</v>
      </c>
      <c r="R117" s="934"/>
      <c r="S117" s="934"/>
      <c r="T117" s="934">
        <f t="shared" si="346"/>
        <v>66000</v>
      </c>
      <c r="U117" s="934"/>
      <c r="V117" s="934"/>
      <c r="W117" s="934"/>
      <c r="X117" s="934"/>
      <c r="Y117" s="934">
        <f t="shared" si="351"/>
        <v>80000</v>
      </c>
      <c r="Z117" s="934">
        <f t="shared" si="299"/>
        <v>75000</v>
      </c>
      <c r="AA117" s="934"/>
      <c r="AB117" s="934"/>
      <c r="AC117" s="934"/>
      <c r="AD117" s="934"/>
      <c r="AE117" s="934">
        <f t="shared" si="199"/>
        <v>293400</v>
      </c>
      <c r="AF117" s="1005">
        <f t="shared" si="200"/>
        <v>2403400.0019999999</v>
      </c>
      <c r="AG117" s="1005">
        <f t="shared" si="220"/>
        <v>60085.000050000002</v>
      </c>
      <c r="AH117" s="1005">
        <f t="shared" si="221"/>
        <v>2463485.0020499998</v>
      </c>
      <c r="AI117" s="1005">
        <f t="shared" si="222"/>
        <v>61587.125051249997</v>
      </c>
      <c r="AJ117" s="1005">
        <f t="shared" si="223"/>
        <v>2525072.12710125</v>
      </c>
      <c r="AK117" s="1005">
        <f t="shared" si="224"/>
        <v>126253.60635506251</v>
      </c>
      <c r="AL117" s="1005">
        <f t="shared" si="300"/>
        <v>2651325.7334563127</v>
      </c>
      <c r="AM117" s="934">
        <f t="shared" si="225"/>
        <v>26513.257334563128</v>
      </c>
      <c r="AN117" s="934">
        <f t="shared" si="226"/>
        <v>27537.409960060559</v>
      </c>
      <c r="AO117" s="934"/>
      <c r="AP117" s="934">
        <f t="shared" si="301"/>
        <v>117714.15070998018</v>
      </c>
      <c r="AQ117" s="1005">
        <f t="shared" si="201"/>
        <v>2823090.5514609162</v>
      </c>
      <c r="AR117" s="1005">
        <f t="shared" si="227"/>
        <v>127039.07481574122</v>
      </c>
      <c r="AS117" s="1147">
        <f t="shared" si="228"/>
        <v>2950129.6262766575</v>
      </c>
      <c r="AT117" s="1148">
        <f t="shared" si="348"/>
        <v>2000000</v>
      </c>
      <c r="AU117" s="1148">
        <f t="shared" ref="AU117:AU125" si="353">AV117/J117</f>
        <v>43187.710285302608</v>
      </c>
      <c r="AV117" s="1148">
        <f t="shared" si="303"/>
        <v>950129.62627665745</v>
      </c>
      <c r="AW117" s="1148">
        <f t="shared" si="203"/>
        <v>114015.55515319889</v>
      </c>
      <c r="AX117" s="1148">
        <f t="shared" si="204"/>
        <v>1064145.1814298565</v>
      </c>
      <c r="AY117" s="1147">
        <f t="shared" si="229"/>
        <v>3064145.1814298565</v>
      </c>
      <c r="AZ117" s="934">
        <f t="shared" si="230"/>
        <v>38301.814767873206</v>
      </c>
      <c r="BA117" s="716" t="s">
        <v>269</v>
      </c>
      <c r="BB117" s="716">
        <f t="shared" si="343"/>
        <v>3102446.9961977298</v>
      </c>
      <c r="BC117" s="716" t="s">
        <v>269</v>
      </c>
      <c r="BD117" s="716">
        <f t="shared" si="231"/>
        <v>116341.76235741486</v>
      </c>
      <c r="BE117" s="716">
        <f t="shared" si="232"/>
        <v>33600</v>
      </c>
      <c r="BF117" s="716">
        <f t="shared" si="233"/>
        <v>3252388.7585551445</v>
      </c>
      <c r="BG117" s="716"/>
      <c r="BH117" s="716">
        <f t="shared" si="234"/>
        <v>3252388.7585551445</v>
      </c>
      <c r="BI117" s="716"/>
      <c r="BJ117" s="716">
        <f t="shared" si="235"/>
        <v>3252388.7585551445</v>
      </c>
      <c r="BK117" s="716"/>
      <c r="BL117" s="716">
        <f t="shared" si="236"/>
        <v>3252388.7585551445</v>
      </c>
      <c r="BM117" s="716"/>
      <c r="BN117" s="716">
        <f t="shared" si="206"/>
        <v>3252388.7585551445</v>
      </c>
      <c r="BO117" s="716"/>
      <c r="BP117" s="716">
        <f t="shared" si="237"/>
        <v>3252388.7585551445</v>
      </c>
      <c r="BQ117" s="716"/>
      <c r="BR117" s="716">
        <f t="shared" si="238"/>
        <v>3252388.7585551445</v>
      </c>
      <c r="BS117" s="716"/>
      <c r="BT117" s="716">
        <f t="shared" si="239"/>
        <v>3252388.7585551445</v>
      </c>
      <c r="BU117" s="716"/>
      <c r="BV117" s="716">
        <f t="shared" si="207"/>
        <v>3252388.7585551445</v>
      </c>
      <c r="BW117" s="716"/>
      <c r="BX117" s="716">
        <f t="shared" si="329"/>
        <v>31400</v>
      </c>
      <c r="BY117" s="716">
        <f t="shared" si="240"/>
        <v>3283788.7585551445</v>
      </c>
      <c r="BZ117" s="716"/>
      <c r="CA117" s="716">
        <f t="shared" si="241"/>
        <v>3283788.7585551445</v>
      </c>
      <c r="CB117" s="1135">
        <f t="shared" si="242"/>
        <v>3283788.7585551445</v>
      </c>
      <c r="CC117" s="1164">
        <f t="shared" si="286"/>
        <v>3283788.7585551445</v>
      </c>
      <c r="CD117" s="1164"/>
      <c r="CE117" s="1164">
        <f t="shared" si="243"/>
        <v>0</v>
      </c>
      <c r="CF117" s="1164">
        <f t="shared" si="291"/>
        <v>0</v>
      </c>
      <c r="CG117" s="1164">
        <f t="shared" si="292"/>
        <v>0</v>
      </c>
      <c r="CH117" s="1154">
        <f t="shared" si="339"/>
        <v>3283788.7585551445</v>
      </c>
      <c r="CI117" s="935">
        <f t="shared" si="340"/>
        <v>3283788.7585551445</v>
      </c>
      <c r="CJ117" s="935">
        <f t="shared" si="244"/>
        <v>0</v>
      </c>
      <c r="CK117" s="935">
        <f t="shared" si="208"/>
        <v>336588.3477519023</v>
      </c>
      <c r="CL117" s="935">
        <f t="shared" si="209"/>
        <v>114932.60654943007</v>
      </c>
      <c r="CM117" s="1006">
        <f t="shared" si="306"/>
        <v>3735309.7128564771</v>
      </c>
      <c r="CN117" s="1007">
        <f t="shared" si="307"/>
        <v>0.125</v>
      </c>
      <c r="CO117" s="935">
        <f t="shared" si="210"/>
        <v>466913.71410705964</v>
      </c>
      <c r="CP117" s="935">
        <f t="shared" si="330"/>
        <v>30000</v>
      </c>
      <c r="CQ117" s="935">
        <f t="shared" si="211"/>
        <v>436913.71410705964</v>
      </c>
      <c r="CR117" s="745">
        <f t="shared" si="308"/>
        <v>2</v>
      </c>
      <c r="CS117" s="935">
        <f t="shared" si="212"/>
        <v>218456.85705352982</v>
      </c>
      <c r="CT117" s="1007">
        <f t="shared" si="245"/>
        <v>0.875</v>
      </c>
      <c r="CU117" s="935">
        <f t="shared" si="246"/>
        <v>3268395.9987494173</v>
      </c>
      <c r="CV117" s="1008">
        <f t="shared" si="247"/>
        <v>25339.839390114121</v>
      </c>
      <c r="CW117" s="1008">
        <f t="shared" si="248"/>
        <v>29377.267240169302</v>
      </c>
      <c r="CX117" s="1008">
        <f t="shared" si="249"/>
        <v>37948.848889903078</v>
      </c>
      <c r="CY117" s="1008">
        <f t="shared" si="250"/>
        <v>64718.158079721215</v>
      </c>
      <c r="CZ117" s="1119">
        <f t="shared" si="251"/>
        <v>265502.19562178856</v>
      </c>
      <c r="DA117" s="1119">
        <f t="shared" si="252"/>
        <v>105057.92547209254</v>
      </c>
      <c r="DB117" s="1119">
        <f t="shared" si="253"/>
        <v>75881.851612649523</v>
      </c>
      <c r="DC117" s="1119">
        <f t="shared" si="254"/>
        <v>57749.582497246884</v>
      </c>
      <c r="DD117" s="1028">
        <f t="shared" si="294"/>
        <v>0.47506481313832871</v>
      </c>
      <c r="DE117" s="1028">
        <f t="shared" si="341"/>
        <v>0</v>
      </c>
      <c r="DF117" s="1009" t="s">
        <v>270</v>
      </c>
      <c r="DG117" s="1009" t="s">
        <v>271</v>
      </c>
      <c r="DH117" s="966">
        <f t="shared" si="287"/>
        <v>45658</v>
      </c>
      <c r="DI117" s="912">
        <f t="shared" si="255"/>
        <v>14</v>
      </c>
      <c r="DJ117" s="939"/>
      <c r="DK117" s="913">
        <f t="shared" si="213"/>
        <v>45723</v>
      </c>
      <c r="DL117" s="912">
        <f t="shared" si="256"/>
        <v>16</v>
      </c>
      <c r="DM117" s="750" t="s">
        <v>272</v>
      </c>
      <c r="DN117" s="750" t="s">
        <v>273</v>
      </c>
      <c r="DO117" s="751">
        <f t="shared" si="214"/>
        <v>48370.235519538932</v>
      </c>
      <c r="DP117" s="751">
        <f t="shared" si="215"/>
        <v>1064145.1814298565</v>
      </c>
      <c r="DQ117" s="752">
        <f t="shared" si="295"/>
        <v>0.53207259071492818</v>
      </c>
      <c r="DR117" s="503"/>
      <c r="DS117" s="751">
        <f t="shared" si="296"/>
        <v>3283788.7585551445</v>
      </c>
      <c r="DT117" s="751">
        <f>'[4]INTERNAL PRICELIST'!N111</f>
        <v>2111900</v>
      </c>
      <c r="DU117" s="751">
        <f t="shared" si="216"/>
        <v>1171888.7585551445</v>
      </c>
      <c r="DV117" s="503"/>
      <c r="DW117" s="951">
        <f t="shared" si="297"/>
        <v>149263.12538887022</v>
      </c>
      <c r="DX117" s="503"/>
      <c r="DZ117" s="1010" t="s">
        <v>527</v>
      </c>
      <c r="EA117" s="1052" t="b">
        <f t="shared" si="217"/>
        <v>1</v>
      </c>
      <c r="EB117" s="1072" t="s">
        <v>528</v>
      </c>
      <c r="EC117" s="1072" t="s">
        <v>514</v>
      </c>
      <c r="ED117" s="503"/>
      <c r="EH117" s="930"/>
      <c r="EI117" s="930"/>
      <c r="EJ117" s="503"/>
      <c r="EK117" s="503"/>
      <c r="EL117" s="503"/>
      <c r="EM117" s="503"/>
      <c r="EN117" s="503"/>
      <c r="EO117" s="503"/>
      <c r="EP117" s="503"/>
      <c r="EQ117" s="503"/>
      <c r="ER117" s="1018" t="s">
        <v>264</v>
      </c>
      <c r="ES117" s="1391" t="s">
        <v>264</v>
      </c>
      <c r="ET117" s="1018" t="b">
        <f t="shared" si="257"/>
        <v>1</v>
      </c>
      <c r="EU117" s="940"/>
      <c r="EV117" s="941"/>
      <c r="EW117" s="940"/>
      <c r="EX117" s="1019">
        <v>3077494.136208632</v>
      </c>
      <c r="EY117" s="1019">
        <f t="shared" si="310"/>
        <v>461624.12043129478</v>
      </c>
      <c r="EZ117" s="1019">
        <f t="shared" si="311"/>
        <v>2615870.0157773374</v>
      </c>
      <c r="FA117" s="1019">
        <f t="shared" si="312"/>
        <v>307749.41362086323</v>
      </c>
      <c r="FB117" s="1019">
        <f t="shared" si="313"/>
        <v>2769744.7225877689</v>
      </c>
      <c r="FC117" s="1019">
        <f t="shared" si="314"/>
        <v>153874.70681043155</v>
      </c>
      <c r="FD117" s="1020"/>
      <c r="FE117" s="1021"/>
      <c r="FF117" s="1022">
        <f t="shared" si="315"/>
        <v>2615870.0157773374</v>
      </c>
      <c r="FG117" s="1022">
        <f t="shared" si="316"/>
        <v>222348.9513410737</v>
      </c>
      <c r="FH117" s="1022">
        <f t="shared" si="317"/>
        <v>111174.47567053685</v>
      </c>
      <c r="FI117" s="1023">
        <f t="shared" si="318"/>
        <v>2769744.7225877689</v>
      </c>
      <c r="FJ117" s="1023">
        <f t="shared" si="319"/>
        <v>235428.30141996036</v>
      </c>
      <c r="FK117" s="1023">
        <f t="shared" si="320"/>
        <v>117714.15070998018</v>
      </c>
      <c r="FL117" s="1019">
        <f t="shared" si="321"/>
        <v>13079.350078886666</v>
      </c>
      <c r="FM117" s="1019">
        <f t="shared" si="322"/>
        <v>6539.6750394433329</v>
      </c>
      <c r="FN117" s="1019" t="str">
        <f t="shared" si="323"/>
        <v>VS</v>
      </c>
      <c r="FO117" s="1019">
        <f t="shared" si="324"/>
        <v>27537.409960060559</v>
      </c>
      <c r="FP117" s="1019">
        <f t="shared" si="325"/>
        <v>-20997.734920617226</v>
      </c>
      <c r="FQ117" s="1021"/>
      <c r="FR117" s="1021"/>
      <c r="FS117" s="1020"/>
      <c r="FT117" s="503"/>
      <c r="FU117" s="956"/>
      <c r="FV117" s="503"/>
      <c r="FW117" s="503"/>
      <c r="FX117" s="1040"/>
      <c r="FY117" s="503"/>
      <c r="FZ117" s="503"/>
      <c r="GA117" s="503"/>
      <c r="GE117" s="503"/>
      <c r="GF117" s="1059"/>
      <c r="GG117" s="956"/>
      <c r="GH117" s="945"/>
      <c r="GI117" s="1024">
        <f t="shared" si="258"/>
        <v>3735309.7128564771</v>
      </c>
      <c r="GJ117" s="1025">
        <f t="shared" si="259"/>
        <v>0.125</v>
      </c>
      <c r="GK117" s="1024">
        <f t="shared" si="260"/>
        <v>466913.71410705964</v>
      </c>
      <c r="GL117" s="1024">
        <f t="shared" si="261"/>
        <v>30000</v>
      </c>
      <c r="GM117" s="1024">
        <f t="shared" si="262"/>
        <v>436913.71410705964</v>
      </c>
      <c r="GN117" s="1024">
        <f t="shared" si="263"/>
        <v>2</v>
      </c>
      <c r="GO117" s="1024">
        <f t="shared" si="264"/>
        <v>218456.85705352982</v>
      </c>
      <c r="GP117" s="1025">
        <f t="shared" si="265"/>
        <v>0.875</v>
      </c>
      <c r="GQ117" s="1024">
        <f t="shared" si="266"/>
        <v>3268395.9987494173</v>
      </c>
      <c r="GR117" s="1024">
        <f t="shared" si="267"/>
        <v>25339.839390114121</v>
      </c>
      <c r="GS117" s="1024">
        <f t="shared" si="268"/>
        <v>29377.267240169302</v>
      </c>
      <c r="GT117" s="1024">
        <f t="shared" si="269"/>
        <v>37948.848889903078</v>
      </c>
      <c r="GU117" s="1024">
        <f t="shared" si="270"/>
        <v>64718.158079721215</v>
      </c>
      <c r="GV117" s="945"/>
      <c r="GW117" s="1024">
        <f t="shared" si="271"/>
        <v>3735309.7128564771</v>
      </c>
      <c r="GX117" s="1025">
        <f t="shared" si="272"/>
        <v>0.125</v>
      </c>
      <c r="GY117" s="1024">
        <f t="shared" si="273"/>
        <v>466913.71410705964</v>
      </c>
      <c r="GZ117" s="1024">
        <f t="shared" si="274"/>
        <v>30000</v>
      </c>
      <c r="HA117" s="1024">
        <f t="shared" si="275"/>
        <v>436913.71410705964</v>
      </c>
      <c r="HB117" s="1026">
        <f t="shared" si="276"/>
        <v>25</v>
      </c>
      <c r="HC117" s="1009">
        <f t="shared" si="277"/>
        <v>17476.548564282384</v>
      </c>
      <c r="HD117" s="1027">
        <f t="shared" si="278"/>
        <v>0.875</v>
      </c>
      <c r="HE117" s="1009">
        <f t="shared" si="279"/>
        <v>3268395.9987494173</v>
      </c>
      <c r="HF117" s="1008">
        <f t="shared" si="280"/>
        <v>25339.839390114121</v>
      </c>
      <c r="HG117" s="1008">
        <f t="shared" si="281"/>
        <v>29377.267240169302</v>
      </c>
      <c r="HH117" s="1008">
        <f t="shared" si="282"/>
        <v>37948.848889903078</v>
      </c>
      <c r="HI117" s="1008">
        <f t="shared" si="283"/>
        <v>64718.158079721215</v>
      </c>
      <c r="HJ117" s="945"/>
      <c r="HK117" s="1009">
        <f t="shared" si="284"/>
        <v>-200980.30848924743</v>
      </c>
      <c r="HL117" s="503"/>
      <c r="HM117" s="503"/>
      <c r="HN117" s="503"/>
      <c r="HO117" s="503"/>
      <c r="HP117" s="503"/>
      <c r="HQ117" s="503"/>
      <c r="HR117" s="956">
        <f t="shared" si="285"/>
        <v>0</v>
      </c>
      <c r="HS117" s="503"/>
      <c r="HT117" s="503"/>
      <c r="HU117" s="956"/>
      <c r="HV117" s="503"/>
      <c r="HW117" s="956"/>
      <c r="HX117" s="956"/>
      <c r="HY117" s="503"/>
      <c r="HZ117" s="503"/>
      <c r="IA117" s="503"/>
      <c r="ID117" s="1394"/>
    </row>
    <row r="118" spans="1:238" s="1051" customFormat="1" ht="14.25" hidden="1" customHeight="1">
      <c r="A118" s="1018">
        <f t="shared" si="326"/>
        <v>112</v>
      </c>
      <c r="B118" s="716" t="s">
        <v>264</v>
      </c>
      <c r="C118" s="741">
        <f t="shared" si="350"/>
        <v>10</v>
      </c>
      <c r="D118" s="716" t="s">
        <v>281</v>
      </c>
      <c r="E118" s="743" t="str">
        <f t="shared" si="352"/>
        <v>8th Floor</v>
      </c>
      <c r="F118" s="1048"/>
      <c r="G118" s="745" t="s">
        <v>529</v>
      </c>
      <c r="H118" s="745" t="s">
        <v>325</v>
      </c>
      <c r="I118" s="745" t="s">
        <v>267</v>
      </c>
      <c r="J118" s="1005">
        <v>22</v>
      </c>
      <c r="K118" s="1049"/>
      <c r="L118" s="1006" t="s">
        <v>268</v>
      </c>
      <c r="M118" s="745" t="s">
        <v>79</v>
      </c>
      <c r="N118" s="1050">
        <v>95909.091</v>
      </c>
      <c r="O118" s="934">
        <f t="shared" si="298"/>
        <v>2110000.0019999999</v>
      </c>
      <c r="P118" s="934">
        <f t="shared" si="327"/>
        <v>22400</v>
      </c>
      <c r="Q118" s="934">
        <f t="shared" si="293"/>
        <v>50000</v>
      </c>
      <c r="R118" s="934"/>
      <c r="S118" s="934"/>
      <c r="T118" s="934">
        <f t="shared" si="346"/>
        <v>66000</v>
      </c>
      <c r="U118" s="934"/>
      <c r="V118" s="934"/>
      <c r="W118" s="934"/>
      <c r="X118" s="934"/>
      <c r="Y118" s="934">
        <f t="shared" si="351"/>
        <v>80000</v>
      </c>
      <c r="Z118" s="934">
        <f t="shared" si="299"/>
        <v>75000</v>
      </c>
      <c r="AA118" s="934"/>
      <c r="AB118" s="934"/>
      <c r="AC118" s="934"/>
      <c r="AD118" s="934"/>
      <c r="AE118" s="934">
        <f t="shared" si="199"/>
        <v>293400</v>
      </c>
      <c r="AF118" s="1005">
        <f t="shared" si="200"/>
        <v>2403400.0019999999</v>
      </c>
      <c r="AG118" s="1005">
        <f t="shared" si="220"/>
        <v>60085.000050000002</v>
      </c>
      <c r="AH118" s="1005">
        <f t="shared" si="221"/>
        <v>2463485.0020499998</v>
      </c>
      <c r="AI118" s="1005">
        <f t="shared" si="222"/>
        <v>61587.125051249997</v>
      </c>
      <c r="AJ118" s="1005">
        <f t="shared" si="223"/>
        <v>2525072.12710125</v>
      </c>
      <c r="AK118" s="1005">
        <f t="shared" si="224"/>
        <v>126253.60635506251</v>
      </c>
      <c r="AL118" s="1005">
        <f t="shared" si="300"/>
        <v>2651325.7334563127</v>
      </c>
      <c r="AM118" s="934">
        <f t="shared" si="225"/>
        <v>26513.257334563128</v>
      </c>
      <c r="AN118" s="934">
        <f t="shared" si="226"/>
        <v>27537.409960060559</v>
      </c>
      <c r="AO118" s="934"/>
      <c r="AP118" s="934">
        <f t="shared" si="301"/>
        <v>117714.15070998018</v>
      </c>
      <c r="AQ118" s="1005">
        <f t="shared" si="201"/>
        <v>2823090.5514609162</v>
      </c>
      <c r="AR118" s="1005">
        <f t="shared" si="227"/>
        <v>127039.07481574122</v>
      </c>
      <c r="AS118" s="1147">
        <f t="shared" si="228"/>
        <v>2950129.6262766575</v>
      </c>
      <c r="AT118" s="1148">
        <f t="shared" si="348"/>
        <v>2000000</v>
      </c>
      <c r="AU118" s="1148">
        <f t="shared" si="353"/>
        <v>43187.710285302608</v>
      </c>
      <c r="AV118" s="1148">
        <f t="shared" si="303"/>
        <v>950129.62627665745</v>
      </c>
      <c r="AW118" s="1148">
        <f t="shared" si="203"/>
        <v>114015.55515319889</v>
      </c>
      <c r="AX118" s="1148">
        <f t="shared" si="204"/>
        <v>1064145.1814298565</v>
      </c>
      <c r="AY118" s="1147">
        <f t="shared" si="229"/>
        <v>3064145.1814298565</v>
      </c>
      <c r="AZ118" s="934">
        <f t="shared" si="230"/>
        <v>38301.814767873206</v>
      </c>
      <c r="BA118" s="716" t="s">
        <v>269</v>
      </c>
      <c r="BB118" s="716">
        <f t="shared" si="343"/>
        <v>3102446.9961977298</v>
      </c>
      <c r="BC118" s="716" t="s">
        <v>269</v>
      </c>
      <c r="BD118" s="716">
        <f t="shared" si="231"/>
        <v>116341.76235741486</v>
      </c>
      <c r="BE118" s="716">
        <f t="shared" si="232"/>
        <v>33600</v>
      </c>
      <c r="BF118" s="716">
        <f t="shared" si="233"/>
        <v>3252388.7585551445</v>
      </c>
      <c r="BG118" s="716"/>
      <c r="BH118" s="716">
        <f t="shared" si="234"/>
        <v>3252388.7585551445</v>
      </c>
      <c r="BI118" s="716"/>
      <c r="BJ118" s="716">
        <f t="shared" si="235"/>
        <v>3252388.7585551445</v>
      </c>
      <c r="BK118" s="716">
        <v>5092.7923200000005</v>
      </c>
      <c r="BL118" s="716">
        <f t="shared" si="236"/>
        <v>3257481.5508751445</v>
      </c>
      <c r="BM118" s="716"/>
      <c r="BN118" s="716">
        <f t="shared" si="206"/>
        <v>3257481.5508751445</v>
      </c>
      <c r="BO118" s="716"/>
      <c r="BP118" s="716">
        <f t="shared" si="237"/>
        <v>3257481.5508751445</v>
      </c>
      <c r="BQ118" s="716"/>
      <c r="BR118" s="716">
        <f t="shared" si="238"/>
        <v>3257481.5508751445</v>
      </c>
      <c r="BS118" s="716"/>
      <c r="BT118" s="716">
        <f t="shared" si="239"/>
        <v>3257481.5508751445</v>
      </c>
      <c r="BU118" s="716"/>
      <c r="BV118" s="716">
        <f t="shared" si="207"/>
        <v>3257481.5508751445</v>
      </c>
      <c r="BW118" s="716"/>
      <c r="BX118" s="716">
        <f t="shared" si="329"/>
        <v>31400</v>
      </c>
      <c r="BY118" s="716">
        <f t="shared" si="240"/>
        <v>3288881.5508751445</v>
      </c>
      <c r="BZ118" s="716"/>
      <c r="CA118" s="716">
        <f t="shared" si="241"/>
        <v>3288881.5508751445</v>
      </c>
      <c r="CB118" s="1135">
        <f t="shared" si="242"/>
        <v>3288881.5508751445</v>
      </c>
      <c r="CC118" s="1164">
        <f t="shared" si="286"/>
        <v>3288881.5508751445</v>
      </c>
      <c r="CD118" s="1164"/>
      <c r="CE118" s="1164">
        <f t="shared" si="243"/>
        <v>0</v>
      </c>
      <c r="CF118" s="1164">
        <f t="shared" si="291"/>
        <v>0</v>
      </c>
      <c r="CG118" s="1164">
        <f t="shared" si="292"/>
        <v>0</v>
      </c>
      <c r="CH118" s="1154">
        <f t="shared" si="339"/>
        <v>3288881.5508751445</v>
      </c>
      <c r="CI118" s="935">
        <f t="shared" si="340"/>
        <v>3288881.5508751445</v>
      </c>
      <c r="CJ118" s="935">
        <f t="shared" si="244"/>
        <v>0</v>
      </c>
      <c r="CK118" s="935">
        <f t="shared" si="208"/>
        <v>337110.35896470229</v>
      </c>
      <c r="CL118" s="935">
        <f t="shared" si="209"/>
        <v>115110.85428063007</v>
      </c>
      <c r="CM118" s="1006">
        <f t="shared" si="306"/>
        <v>3741102.7641204768</v>
      </c>
      <c r="CN118" s="1007">
        <f t="shared" si="307"/>
        <v>0.125</v>
      </c>
      <c r="CO118" s="935">
        <f t="shared" si="210"/>
        <v>467637.8455150596</v>
      </c>
      <c r="CP118" s="935">
        <f t="shared" si="330"/>
        <v>30000</v>
      </c>
      <c r="CQ118" s="935">
        <f t="shared" si="211"/>
        <v>437637.8455150596</v>
      </c>
      <c r="CR118" s="745">
        <f t="shared" si="308"/>
        <v>2</v>
      </c>
      <c r="CS118" s="935">
        <f t="shared" si="212"/>
        <v>218818.9227575298</v>
      </c>
      <c r="CT118" s="1007">
        <f t="shared" si="245"/>
        <v>0.875</v>
      </c>
      <c r="CU118" s="935">
        <f t="shared" si="246"/>
        <v>3273464.918605417</v>
      </c>
      <c r="CV118" s="1008">
        <f t="shared" si="247"/>
        <v>25379.13867180506</v>
      </c>
      <c r="CW118" s="1008">
        <f t="shared" si="248"/>
        <v>29422.82812486188</v>
      </c>
      <c r="CX118" s="1008">
        <f t="shared" si="249"/>
        <v>38007.703347479197</v>
      </c>
      <c r="CY118" s="1008">
        <f t="shared" si="250"/>
        <v>64818.528768174998</v>
      </c>
      <c r="CZ118" s="1119">
        <f t="shared" si="251"/>
        <v>265913.96009332559</v>
      </c>
      <c r="DA118" s="1119">
        <f t="shared" si="252"/>
        <v>105220.85866765985</v>
      </c>
      <c r="DB118" s="1119">
        <f t="shared" si="253"/>
        <v>75999.535952153237</v>
      </c>
      <c r="DC118" s="1119">
        <f t="shared" si="254"/>
        <v>57839.145697516375</v>
      </c>
      <c r="DD118" s="1028">
        <f t="shared" si="294"/>
        <v>0.47506481313832871</v>
      </c>
      <c r="DE118" s="1028">
        <f t="shared" si="341"/>
        <v>0</v>
      </c>
      <c r="DF118" s="1009" t="s">
        <v>270</v>
      </c>
      <c r="DG118" s="1009" t="s">
        <v>271</v>
      </c>
      <c r="DH118" s="966">
        <f t="shared" si="287"/>
        <v>45658</v>
      </c>
      <c r="DI118" s="912">
        <f t="shared" si="255"/>
        <v>14</v>
      </c>
      <c r="DJ118" s="939"/>
      <c r="DK118" s="913">
        <f t="shared" si="213"/>
        <v>45723</v>
      </c>
      <c r="DL118" s="912">
        <f t="shared" si="256"/>
        <v>16</v>
      </c>
      <c r="DM118" s="750" t="s">
        <v>272</v>
      </c>
      <c r="DN118" s="750" t="s">
        <v>273</v>
      </c>
      <c r="DO118" s="751">
        <f t="shared" si="214"/>
        <v>48370.235519538932</v>
      </c>
      <c r="DP118" s="751">
        <f t="shared" si="215"/>
        <v>1064145.1814298565</v>
      </c>
      <c r="DQ118" s="752">
        <f t="shared" si="295"/>
        <v>0.53207259071492818</v>
      </c>
      <c r="DR118" s="503"/>
      <c r="DS118" s="751">
        <f t="shared" si="296"/>
        <v>3288881.5508751445</v>
      </c>
      <c r="DT118" s="751">
        <f>'[4]INTERNAL PRICELIST'!N112</f>
        <v>2111900</v>
      </c>
      <c r="DU118" s="751">
        <f t="shared" si="216"/>
        <v>1176981.5508751445</v>
      </c>
      <c r="DV118" s="503"/>
      <c r="DW118" s="951">
        <f t="shared" si="297"/>
        <v>149494.6159488702</v>
      </c>
      <c r="DX118" s="503"/>
      <c r="DZ118" s="1010" t="s">
        <v>529</v>
      </c>
      <c r="EA118" s="1052" t="b">
        <f t="shared" si="217"/>
        <v>1</v>
      </c>
      <c r="EB118" s="1072" t="s">
        <v>530</v>
      </c>
      <c r="EC118" s="1072" t="s">
        <v>514</v>
      </c>
      <c r="ED118" s="503"/>
      <c r="EH118" s="930"/>
      <c r="EI118" s="930"/>
      <c r="EJ118" s="503"/>
      <c r="EK118" s="503"/>
      <c r="EL118" s="503"/>
      <c r="EM118" s="503"/>
      <c r="EN118" s="503"/>
      <c r="EO118" s="503"/>
      <c r="EP118" s="503"/>
      <c r="EQ118" s="503"/>
      <c r="ER118" s="1017" t="s">
        <v>264</v>
      </c>
      <c r="ES118" s="1391" t="s">
        <v>264</v>
      </c>
      <c r="ET118" s="1018" t="b">
        <f t="shared" si="257"/>
        <v>1</v>
      </c>
      <c r="EU118" s="940"/>
      <c r="EV118" s="941"/>
      <c r="EW118" s="940"/>
      <c r="EX118" s="1019">
        <v>3077494.136208632</v>
      </c>
      <c r="EY118" s="1019">
        <f t="shared" si="310"/>
        <v>461624.12043129478</v>
      </c>
      <c r="EZ118" s="1019">
        <f t="shared" si="311"/>
        <v>2615870.0157773374</v>
      </c>
      <c r="FA118" s="1019">
        <f t="shared" si="312"/>
        <v>307749.41362086323</v>
      </c>
      <c r="FB118" s="1019">
        <f t="shared" si="313"/>
        <v>2769744.7225877689</v>
      </c>
      <c r="FC118" s="1019">
        <f t="shared" si="314"/>
        <v>153874.70681043155</v>
      </c>
      <c r="FD118" s="1020"/>
      <c r="FE118" s="1021"/>
      <c r="FF118" s="1022">
        <f t="shared" si="315"/>
        <v>2615870.0157773374</v>
      </c>
      <c r="FG118" s="1022">
        <f t="shared" si="316"/>
        <v>222348.9513410737</v>
      </c>
      <c r="FH118" s="1022">
        <f t="shared" si="317"/>
        <v>111174.47567053685</v>
      </c>
      <c r="FI118" s="1023">
        <f t="shared" si="318"/>
        <v>2769744.7225877689</v>
      </c>
      <c r="FJ118" s="1023">
        <f t="shared" si="319"/>
        <v>235428.30141996036</v>
      </c>
      <c r="FK118" s="1023">
        <f t="shared" si="320"/>
        <v>117714.15070998018</v>
      </c>
      <c r="FL118" s="1019">
        <f t="shared" si="321"/>
        <v>13079.350078886666</v>
      </c>
      <c r="FM118" s="1019">
        <f t="shared" si="322"/>
        <v>6539.6750394433329</v>
      </c>
      <c r="FN118" s="1019" t="str">
        <f t="shared" si="323"/>
        <v>VS</v>
      </c>
      <c r="FO118" s="1019">
        <f t="shared" si="324"/>
        <v>27537.409960060559</v>
      </c>
      <c r="FP118" s="1019">
        <f t="shared" si="325"/>
        <v>-20997.734920617226</v>
      </c>
      <c r="FQ118" s="1021"/>
      <c r="FR118" s="1021"/>
      <c r="FS118" s="1020"/>
      <c r="FT118" s="1055">
        <f>FB118</f>
        <v>2769744.7225877689</v>
      </c>
      <c r="FU118" s="1056"/>
      <c r="FV118" s="1056"/>
      <c r="FW118" s="503"/>
      <c r="FX118" s="1040"/>
      <c r="FY118" s="503"/>
      <c r="FZ118" s="503"/>
      <c r="GA118" s="503"/>
      <c r="GE118" s="503"/>
      <c r="GF118" s="1059"/>
      <c r="GG118" s="956"/>
      <c r="GH118" s="945"/>
      <c r="GI118" s="1024">
        <f t="shared" si="258"/>
        <v>3741102.7641204768</v>
      </c>
      <c r="GJ118" s="1025">
        <f t="shared" si="259"/>
        <v>0.125</v>
      </c>
      <c r="GK118" s="1024">
        <f t="shared" si="260"/>
        <v>467637.8455150596</v>
      </c>
      <c r="GL118" s="1024">
        <f t="shared" si="261"/>
        <v>30000</v>
      </c>
      <c r="GM118" s="1024">
        <f t="shared" si="262"/>
        <v>437637.8455150596</v>
      </c>
      <c r="GN118" s="1024">
        <f t="shared" si="263"/>
        <v>2</v>
      </c>
      <c r="GO118" s="1024">
        <f t="shared" si="264"/>
        <v>218818.9227575298</v>
      </c>
      <c r="GP118" s="1025">
        <f t="shared" si="265"/>
        <v>0.875</v>
      </c>
      <c r="GQ118" s="1024">
        <f t="shared" si="266"/>
        <v>3273464.918605417</v>
      </c>
      <c r="GR118" s="1024">
        <f t="shared" si="267"/>
        <v>25379.13867180506</v>
      </c>
      <c r="GS118" s="1024">
        <f t="shared" si="268"/>
        <v>29422.82812486188</v>
      </c>
      <c r="GT118" s="1024">
        <f t="shared" si="269"/>
        <v>38007.703347479197</v>
      </c>
      <c r="GU118" s="1024">
        <f t="shared" si="270"/>
        <v>64818.528768174998</v>
      </c>
      <c r="GV118" s="945"/>
      <c r="GW118" s="1024">
        <f t="shared" si="271"/>
        <v>3741102.7641204768</v>
      </c>
      <c r="GX118" s="1025">
        <f t="shared" si="272"/>
        <v>0.125</v>
      </c>
      <c r="GY118" s="1024">
        <f t="shared" si="273"/>
        <v>467637.8455150596</v>
      </c>
      <c r="GZ118" s="1024">
        <f t="shared" si="274"/>
        <v>30000</v>
      </c>
      <c r="HA118" s="1024">
        <f t="shared" si="275"/>
        <v>437637.8455150596</v>
      </c>
      <c r="HB118" s="1026">
        <f t="shared" si="276"/>
        <v>25</v>
      </c>
      <c r="HC118" s="1009">
        <f t="shared" si="277"/>
        <v>17505.513820602384</v>
      </c>
      <c r="HD118" s="1027">
        <f t="shared" si="278"/>
        <v>0.875</v>
      </c>
      <c r="HE118" s="1009">
        <f t="shared" si="279"/>
        <v>3273464.918605417</v>
      </c>
      <c r="HF118" s="1008">
        <f t="shared" si="280"/>
        <v>25379.13867180506</v>
      </c>
      <c r="HG118" s="1008">
        <f t="shared" si="281"/>
        <v>29422.82812486188</v>
      </c>
      <c r="HH118" s="1008">
        <f t="shared" si="282"/>
        <v>38007.703347479197</v>
      </c>
      <c r="HI118" s="1008">
        <f t="shared" si="283"/>
        <v>64818.528768174998</v>
      </c>
      <c r="HJ118" s="945"/>
      <c r="HK118" s="1009">
        <f t="shared" si="284"/>
        <v>-201313.40893692742</v>
      </c>
      <c r="HL118" s="503"/>
      <c r="HM118" s="503"/>
      <c r="HN118" s="503"/>
      <c r="HO118" s="503"/>
      <c r="HP118" s="503"/>
      <c r="HQ118" s="503"/>
      <c r="HR118" s="956">
        <f t="shared" si="285"/>
        <v>0</v>
      </c>
      <c r="HS118" s="503"/>
      <c r="HT118" s="503"/>
      <c r="HU118" s="956"/>
      <c r="HV118" s="503"/>
      <c r="HW118" s="956"/>
      <c r="HX118" s="956"/>
      <c r="HY118" s="503"/>
      <c r="HZ118" s="503"/>
      <c r="IA118" s="503"/>
      <c r="ID118" s="1394"/>
    </row>
    <row r="119" spans="1:238" ht="14.25" hidden="1" customHeight="1">
      <c r="A119" s="1018">
        <f t="shared" si="326"/>
        <v>113</v>
      </c>
      <c r="B119" s="716"/>
      <c r="C119" s="741">
        <f t="shared" si="350"/>
        <v>11</v>
      </c>
      <c r="D119" s="716" t="s">
        <v>281</v>
      </c>
      <c r="E119" s="743" t="str">
        <f t="shared" si="352"/>
        <v>8th Floor</v>
      </c>
      <c r="F119" s="1048"/>
      <c r="G119" s="745" t="s">
        <v>531</v>
      </c>
      <c r="H119" s="745" t="s">
        <v>328</v>
      </c>
      <c r="I119" s="745" t="s">
        <v>267</v>
      </c>
      <c r="J119" s="1005">
        <v>22</v>
      </c>
      <c r="K119" s="1049"/>
      <c r="L119" s="1006" t="s">
        <v>268</v>
      </c>
      <c r="M119" s="745" t="s">
        <v>79</v>
      </c>
      <c r="N119" s="1050">
        <v>95909.091</v>
      </c>
      <c r="O119" s="934">
        <f t="shared" si="298"/>
        <v>2110000.0019999999</v>
      </c>
      <c r="P119" s="934">
        <f t="shared" si="327"/>
        <v>22400</v>
      </c>
      <c r="Q119" s="934">
        <f t="shared" si="293"/>
        <v>50000</v>
      </c>
      <c r="R119" s="934"/>
      <c r="S119" s="934"/>
      <c r="T119" s="934">
        <f t="shared" si="346"/>
        <v>66000</v>
      </c>
      <c r="U119" s="934"/>
      <c r="V119" s="749"/>
      <c r="W119" s="934"/>
      <c r="X119" s="934"/>
      <c r="Y119" s="934">
        <f t="shared" si="351"/>
        <v>80000</v>
      </c>
      <c r="Z119" s="934">
        <f t="shared" si="299"/>
        <v>75000</v>
      </c>
      <c r="AA119" s="934"/>
      <c r="AB119" s="934"/>
      <c r="AC119" s="934"/>
      <c r="AD119" s="934"/>
      <c r="AE119" s="934">
        <f t="shared" si="199"/>
        <v>293400</v>
      </c>
      <c r="AF119" s="1005">
        <f t="shared" si="200"/>
        <v>2403400.0019999999</v>
      </c>
      <c r="AG119" s="1005">
        <f t="shared" si="220"/>
        <v>60085.000050000002</v>
      </c>
      <c r="AH119" s="1005">
        <f t="shared" si="221"/>
        <v>2463485.0020499998</v>
      </c>
      <c r="AI119" s="1005">
        <f t="shared" si="222"/>
        <v>61587.125051249997</v>
      </c>
      <c r="AJ119" s="1005">
        <f t="shared" si="223"/>
        <v>2525072.12710125</v>
      </c>
      <c r="AK119" s="1005">
        <f t="shared" si="224"/>
        <v>126253.60635506251</v>
      </c>
      <c r="AL119" s="1005">
        <f t="shared" si="300"/>
        <v>2651325.7334563127</v>
      </c>
      <c r="AM119" s="934">
        <f t="shared" si="225"/>
        <v>26513.257334563128</v>
      </c>
      <c r="AN119" s="934">
        <f t="shared" si="226"/>
        <v>27537.409960060559</v>
      </c>
      <c r="AO119" s="934"/>
      <c r="AP119" s="934">
        <f t="shared" si="301"/>
        <v>117714.15070998018</v>
      </c>
      <c r="AQ119" s="1005">
        <f t="shared" si="201"/>
        <v>2823090.5514609162</v>
      </c>
      <c r="AR119" s="1005">
        <f t="shared" si="227"/>
        <v>127039.07481574122</v>
      </c>
      <c r="AS119" s="1147">
        <f t="shared" si="228"/>
        <v>2950129.6262766575</v>
      </c>
      <c r="AT119" s="1148">
        <f t="shared" si="348"/>
        <v>2000000</v>
      </c>
      <c r="AU119" s="1148">
        <f t="shared" si="353"/>
        <v>43187.710285302608</v>
      </c>
      <c r="AV119" s="1148">
        <f t="shared" si="303"/>
        <v>950129.62627665745</v>
      </c>
      <c r="AW119" s="1148">
        <f t="shared" si="203"/>
        <v>114015.55515319889</v>
      </c>
      <c r="AX119" s="1148">
        <f t="shared" si="204"/>
        <v>1064145.1814298565</v>
      </c>
      <c r="AY119" s="1147">
        <f t="shared" si="229"/>
        <v>3064145.1814298565</v>
      </c>
      <c r="AZ119" s="934">
        <f t="shared" si="230"/>
        <v>38301.814767873206</v>
      </c>
      <c r="BA119" s="716" t="s">
        <v>269</v>
      </c>
      <c r="BB119" s="716">
        <f t="shared" si="343"/>
        <v>3102446.9961977298</v>
      </c>
      <c r="BC119" s="716" t="s">
        <v>269</v>
      </c>
      <c r="BD119" s="716">
        <f t="shared" si="231"/>
        <v>116341.76235741486</v>
      </c>
      <c r="BE119" s="716">
        <f t="shared" si="232"/>
        <v>33600</v>
      </c>
      <c r="BF119" s="716">
        <f t="shared" si="233"/>
        <v>3252388.7585551445</v>
      </c>
      <c r="BG119" s="716"/>
      <c r="BH119" s="716">
        <f t="shared" si="234"/>
        <v>3252388.7585551445</v>
      </c>
      <c r="BI119" s="716"/>
      <c r="BJ119" s="716">
        <f t="shared" si="235"/>
        <v>3252388.7585551445</v>
      </c>
      <c r="BK119" s="716"/>
      <c r="BL119" s="716">
        <f t="shared" si="236"/>
        <v>3252388.7585551445</v>
      </c>
      <c r="BM119" s="716"/>
      <c r="BN119" s="716">
        <f t="shared" si="206"/>
        <v>3252388.7585551445</v>
      </c>
      <c r="BO119" s="716"/>
      <c r="BP119" s="716">
        <f t="shared" si="237"/>
        <v>3252388.7585551445</v>
      </c>
      <c r="BQ119" s="716"/>
      <c r="BR119" s="716">
        <f t="shared" si="238"/>
        <v>3252388.7585551445</v>
      </c>
      <c r="BS119" s="716"/>
      <c r="BT119" s="716">
        <f t="shared" si="239"/>
        <v>3252388.7585551445</v>
      </c>
      <c r="BU119" s="716"/>
      <c r="BV119" s="716">
        <f t="shared" si="207"/>
        <v>3252388.7585551445</v>
      </c>
      <c r="BW119" s="716"/>
      <c r="BX119" s="716">
        <f t="shared" si="329"/>
        <v>31400</v>
      </c>
      <c r="BY119" s="716">
        <f t="shared" si="240"/>
        <v>3283788.7585551445</v>
      </c>
      <c r="BZ119" s="716"/>
      <c r="CA119" s="716">
        <f t="shared" si="241"/>
        <v>3283788.7585551445</v>
      </c>
      <c r="CB119" s="1135">
        <f t="shared" si="242"/>
        <v>3283788.7585551445</v>
      </c>
      <c r="CC119" s="1164">
        <f t="shared" si="286"/>
        <v>3283788.7585551445</v>
      </c>
      <c r="CD119" s="1164"/>
      <c r="CE119" s="1164">
        <f t="shared" si="243"/>
        <v>0</v>
      </c>
      <c r="CF119" s="1164">
        <f t="shared" si="291"/>
        <v>0</v>
      </c>
      <c r="CG119" s="1164">
        <f t="shared" si="292"/>
        <v>0</v>
      </c>
      <c r="CH119" s="1154">
        <f t="shared" si="339"/>
        <v>3283788.7585551445</v>
      </c>
      <c r="CI119" s="935">
        <f t="shared" si="340"/>
        <v>3283788.7585551445</v>
      </c>
      <c r="CJ119" s="935">
        <f t="shared" si="244"/>
        <v>0</v>
      </c>
      <c r="CK119" s="935">
        <f t="shared" si="208"/>
        <v>336588.3477519023</v>
      </c>
      <c r="CL119" s="935">
        <f t="shared" si="209"/>
        <v>114932.60654943007</v>
      </c>
      <c r="CM119" s="1006">
        <f t="shared" si="306"/>
        <v>3735309.7128564771</v>
      </c>
      <c r="CN119" s="1007">
        <f t="shared" si="307"/>
        <v>0.125</v>
      </c>
      <c r="CO119" s="935">
        <f t="shared" si="210"/>
        <v>466913.71410705964</v>
      </c>
      <c r="CP119" s="935">
        <f t="shared" ref="CP119" si="354">$CP$5</f>
        <v>30000</v>
      </c>
      <c r="CQ119" s="935">
        <f t="shared" si="211"/>
        <v>436913.71410705964</v>
      </c>
      <c r="CR119" s="745">
        <f t="shared" si="308"/>
        <v>2</v>
      </c>
      <c r="CS119" s="935">
        <f t="shared" si="212"/>
        <v>218456.85705352982</v>
      </c>
      <c r="CT119" s="1007">
        <f t="shared" si="245"/>
        <v>0.875</v>
      </c>
      <c r="CU119" s="935">
        <f t="shared" si="246"/>
        <v>3268395.9987494173</v>
      </c>
      <c r="CV119" s="1008">
        <f t="shared" si="247"/>
        <v>25339.839390114121</v>
      </c>
      <c r="CW119" s="1008">
        <f t="shared" si="248"/>
        <v>29377.267240169302</v>
      </c>
      <c r="CX119" s="1008">
        <f t="shared" si="249"/>
        <v>37948.848889903078</v>
      </c>
      <c r="CY119" s="1008">
        <f t="shared" si="250"/>
        <v>64718.158079721215</v>
      </c>
      <c r="CZ119" s="1119">
        <f t="shared" si="251"/>
        <v>265502.19562178856</v>
      </c>
      <c r="DA119" s="1119">
        <f t="shared" si="252"/>
        <v>105057.92547209254</v>
      </c>
      <c r="DB119" s="1119">
        <f t="shared" si="253"/>
        <v>75881.851612649523</v>
      </c>
      <c r="DC119" s="1119">
        <f t="shared" si="254"/>
        <v>57749.582497246884</v>
      </c>
      <c r="DD119" s="1028">
        <f t="shared" si="294"/>
        <v>0.47506481313832871</v>
      </c>
      <c r="DE119" s="1028">
        <f t="shared" si="341"/>
        <v>0</v>
      </c>
      <c r="DF119" s="1009" t="s">
        <v>270</v>
      </c>
      <c r="DG119" s="1009" t="s">
        <v>271</v>
      </c>
      <c r="DH119" s="966">
        <f t="shared" si="287"/>
        <v>45658</v>
      </c>
      <c r="DI119" s="912">
        <f t="shared" si="255"/>
        <v>14</v>
      </c>
      <c r="DK119" s="913">
        <f t="shared" si="213"/>
        <v>45723</v>
      </c>
      <c r="DL119" s="912">
        <f t="shared" si="256"/>
        <v>16</v>
      </c>
      <c r="DM119" s="750" t="s">
        <v>272</v>
      </c>
      <c r="DN119" s="750" t="s">
        <v>273</v>
      </c>
      <c r="DO119" s="751">
        <f t="shared" si="214"/>
        <v>48370.235519538932</v>
      </c>
      <c r="DP119" s="751">
        <f t="shared" si="215"/>
        <v>1064145.1814298565</v>
      </c>
      <c r="DQ119" s="752">
        <f t="shared" si="295"/>
        <v>0.53207259071492818</v>
      </c>
      <c r="DS119" s="751">
        <f t="shared" si="296"/>
        <v>3283788.7585551445</v>
      </c>
      <c r="DT119" s="751">
        <f>'[4]INTERNAL PRICELIST'!N113</f>
        <v>2113804</v>
      </c>
      <c r="DU119" s="751">
        <f t="shared" si="216"/>
        <v>1169984.7585551445</v>
      </c>
      <c r="DW119" s="951">
        <f t="shared" si="297"/>
        <v>149263.12538887022</v>
      </c>
      <c r="DZ119" s="1010" t="s">
        <v>531</v>
      </c>
      <c r="EA119" s="1011" t="b">
        <f t="shared" si="217"/>
        <v>1</v>
      </c>
      <c r="EB119" s="1011"/>
      <c r="EC119" s="1011"/>
      <c r="ER119" s="1017" t="s">
        <v>264</v>
      </c>
      <c r="ES119" s="1391" t="s">
        <v>264</v>
      </c>
      <c r="ET119" s="1018" t="b">
        <f t="shared" si="257"/>
        <v>1</v>
      </c>
      <c r="EX119" s="1019">
        <v>3077494.136208632</v>
      </c>
      <c r="EY119" s="1019">
        <f t="shared" si="310"/>
        <v>461624.12043129478</v>
      </c>
      <c r="EZ119" s="1019">
        <f t="shared" si="311"/>
        <v>2615870.0157773374</v>
      </c>
      <c r="FA119" s="1019">
        <f t="shared" si="312"/>
        <v>307749.41362086323</v>
      </c>
      <c r="FB119" s="1019">
        <f t="shared" si="313"/>
        <v>2769744.7225877689</v>
      </c>
      <c r="FC119" s="1019">
        <f t="shared" si="314"/>
        <v>153874.70681043155</v>
      </c>
      <c r="FD119" s="1020"/>
      <c r="FE119" s="1021"/>
      <c r="FF119" s="1022">
        <f t="shared" si="315"/>
        <v>2615870.0157773374</v>
      </c>
      <c r="FG119" s="1022">
        <f t="shared" si="316"/>
        <v>222348.9513410737</v>
      </c>
      <c r="FH119" s="1022">
        <f t="shared" si="317"/>
        <v>111174.47567053685</v>
      </c>
      <c r="FI119" s="1023">
        <f t="shared" si="318"/>
        <v>2769744.7225877689</v>
      </c>
      <c r="FJ119" s="1023">
        <f t="shared" si="319"/>
        <v>235428.30141996036</v>
      </c>
      <c r="FK119" s="1023">
        <f t="shared" si="320"/>
        <v>117714.15070998018</v>
      </c>
      <c r="FL119" s="1019">
        <f t="shared" si="321"/>
        <v>13079.350078886666</v>
      </c>
      <c r="FM119" s="1019">
        <f t="shared" si="322"/>
        <v>6539.6750394433329</v>
      </c>
      <c r="FN119" s="1019" t="str">
        <f t="shared" si="323"/>
        <v>VS</v>
      </c>
      <c r="FO119" s="1019">
        <f t="shared" si="324"/>
        <v>27537.409960060559</v>
      </c>
      <c r="FP119" s="1019">
        <f t="shared" si="325"/>
        <v>-20997.734920617226</v>
      </c>
      <c r="FQ119" s="1021"/>
      <c r="FR119" s="1021"/>
      <c r="FS119" s="1020"/>
      <c r="FT119" s="503"/>
      <c r="FU119" s="956"/>
      <c r="FV119" s="503"/>
      <c r="FX119" s="1040"/>
      <c r="GF119" s="1059"/>
      <c r="GG119" s="956"/>
      <c r="GI119" s="1024">
        <f t="shared" si="258"/>
        <v>3735309.7128564771</v>
      </c>
      <c r="GJ119" s="1025">
        <f t="shared" si="259"/>
        <v>0.125</v>
      </c>
      <c r="GK119" s="1024">
        <f t="shared" si="260"/>
        <v>466913.71410705964</v>
      </c>
      <c r="GL119" s="1024">
        <f t="shared" si="261"/>
        <v>30000</v>
      </c>
      <c r="GM119" s="1024">
        <f t="shared" si="262"/>
        <v>436913.71410705964</v>
      </c>
      <c r="GN119" s="1024">
        <f t="shared" si="263"/>
        <v>2</v>
      </c>
      <c r="GO119" s="1024">
        <f t="shared" si="264"/>
        <v>218456.85705352982</v>
      </c>
      <c r="GP119" s="1025">
        <f t="shared" si="265"/>
        <v>0.875</v>
      </c>
      <c r="GQ119" s="1024">
        <f t="shared" si="266"/>
        <v>3268395.9987494173</v>
      </c>
      <c r="GR119" s="1024">
        <f t="shared" si="267"/>
        <v>25339.839390114121</v>
      </c>
      <c r="GS119" s="1024">
        <f t="shared" si="268"/>
        <v>29377.267240169302</v>
      </c>
      <c r="GT119" s="1024">
        <f t="shared" si="269"/>
        <v>37948.848889903078</v>
      </c>
      <c r="GU119" s="1024">
        <f t="shared" si="270"/>
        <v>64718.158079721215</v>
      </c>
      <c r="GW119" s="1024">
        <f t="shared" si="271"/>
        <v>3735309.7128564771</v>
      </c>
      <c r="GX119" s="1025">
        <f t="shared" si="272"/>
        <v>0.125</v>
      </c>
      <c r="GY119" s="1024">
        <f t="shared" si="273"/>
        <v>466913.71410705964</v>
      </c>
      <c r="GZ119" s="1024">
        <f t="shared" si="274"/>
        <v>30000</v>
      </c>
      <c r="HA119" s="1024">
        <f t="shared" si="275"/>
        <v>436913.71410705964</v>
      </c>
      <c r="HB119" s="1026">
        <f t="shared" si="276"/>
        <v>25</v>
      </c>
      <c r="HC119" s="1009">
        <f t="shared" si="277"/>
        <v>17476.548564282384</v>
      </c>
      <c r="HD119" s="1027">
        <f t="shared" si="278"/>
        <v>0.875</v>
      </c>
      <c r="HE119" s="1009">
        <f t="shared" si="279"/>
        <v>3268395.9987494173</v>
      </c>
      <c r="HF119" s="1008">
        <f t="shared" si="280"/>
        <v>25339.839390114121</v>
      </c>
      <c r="HG119" s="1008">
        <f t="shared" si="281"/>
        <v>29377.267240169302</v>
      </c>
      <c r="HH119" s="1008">
        <f t="shared" si="282"/>
        <v>37948.848889903078</v>
      </c>
      <c r="HI119" s="1008">
        <f t="shared" si="283"/>
        <v>64718.158079721215</v>
      </c>
      <c r="HK119" s="1009">
        <f t="shared" si="284"/>
        <v>-200980.30848924743</v>
      </c>
      <c r="HR119" s="956">
        <f t="shared" si="285"/>
        <v>0</v>
      </c>
      <c r="HU119" s="956"/>
      <c r="HW119" s="956"/>
      <c r="HX119" s="956"/>
    </row>
    <row r="120" spans="1:238" s="1051" customFormat="1" ht="14.25" hidden="1" customHeight="1">
      <c r="A120" s="1018">
        <f t="shared" si="326"/>
        <v>114</v>
      </c>
      <c r="B120" s="716" t="s">
        <v>264</v>
      </c>
      <c r="C120" s="741">
        <f t="shared" si="350"/>
        <v>12</v>
      </c>
      <c r="D120" s="716" t="s">
        <v>281</v>
      </c>
      <c r="E120" s="743" t="str">
        <f t="shared" si="352"/>
        <v>8th Floor</v>
      </c>
      <c r="F120" s="1048"/>
      <c r="G120" s="745" t="s">
        <v>532</v>
      </c>
      <c r="H120" s="745" t="s">
        <v>331</v>
      </c>
      <c r="I120" s="745" t="s">
        <v>267</v>
      </c>
      <c r="J120" s="1005">
        <v>22</v>
      </c>
      <c r="K120" s="1049"/>
      <c r="L120" s="1006" t="s">
        <v>268</v>
      </c>
      <c r="M120" s="745" t="s">
        <v>79</v>
      </c>
      <c r="N120" s="1050">
        <v>95909.091</v>
      </c>
      <c r="O120" s="934">
        <f t="shared" si="298"/>
        <v>2110000.0019999999</v>
      </c>
      <c r="P120" s="934">
        <f t="shared" si="327"/>
        <v>22400</v>
      </c>
      <c r="Q120" s="934">
        <f t="shared" si="293"/>
        <v>50000</v>
      </c>
      <c r="R120" s="934"/>
      <c r="S120" s="934"/>
      <c r="T120" s="934">
        <f t="shared" si="346"/>
        <v>66000</v>
      </c>
      <c r="U120" s="934"/>
      <c r="V120" s="749"/>
      <c r="W120" s="934"/>
      <c r="X120" s="934"/>
      <c r="Y120" s="934">
        <f t="shared" si="351"/>
        <v>80000</v>
      </c>
      <c r="Z120" s="934">
        <f t="shared" si="299"/>
        <v>75000</v>
      </c>
      <c r="AA120" s="934"/>
      <c r="AB120" s="934"/>
      <c r="AC120" s="934"/>
      <c r="AD120" s="934"/>
      <c r="AE120" s="934">
        <f t="shared" si="199"/>
        <v>293400</v>
      </c>
      <c r="AF120" s="1005">
        <f t="shared" si="200"/>
        <v>2403400.0019999999</v>
      </c>
      <c r="AG120" s="1005">
        <f t="shared" si="220"/>
        <v>60085.000050000002</v>
      </c>
      <c r="AH120" s="1005">
        <f t="shared" si="221"/>
        <v>2463485.0020499998</v>
      </c>
      <c r="AI120" s="1005">
        <f t="shared" si="222"/>
        <v>61587.125051249997</v>
      </c>
      <c r="AJ120" s="1005">
        <f t="shared" si="223"/>
        <v>2525072.12710125</v>
      </c>
      <c r="AK120" s="1005">
        <f t="shared" si="224"/>
        <v>126253.60635506251</v>
      </c>
      <c r="AL120" s="1005">
        <f t="shared" si="300"/>
        <v>2651325.7334563127</v>
      </c>
      <c r="AM120" s="934">
        <f t="shared" si="225"/>
        <v>26513.257334563128</v>
      </c>
      <c r="AN120" s="934">
        <f t="shared" si="226"/>
        <v>27537.409960060559</v>
      </c>
      <c r="AO120" s="934"/>
      <c r="AP120" s="934">
        <f t="shared" si="301"/>
        <v>117714.15070998018</v>
      </c>
      <c r="AQ120" s="1005">
        <f t="shared" si="201"/>
        <v>2823090.5514609162</v>
      </c>
      <c r="AR120" s="1005">
        <f t="shared" si="227"/>
        <v>127039.07481574122</v>
      </c>
      <c r="AS120" s="1147">
        <f t="shared" si="228"/>
        <v>2950129.6262766575</v>
      </c>
      <c r="AT120" s="1148">
        <f t="shared" si="348"/>
        <v>2000000</v>
      </c>
      <c r="AU120" s="1148">
        <f t="shared" si="353"/>
        <v>43187.710285302608</v>
      </c>
      <c r="AV120" s="1148">
        <f t="shared" si="303"/>
        <v>950129.62627665745</v>
      </c>
      <c r="AW120" s="1148">
        <f t="shared" si="203"/>
        <v>114015.55515319889</v>
      </c>
      <c r="AX120" s="1148">
        <f t="shared" si="204"/>
        <v>1064145.1814298565</v>
      </c>
      <c r="AY120" s="1147">
        <f t="shared" si="229"/>
        <v>3064145.1814298565</v>
      </c>
      <c r="AZ120" s="934">
        <f t="shared" si="230"/>
        <v>38301.814767873206</v>
      </c>
      <c r="BA120" s="716" t="s">
        <v>269</v>
      </c>
      <c r="BB120" s="716">
        <f t="shared" si="343"/>
        <v>3102446.9961977298</v>
      </c>
      <c r="BC120" s="716" t="s">
        <v>269</v>
      </c>
      <c r="BD120" s="716">
        <f t="shared" si="231"/>
        <v>116341.76235741486</v>
      </c>
      <c r="BE120" s="716">
        <f t="shared" si="232"/>
        <v>33600</v>
      </c>
      <c r="BF120" s="716">
        <f t="shared" si="233"/>
        <v>3252388.7585551445</v>
      </c>
      <c r="BG120" s="716"/>
      <c r="BH120" s="716">
        <f t="shared" si="234"/>
        <v>3252388.7585551445</v>
      </c>
      <c r="BI120" s="716"/>
      <c r="BJ120" s="716">
        <f t="shared" si="235"/>
        <v>3252388.7585551445</v>
      </c>
      <c r="BK120" s="716"/>
      <c r="BL120" s="716">
        <f t="shared" si="236"/>
        <v>3252388.7585551445</v>
      </c>
      <c r="BM120" s="716"/>
      <c r="BN120" s="716">
        <f t="shared" si="206"/>
        <v>3252388.7585551445</v>
      </c>
      <c r="BO120" s="716"/>
      <c r="BP120" s="716">
        <f t="shared" si="237"/>
        <v>3252388.7585551445</v>
      </c>
      <c r="BQ120" s="716"/>
      <c r="BR120" s="716">
        <f t="shared" si="238"/>
        <v>3252388.7585551445</v>
      </c>
      <c r="BS120" s="716"/>
      <c r="BT120" s="716">
        <f t="shared" si="239"/>
        <v>3252388.7585551445</v>
      </c>
      <c r="BU120" s="716"/>
      <c r="BV120" s="716">
        <f t="shared" si="207"/>
        <v>3252388.7585551445</v>
      </c>
      <c r="BW120" s="716"/>
      <c r="BX120" s="716">
        <f t="shared" si="329"/>
        <v>31400</v>
      </c>
      <c r="BY120" s="716">
        <f t="shared" si="240"/>
        <v>3283788.7585551445</v>
      </c>
      <c r="BZ120" s="716"/>
      <c r="CA120" s="716">
        <f t="shared" si="241"/>
        <v>3283788.7585551445</v>
      </c>
      <c r="CB120" s="1135">
        <f t="shared" si="242"/>
        <v>3283788.7585551445</v>
      </c>
      <c r="CC120" s="1164">
        <f t="shared" si="286"/>
        <v>3283788.7585551445</v>
      </c>
      <c r="CD120" s="1164"/>
      <c r="CE120" s="1164">
        <f t="shared" si="243"/>
        <v>0</v>
      </c>
      <c r="CF120" s="1164">
        <f t="shared" si="291"/>
        <v>0</v>
      </c>
      <c r="CG120" s="1164">
        <f t="shared" si="292"/>
        <v>0</v>
      </c>
      <c r="CH120" s="1154">
        <f t="shared" si="339"/>
        <v>3283788.7585551445</v>
      </c>
      <c r="CI120" s="935">
        <f t="shared" si="340"/>
        <v>3283788.7585551445</v>
      </c>
      <c r="CJ120" s="935">
        <f t="shared" si="244"/>
        <v>0</v>
      </c>
      <c r="CK120" s="935">
        <f t="shared" si="208"/>
        <v>336588.3477519023</v>
      </c>
      <c r="CL120" s="935">
        <f t="shared" si="209"/>
        <v>114932.60654943007</v>
      </c>
      <c r="CM120" s="1006">
        <f t="shared" si="306"/>
        <v>3735309.7128564771</v>
      </c>
      <c r="CN120" s="1007">
        <f t="shared" si="307"/>
        <v>0.125</v>
      </c>
      <c r="CO120" s="935">
        <f t="shared" si="210"/>
        <v>466913.71410705964</v>
      </c>
      <c r="CP120" s="935">
        <f t="shared" si="330"/>
        <v>30000</v>
      </c>
      <c r="CQ120" s="935">
        <f t="shared" si="211"/>
        <v>436913.71410705964</v>
      </c>
      <c r="CR120" s="745">
        <f t="shared" si="308"/>
        <v>2</v>
      </c>
      <c r="CS120" s="935">
        <f t="shared" si="212"/>
        <v>218456.85705352982</v>
      </c>
      <c r="CT120" s="1007">
        <f t="shared" si="245"/>
        <v>0.875</v>
      </c>
      <c r="CU120" s="935">
        <f t="shared" si="246"/>
        <v>3268395.9987494173</v>
      </c>
      <c r="CV120" s="1008">
        <f t="shared" si="247"/>
        <v>25339.839390114121</v>
      </c>
      <c r="CW120" s="1008">
        <f t="shared" si="248"/>
        <v>29377.267240169302</v>
      </c>
      <c r="CX120" s="1008">
        <f t="shared" si="249"/>
        <v>37948.848889903078</v>
      </c>
      <c r="CY120" s="1008">
        <f t="shared" si="250"/>
        <v>64718.158079721215</v>
      </c>
      <c r="CZ120" s="1119">
        <f t="shared" si="251"/>
        <v>265502.19562178856</v>
      </c>
      <c r="DA120" s="1119">
        <f t="shared" si="252"/>
        <v>105057.92547209254</v>
      </c>
      <c r="DB120" s="1119">
        <f t="shared" si="253"/>
        <v>75881.851612649523</v>
      </c>
      <c r="DC120" s="1119">
        <f t="shared" si="254"/>
        <v>57749.582497246884</v>
      </c>
      <c r="DD120" s="1028">
        <f t="shared" si="294"/>
        <v>0.47506481313832871</v>
      </c>
      <c r="DE120" s="1028">
        <f t="shared" si="341"/>
        <v>0</v>
      </c>
      <c r="DF120" s="1009" t="s">
        <v>270</v>
      </c>
      <c r="DG120" s="1009" t="s">
        <v>271</v>
      </c>
      <c r="DH120" s="966">
        <f t="shared" si="287"/>
        <v>45658</v>
      </c>
      <c r="DI120" s="912">
        <f t="shared" si="255"/>
        <v>14</v>
      </c>
      <c r="DJ120" s="939"/>
      <c r="DK120" s="913">
        <f t="shared" si="213"/>
        <v>45723</v>
      </c>
      <c r="DL120" s="912">
        <f t="shared" si="256"/>
        <v>16</v>
      </c>
      <c r="DM120" s="750" t="s">
        <v>272</v>
      </c>
      <c r="DN120" s="750" t="s">
        <v>273</v>
      </c>
      <c r="DO120" s="751">
        <f t="shared" si="214"/>
        <v>48370.235519538932</v>
      </c>
      <c r="DP120" s="751">
        <f t="shared" si="215"/>
        <v>1064145.1814298565</v>
      </c>
      <c r="DQ120" s="752">
        <f t="shared" si="295"/>
        <v>0.53207259071492818</v>
      </c>
      <c r="DR120" s="503"/>
      <c r="DS120" s="751">
        <f t="shared" si="296"/>
        <v>3283788.7585551445</v>
      </c>
      <c r="DT120" s="751">
        <f>'[4]INTERNAL PRICELIST'!N114</f>
        <v>2111900</v>
      </c>
      <c r="DU120" s="751">
        <f t="shared" si="216"/>
        <v>1171888.7585551445</v>
      </c>
      <c r="DV120" s="503"/>
      <c r="DW120" s="951">
        <f t="shared" si="297"/>
        <v>149263.12538887022</v>
      </c>
      <c r="DX120" s="503"/>
      <c r="DZ120" s="1010" t="s">
        <v>532</v>
      </c>
      <c r="EA120" s="1052" t="b">
        <f t="shared" si="217"/>
        <v>1</v>
      </c>
      <c r="EB120" s="1072" t="s">
        <v>533</v>
      </c>
      <c r="EC120" s="1072" t="s">
        <v>514</v>
      </c>
      <c r="ED120" s="503"/>
      <c r="EE120" s="503"/>
      <c r="EF120" s="503"/>
      <c r="EG120" s="503"/>
      <c r="EH120" s="930"/>
      <c r="EI120" s="930"/>
      <c r="EJ120" s="503"/>
      <c r="EK120" s="503"/>
      <c r="EL120" s="503"/>
      <c r="EM120" s="503"/>
      <c r="EN120" s="503"/>
      <c r="EO120" s="503"/>
      <c r="EP120" s="503"/>
      <c r="EQ120" s="503"/>
      <c r="ER120" s="1017" t="s">
        <v>264</v>
      </c>
      <c r="ES120" s="1391" t="s">
        <v>264</v>
      </c>
      <c r="ET120" s="1018" t="b">
        <f t="shared" si="257"/>
        <v>1</v>
      </c>
      <c r="EU120" s="940"/>
      <c r="EV120" s="941"/>
      <c r="EW120" s="940"/>
      <c r="EX120" s="1019">
        <v>3077494.136208632</v>
      </c>
      <c r="EY120" s="1019">
        <f t="shared" si="310"/>
        <v>461624.12043129478</v>
      </c>
      <c r="EZ120" s="1019">
        <f t="shared" si="311"/>
        <v>2615870.0157773374</v>
      </c>
      <c r="FA120" s="1019">
        <f t="shared" si="312"/>
        <v>307749.41362086323</v>
      </c>
      <c r="FB120" s="1019">
        <f t="shared" si="313"/>
        <v>2769744.7225877689</v>
      </c>
      <c r="FC120" s="1019">
        <f t="shared" si="314"/>
        <v>153874.70681043155</v>
      </c>
      <c r="FD120" s="1020"/>
      <c r="FE120" s="1021"/>
      <c r="FF120" s="1022">
        <f t="shared" si="315"/>
        <v>2615870.0157773374</v>
      </c>
      <c r="FG120" s="1022">
        <f t="shared" si="316"/>
        <v>222348.9513410737</v>
      </c>
      <c r="FH120" s="1022">
        <f t="shared" si="317"/>
        <v>111174.47567053685</v>
      </c>
      <c r="FI120" s="1023">
        <f t="shared" si="318"/>
        <v>2769744.7225877689</v>
      </c>
      <c r="FJ120" s="1023">
        <f t="shared" si="319"/>
        <v>235428.30141996036</v>
      </c>
      <c r="FK120" s="1023">
        <f t="shared" si="320"/>
        <v>117714.15070998018</v>
      </c>
      <c r="FL120" s="1019">
        <f t="shared" si="321"/>
        <v>13079.350078886666</v>
      </c>
      <c r="FM120" s="1019">
        <f t="shared" si="322"/>
        <v>6539.6750394433329</v>
      </c>
      <c r="FN120" s="1019" t="str">
        <f t="shared" si="323"/>
        <v>VS</v>
      </c>
      <c r="FO120" s="1019">
        <f t="shared" si="324"/>
        <v>27537.409960060559</v>
      </c>
      <c r="FP120" s="1019">
        <f t="shared" si="325"/>
        <v>-20997.734920617226</v>
      </c>
      <c r="FQ120" s="1021"/>
      <c r="FR120" s="1021"/>
      <c r="FS120" s="1020"/>
      <c r="FT120" s="1055">
        <f>FB120</f>
        <v>2769744.7225877689</v>
      </c>
      <c r="FU120" s="1056"/>
      <c r="FV120" s="1056"/>
      <c r="FW120" s="503"/>
      <c r="FX120" s="1040"/>
      <c r="FY120" s="503"/>
      <c r="FZ120" s="503"/>
      <c r="GA120" s="503"/>
      <c r="GE120" s="503"/>
      <c r="GF120" s="1059"/>
      <c r="GG120" s="956"/>
      <c r="GH120" s="945"/>
      <c r="GI120" s="1024">
        <f t="shared" si="258"/>
        <v>3735309.7128564771</v>
      </c>
      <c r="GJ120" s="1025">
        <f t="shared" si="259"/>
        <v>0.125</v>
      </c>
      <c r="GK120" s="1024">
        <f t="shared" si="260"/>
        <v>466913.71410705964</v>
      </c>
      <c r="GL120" s="1024">
        <f t="shared" si="261"/>
        <v>30000</v>
      </c>
      <c r="GM120" s="1024">
        <f t="shared" si="262"/>
        <v>436913.71410705964</v>
      </c>
      <c r="GN120" s="1024">
        <f t="shared" si="263"/>
        <v>2</v>
      </c>
      <c r="GO120" s="1024">
        <f t="shared" si="264"/>
        <v>218456.85705352982</v>
      </c>
      <c r="GP120" s="1025">
        <f t="shared" si="265"/>
        <v>0.875</v>
      </c>
      <c r="GQ120" s="1024">
        <f t="shared" si="266"/>
        <v>3268395.9987494173</v>
      </c>
      <c r="GR120" s="1024">
        <f t="shared" si="267"/>
        <v>25339.839390114121</v>
      </c>
      <c r="GS120" s="1024">
        <f t="shared" si="268"/>
        <v>29377.267240169302</v>
      </c>
      <c r="GT120" s="1024">
        <f t="shared" si="269"/>
        <v>37948.848889903078</v>
      </c>
      <c r="GU120" s="1024">
        <f t="shared" si="270"/>
        <v>64718.158079721215</v>
      </c>
      <c r="GV120" s="945"/>
      <c r="GW120" s="1024">
        <f t="shared" si="271"/>
        <v>3735309.7128564771</v>
      </c>
      <c r="GX120" s="1025">
        <f t="shared" si="272"/>
        <v>0.125</v>
      </c>
      <c r="GY120" s="1024">
        <f t="shared" si="273"/>
        <v>466913.71410705964</v>
      </c>
      <c r="GZ120" s="1024">
        <f t="shared" si="274"/>
        <v>30000</v>
      </c>
      <c r="HA120" s="1024">
        <f t="shared" si="275"/>
        <v>436913.71410705964</v>
      </c>
      <c r="HB120" s="1026">
        <f t="shared" si="276"/>
        <v>25</v>
      </c>
      <c r="HC120" s="1009">
        <f t="shared" si="277"/>
        <v>17476.548564282384</v>
      </c>
      <c r="HD120" s="1027">
        <f t="shared" si="278"/>
        <v>0.875</v>
      </c>
      <c r="HE120" s="1009">
        <f t="shared" si="279"/>
        <v>3268395.9987494173</v>
      </c>
      <c r="HF120" s="1008">
        <f t="shared" si="280"/>
        <v>25339.839390114121</v>
      </c>
      <c r="HG120" s="1008">
        <f t="shared" si="281"/>
        <v>29377.267240169302</v>
      </c>
      <c r="HH120" s="1008">
        <f t="shared" si="282"/>
        <v>37948.848889903078</v>
      </c>
      <c r="HI120" s="1008">
        <f t="shared" si="283"/>
        <v>64718.158079721215</v>
      </c>
      <c r="HJ120" s="945"/>
      <c r="HK120" s="1009">
        <f t="shared" si="284"/>
        <v>-200980.30848924743</v>
      </c>
      <c r="HL120" s="503"/>
      <c r="HM120" s="503"/>
      <c r="HN120" s="503"/>
      <c r="HO120" s="503"/>
      <c r="HP120" s="503"/>
      <c r="HQ120" s="503"/>
      <c r="HR120" s="956">
        <f t="shared" si="285"/>
        <v>0</v>
      </c>
      <c r="HS120" s="503"/>
      <c r="HT120" s="503"/>
      <c r="HU120" s="956"/>
      <c r="HV120" s="503"/>
      <c r="HW120" s="956"/>
      <c r="HX120" s="956"/>
      <c r="HY120" s="503"/>
      <c r="HZ120" s="503"/>
      <c r="IA120" s="503"/>
      <c r="ID120" s="1394"/>
    </row>
    <row r="121" spans="1:238" s="1051" customFormat="1" ht="14.25" hidden="1" customHeight="1">
      <c r="A121" s="1018">
        <f t="shared" si="326"/>
        <v>115</v>
      </c>
      <c r="B121" s="716" t="s">
        <v>264</v>
      </c>
      <c r="C121" s="741">
        <f t="shared" si="350"/>
        <v>13</v>
      </c>
      <c r="D121" s="716" t="s">
        <v>281</v>
      </c>
      <c r="E121" s="743" t="str">
        <f t="shared" si="352"/>
        <v>8th Floor</v>
      </c>
      <c r="F121" s="1048"/>
      <c r="G121" s="745" t="s">
        <v>534</v>
      </c>
      <c r="H121" s="745" t="s">
        <v>336</v>
      </c>
      <c r="I121" s="745" t="s">
        <v>267</v>
      </c>
      <c r="J121" s="1005">
        <v>22</v>
      </c>
      <c r="K121" s="1049"/>
      <c r="L121" s="1006" t="s">
        <v>268</v>
      </c>
      <c r="M121" s="745" t="s">
        <v>79</v>
      </c>
      <c r="N121" s="1050">
        <v>95909.091</v>
      </c>
      <c r="O121" s="934">
        <f t="shared" si="298"/>
        <v>2110000.0019999999</v>
      </c>
      <c r="P121" s="934">
        <f t="shared" si="327"/>
        <v>22400</v>
      </c>
      <c r="Q121" s="934">
        <f t="shared" si="293"/>
        <v>50000</v>
      </c>
      <c r="R121" s="934"/>
      <c r="S121" s="934"/>
      <c r="T121" s="934">
        <f t="shared" si="346"/>
        <v>66000</v>
      </c>
      <c r="U121" s="934"/>
      <c r="V121" s="934"/>
      <c r="W121" s="749"/>
      <c r="X121" s="934"/>
      <c r="Y121" s="934">
        <f t="shared" si="351"/>
        <v>80000</v>
      </c>
      <c r="Z121" s="934">
        <f t="shared" si="299"/>
        <v>75000</v>
      </c>
      <c r="AA121" s="934"/>
      <c r="AB121" s="934"/>
      <c r="AC121" s="934"/>
      <c r="AD121" s="934"/>
      <c r="AE121" s="934">
        <f t="shared" si="199"/>
        <v>293400</v>
      </c>
      <c r="AF121" s="1005">
        <f t="shared" si="200"/>
        <v>2403400.0019999999</v>
      </c>
      <c r="AG121" s="1005">
        <f t="shared" si="220"/>
        <v>60085.000050000002</v>
      </c>
      <c r="AH121" s="1005">
        <f t="shared" si="221"/>
        <v>2463485.0020499998</v>
      </c>
      <c r="AI121" s="1005">
        <f t="shared" si="222"/>
        <v>61587.125051249997</v>
      </c>
      <c r="AJ121" s="1005">
        <f t="shared" si="223"/>
        <v>2525072.12710125</v>
      </c>
      <c r="AK121" s="1005">
        <f t="shared" si="224"/>
        <v>126253.60635506251</v>
      </c>
      <c r="AL121" s="1005">
        <f t="shared" si="300"/>
        <v>2651325.7334563127</v>
      </c>
      <c r="AM121" s="934">
        <f t="shared" si="225"/>
        <v>26513.257334563128</v>
      </c>
      <c r="AN121" s="934">
        <f t="shared" si="226"/>
        <v>27537.409960060559</v>
      </c>
      <c r="AO121" s="934"/>
      <c r="AP121" s="934">
        <f t="shared" si="301"/>
        <v>117714.15070998018</v>
      </c>
      <c r="AQ121" s="1005">
        <f t="shared" si="201"/>
        <v>2823090.5514609162</v>
      </c>
      <c r="AR121" s="1005">
        <f t="shared" si="227"/>
        <v>127039.07481574122</v>
      </c>
      <c r="AS121" s="1147">
        <f t="shared" si="228"/>
        <v>2950129.6262766575</v>
      </c>
      <c r="AT121" s="1148">
        <f t="shared" si="348"/>
        <v>2000000</v>
      </c>
      <c r="AU121" s="1148">
        <f t="shared" si="353"/>
        <v>43187.710285302608</v>
      </c>
      <c r="AV121" s="1148">
        <f t="shared" si="303"/>
        <v>950129.62627665745</v>
      </c>
      <c r="AW121" s="1148">
        <f t="shared" si="203"/>
        <v>114015.55515319889</v>
      </c>
      <c r="AX121" s="1148">
        <f t="shared" si="204"/>
        <v>1064145.1814298565</v>
      </c>
      <c r="AY121" s="1147">
        <f t="shared" si="229"/>
        <v>3064145.1814298565</v>
      </c>
      <c r="AZ121" s="934">
        <f t="shared" si="230"/>
        <v>38301.814767873206</v>
      </c>
      <c r="BA121" s="716" t="s">
        <v>269</v>
      </c>
      <c r="BB121" s="716">
        <f t="shared" si="343"/>
        <v>3102446.9961977298</v>
      </c>
      <c r="BC121" s="716" t="s">
        <v>269</v>
      </c>
      <c r="BD121" s="716">
        <f t="shared" si="231"/>
        <v>116341.76235741486</v>
      </c>
      <c r="BE121" s="716">
        <f t="shared" si="232"/>
        <v>33600</v>
      </c>
      <c r="BF121" s="716">
        <f t="shared" si="233"/>
        <v>3252388.7585551445</v>
      </c>
      <c r="BG121" s="716"/>
      <c r="BH121" s="716">
        <f t="shared" si="234"/>
        <v>3252388.7585551445</v>
      </c>
      <c r="BI121" s="716"/>
      <c r="BJ121" s="716">
        <f t="shared" si="235"/>
        <v>3252388.7585551445</v>
      </c>
      <c r="BK121" s="716"/>
      <c r="BL121" s="716">
        <f t="shared" si="236"/>
        <v>3252388.7585551445</v>
      </c>
      <c r="BM121" s="716"/>
      <c r="BN121" s="716">
        <f t="shared" si="206"/>
        <v>3252388.7585551445</v>
      </c>
      <c r="BO121" s="716"/>
      <c r="BP121" s="716">
        <f t="shared" si="237"/>
        <v>3252388.7585551445</v>
      </c>
      <c r="BQ121" s="716"/>
      <c r="BR121" s="716">
        <f t="shared" si="238"/>
        <v>3252388.7585551445</v>
      </c>
      <c r="BS121" s="716"/>
      <c r="BT121" s="716">
        <f t="shared" si="239"/>
        <v>3252388.7585551445</v>
      </c>
      <c r="BU121" s="716"/>
      <c r="BV121" s="716">
        <f t="shared" si="207"/>
        <v>3252388.7585551445</v>
      </c>
      <c r="BW121" s="716"/>
      <c r="BX121" s="716">
        <f t="shared" si="329"/>
        <v>31400</v>
      </c>
      <c r="BY121" s="716">
        <f t="shared" si="240"/>
        <v>3283788.7585551445</v>
      </c>
      <c r="BZ121" s="716"/>
      <c r="CA121" s="716">
        <f t="shared" si="241"/>
        <v>3283788.7585551445</v>
      </c>
      <c r="CB121" s="1135">
        <f t="shared" si="242"/>
        <v>3283788.7585551445</v>
      </c>
      <c r="CC121" s="1164">
        <f t="shared" si="286"/>
        <v>3283788.7585551445</v>
      </c>
      <c r="CD121" s="1164"/>
      <c r="CE121" s="1164">
        <f t="shared" si="243"/>
        <v>0</v>
      </c>
      <c r="CF121" s="1164">
        <f t="shared" si="291"/>
        <v>0</v>
      </c>
      <c r="CG121" s="1164">
        <f t="shared" si="292"/>
        <v>0</v>
      </c>
      <c r="CH121" s="1154">
        <f t="shared" si="339"/>
        <v>3283788.7585551445</v>
      </c>
      <c r="CI121" s="935">
        <f t="shared" si="340"/>
        <v>3283788.7585551445</v>
      </c>
      <c r="CJ121" s="935">
        <f t="shared" si="244"/>
        <v>0</v>
      </c>
      <c r="CK121" s="935">
        <f t="shared" si="208"/>
        <v>336588.3477519023</v>
      </c>
      <c r="CL121" s="935">
        <f t="shared" si="209"/>
        <v>114932.60654943007</v>
      </c>
      <c r="CM121" s="1006">
        <f t="shared" si="306"/>
        <v>3735309.7128564771</v>
      </c>
      <c r="CN121" s="1007">
        <f t="shared" si="307"/>
        <v>0.125</v>
      </c>
      <c r="CO121" s="935">
        <f t="shared" si="210"/>
        <v>466913.71410705964</v>
      </c>
      <c r="CP121" s="935">
        <f t="shared" si="330"/>
        <v>30000</v>
      </c>
      <c r="CQ121" s="935">
        <f t="shared" si="211"/>
        <v>436913.71410705964</v>
      </c>
      <c r="CR121" s="745">
        <f t="shared" si="308"/>
        <v>2</v>
      </c>
      <c r="CS121" s="935">
        <f t="shared" si="212"/>
        <v>218456.85705352982</v>
      </c>
      <c r="CT121" s="1007">
        <f t="shared" si="245"/>
        <v>0.875</v>
      </c>
      <c r="CU121" s="935">
        <f t="shared" si="246"/>
        <v>3268395.9987494173</v>
      </c>
      <c r="CV121" s="1008">
        <f t="shared" si="247"/>
        <v>25339.839390114121</v>
      </c>
      <c r="CW121" s="1008">
        <f t="shared" si="248"/>
        <v>29377.267240169302</v>
      </c>
      <c r="CX121" s="1008">
        <f t="shared" si="249"/>
        <v>37948.848889903078</v>
      </c>
      <c r="CY121" s="1008">
        <f t="shared" si="250"/>
        <v>64718.158079721215</v>
      </c>
      <c r="CZ121" s="1119">
        <f t="shared" si="251"/>
        <v>265502.19562178856</v>
      </c>
      <c r="DA121" s="1119">
        <f t="shared" si="252"/>
        <v>105057.92547209254</v>
      </c>
      <c r="DB121" s="1119">
        <f t="shared" si="253"/>
        <v>75881.851612649523</v>
      </c>
      <c r="DC121" s="1119">
        <f t="shared" si="254"/>
        <v>57749.582497246884</v>
      </c>
      <c r="DD121" s="1028">
        <f t="shared" si="294"/>
        <v>0.47506481313832871</v>
      </c>
      <c r="DE121" s="1028">
        <f t="shared" si="341"/>
        <v>0</v>
      </c>
      <c r="DF121" s="1009" t="s">
        <v>270</v>
      </c>
      <c r="DG121" s="1009" t="s">
        <v>271</v>
      </c>
      <c r="DH121" s="966">
        <f t="shared" si="287"/>
        <v>45658</v>
      </c>
      <c r="DI121" s="912">
        <f t="shared" si="255"/>
        <v>14</v>
      </c>
      <c r="DJ121" s="939"/>
      <c r="DK121" s="913">
        <f t="shared" si="213"/>
        <v>45723</v>
      </c>
      <c r="DL121" s="912">
        <f t="shared" si="256"/>
        <v>16</v>
      </c>
      <c r="DM121" s="750" t="s">
        <v>272</v>
      </c>
      <c r="DN121" s="750" t="s">
        <v>273</v>
      </c>
      <c r="DO121" s="751">
        <f t="shared" si="214"/>
        <v>48370.235519538932</v>
      </c>
      <c r="DP121" s="751">
        <f t="shared" si="215"/>
        <v>1064145.1814298565</v>
      </c>
      <c r="DQ121" s="752">
        <f t="shared" si="295"/>
        <v>0.53207259071492818</v>
      </c>
      <c r="DR121" s="503"/>
      <c r="DS121" s="751">
        <f t="shared" si="296"/>
        <v>3283788.7585551445</v>
      </c>
      <c r="DT121" s="751">
        <f>'[4]INTERNAL PRICELIST'!N115</f>
        <v>2111900</v>
      </c>
      <c r="DU121" s="751">
        <f t="shared" si="216"/>
        <v>1171888.7585551445</v>
      </c>
      <c r="DV121" s="503"/>
      <c r="DW121" s="951">
        <f t="shared" si="297"/>
        <v>149263.12538887022</v>
      </c>
      <c r="DX121" s="503"/>
      <c r="DZ121" s="1010" t="s">
        <v>534</v>
      </c>
      <c r="EA121" s="1052" t="b">
        <f t="shared" si="217"/>
        <v>1</v>
      </c>
      <c r="EB121" s="1072" t="s">
        <v>535</v>
      </c>
      <c r="EC121" s="1072" t="s">
        <v>514</v>
      </c>
      <c r="ED121" s="503"/>
      <c r="EH121" s="930"/>
      <c r="EI121" s="930"/>
      <c r="EJ121" s="503"/>
      <c r="EK121" s="503"/>
      <c r="EL121" s="503"/>
      <c r="EM121" s="503"/>
      <c r="EN121" s="503"/>
      <c r="EO121" s="503"/>
      <c r="EP121" s="503"/>
      <c r="EQ121" s="503"/>
      <c r="ER121" s="1017" t="s">
        <v>264</v>
      </c>
      <c r="ES121" s="1391" t="s">
        <v>264</v>
      </c>
      <c r="ET121" s="1018" t="b">
        <f t="shared" si="257"/>
        <v>1</v>
      </c>
      <c r="EU121" s="940"/>
      <c r="EV121" s="941"/>
      <c r="EW121" s="940"/>
      <c r="EX121" s="1019">
        <v>3077494.136208632</v>
      </c>
      <c r="EY121" s="1019">
        <f t="shared" si="310"/>
        <v>461624.12043129478</v>
      </c>
      <c r="EZ121" s="1019">
        <f t="shared" si="311"/>
        <v>2615870.0157773374</v>
      </c>
      <c r="FA121" s="1019">
        <f t="shared" si="312"/>
        <v>307749.41362086323</v>
      </c>
      <c r="FB121" s="1019">
        <f t="shared" si="313"/>
        <v>2769744.7225877689</v>
      </c>
      <c r="FC121" s="1019">
        <f t="shared" si="314"/>
        <v>153874.70681043155</v>
      </c>
      <c r="FD121" s="1020"/>
      <c r="FE121" s="1021"/>
      <c r="FF121" s="1022">
        <f t="shared" si="315"/>
        <v>2615870.0157773374</v>
      </c>
      <c r="FG121" s="1022">
        <f t="shared" si="316"/>
        <v>222348.9513410737</v>
      </c>
      <c r="FH121" s="1022">
        <f t="shared" si="317"/>
        <v>111174.47567053685</v>
      </c>
      <c r="FI121" s="1023">
        <f t="shared" si="318"/>
        <v>2769744.7225877689</v>
      </c>
      <c r="FJ121" s="1023">
        <f t="shared" si="319"/>
        <v>235428.30141996036</v>
      </c>
      <c r="FK121" s="1023">
        <f t="shared" si="320"/>
        <v>117714.15070998018</v>
      </c>
      <c r="FL121" s="1019">
        <f t="shared" si="321"/>
        <v>13079.350078886666</v>
      </c>
      <c r="FM121" s="1019">
        <f t="shared" si="322"/>
        <v>6539.6750394433329</v>
      </c>
      <c r="FN121" s="1019" t="str">
        <f t="shared" si="323"/>
        <v>VS</v>
      </c>
      <c r="FO121" s="1019">
        <f t="shared" si="324"/>
        <v>27537.409960060559</v>
      </c>
      <c r="FP121" s="1019">
        <f t="shared" si="325"/>
        <v>-20997.734920617226</v>
      </c>
      <c r="FQ121" s="1021"/>
      <c r="FR121" s="1021"/>
      <c r="FS121" s="1020"/>
      <c r="FT121" s="503"/>
      <c r="FU121" s="956"/>
      <c r="FV121" s="503"/>
      <c r="FW121" s="503"/>
      <c r="FX121" s="1040"/>
      <c r="FY121" s="503"/>
      <c r="FZ121" s="503"/>
      <c r="GA121" s="503"/>
      <c r="GE121" s="503"/>
      <c r="GF121" s="1059"/>
      <c r="GG121" s="956"/>
      <c r="GH121" s="945"/>
      <c r="GI121" s="1024">
        <f t="shared" si="258"/>
        <v>3735309.7128564771</v>
      </c>
      <c r="GJ121" s="1025">
        <f t="shared" si="259"/>
        <v>0.125</v>
      </c>
      <c r="GK121" s="1024">
        <f t="shared" si="260"/>
        <v>466913.71410705964</v>
      </c>
      <c r="GL121" s="1024">
        <f t="shared" si="261"/>
        <v>30000</v>
      </c>
      <c r="GM121" s="1024">
        <f t="shared" si="262"/>
        <v>436913.71410705964</v>
      </c>
      <c r="GN121" s="1024">
        <f t="shared" si="263"/>
        <v>2</v>
      </c>
      <c r="GO121" s="1024">
        <f t="shared" si="264"/>
        <v>218456.85705352982</v>
      </c>
      <c r="GP121" s="1025">
        <f t="shared" si="265"/>
        <v>0.875</v>
      </c>
      <c r="GQ121" s="1024">
        <f t="shared" si="266"/>
        <v>3268395.9987494173</v>
      </c>
      <c r="GR121" s="1024">
        <f t="shared" si="267"/>
        <v>25339.839390114121</v>
      </c>
      <c r="GS121" s="1024">
        <f t="shared" si="268"/>
        <v>29377.267240169302</v>
      </c>
      <c r="GT121" s="1024">
        <f t="shared" si="269"/>
        <v>37948.848889903078</v>
      </c>
      <c r="GU121" s="1024">
        <f t="shared" si="270"/>
        <v>64718.158079721215</v>
      </c>
      <c r="GV121" s="945"/>
      <c r="GW121" s="1024">
        <f t="shared" si="271"/>
        <v>3735309.7128564771</v>
      </c>
      <c r="GX121" s="1025">
        <f t="shared" si="272"/>
        <v>0.125</v>
      </c>
      <c r="GY121" s="1024">
        <f t="shared" si="273"/>
        <v>466913.71410705964</v>
      </c>
      <c r="GZ121" s="1024">
        <f t="shared" si="274"/>
        <v>30000</v>
      </c>
      <c r="HA121" s="1024">
        <f t="shared" si="275"/>
        <v>436913.71410705964</v>
      </c>
      <c r="HB121" s="1026">
        <f t="shared" si="276"/>
        <v>25</v>
      </c>
      <c r="HC121" s="1009">
        <f t="shared" si="277"/>
        <v>17476.548564282384</v>
      </c>
      <c r="HD121" s="1027">
        <f t="shared" si="278"/>
        <v>0.875</v>
      </c>
      <c r="HE121" s="1009">
        <f t="shared" si="279"/>
        <v>3268395.9987494173</v>
      </c>
      <c r="HF121" s="1008">
        <f t="shared" si="280"/>
        <v>25339.839390114121</v>
      </c>
      <c r="HG121" s="1008">
        <f t="shared" si="281"/>
        <v>29377.267240169302</v>
      </c>
      <c r="HH121" s="1008">
        <f t="shared" si="282"/>
        <v>37948.848889903078</v>
      </c>
      <c r="HI121" s="1008">
        <f t="shared" si="283"/>
        <v>64718.158079721215</v>
      </c>
      <c r="HJ121" s="945"/>
      <c r="HK121" s="1009">
        <f t="shared" si="284"/>
        <v>-200980.30848924743</v>
      </c>
      <c r="HL121" s="503"/>
      <c r="HM121" s="503"/>
      <c r="HN121" s="503"/>
      <c r="HO121" s="503"/>
      <c r="HP121" s="503"/>
      <c r="HQ121" s="503"/>
      <c r="HR121" s="956">
        <f t="shared" si="285"/>
        <v>0</v>
      </c>
      <c r="HS121" s="503"/>
      <c r="HT121" s="503"/>
      <c r="HU121" s="956"/>
      <c r="HV121" s="503"/>
      <c r="HW121" s="956"/>
      <c r="HX121" s="956"/>
      <c r="HY121" s="503"/>
      <c r="HZ121" s="503"/>
      <c r="IA121" s="503"/>
      <c r="ID121" s="1394"/>
    </row>
    <row r="122" spans="1:238" s="1051" customFormat="1" ht="14.25" hidden="1" customHeight="1">
      <c r="A122" s="1018">
        <f t="shared" si="326"/>
        <v>116</v>
      </c>
      <c r="B122" s="716" t="s">
        <v>264</v>
      </c>
      <c r="C122" s="741">
        <f t="shared" si="350"/>
        <v>14</v>
      </c>
      <c r="D122" s="716" t="s">
        <v>281</v>
      </c>
      <c r="E122" s="743" t="str">
        <f t="shared" si="352"/>
        <v>8th Floor</v>
      </c>
      <c r="F122" s="1048"/>
      <c r="G122" s="745" t="s">
        <v>536</v>
      </c>
      <c r="H122" s="745" t="s">
        <v>338</v>
      </c>
      <c r="I122" s="745" t="s">
        <v>267</v>
      </c>
      <c r="J122" s="1005">
        <v>22</v>
      </c>
      <c r="K122" s="1049"/>
      <c r="L122" s="1006" t="s">
        <v>268</v>
      </c>
      <c r="M122" s="745" t="s">
        <v>79</v>
      </c>
      <c r="N122" s="1050">
        <v>95909.091</v>
      </c>
      <c r="O122" s="934">
        <f t="shared" si="298"/>
        <v>2110000.0019999999</v>
      </c>
      <c r="P122" s="934">
        <f t="shared" si="327"/>
        <v>22400</v>
      </c>
      <c r="Q122" s="934">
        <f t="shared" si="293"/>
        <v>50000</v>
      </c>
      <c r="R122" s="934"/>
      <c r="S122" s="934"/>
      <c r="T122" s="934">
        <f t="shared" si="346"/>
        <v>66000</v>
      </c>
      <c r="U122" s="934"/>
      <c r="V122" s="934"/>
      <c r="W122" s="749"/>
      <c r="X122" s="934"/>
      <c r="Y122" s="934">
        <f t="shared" si="351"/>
        <v>80000</v>
      </c>
      <c r="Z122" s="934">
        <f t="shared" si="299"/>
        <v>75000</v>
      </c>
      <c r="AA122" s="934"/>
      <c r="AB122" s="934"/>
      <c r="AC122" s="934"/>
      <c r="AD122" s="934"/>
      <c r="AE122" s="934">
        <f t="shared" si="199"/>
        <v>293400</v>
      </c>
      <c r="AF122" s="1005">
        <f t="shared" si="200"/>
        <v>2403400.0019999999</v>
      </c>
      <c r="AG122" s="1005">
        <f t="shared" si="220"/>
        <v>60085.000050000002</v>
      </c>
      <c r="AH122" s="1005">
        <f t="shared" si="221"/>
        <v>2463485.0020499998</v>
      </c>
      <c r="AI122" s="1005">
        <f t="shared" si="222"/>
        <v>61587.125051249997</v>
      </c>
      <c r="AJ122" s="1005">
        <f t="shared" si="223"/>
        <v>2525072.12710125</v>
      </c>
      <c r="AK122" s="1005">
        <f t="shared" si="224"/>
        <v>126253.60635506251</v>
      </c>
      <c r="AL122" s="1005">
        <f t="shared" si="300"/>
        <v>2651325.7334563127</v>
      </c>
      <c r="AM122" s="934">
        <f t="shared" si="225"/>
        <v>26513.257334563128</v>
      </c>
      <c r="AN122" s="934">
        <f t="shared" si="226"/>
        <v>27537.409960060559</v>
      </c>
      <c r="AO122" s="934"/>
      <c r="AP122" s="934">
        <f t="shared" si="301"/>
        <v>117714.15070998018</v>
      </c>
      <c r="AQ122" s="1005">
        <f t="shared" si="201"/>
        <v>2823090.5514609162</v>
      </c>
      <c r="AR122" s="1005">
        <f t="shared" si="227"/>
        <v>127039.07481574122</v>
      </c>
      <c r="AS122" s="1147">
        <f t="shared" si="228"/>
        <v>2950129.6262766575</v>
      </c>
      <c r="AT122" s="1148">
        <f t="shared" si="348"/>
        <v>2000000</v>
      </c>
      <c r="AU122" s="1148">
        <f t="shared" si="353"/>
        <v>43187.710285302608</v>
      </c>
      <c r="AV122" s="1148">
        <f t="shared" si="303"/>
        <v>950129.62627665745</v>
      </c>
      <c r="AW122" s="1148">
        <f t="shared" si="203"/>
        <v>114015.55515319889</v>
      </c>
      <c r="AX122" s="1148">
        <f t="shared" si="204"/>
        <v>1064145.1814298565</v>
      </c>
      <c r="AY122" s="1147">
        <f t="shared" si="229"/>
        <v>3064145.1814298565</v>
      </c>
      <c r="AZ122" s="934">
        <f t="shared" si="230"/>
        <v>38301.814767873206</v>
      </c>
      <c r="BA122" s="716" t="s">
        <v>269</v>
      </c>
      <c r="BB122" s="716">
        <f t="shared" si="343"/>
        <v>3102446.9961977298</v>
      </c>
      <c r="BC122" s="716" t="s">
        <v>269</v>
      </c>
      <c r="BD122" s="716">
        <f t="shared" si="231"/>
        <v>116341.76235741486</v>
      </c>
      <c r="BE122" s="716">
        <f t="shared" si="232"/>
        <v>33600</v>
      </c>
      <c r="BF122" s="716">
        <f t="shared" si="233"/>
        <v>3252388.7585551445</v>
      </c>
      <c r="BG122" s="716"/>
      <c r="BH122" s="716">
        <f t="shared" si="234"/>
        <v>3252388.7585551445</v>
      </c>
      <c r="BI122" s="716"/>
      <c r="BJ122" s="716">
        <f t="shared" si="235"/>
        <v>3252388.7585551445</v>
      </c>
      <c r="BK122" s="716"/>
      <c r="BL122" s="716">
        <f t="shared" si="236"/>
        <v>3252388.7585551445</v>
      </c>
      <c r="BM122" s="716"/>
      <c r="BN122" s="716">
        <f t="shared" si="206"/>
        <v>3252388.7585551445</v>
      </c>
      <c r="BO122" s="716"/>
      <c r="BP122" s="716">
        <f t="shared" si="237"/>
        <v>3252388.7585551445</v>
      </c>
      <c r="BQ122" s="716"/>
      <c r="BR122" s="716">
        <f t="shared" si="238"/>
        <v>3252388.7585551445</v>
      </c>
      <c r="BS122" s="716"/>
      <c r="BT122" s="716">
        <f t="shared" si="239"/>
        <v>3252388.7585551445</v>
      </c>
      <c r="BU122" s="716"/>
      <c r="BV122" s="716">
        <f t="shared" si="207"/>
        <v>3252388.7585551445</v>
      </c>
      <c r="BW122" s="716"/>
      <c r="BX122" s="716">
        <f t="shared" si="329"/>
        <v>31400</v>
      </c>
      <c r="BY122" s="716">
        <f t="shared" si="240"/>
        <v>3283788.7585551445</v>
      </c>
      <c r="BZ122" s="716"/>
      <c r="CA122" s="716">
        <f t="shared" si="241"/>
        <v>3283788.7585551445</v>
      </c>
      <c r="CB122" s="1135">
        <f t="shared" si="242"/>
        <v>3283788.7585551445</v>
      </c>
      <c r="CC122" s="1164">
        <f t="shared" si="286"/>
        <v>3283788.7585551445</v>
      </c>
      <c r="CD122" s="1164"/>
      <c r="CE122" s="1164">
        <f t="shared" si="243"/>
        <v>0</v>
      </c>
      <c r="CF122" s="1164">
        <f t="shared" si="291"/>
        <v>0</v>
      </c>
      <c r="CG122" s="1164">
        <f t="shared" si="292"/>
        <v>0</v>
      </c>
      <c r="CH122" s="1154">
        <f t="shared" si="339"/>
        <v>3283788.7585551445</v>
      </c>
      <c r="CI122" s="935">
        <f t="shared" si="340"/>
        <v>3283788.7585551445</v>
      </c>
      <c r="CJ122" s="935">
        <f t="shared" si="244"/>
        <v>0</v>
      </c>
      <c r="CK122" s="935">
        <f t="shared" si="208"/>
        <v>336588.3477519023</v>
      </c>
      <c r="CL122" s="935">
        <f t="shared" si="209"/>
        <v>114932.60654943007</v>
      </c>
      <c r="CM122" s="1006">
        <f t="shared" si="306"/>
        <v>3735309.7128564771</v>
      </c>
      <c r="CN122" s="1007">
        <f t="shared" si="307"/>
        <v>0.125</v>
      </c>
      <c r="CO122" s="935">
        <f t="shared" si="210"/>
        <v>466913.71410705964</v>
      </c>
      <c r="CP122" s="935">
        <f t="shared" si="330"/>
        <v>30000</v>
      </c>
      <c r="CQ122" s="935">
        <f t="shared" si="211"/>
        <v>436913.71410705964</v>
      </c>
      <c r="CR122" s="745">
        <f t="shared" si="308"/>
        <v>2</v>
      </c>
      <c r="CS122" s="935">
        <f t="shared" si="212"/>
        <v>218456.85705352982</v>
      </c>
      <c r="CT122" s="1007">
        <f t="shared" si="245"/>
        <v>0.875</v>
      </c>
      <c r="CU122" s="935">
        <f t="shared" si="246"/>
        <v>3268395.9987494173</v>
      </c>
      <c r="CV122" s="1008">
        <f t="shared" si="247"/>
        <v>25339.839390114121</v>
      </c>
      <c r="CW122" s="1008">
        <f t="shared" si="248"/>
        <v>29377.267240169302</v>
      </c>
      <c r="CX122" s="1008">
        <f t="shared" si="249"/>
        <v>37948.848889903078</v>
      </c>
      <c r="CY122" s="1008">
        <f t="shared" si="250"/>
        <v>64718.158079721215</v>
      </c>
      <c r="CZ122" s="1119">
        <f t="shared" si="251"/>
        <v>265502.19562178856</v>
      </c>
      <c r="DA122" s="1119">
        <f t="shared" si="252"/>
        <v>105057.92547209254</v>
      </c>
      <c r="DB122" s="1119">
        <f t="shared" si="253"/>
        <v>75881.851612649523</v>
      </c>
      <c r="DC122" s="1119">
        <f t="shared" si="254"/>
        <v>57749.582497246884</v>
      </c>
      <c r="DD122" s="1028">
        <f t="shared" si="294"/>
        <v>0.47506481313832871</v>
      </c>
      <c r="DE122" s="1028">
        <f t="shared" si="341"/>
        <v>0</v>
      </c>
      <c r="DF122" s="1009" t="s">
        <v>270</v>
      </c>
      <c r="DG122" s="1009" t="s">
        <v>271</v>
      </c>
      <c r="DH122" s="966">
        <f t="shared" si="287"/>
        <v>45658</v>
      </c>
      <c r="DI122" s="912">
        <f t="shared" si="255"/>
        <v>14</v>
      </c>
      <c r="DJ122" s="939"/>
      <c r="DK122" s="913">
        <f t="shared" si="213"/>
        <v>45723</v>
      </c>
      <c r="DL122" s="912">
        <f t="shared" si="256"/>
        <v>16</v>
      </c>
      <c r="DM122" s="750" t="s">
        <v>272</v>
      </c>
      <c r="DN122" s="750" t="s">
        <v>273</v>
      </c>
      <c r="DO122" s="751">
        <f t="shared" si="214"/>
        <v>48370.235519538932</v>
      </c>
      <c r="DP122" s="751">
        <f t="shared" si="215"/>
        <v>1064145.1814298565</v>
      </c>
      <c r="DQ122" s="752">
        <f t="shared" si="295"/>
        <v>0.53207259071492818</v>
      </c>
      <c r="DR122" s="503"/>
      <c r="DS122" s="751">
        <f t="shared" si="296"/>
        <v>3283788.7585551445</v>
      </c>
      <c r="DT122" s="751">
        <f>'[4]INTERNAL PRICELIST'!N116</f>
        <v>2111900</v>
      </c>
      <c r="DU122" s="751">
        <f t="shared" si="216"/>
        <v>1171888.7585551445</v>
      </c>
      <c r="DV122" s="503"/>
      <c r="DW122" s="951">
        <f t="shared" si="297"/>
        <v>149263.12538887022</v>
      </c>
      <c r="DX122" s="503"/>
      <c r="DZ122" s="1010" t="s">
        <v>536</v>
      </c>
      <c r="EA122" s="1052" t="b">
        <f t="shared" si="217"/>
        <v>1</v>
      </c>
      <c r="EB122" s="1072" t="s">
        <v>537</v>
      </c>
      <c r="EC122" s="1072" t="s">
        <v>514</v>
      </c>
      <c r="ED122" s="503"/>
      <c r="EH122" s="930"/>
      <c r="EI122" s="930"/>
      <c r="EJ122" s="503"/>
      <c r="EK122" s="503"/>
      <c r="EL122" s="503"/>
      <c r="EM122" s="503"/>
      <c r="EN122" s="503"/>
      <c r="EO122" s="503"/>
      <c r="EP122" s="503"/>
      <c r="EQ122" s="503"/>
      <c r="ER122" s="1017" t="s">
        <v>264</v>
      </c>
      <c r="ES122" s="1391" t="s">
        <v>264</v>
      </c>
      <c r="ET122" s="1018" t="b">
        <f t="shared" si="257"/>
        <v>1</v>
      </c>
      <c r="EU122" s="940"/>
      <c r="EV122" s="941"/>
      <c r="EW122" s="940"/>
      <c r="EX122" s="1019">
        <v>3077494.136208632</v>
      </c>
      <c r="EY122" s="1019">
        <f t="shared" si="310"/>
        <v>461624.12043129478</v>
      </c>
      <c r="EZ122" s="1019">
        <f t="shared" si="311"/>
        <v>2615870.0157773374</v>
      </c>
      <c r="FA122" s="1019">
        <f t="shared" si="312"/>
        <v>307749.41362086323</v>
      </c>
      <c r="FB122" s="1019">
        <f t="shared" si="313"/>
        <v>2769744.7225877689</v>
      </c>
      <c r="FC122" s="1019">
        <f t="shared" si="314"/>
        <v>153874.70681043155</v>
      </c>
      <c r="FD122" s="1020"/>
      <c r="FE122" s="1021"/>
      <c r="FF122" s="1022">
        <f t="shared" si="315"/>
        <v>2615870.0157773374</v>
      </c>
      <c r="FG122" s="1022">
        <f t="shared" si="316"/>
        <v>222348.9513410737</v>
      </c>
      <c r="FH122" s="1022">
        <f t="shared" si="317"/>
        <v>111174.47567053685</v>
      </c>
      <c r="FI122" s="1023">
        <f t="shared" si="318"/>
        <v>2769744.7225877689</v>
      </c>
      <c r="FJ122" s="1023">
        <f t="shared" si="319"/>
        <v>235428.30141996036</v>
      </c>
      <c r="FK122" s="1023">
        <f t="shared" si="320"/>
        <v>117714.15070998018</v>
      </c>
      <c r="FL122" s="1019">
        <f t="shared" si="321"/>
        <v>13079.350078886666</v>
      </c>
      <c r="FM122" s="1019">
        <f t="shared" si="322"/>
        <v>6539.6750394433329</v>
      </c>
      <c r="FN122" s="1019" t="str">
        <f t="shared" si="323"/>
        <v>VS</v>
      </c>
      <c r="FO122" s="1019">
        <f t="shared" si="324"/>
        <v>27537.409960060559</v>
      </c>
      <c r="FP122" s="1019">
        <f t="shared" si="325"/>
        <v>-20997.734920617226</v>
      </c>
      <c r="FQ122" s="1021"/>
      <c r="FR122" s="1021"/>
      <c r="FS122" s="1020"/>
      <c r="FT122" s="503"/>
      <c r="FU122" s="956"/>
      <c r="FV122" s="503"/>
      <c r="FW122" s="503"/>
      <c r="FX122" s="1040"/>
      <c r="FY122" s="503"/>
      <c r="FZ122" s="503"/>
      <c r="GA122" s="503"/>
      <c r="GE122" s="503"/>
      <c r="GF122" s="1059"/>
      <c r="GG122" s="956"/>
      <c r="GH122" s="945"/>
      <c r="GI122" s="1024">
        <f t="shared" si="258"/>
        <v>3735309.7128564771</v>
      </c>
      <c r="GJ122" s="1025">
        <f t="shared" si="259"/>
        <v>0.125</v>
      </c>
      <c r="GK122" s="1024">
        <f t="shared" si="260"/>
        <v>466913.71410705964</v>
      </c>
      <c r="GL122" s="1024">
        <f t="shared" si="261"/>
        <v>30000</v>
      </c>
      <c r="GM122" s="1024">
        <f t="shared" si="262"/>
        <v>436913.71410705964</v>
      </c>
      <c r="GN122" s="1024">
        <f t="shared" si="263"/>
        <v>2</v>
      </c>
      <c r="GO122" s="1024">
        <f t="shared" si="264"/>
        <v>218456.85705352982</v>
      </c>
      <c r="GP122" s="1025">
        <f t="shared" si="265"/>
        <v>0.875</v>
      </c>
      <c r="GQ122" s="1024">
        <f t="shared" si="266"/>
        <v>3268395.9987494173</v>
      </c>
      <c r="GR122" s="1024">
        <f t="shared" si="267"/>
        <v>25339.839390114121</v>
      </c>
      <c r="GS122" s="1024">
        <f t="shared" si="268"/>
        <v>29377.267240169302</v>
      </c>
      <c r="GT122" s="1024">
        <f t="shared" si="269"/>
        <v>37948.848889903078</v>
      </c>
      <c r="GU122" s="1024">
        <f t="shared" si="270"/>
        <v>64718.158079721215</v>
      </c>
      <c r="GV122" s="945"/>
      <c r="GW122" s="1024">
        <f t="shared" si="271"/>
        <v>3735309.7128564771</v>
      </c>
      <c r="GX122" s="1025">
        <f t="shared" si="272"/>
        <v>0.125</v>
      </c>
      <c r="GY122" s="1024">
        <f t="shared" si="273"/>
        <v>466913.71410705964</v>
      </c>
      <c r="GZ122" s="1024">
        <f t="shared" si="274"/>
        <v>30000</v>
      </c>
      <c r="HA122" s="1024">
        <f t="shared" si="275"/>
        <v>436913.71410705964</v>
      </c>
      <c r="HB122" s="1026">
        <f t="shared" si="276"/>
        <v>25</v>
      </c>
      <c r="HC122" s="1009">
        <f t="shared" si="277"/>
        <v>17476.548564282384</v>
      </c>
      <c r="HD122" s="1027">
        <f t="shared" si="278"/>
        <v>0.875</v>
      </c>
      <c r="HE122" s="1009">
        <f t="shared" si="279"/>
        <v>3268395.9987494173</v>
      </c>
      <c r="HF122" s="1008">
        <f t="shared" si="280"/>
        <v>25339.839390114121</v>
      </c>
      <c r="HG122" s="1008">
        <f t="shared" si="281"/>
        <v>29377.267240169302</v>
      </c>
      <c r="HH122" s="1008">
        <f t="shared" si="282"/>
        <v>37948.848889903078</v>
      </c>
      <c r="HI122" s="1008">
        <f t="shared" si="283"/>
        <v>64718.158079721215</v>
      </c>
      <c r="HJ122" s="945"/>
      <c r="HK122" s="1009">
        <f t="shared" si="284"/>
        <v>-200980.30848924743</v>
      </c>
      <c r="HL122" s="503"/>
      <c r="HM122" s="503"/>
      <c r="HN122" s="503"/>
      <c r="HO122" s="503"/>
      <c r="HP122" s="503"/>
      <c r="HQ122" s="503"/>
      <c r="HR122" s="956">
        <f t="shared" si="285"/>
        <v>0</v>
      </c>
      <c r="HS122" s="503"/>
      <c r="HT122" s="503"/>
      <c r="HU122" s="956"/>
      <c r="HV122" s="503"/>
      <c r="HW122" s="956"/>
      <c r="HX122" s="956"/>
      <c r="HY122" s="503"/>
      <c r="HZ122" s="503"/>
      <c r="IA122" s="503"/>
      <c r="ID122" s="1394"/>
    </row>
    <row r="123" spans="1:238" s="1051" customFormat="1" ht="14.25" hidden="1" customHeight="1">
      <c r="A123" s="1018">
        <f t="shared" si="326"/>
        <v>117</v>
      </c>
      <c r="B123" s="716" t="s">
        <v>264</v>
      </c>
      <c r="C123" s="741">
        <f t="shared" si="350"/>
        <v>15</v>
      </c>
      <c r="D123" s="716" t="s">
        <v>281</v>
      </c>
      <c r="E123" s="743" t="str">
        <f t="shared" si="352"/>
        <v>8th Floor</v>
      </c>
      <c r="F123" s="1048"/>
      <c r="G123" s="745" t="s">
        <v>538</v>
      </c>
      <c r="H123" s="745" t="s">
        <v>342</v>
      </c>
      <c r="I123" s="745" t="s">
        <v>267</v>
      </c>
      <c r="J123" s="1005">
        <v>22</v>
      </c>
      <c r="K123" s="1049"/>
      <c r="L123" s="1006" t="s">
        <v>268</v>
      </c>
      <c r="M123" s="745" t="s">
        <v>79</v>
      </c>
      <c r="N123" s="1050">
        <v>95909.091</v>
      </c>
      <c r="O123" s="934">
        <f t="shared" si="298"/>
        <v>2110000.0019999999</v>
      </c>
      <c r="P123" s="934">
        <f t="shared" si="327"/>
        <v>22400</v>
      </c>
      <c r="Q123" s="934">
        <f t="shared" si="293"/>
        <v>50000</v>
      </c>
      <c r="R123" s="934"/>
      <c r="S123" s="934"/>
      <c r="T123" s="934">
        <f t="shared" si="346"/>
        <v>66000</v>
      </c>
      <c r="U123" s="934"/>
      <c r="V123" s="934"/>
      <c r="W123" s="749"/>
      <c r="X123" s="934"/>
      <c r="Y123" s="934">
        <f t="shared" si="351"/>
        <v>80000</v>
      </c>
      <c r="Z123" s="934">
        <f t="shared" si="299"/>
        <v>75000</v>
      </c>
      <c r="AA123" s="934"/>
      <c r="AB123" s="934"/>
      <c r="AC123" s="934"/>
      <c r="AD123" s="934"/>
      <c r="AE123" s="934">
        <f t="shared" si="199"/>
        <v>293400</v>
      </c>
      <c r="AF123" s="1005">
        <f t="shared" si="200"/>
        <v>2403400.0019999999</v>
      </c>
      <c r="AG123" s="1005">
        <f t="shared" si="220"/>
        <v>60085.000050000002</v>
      </c>
      <c r="AH123" s="1005">
        <f t="shared" si="221"/>
        <v>2463485.0020499998</v>
      </c>
      <c r="AI123" s="1005">
        <f t="shared" si="222"/>
        <v>61587.125051249997</v>
      </c>
      <c r="AJ123" s="1005">
        <f t="shared" si="223"/>
        <v>2525072.12710125</v>
      </c>
      <c r="AK123" s="1005">
        <f t="shared" si="224"/>
        <v>126253.60635506251</v>
      </c>
      <c r="AL123" s="1005">
        <f t="shared" si="300"/>
        <v>2651325.7334563127</v>
      </c>
      <c r="AM123" s="934">
        <f t="shared" si="225"/>
        <v>26513.257334563128</v>
      </c>
      <c r="AN123" s="934">
        <f t="shared" si="226"/>
        <v>27537.409960060559</v>
      </c>
      <c r="AO123" s="934"/>
      <c r="AP123" s="934">
        <f t="shared" si="301"/>
        <v>117714.15070998018</v>
      </c>
      <c r="AQ123" s="1005">
        <f t="shared" si="201"/>
        <v>2823090.5514609162</v>
      </c>
      <c r="AR123" s="1005">
        <f t="shared" si="227"/>
        <v>127039.07481574122</v>
      </c>
      <c r="AS123" s="1147">
        <f t="shared" si="228"/>
        <v>2950129.6262766575</v>
      </c>
      <c r="AT123" s="1148">
        <f t="shared" si="348"/>
        <v>2000000</v>
      </c>
      <c r="AU123" s="1148">
        <f t="shared" si="353"/>
        <v>43187.710285302608</v>
      </c>
      <c r="AV123" s="1148">
        <f t="shared" si="303"/>
        <v>950129.62627665745</v>
      </c>
      <c r="AW123" s="1148">
        <f t="shared" si="203"/>
        <v>114015.55515319889</v>
      </c>
      <c r="AX123" s="1148">
        <f t="shared" si="204"/>
        <v>1064145.1814298565</v>
      </c>
      <c r="AY123" s="1147">
        <f t="shared" si="229"/>
        <v>3064145.1814298565</v>
      </c>
      <c r="AZ123" s="934">
        <f t="shared" si="230"/>
        <v>38301.814767873206</v>
      </c>
      <c r="BA123" s="716" t="s">
        <v>269</v>
      </c>
      <c r="BB123" s="716">
        <f t="shared" si="343"/>
        <v>3102446.9961977298</v>
      </c>
      <c r="BC123" s="716" t="s">
        <v>269</v>
      </c>
      <c r="BD123" s="716">
        <f t="shared" si="231"/>
        <v>116341.76235741486</v>
      </c>
      <c r="BE123" s="716">
        <f t="shared" si="232"/>
        <v>33600</v>
      </c>
      <c r="BF123" s="716">
        <f t="shared" si="233"/>
        <v>3252388.7585551445</v>
      </c>
      <c r="BG123" s="716"/>
      <c r="BH123" s="716">
        <f t="shared" si="234"/>
        <v>3252388.7585551445</v>
      </c>
      <c r="BI123" s="716"/>
      <c r="BJ123" s="716">
        <f t="shared" si="235"/>
        <v>3252388.7585551445</v>
      </c>
      <c r="BK123" s="716"/>
      <c r="BL123" s="716">
        <f t="shared" si="236"/>
        <v>3252388.7585551445</v>
      </c>
      <c r="BM123" s="716"/>
      <c r="BN123" s="716">
        <f t="shared" si="206"/>
        <v>3252388.7585551445</v>
      </c>
      <c r="BO123" s="716"/>
      <c r="BP123" s="716">
        <f t="shared" si="237"/>
        <v>3252388.7585551445</v>
      </c>
      <c r="BQ123" s="716"/>
      <c r="BR123" s="716">
        <f t="shared" si="238"/>
        <v>3252388.7585551445</v>
      </c>
      <c r="BS123" s="716"/>
      <c r="BT123" s="716">
        <f t="shared" si="239"/>
        <v>3252388.7585551445</v>
      </c>
      <c r="BU123" s="716"/>
      <c r="BV123" s="716">
        <f t="shared" si="207"/>
        <v>3252388.7585551445</v>
      </c>
      <c r="BW123" s="716"/>
      <c r="BX123" s="716">
        <f t="shared" si="329"/>
        <v>31400</v>
      </c>
      <c r="BY123" s="716">
        <f t="shared" si="240"/>
        <v>3283788.7585551445</v>
      </c>
      <c r="BZ123" s="716"/>
      <c r="CA123" s="716">
        <f t="shared" si="241"/>
        <v>3283788.7585551445</v>
      </c>
      <c r="CB123" s="1135">
        <f t="shared" si="242"/>
        <v>3283788.7585551445</v>
      </c>
      <c r="CC123" s="1164">
        <f t="shared" si="286"/>
        <v>3283788.7585551445</v>
      </c>
      <c r="CD123" s="1164"/>
      <c r="CE123" s="1164">
        <f t="shared" si="243"/>
        <v>0</v>
      </c>
      <c r="CF123" s="1164">
        <f t="shared" si="291"/>
        <v>0</v>
      </c>
      <c r="CG123" s="1164">
        <f t="shared" si="292"/>
        <v>0</v>
      </c>
      <c r="CH123" s="1154">
        <f t="shared" si="339"/>
        <v>3283788.7585551445</v>
      </c>
      <c r="CI123" s="935">
        <f t="shared" si="340"/>
        <v>3283788.7585551445</v>
      </c>
      <c r="CJ123" s="935">
        <f t="shared" si="244"/>
        <v>0</v>
      </c>
      <c r="CK123" s="935">
        <f t="shared" si="208"/>
        <v>336588.3477519023</v>
      </c>
      <c r="CL123" s="935">
        <f t="shared" si="209"/>
        <v>114932.60654943007</v>
      </c>
      <c r="CM123" s="1006">
        <f t="shared" si="306"/>
        <v>3735309.7128564771</v>
      </c>
      <c r="CN123" s="1007">
        <f t="shared" si="307"/>
        <v>0.125</v>
      </c>
      <c r="CO123" s="935">
        <f t="shared" si="210"/>
        <v>466913.71410705964</v>
      </c>
      <c r="CP123" s="935">
        <f t="shared" si="330"/>
        <v>30000</v>
      </c>
      <c r="CQ123" s="935">
        <f t="shared" si="211"/>
        <v>436913.71410705964</v>
      </c>
      <c r="CR123" s="745">
        <f t="shared" si="308"/>
        <v>2</v>
      </c>
      <c r="CS123" s="935">
        <f t="shared" si="212"/>
        <v>218456.85705352982</v>
      </c>
      <c r="CT123" s="1007">
        <f t="shared" si="245"/>
        <v>0.875</v>
      </c>
      <c r="CU123" s="935">
        <f t="shared" si="246"/>
        <v>3268395.9987494173</v>
      </c>
      <c r="CV123" s="1008">
        <f t="shared" si="247"/>
        <v>25339.839390114121</v>
      </c>
      <c r="CW123" s="1008">
        <f t="shared" si="248"/>
        <v>29377.267240169302</v>
      </c>
      <c r="CX123" s="1008">
        <f t="shared" si="249"/>
        <v>37948.848889903078</v>
      </c>
      <c r="CY123" s="1008">
        <f t="shared" si="250"/>
        <v>64718.158079721215</v>
      </c>
      <c r="CZ123" s="1119">
        <f t="shared" si="251"/>
        <v>265502.19562178856</v>
      </c>
      <c r="DA123" s="1119">
        <f t="shared" si="252"/>
        <v>105057.92547209254</v>
      </c>
      <c r="DB123" s="1119">
        <f t="shared" si="253"/>
        <v>75881.851612649523</v>
      </c>
      <c r="DC123" s="1119">
        <f t="shared" si="254"/>
        <v>57749.582497246884</v>
      </c>
      <c r="DD123" s="1028">
        <f t="shared" si="294"/>
        <v>0.47506481313832871</v>
      </c>
      <c r="DE123" s="1028">
        <f t="shared" si="341"/>
        <v>0</v>
      </c>
      <c r="DF123" s="1009" t="s">
        <v>270</v>
      </c>
      <c r="DG123" s="1009" t="s">
        <v>271</v>
      </c>
      <c r="DH123" s="966">
        <f t="shared" si="287"/>
        <v>45658</v>
      </c>
      <c r="DI123" s="912">
        <f t="shared" si="255"/>
        <v>14</v>
      </c>
      <c r="DJ123" s="939"/>
      <c r="DK123" s="913">
        <f t="shared" si="213"/>
        <v>45723</v>
      </c>
      <c r="DL123" s="912">
        <f t="shared" si="256"/>
        <v>16</v>
      </c>
      <c r="DM123" s="750" t="s">
        <v>272</v>
      </c>
      <c r="DN123" s="750" t="s">
        <v>273</v>
      </c>
      <c r="DO123" s="751">
        <f t="shared" si="214"/>
        <v>48370.235519538932</v>
      </c>
      <c r="DP123" s="751">
        <f t="shared" si="215"/>
        <v>1064145.1814298565</v>
      </c>
      <c r="DQ123" s="752">
        <f t="shared" si="295"/>
        <v>0.53207259071492818</v>
      </c>
      <c r="DR123" s="503"/>
      <c r="DS123" s="751">
        <f t="shared" si="296"/>
        <v>3283788.7585551445</v>
      </c>
      <c r="DT123" s="751">
        <f>'[4]INTERNAL PRICELIST'!N117</f>
        <v>2111900</v>
      </c>
      <c r="DU123" s="751">
        <f t="shared" si="216"/>
        <v>1171888.7585551445</v>
      </c>
      <c r="DV123" s="503"/>
      <c r="DW123" s="951">
        <f t="shared" si="297"/>
        <v>149263.12538887022</v>
      </c>
      <c r="DX123" s="503"/>
      <c r="DZ123" s="1010" t="s">
        <v>538</v>
      </c>
      <c r="EA123" s="1052" t="b">
        <f t="shared" si="217"/>
        <v>1</v>
      </c>
      <c r="EB123" s="1072" t="s">
        <v>539</v>
      </c>
      <c r="EC123" s="1072" t="s">
        <v>514</v>
      </c>
      <c r="ED123" s="503"/>
      <c r="EH123" s="930"/>
      <c r="EI123" s="930"/>
      <c r="EJ123" s="503"/>
      <c r="EK123" s="503"/>
      <c r="EL123" s="503"/>
      <c r="EM123" s="503"/>
      <c r="EN123" s="503"/>
      <c r="EO123" s="503"/>
      <c r="EP123" s="503"/>
      <c r="EQ123" s="503"/>
      <c r="ER123" s="1017" t="s">
        <v>264</v>
      </c>
      <c r="ES123" s="1391" t="s">
        <v>264</v>
      </c>
      <c r="ET123" s="1018" t="b">
        <f t="shared" si="257"/>
        <v>1</v>
      </c>
      <c r="EU123" s="940"/>
      <c r="EV123" s="941"/>
      <c r="EW123" s="940"/>
      <c r="EX123" s="1019">
        <v>3077494.136208632</v>
      </c>
      <c r="EY123" s="1019">
        <f t="shared" si="310"/>
        <v>461624.12043129478</v>
      </c>
      <c r="EZ123" s="1019">
        <f t="shared" si="311"/>
        <v>2615870.0157773374</v>
      </c>
      <c r="FA123" s="1019">
        <f t="shared" si="312"/>
        <v>307749.41362086323</v>
      </c>
      <c r="FB123" s="1019">
        <f t="shared" si="313"/>
        <v>2769744.7225877689</v>
      </c>
      <c r="FC123" s="1019">
        <f t="shared" si="314"/>
        <v>153874.70681043155</v>
      </c>
      <c r="FD123" s="1020"/>
      <c r="FE123" s="1021"/>
      <c r="FF123" s="1022">
        <f t="shared" si="315"/>
        <v>2615870.0157773374</v>
      </c>
      <c r="FG123" s="1022">
        <f t="shared" si="316"/>
        <v>222348.9513410737</v>
      </c>
      <c r="FH123" s="1022">
        <f t="shared" si="317"/>
        <v>111174.47567053685</v>
      </c>
      <c r="FI123" s="1023">
        <f t="shared" si="318"/>
        <v>2769744.7225877689</v>
      </c>
      <c r="FJ123" s="1023">
        <f t="shared" si="319"/>
        <v>235428.30141996036</v>
      </c>
      <c r="FK123" s="1023">
        <f t="shared" si="320"/>
        <v>117714.15070998018</v>
      </c>
      <c r="FL123" s="1019">
        <f t="shared" si="321"/>
        <v>13079.350078886666</v>
      </c>
      <c r="FM123" s="1019">
        <f t="shared" si="322"/>
        <v>6539.6750394433329</v>
      </c>
      <c r="FN123" s="1019" t="str">
        <f t="shared" si="323"/>
        <v>VS</v>
      </c>
      <c r="FO123" s="1019">
        <f t="shared" si="324"/>
        <v>27537.409960060559</v>
      </c>
      <c r="FP123" s="1019">
        <f t="shared" si="325"/>
        <v>-20997.734920617226</v>
      </c>
      <c r="FQ123" s="1021"/>
      <c r="FR123" s="1021"/>
      <c r="FS123" s="1020"/>
      <c r="FT123" s="503"/>
      <c r="FU123" s="956"/>
      <c r="FV123" s="503"/>
      <c r="FW123" s="503"/>
      <c r="FX123" s="1040"/>
      <c r="FY123" s="503"/>
      <c r="FZ123" s="503"/>
      <c r="GA123" s="503"/>
      <c r="GE123" s="503"/>
      <c r="GF123" s="1059"/>
      <c r="GG123" s="956"/>
      <c r="GH123" s="945"/>
      <c r="GI123" s="1024">
        <f t="shared" si="258"/>
        <v>3735309.7128564771</v>
      </c>
      <c r="GJ123" s="1025">
        <f t="shared" si="259"/>
        <v>0.125</v>
      </c>
      <c r="GK123" s="1024">
        <f t="shared" si="260"/>
        <v>466913.71410705964</v>
      </c>
      <c r="GL123" s="1024">
        <f t="shared" si="261"/>
        <v>30000</v>
      </c>
      <c r="GM123" s="1024">
        <f t="shared" si="262"/>
        <v>436913.71410705964</v>
      </c>
      <c r="GN123" s="1024">
        <f t="shared" si="263"/>
        <v>2</v>
      </c>
      <c r="GO123" s="1024">
        <f t="shared" si="264"/>
        <v>218456.85705352982</v>
      </c>
      <c r="GP123" s="1025">
        <f t="shared" si="265"/>
        <v>0.875</v>
      </c>
      <c r="GQ123" s="1024">
        <f t="shared" si="266"/>
        <v>3268395.9987494173</v>
      </c>
      <c r="GR123" s="1024">
        <f t="shared" si="267"/>
        <v>25339.839390114121</v>
      </c>
      <c r="GS123" s="1024">
        <f t="shared" si="268"/>
        <v>29377.267240169302</v>
      </c>
      <c r="GT123" s="1024">
        <f t="shared" si="269"/>
        <v>37948.848889903078</v>
      </c>
      <c r="GU123" s="1024">
        <f t="shared" si="270"/>
        <v>64718.158079721215</v>
      </c>
      <c r="GV123" s="945"/>
      <c r="GW123" s="1024">
        <f t="shared" si="271"/>
        <v>3735309.7128564771</v>
      </c>
      <c r="GX123" s="1025">
        <f t="shared" si="272"/>
        <v>0.125</v>
      </c>
      <c r="GY123" s="1024">
        <f t="shared" si="273"/>
        <v>466913.71410705964</v>
      </c>
      <c r="GZ123" s="1024">
        <f t="shared" si="274"/>
        <v>30000</v>
      </c>
      <c r="HA123" s="1024">
        <f t="shared" si="275"/>
        <v>436913.71410705964</v>
      </c>
      <c r="HB123" s="1026">
        <f t="shared" si="276"/>
        <v>25</v>
      </c>
      <c r="HC123" s="1009">
        <f t="shared" si="277"/>
        <v>17476.548564282384</v>
      </c>
      <c r="HD123" s="1027">
        <f t="shared" si="278"/>
        <v>0.875</v>
      </c>
      <c r="HE123" s="1009">
        <f t="shared" si="279"/>
        <v>3268395.9987494173</v>
      </c>
      <c r="HF123" s="1008">
        <f t="shared" si="280"/>
        <v>25339.839390114121</v>
      </c>
      <c r="HG123" s="1008">
        <f t="shared" si="281"/>
        <v>29377.267240169302</v>
      </c>
      <c r="HH123" s="1008">
        <f t="shared" si="282"/>
        <v>37948.848889903078</v>
      </c>
      <c r="HI123" s="1008">
        <f t="shared" si="283"/>
        <v>64718.158079721215</v>
      </c>
      <c r="HJ123" s="945"/>
      <c r="HK123" s="1009">
        <f t="shared" si="284"/>
        <v>-200980.30848924743</v>
      </c>
      <c r="HL123" s="503"/>
      <c r="HM123" s="503"/>
      <c r="HN123" s="503"/>
      <c r="HO123" s="503"/>
      <c r="HP123" s="503"/>
      <c r="HQ123" s="503"/>
      <c r="HR123" s="956">
        <f t="shared" si="285"/>
        <v>0</v>
      </c>
      <c r="HS123" s="503"/>
      <c r="HT123" s="503"/>
      <c r="HU123" s="956"/>
      <c r="HV123" s="503"/>
      <c r="HW123" s="956"/>
      <c r="HX123" s="956"/>
      <c r="HY123" s="503"/>
      <c r="HZ123" s="503"/>
      <c r="IA123" s="503"/>
      <c r="ID123" s="1394"/>
    </row>
    <row r="124" spans="1:238" ht="14.25" hidden="1" customHeight="1">
      <c r="A124" s="1018">
        <f t="shared" si="326"/>
        <v>118</v>
      </c>
      <c r="B124" s="716"/>
      <c r="C124" s="741">
        <f t="shared" si="350"/>
        <v>16</v>
      </c>
      <c r="D124" s="716" t="s">
        <v>281</v>
      </c>
      <c r="E124" s="743" t="str">
        <f t="shared" si="352"/>
        <v>8th Floor</v>
      </c>
      <c r="F124" s="1048"/>
      <c r="G124" s="745" t="s">
        <v>540</v>
      </c>
      <c r="H124" s="745" t="s">
        <v>345</v>
      </c>
      <c r="I124" s="745" t="s">
        <v>267</v>
      </c>
      <c r="J124" s="1005">
        <v>22</v>
      </c>
      <c r="K124" s="1049"/>
      <c r="L124" s="1006" t="s">
        <v>268</v>
      </c>
      <c r="M124" s="745" t="s">
        <v>79</v>
      </c>
      <c r="N124" s="1050">
        <v>95909.091</v>
      </c>
      <c r="O124" s="934">
        <f t="shared" si="298"/>
        <v>2110000.0019999999</v>
      </c>
      <c r="P124" s="934">
        <f t="shared" si="327"/>
        <v>22400</v>
      </c>
      <c r="Q124" s="934">
        <f t="shared" si="293"/>
        <v>50000</v>
      </c>
      <c r="R124" s="934"/>
      <c r="S124" s="934"/>
      <c r="T124" s="934">
        <f t="shared" si="346"/>
        <v>66000</v>
      </c>
      <c r="U124" s="934"/>
      <c r="V124" s="934"/>
      <c r="W124" s="749"/>
      <c r="X124" s="934"/>
      <c r="Y124" s="934">
        <f t="shared" si="351"/>
        <v>80000</v>
      </c>
      <c r="Z124" s="934">
        <f t="shared" si="299"/>
        <v>75000</v>
      </c>
      <c r="AA124" s="934"/>
      <c r="AB124" s="934"/>
      <c r="AC124" s="934"/>
      <c r="AD124" s="934"/>
      <c r="AE124" s="934">
        <f t="shared" si="199"/>
        <v>293400</v>
      </c>
      <c r="AF124" s="1005">
        <f t="shared" si="200"/>
        <v>2403400.0019999999</v>
      </c>
      <c r="AG124" s="1005">
        <f t="shared" si="220"/>
        <v>60085.000050000002</v>
      </c>
      <c r="AH124" s="1005">
        <f t="shared" si="221"/>
        <v>2463485.0020499998</v>
      </c>
      <c r="AI124" s="1005">
        <f t="shared" si="222"/>
        <v>61587.125051249997</v>
      </c>
      <c r="AJ124" s="1005">
        <f t="shared" si="223"/>
        <v>2525072.12710125</v>
      </c>
      <c r="AK124" s="1005">
        <f t="shared" si="224"/>
        <v>126253.60635506251</v>
      </c>
      <c r="AL124" s="1005">
        <f t="shared" si="300"/>
        <v>2651325.7334563127</v>
      </c>
      <c r="AM124" s="934">
        <f t="shared" si="225"/>
        <v>26513.257334563128</v>
      </c>
      <c r="AN124" s="934">
        <f t="shared" si="226"/>
        <v>27537.409960060559</v>
      </c>
      <c r="AO124" s="934"/>
      <c r="AP124" s="934">
        <f t="shared" si="301"/>
        <v>117714.15070998018</v>
      </c>
      <c r="AQ124" s="1005">
        <f t="shared" si="201"/>
        <v>2823090.5514609162</v>
      </c>
      <c r="AR124" s="1005">
        <f t="shared" si="227"/>
        <v>127039.07481574122</v>
      </c>
      <c r="AS124" s="1147">
        <f t="shared" si="228"/>
        <v>2950129.6262766575</v>
      </c>
      <c r="AT124" s="1148">
        <f t="shared" si="348"/>
        <v>2000000</v>
      </c>
      <c r="AU124" s="1148">
        <f t="shared" si="353"/>
        <v>43187.710285302608</v>
      </c>
      <c r="AV124" s="1148">
        <f t="shared" si="303"/>
        <v>950129.62627665745</v>
      </c>
      <c r="AW124" s="1148">
        <f t="shared" si="203"/>
        <v>114015.55515319889</v>
      </c>
      <c r="AX124" s="1148">
        <f t="shared" si="204"/>
        <v>1064145.1814298565</v>
      </c>
      <c r="AY124" s="1147">
        <f t="shared" si="229"/>
        <v>3064145.1814298565</v>
      </c>
      <c r="AZ124" s="934">
        <f t="shared" si="230"/>
        <v>38301.814767873206</v>
      </c>
      <c r="BA124" s="716" t="s">
        <v>269</v>
      </c>
      <c r="BB124" s="716">
        <f t="shared" ref="BB124:BB134" si="355">SUM(AY124:BA124)</f>
        <v>3102446.9961977298</v>
      </c>
      <c r="BC124" s="716" t="s">
        <v>269</v>
      </c>
      <c r="BD124" s="716">
        <f t="shared" si="231"/>
        <v>116341.76235741486</v>
      </c>
      <c r="BE124" s="716">
        <f t="shared" si="232"/>
        <v>33600</v>
      </c>
      <c r="BF124" s="716">
        <f t="shared" si="233"/>
        <v>3252388.7585551445</v>
      </c>
      <c r="BG124" s="716"/>
      <c r="BH124" s="716">
        <f t="shared" si="234"/>
        <v>3252388.7585551445</v>
      </c>
      <c r="BI124" s="716"/>
      <c r="BJ124" s="716">
        <f t="shared" si="235"/>
        <v>3252388.7585551445</v>
      </c>
      <c r="BK124" s="716"/>
      <c r="BL124" s="716">
        <f t="shared" si="236"/>
        <v>3252388.7585551445</v>
      </c>
      <c r="BM124" s="716"/>
      <c r="BN124" s="716">
        <f t="shared" si="206"/>
        <v>3252388.7585551445</v>
      </c>
      <c r="BO124" s="716"/>
      <c r="BP124" s="716">
        <f t="shared" si="237"/>
        <v>3252388.7585551445</v>
      </c>
      <c r="BQ124" s="716"/>
      <c r="BR124" s="716">
        <f t="shared" si="238"/>
        <v>3252388.7585551445</v>
      </c>
      <c r="BS124" s="716"/>
      <c r="BT124" s="716">
        <f t="shared" si="239"/>
        <v>3252388.7585551445</v>
      </c>
      <c r="BU124" s="716"/>
      <c r="BV124" s="716">
        <f t="shared" si="207"/>
        <v>3252388.7585551445</v>
      </c>
      <c r="BW124" s="716"/>
      <c r="BX124" s="716">
        <f t="shared" si="329"/>
        <v>31400</v>
      </c>
      <c r="BY124" s="716">
        <f t="shared" si="240"/>
        <v>3283788.7585551445</v>
      </c>
      <c r="BZ124" s="716"/>
      <c r="CA124" s="716">
        <f t="shared" si="241"/>
        <v>3283788.7585551445</v>
      </c>
      <c r="CB124" s="1135">
        <f t="shared" si="242"/>
        <v>3283788.7585551445</v>
      </c>
      <c r="CC124" s="1164">
        <f t="shared" si="286"/>
        <v>3283788.7585551445</v>
      </c>
      <c r="CD124" s="1164"/>
      <c r="CE124" s="1164">
        <f t="shared" si="243"/>
        <v>0</v>
      </c>
      <c r="CF124" s="1164">
        <f t="shared" si="291"/>
        <v>0</v>
      </c>
      <c r="CG124" s="1164">
        <f t="shared" si="292"/>
        <v>0</v>
      </c>
      <c r="CH124" s="1154">
        <f t="shared" si="339"/>
        <v>3283788.7585551445</v>
      </c>
      <c r="CI124" s="935">
        <f t="shared" si="340"/>
        <v>3283788.7585551445</v>
      </c>
      <c r="CJ124" s="935">
        <f t="shared" si="244"/>
        <v>0</v>
      </c>
      <c r="CK124" s="935">
        <f t="shared" si="208"/>
        <v>336588.3477519023</v>
      </c>
      <c r="CL124" s="935">
        <f t="shared" si="209"/>
        <v>114932.60654943007</v>
      </c>
      <c r="CM124" s="1006">
        <f t="shared" si="306"/>
        <v>3735309.7128564771</v>
      </c>
      <c r="CN124" s="1007">
        <f t="shared" si="307"/>
        <v>0.125</v>
      </c>
      <c r="CO124" s="935">
        <f t="shared" si="210"/>
        <v>466913.71410705964</v>
      </c>
      <c r="CP124" s="935">
        <f t="shared" si="330"/>
        <v>30000</v>
      </c>
      <c r="CQ124" s="935">
        <f t="shared" si="211"/>
        <v>436913.71410705964</v>
      </c>
      <c r="CR124" s="745">
        <f t="shared" si="308"/>
        <v>2</v>
      </c>
      <c r="CS124" s="935">
        <f t="shared" si="212"/>
        <v>218456.85705352982</v>
      </c>
      <c r="CT124" s="1007">
        <f t="shared" si="245"/>
        <v>0.875</v>
      </c>
      <c r="CU124" s="935">
        <f t="shared" si="246"/>
        <v>3268395.9987494173</v>
      </c>
      <c r="CV124" s="1008">
        <f t="shared" si="247"/>
        <v>25339.839390114121</v>
      </c>
      <c r="CW124" s="1008">
        <f t="shared" si="248"/>
        <v>29377.267240169302</v>
      </c>
      <c r="CX124" s="1008">
        <f t="shared" si="249"/>
        <v>37948.848889903078</v>
      </c>
      <c r="CY124" s="1008">
        <f t="shared" si="250"/>
        <v>64718.158079721215</v>
      </c>
      <c r="CZ124" s="1119">
        <f t="shared" si="251"/>
        <v>265502.19562178856</v>
      </c>
      <c r="DA124" s="1119">
        <f t="shared" si="252"/>
        <v>105057.92547209254</v>
      </c>
      <c r="DB124" s="1119">
        <f t="shared" si="253"/>
        <v>75881.851612649523</v>
      </c>
      <c r="DC124" s="1119">
        <f t="shared" si="254"/>
        <v>57749.582497246884</v>
      </c>
      <c r="DD124" s="1028">
        <f t="shared" si="294"/>
        <v>0.47506481313832871</v>
      </c>
      <c r="DE124" s="1028">
        <f t="shared" si="341"/>
        <v>0</v>
      </c>
      <c r="DF124" s="1009" t="s">
        <v>270</v>
      </c>
      <c r="DG124" s="1009" t="s">
        <v>271</v>
      </c>
      <c r="DH124" s="966">
        <f t="shared" si="287"/>
        <v>45658</v>
      </c>
      <c r="DI124" s="912">
        <f t="shared" si="255"/>
        <v>14</v>
      </c>
      <c r="DK124" s="913">
        <f t="shared" si="213"/>
        <v>45723</v>
      </c>
      <c r="DL124" s="912">
        <f t="shared" si="256"/>
        <v>16</v>
      </c>
      <c r="DM124" s="750" t="s">
        <v>272</v>
      </c>
      <c r="DN124" s="750" t="s">
        <v>273</v>
      </c>
      <c r="DO124" s="751">
        <f t="shared" si="214"/>
        <v>48370.235519538932</v>
      </c>
      <c r="DP124" s="751">
        <f t="shared" si="215"/>
        <v>1064145.1814298565</v>
      </c>
      <c r="DQ124" s="752">
        <f t="shared" si="295"/>
        <v>0.53207259071492818</v>
      </c>
      <c r="DS124" s="751">
        <f t="shared" si="296"/>
        <v>3283788.7585551445</v>
      </c>
      <c r="DT124" s="751">
        <f>'[4]INTERNAL PRICELIST'!N118</f>
        <v>2111900</v>
      </c>
      <c r="DU124" s="751">
        <f t="shared" si="216"/>
        <v>1171888.7585551445</v>
      </c>
      <c r="DW124" s="951">
        <f t="shared" si="297"/>
        <v>149263.12538887022</v>
      </c>
      <c r="DZ124" s="1010" t="s">
        <v>540</v>
      </c>
      <c r="EA124" s="1011" t="b">
        <f t="shared" si="217"/>
        <v>1</v>
      </c>
      <c r="EB124" s="1011"/>
      <c r="EC124" s="1011"/>
      <c r="ER124" s="1017" t="s">
        <v>264</v>
      </c>
      <c r="ES124" s="1391" t="s">
        <v>264</v>
      </c>
      <c r="ET124" s="1018" t="b">
        <f t="shared" si="257"/>
        <v>1</v>
      </c>
      <c r="EX124" s="1019">
        <v>3077494.136208632</v>
      </c>
      <c r="EY124" s="1019">
        <f t="shared" si="310"/>
        <v>461624.12043129478</v>
      </c>
      <c r="EZ124" s="1019">
        <f t="shared" si="311"/>
        <v>2615870.0157773374</v>
      </c>
      <c r="FA124" s="1019">
        <f t="shared" si="312"/>
        <v>307749.41362086323</v>
      </c>
      <c r="FB124" s="1019">
        <f t="shared" si="313"/>
        <v>2769744.7225877689</v>
      </c>
      <c r="FC124" s="1019">
        <f t="shared" si="314"/>
        <v>153874.70681043155</v>
      </c>
      <c r="FD124" s="1020"/>
      <c r="FE124" s="1021"/>
      <c r="FF124" s="1022">
        <f t="shared" si="315"/>
        <v>2615870.0157773374</v>
      </c>
      <c r="FG124" s="1022">
        <f t="shared" si="316"/>
        <v>222348.9513410737</v>
      </c>
      <c r="FH124" s="1022">
        <f t="shared" si="317"/>
        <v>111174.47567053685</v>
      </c>
      <c r="FI124" s="1023">
        <f t="shared" si="318"/>
        <v>2769744.7225877689</v>
      </c>
      <c r="FJ124" s="1023">
        <f t="shared" si="319"/>
        <v>235428.30141996036</v>
      </c>
      <c r="FK124" s="1023">
        <f t="shared" si="320"/>
        <v>117714.15070998018</v>
      </c>
      <c r="FL124" s="1019">
        <f t="shared" si="321"/>
        <v>13079.350078886666</v>
      </c>
      <c r="FM124" s="1019">
        <f t="shared" si="322"/>
        <v>6539.6750394433329</v>
      </c>
      <c r="FN124" s="1019" t="str">
        <f t="shared" si="323"/>
        <v>VS</v>
      </c>
      <c r="FO124" s="1019">
        <f t="shared" si="324"/>
        <v>27537.409960060559</v>
      </c>
      <c r="FP124" s="1019">
        <f t="shared" si="325"/>
        <v>-20997.734920617226</v>
      </c>
      <c r="FQ124" s="1021"/>
      <c r="FR124" s="1021"/>
      <c r="FS124" s="1020"/>
      <c r="FT124" s="503"/>
      <c r="FU124" s="956"/>
      <c r="FV124" s="503"/>
      <c r="FX124" s="1040"/>
      <c r="GF124" s="1059"/>
      <c r="GG124" s="956"/>
      <c r="GI124" s="1024">
        <f t="shared" si="258"/>
        <v>3735309.7128564771</v>
      </c>
      <c r="GJ124" s="1025">
        <f t="shared" si="259"/>
        <v>0.125</v>
      </c>
      <c r="GK124" s="1024">
        <f t="shared" si="260"/>
        <v>466913.71410705964</v>
      </c>
      <c r="GL124" s="1024">
        <f t="shared" si="261"/>
        <v>30000</v>
      </c>
      <c r="GM124" s="1024">
        <f t="shared" si="262"/>
        <v>436913.71410705964</v>
      </c>
      <c r="GN124" s="1024">
        <f t="shared" si="263"/>
        <v>2</v>
      </c>
      <c r="GO124" s="1024">
        <f t="shared" si="264"/>
        <v>218456.85705352982</v>
      </c>
      <c r="GP124" s="1025">
        <f t="shared" si="265"/>
        <v>0.875</v>
      </c>
      <c r="GQ124" s="1024">
        <f t="shared" si="266"/>
        <v>3268395.9987494173</v>
      </c>
      <c r="GR124" s="1024">
        <f t="shared" si="267"/>
        <v>25339.839390114121</v>
      </c>
      <c r="GS124" s="1024">
        <f t="shared" si="268"/>
        <v>29377.267240169302</v>
      </c>
      <c r="GT124" s="1024">
        <f t="shared" si="269"/>
        <v>37948.848889903078</v>
      </c>
      <c r="GU124" s="1024">
        <f t="shared" si="270"/>
        <v>64718.158079721215</v>
      </c>
      <c r="GW124" s="1024">
        <f t="shared" si="271"/>
        <v>3735309.7128564771</v>
      </c>
      <c r="GX124" s="1025">
        <f t="shared" si="272"/>
        <v>0.125</v>
      </c>
      <c r="GY124" s="1024">
        <f t="shared" si="273"/>
        <v>466913.71410705964</v>
      </c>
      <c r="GZ124" s="1024">
        <f t="shared" si="274"/>
        <v>30000</v>
      </c>
      <c r="HA124" s="1024">
        <f t="shared" si="275"/>
        <v>436913.71410705964</v>
      </c>
      <c r="HB124" s="1026">
        <f t="shared" si="276"/>
        <v>25</v>
      </c>
      <c r="HC124" s="1009">
        <f t="shared" si="277"/>
        <v>17476.548564282384</v>
      </c>
      <c r="HD124" s="1027">
        <f t="shared" si="278"/>
        <v>0.875</v>
      </c>
      <c r="HE124" s="1009">
        <f t="shared" si="279"/>
        <v>3268395.9987494173</v>
      </c>
      <c r="HF124" s="1008">
        <f t="shared" si="280"/>
        <v>25339.839390114121</v>
      </c>
      <c r="HG124" s="1008">
        <f t="shared" si="281"/>
        <v>29377.267240169302</v>
      </c>
      <c r="HH124" s="1008">
        <f t="shared" si="282"/>
        <v>37948.848889903078</v>
      </c>
      <c r="HI124" s="1008">
        <f t="shared" si="283"/>
        <v>64718.158079721215</v>
      </c>
      <c r="HK124" s="1009">
        <f t="shared" si="284"/>
        <v>-200980.30848924743</v>
      </c>
      <c r="HR124" s="956">
        <f t="shared" si="285"/>
        <v>0</v>
      </c>
      <c r="HU124" s="956"/>
      <c r="HW124" s="956"/>
      <c r="HX124" s="956"/>
    </row>
    <row r="125" spans="1:238" s="1051" customFormat="1" ht="14.25" hidden="1" customHeight="1">
      <c r="A125" s="1018">
        <f t="shared" si="326"/>
        <v>119</v>
      </c>
      <c r="B125" s="716" t="s">
        <v>264</v>
      </c>
      <c r="C125" s="741">
        <f t="shared" si="350"/>
        <v>17</v>
      </c>
      <c r="D125" s="716" t="s">
        <v>281</v>
      </c>
      <c r="E125" s="743" t="str">
        <f t="shared" si="352"/>
        <v>8th Floor</v>
      </c>
      <c r="F125" s="1048"/>
      <c r="G125" s="745" t="s">
        <v>541</v>
      </c>
      <c r="H125" s="745" t="s">
        <v>349</v>
      </c>
      <c r="I125" s="745" t="s">
        <v>267</v>
      </c>
      <c r="J125" s="1005">
        <v>22</v>
      </c>
      <c r="K125" s="1049"/>
      <c r="L125" s="1006" t="s">
        <v>268</v>
      </c>
      <c r="M125" s="745" t="s">
        <v>79</v>
      </c>
      <c r="N125" s="1050">
        <v>95909.091</v>
      </c>
      <c r="O125" s="934">
        <f t="shared" si="298"/>
        <v>2110000.0019999999</v>
      </c>
      <c r="P125" s="934">
        <f t="shared" si="327"/>
        <v>22400</v>
      </c>
      <c r="Q125" s="934">
        <f t="shared" si="293"/>
        <v>50000</v>
      </c>
      <c r="R125" s="934"/>
      <c r="S125" s="934"/>
      <c r="T125" s="934">
        <f t="shared" si="346"/>
        <v>66000</v>
      </c>
      <c r="U125" s="934"/>
      <c r="V125" s="934"/>
      <c r="W125" s="934"/>
      <c r="X125" s="934"/>
      <c r="Y125" s="934">
        <f t="shared" si="351"/>
        <v>80000</v>
      </c>
      <c r="Z125" s="934">
        <f t="shared" si="299"/>
        <v>75000</v>
      </c>
      <c r="AA125" s="934"/>
      <c r="AB125" s="934"/>
      <c r="AC125" s="934"/>
      <c r="AD125" s="934"/>
      <c r="AE125" s="934">
        <f t="shared" si="199"/>
        <v>293400</v>
      </c>
      <c r="AF125" s="1005">
        <f t="shared" si="200"/>
        <v>2403400.0019999999</v>
      </c>
      <c r="AG125" s="1005">
        <f t="shared" si="220"/>
        <v>60085.000050000002</v>
      </c>
      <c r="AH125" s="1005">
        <f t="shared" si="221"/>
        <v>2463485.0020499998</v>
      </c>
      <c r="AI125" s="1005">
        <f t="shared" si="222"/>
        <v>61587.125051249997</v>
      </c>
      <c r="AJ125" s="1005">
        <f t="shared" si="223"/>
        <v>2525072.12710125</v>
      </c>
      <c r="AK125" s="1005">
        <f t="shared" si="224"/>
        <v>126253.60635506251</v>
      </c>
      <c r="AL125" s="1005">
        <f t="shared" si="300"/>
        <v>2651325.7334563127</v>
      </c>
      <c r="AM125" s="934">
        <f t="shared" si="225"/>
        <v>26513.257334563128</v>
      </c>
      <c r="AN125" s="934">
        <f t="shared" si="226"/>
        <v>27537.409960060559</v>
      </c>
      <c r="AO125" s="934"/>
      <c r="AP125" s="934">
        <f t="shared" si="301"/>
        <v>117714.15070998018</v>
      </c>
      <c r="AQ125" s="1005">
        <f t="shared" si="201"/>
        <v>2823090.5514609162</v>
      </c>
      <c r="AR125" s="1005">
        <f t="shared" si="227"/>
        <v>127039.07481574122</v>
      </c>
      <c r="AS125" s="1147">
        <f t="shared" si="228"/>
        <v>2950129.6262766575</v>
      </c>
      <c r="AT125" s="1148">
        <f t="shared" si="348"/>
        <v>2000000</v>
      </c>
      <c r="AU125" s="1148">
        <f t="shared" si="353"/>
        <v>43187.710285302608</v>
      </c>
      <c r="AV125" s="1148">
        <f>AS125-AT125</f>
        <v>950129.62627665745</v>
      </c>
      <c r="AW125" s="1148">
        <f>AV125*$AW$5</f>
        <v>114015.55515319889</v>
      </c>
      <c r="AX125" s="1148">
        <f t="shared" si="204"/>
        <v>1064145.1814298565</v>
      </c>
      <c r="AY125" s="1147">
        <f t="shared" si="229"/>
        <v>3064145.1814298565</v>
      </c>
      <c r="AZ125" s="934">
        <f t="shared" si="230"/>
        <v>38301.814767873206</v>
      </c>
      <c r="BA125" s="716" t="s">
        <v>269</v>
      </c>
      <c r="BB125" s="716">
        <f t="shared" si="355"/>
        <v>3102446.9961977298</v>
      </c>
      <c r="BC125" s="716" t="s">
        <v>269</v>
      </c>
      <c r="BD125" s="716">
        <f t="shared" si="231"/>
        <v>116341.76235741486</v>
      </c>
      <c r="BE125" s="716">
        <f t="shared" si="232"/>
        <v>33600</v>
      </c>
      <c r="BF125" s="716">
        <f t="shared" si="233"/>
        <v>3252388.7585551445</v>
      </c>
      <c r="BG125" s="716"/>
      <c r="BH125" s="716">
        <f t="shared" si="234"/>
        <v>3252388.7585551445</v>
      </c>
      <c r="BI125" s="716"/>
      <c r="BJ125" s="716">
        <f t="shared" si="235"/>
        <v>3252388.7585551445</v>
      </c>
      <c r="BK125" s="716"/>
      <c r="BL125" s="716">
        <f t="shared" si="236"/>
        <v>3252388.7585551445</v>
      </c>
      <c r="BM125" s="716"/>
      <c r="BN125" s="716">
        <f t="shared" si="206"/>
        <v>3252388.7585551445</v>
      </c>
      <c r="BO125" s="716"/>
      <c r="BP125" s="716">
        <f t="shared" si="237"/>
        <v>3252388.7585551445</v>
      </c>
      <c r="BQ125" s="716"/>
      <c r="BR125" s="716">
        <f t="shared" si="238"/>
        <v>3252388.7585551445</v>
      </c>
      <c r="BS125" s="716"/>
      <c r="BT125" s="716">
        <f t="shared" si="239"/>
        <v>3252388.7585551445</v>
      </c>
      <c r="BU125" s="716"/>
      <c r="BV125" s="716">
        <f t="shared" si="207"/>
        <v>3252388.7585551445</v>
      </c>
      <c r="BW125" s="716"/>
      <c r="BX125" s="716">
        <f t="shared" si="329"/>
        <v>31400</v>
      </c>
      <c r="BY125" s="716">
        <f t="shared" si="240"/>
        <v>3283788.7585551445</v>
      </c>
      <c r="BZ125" s="716"/>
      <c r="CA125" s="716">
        <f t="shared" si="241"/>
        <v>3283788.7585551445</v>
      </c>
      <c r="CB125" s="1135">
        <f t="shared" si="242"/>
        <v>3283788.7585551445</v>
      </c>
      <c r="CC125" s="1164">
        <f t="shared" si="286"/>
        <v>3283788.7585551445</v>
      </c>
      <c r="CD125" s="1164"/>
      <c r="CE125" s="1164">
        <f t="shared" si="243"/>
        <v>0</v>
      </c>
      <c r="CF125" s="1164">
        <f t="shared" si="291"/>
        <v>0</v>
      </c>
      <c r="CG125" s="1164">
        <f t="shared" si="292"/>
        <v>0</v>
      </c>
      <c r="CH125" s="1154">
        <f t="shared" si="339"/>
        <v>3283788.7585551445</v>
      </c>
      <c r="CI125" s="935">
        <f t="shared" si="340"/>
        <v>3283788.7585551445</v>
      </c>
      <c r="CJ125" s="935">
        <f t="shared" si="244"/>
        <v>0</v>
      </c>
      <c r="CK125" s="935">
        <f t="shared" si="208"/>
        <v>336588.3477519023</v>
      </c>
      <c r="CL125" s="935">
        <f t="shared" si="209"/>
        <v>114932.60654943007</v>
      </c>
      <c r="CM125" s="1006">
        <f t="shared" si="306"/>
        <v>3735309.7128564771</v>
      </c>
      <c r="CN125" s="1007">
        <f t="shared" si="307"/>
        <v>0.125</v>
      </c>
      <c r="CO125" s="935">
        <f t="shared" si="210"/>
        <v>466913.71410705964</v>
      </c>
      <c r="CP125" s="935">
        <f t="shared" si="330"/>
        <v>30000</v>
      </c>
      <c r="CQ125" s="935">
        <f t="shared" si="211"/>
        <v>436913.71410705964</v>
      </c>
      <c r="CR125" s="745">
        <f t="shared" si="308"/>
        <v>2</v>
      </c>
      <c r="CS125" s="935">
        <f t="shared" si="212"/>
        <v>218456.85705352982</v>
      </c>
      <c r="CT125" s="1007">
        <f t="shared" si="245"/>
        <v>0.875</v>
      </c>
      <c r="CU125" s="935">
        <f t="shared" si="246"/>
        <v>3268395.9987494173</v>
      </c>
      <c r="CV125" s="1008">
        <f t="shared" si="247"/>
        <v>25339.839390114121</v>
      </c>
      <c r="CW125" s="1008">
        <f t="shared" si="248"/>
        <v>29377.267240169302</v>
      </c>
      <c r="CX125" s="1008">
        <f t="shared" si="249"/>
        <v>37948.848889903078</v>
      </c>
      <c r="CY125" s="1008">
        <f t="shared" si="250"/>
        <v>64718.158079721215</v>
      </c>
      <c r="CZ125" s="1119">
        <f t="shared" si="251"/>
        <v>265502.19562178856</v>
      </c>
      <c r="DA125" s="1119">
        <f t="shared" si="252"/>
        <v>105057.92547209254</v>
      </c>
      <c r="DB125" s="1119">
        <f t="shared" si="253"/>
        <v>75881.851612649523</v>
      </c>
      <c r="DC125" s="1119">
        <f t="shared" si="254"/>
        <v>57749.582497246884</v>
      </c>
      <c r="DD125" s="1028">
        <f t="shared" si="294"/>
        <v>0.47506481313832871</v>
      </c>
      <c r="DE125" s="1028">
        <f t="shared" si="341"/>
        <v>0</v>
      </c>
      <c r="DF125" s="1009" t="s">
        <v>270</v>
      </c>
      <c r="DG125" s="1009" t="s">
        <v>271</v>
      </c>
      <c r="DH125" s="966">
        <f t="shared" si="287"/>
        <v>45658</v>
      </c>
      <c r="DI125" s="912">
        <f t="shared" si="255"/>
        <v>14</v>
      </c>
      <c r="DJ125" s="939"/>
      <c r="DK125" s="913">
        <f t="shared" si="213"/>
        <v>45723</v>
      </c>
      <c r="DL125" s="912">
        <f t="shared" si="256"/>
        <v>16</v>
      </c>
      <c r="DM125" s="750" t="s">
        <v>272</v>
      </c>
      <c r="DN125" s="750" t="s">
        <v>273</v>
      </c>
      <c r="DO125" s="751">
        <f t="shared" si="214"/>
        <v>48370.235519538932</v>
      </c>
      <c r="DP125" s="751">
        <f t="shared" si="215"/>
        <v>1064145.1814298565</v>
      </c>
      <c r="DQ125" s="752">
        <f t="shared" si="295"/>
        <v>0.53207259071492818</v>
      </c>
      <c r="DR125" s="503"/>
      <c r="DS125" s="751">
        <f t="shared" si="296"/>
        <v>3283788.7585551445</v>
      </c>
      <c r="DT125" s="751">
        <f>'[4]INTERNAL PRICELIST'!N119</f>
        <v>2111900</v>
      </c>
      <c r="DU125" s="751">
        <f t="shared" si="216"/>
        <v>1171888.7585551445</v>
      </c>
      <c r="DV125" s="503"/>
      <c r="DW125" s="951">
        <f t="shared" si="297"/>
        <v>149263.12538887022</v>
      </c>
      <c r="DX125" s="503"/>
      <c r="DZ125" s="1010" t="s">
        <v>541</v>
      </c>
      <c r="EA125" s="1052" t="b">
        <f t="shared" si="217"/>
        <v>1</v>
      </c>
      <c r="EB125" s="1072" t="s">
        <v>542</v>
      </c>
      <c r="EC125" s="1072" t="s">
        <v>514</v>
      </c>
      <c r="ED125" s="503"/>
      <c r="EH125" s="930"/>
      <c r="EI125" s="930"/>
      <c r="EJ125" s="503"/>
      <c r="EK125" s="503"/>
      <c r="EL125" s="503"/>
      <c r="EM125" s="503"/>
      <c r="EN125" s="503"/>
      <c r="EO125" s="503"/>
      <c r="EP125" s="503"/>
      <c r="EQ125" s="503"/>
      <c r="ER125" s="1017" t="s">
        <v>264</v>
      </c>
      <c r="ES125" s="1391" t="s">
        <v>264</v>
      </c>
      <c r="ET125" s="1018" t="b">
        <f t="shared" si="257"/>
        <v>1</v>
      </c>
      <c r="EU125" s="940"/>
      <c r="EV125" s="941"/>
      <c r="EW125" s="940"/>
      <c r="EX125" s="1019">
        <v>3077494.136208632</v>
      </c>
      <c r="EY125" s="1019">
        <f t="shared" si="310"/>
        <v>461624.12043129478</v>
      </c>
      <c r="EZ125" s="1019">
        <f t="shared" si="311"/>
        <v>2615870.0157773374</v>
      </c>
      <c r="FA125" s="1019">
        <f t="shared" si="312"/>
        <v>307749.41362086323</v>
      </c>
      <c r="FB125" s="1019">
        <f t="shared" si="313"/>
        <v>2769744.7225877689</v>
      </c>
      <c r="FC125" s="1019">
        <f t="shared" si="314"/>
        <v>153874.70681043155</v>
      </c>
      <c r="FD125" s="1020"/>
      <c r="FE125" s="1021"/>
      <c r="FF125" s="1022">
        <f t="shared" si="315"/>
        <v>2615870.0157773374</v>
      </c>
      <c r="FG125" s="1022">
        <f t="shared" si="316"/>
        <v>222348.9513410737</v>
      </c>
      <c r="FH125" s="1022">
        <f t="shared" si="317"/>
        <v>111174.47567053685</v>
      </c>
      <c r="FI125" s="1023">
        <f t="shared" si="318"/>
        <v>2769744.7225877689</v>
      </c>
      <c r="FJ125" s="1023">
        <f t="shared" si="319"/>
        <v>235428.30141996036</v>
      </c>
      <c r="FK125" s="1023">
        <f t="shared" si="320"/>
        <v>117714.15070998018</v>
      </c>
      <c r="FL125" s="1019">
        <f t="shared" si="321"/>
        <v>13079.350078886666</v>
      </c>
      <c r="FM125" s="1019">
        <f t="shared" si="322"/>
        <v>6539.6750394433329</v>
      </c>
      <c r="FN125" s="1019" t="str">
        <f t="shared" si="323"/>
        <v>VS</v>
      </c>
      <c r="FO125" s="1019">
        <f t="shared" si="324"/>
        <v>27537.409960060559</v>
      </c>
      <c r="FP125" s="1019">
        <f t="shared" si="325"/>
        <v>-20997.734920617226</v>
      </c>
      <c r="FQ125" s="1021"/>
      <c r="FR125" s="1021"/>
      <c r="FS125" s="1020"/>
      <c r="FT125" s="503"/>
      <c r="FU125" s="956"/>
      <c r="FV125" s="503"/>
      <c r="FW125" s="503"/>
      <c r="FX125" s="1040"/>
      <c r="FY125" s="503"/>
      <c r="FZ125" s="503"/>
      <c r="GA125" s="503"/>
      <c r="GE125" s="503"/>
      <c r="GF125" s="1059"/>
      <c r="GG125" s="956"/>
      <c r="GH125" s="945"/>
      <c r="GI125" s="1024">
        <f t="shared" si="258"/>
        <v>3735309.7128564771</v>
      </c>
      <c r="GJ125" s="1025">
        <f t="shared" si="259"/>
        <v>0.125</v>
      </c>
      <c r="GK125" s="1024">
        <f t="shared" si="260"/>
        <v>466913.71410705964</v>
      </c>
      <c r="GL125" s="1024">
        <f t="shared" si="261"/>
        <v>30000</v>
      </c>
      <c r="GM125" s="1024">
        <f t="shared" si="262"/>
        <v>436913.71410705964</v>
      </c>
      <c r="GN125" s="1024">
        <f t="shared" si="263"/>
        <v>2</v>
      </c>
      <c r="GO125" s="1024">
        <f t="shared" si="264"/>
        <v>218456.85705352982</v>
      </c>
      <c r="GP125" s="1025">
        <f t="shared" si="265"/>
        <v>0.875</v>
      </c>
      <c r="GQ125" s="1024">
        <f t="shared" si="266"/>
        <v>3268395.9987494173</v>
      </c>
      <c r="GR125" s="1024">
        <f t="shared" si="267"/>
        <v>25339.839390114121</v>
      </c>
      <c r="GS125" s="1024">
        <f t="shared" si="268"/>
        <v>29377.267240169302</v>
      </c>
      <c r="GT125" s="1024">
        <f t="shared" si="269"/>
        <v>37948.848889903078</v>
      </c>
      <c r="GU125" s="1024">
        <f t="shared" si="270"/>
        <v>64718.158079721215</v>
      </c>
      <c r="GV125" s="945"/>
      <c r="GW125" s="1024">
        <f t="shared" si="271"/>
        <v>3735309.7128564771</v>
      </c>
      <c r="GX125" s="1025">
        <f t="shared" si="272"/>
        <v>0.125</v>
      </c>
      <c r="GY125" s="1024">
        <f t="shared" si="273"/>
        <v>466913.71410705964</v>
      </c>
      <c r="GZ125" s="1024">
        <f t="shared" si="274"/>
        <v>30000</v>
      </c>
      <c r="HA125" s="1024">
        <f t="shared" si="275"/>
        <v>436913.71410705964</v>
      </c>
      <c r="HB125" s="1026">
        <f t="shared" si="276"/>
        <v>25</v>
      </c>
      <c r="HC125" s="1009">
        <f t="shared" si="277"/>
        <v>17476.548564282384</v>
      </c>
      <c r="HD125" s="1027">
        <f t="shared" si="278"/>
        <v>0.875</v>
      </c>
      <c r="HE125" s="1009">
        <f t="shared" si="279"/>
        <v>3268395.9987494173</v>
      </c>
      <c r="HF125" s="1008">
        <f t="shared" si="280"/>
        <v>25339.839390114121</v>
      </c>
      <c r="HG125" s="1008">
        <f t="shared" si="281"/>
        <v>29377.267240169302</v>
      </c>
      <c r="HH125" s="1008">
        <f t="shared" si="282"/>
        <v>37948.848889903078</v>
      </c>
      <c r="HI125" s="1008">
        <f t="shared" si="283"/>
        <v>64718.158079721215</v>
      </c>
      <c r="HJ125" s="945"/>
      <c r="HK125" s="1009">
        <f t="shared" si="284"/>
        <v>-200980.30848924743</v>
      </c>
      <c r="HL125" s="503"/>
      <c r="HM125" s="503"/>
      <c r="HN125" s="503"/>
      <c r="HO125" s="503"/>
      <c r="HP125" s="503"/>
      <c r="HQ125" s="503"/>
      <c r="HR125" s="956">
        <f t="shared" si="285"/>
        <v>0</v>
      </c>
      <c r="HS125" s="503"/>
      <c r="HT125" s="503"/>
      <c r="HU125" s="956"/>
      <c r="HV125" s="503"/>
      <c r="HW125" s="956"/>
      <c r="HX125" s="956"/>
      <c r="HY125" s="503"/>
      <c r="HZ125" s="503"/>
      <c r="IA125" s="503"/>
      <c r="ID125" s="1394"/>
    </row>
    <row r="126" spans="1:238" s="1051" customFormat="1" ht="14.25" hidden="1" customHeight="1">
      <c r="A126" s="1018">
        <f t="shared" si="326"/>
        <v>120</v>
      </c>
      <c r="B126" s="716" t="s">
        <v>264</v>
      </c>
      <c r="C126" s="741">
        <f t="shared" si="350"/>
        <v>18</v>
      </c>
      <c r="D126" s="716" t="s">
        <v>281</v>
      </c>
      <c r="E126" s="743" t="str">
        <f t="shared" si="352"/>
        <v>8th Floor</v>
      </c>
      <c r="F126" s="1048"/>
      <c r="G126" s="745" t="s">
        <v>543</v>
      </c>
      <c r="H126" s="745" t="s">
        <v>353</v>
      </c>
      <c r="I126" s="745" t="s">
        <v>267</v>
      </c>
      <c r="J126" s="1005">
        <v>22</v>
      </c>
      <c r="K126" s="1049"/>
      <c r="L126" s="1006" t="s">
        <v>268</v>
      </c>
      <c r="M126" s="745" t="s">
        <v>65</v>
      </c>
      <c r="N126" s="1050">
        <v>95909.091</v>
      </c>
      <c r="O126" s="934">
        <f t="shared" si="298"/>
        <v>2110000.0019999999</v>
      </c>
      <c r="P126" s="934">
        <f t="shared" si="327"/>
        <v>22400</v>
      </c>
      <c r="Q126" s="934">
        <f t="shared" si="293"/>
        <v>50000</v>
      </c>
      <c r="R126" s="934"/>
      <c r="S126" s="934"/>
      <c r="T126" s="934">
        <f t="shared" si="346"/>
        <v>66000</v>
      </c>
      <c r="U126" s="934"/>
      <c r="V126" s="749">
        <f t="shared" ref="V126:V127" si="356">J126*$V$5</f>
        <v>55000</v>
      </c>
      <c r="W126" s="749"/>
      <c r="X126" s="934"/>
      <c r="Y126" s="934">
        <f t="shared" si="351"/>
        <v>80000</v>
      </c>
      <c r="Z126" s="934">
        <f t="shared" si="299"/>
        <v>75000</v>
      </c>
      <c r="AA126" s="934"/>
      <c r="AB126" s="934"/>
      <c r="AC126" s="934"/>
      <c r="AD126" s="934"/>
      <c r="AE126" s="934">
        <f t="shared" si="199"/>
        <v>348400</v>
      </c>
      <c r="AF126" s="1005">
        <f t="shared" si="200"/>
        <v>2458400.0019999999</v>
      </c>
      <c r="AG126" s="1005">
        <f t="shared" si="220"/>
        <v>61460.000050000002</v>
      </c>
      <c r="AH126" s="1005">
        <f t="shared" si="221"/>
        <v>2519860.0020499998</v>
      </c>
      <c r="AI126" s="1005">
        <f t="shared" si="222"/>
        <v>62996.500051249997</v>
      </c>
      <c r="AJ126" s="1005">
        <f t="shared" si="223"/>
        <v>2582856.50210125</v>
      </c>
      <c r="AK126" s="1005">
        <f t="shared" si="224"/>
        <v>129142.82510506251</v>
      </c>
      <c r="AL126" s="1005">
        <f t="shared" si="300"/>
        <v>2711999.3272063127</v>
      </c>
      <c r="AM126" s="934">
        <f t="shared" si="225"/>
        <v>27119.993272063126</v>
      </c>
      <c r="AN126" s="934">
        <f t="shared" si="226"/>
        <v>27537.409960060559</v>
      </c>
      <c r="AO126" s="934"/>
      <c r="AP126" s="934">
        <f t="shared" si="301"/>
        <v>122914.30766367284</v>
      </c>
      <c r="AQ126" s="1005">
        <f t="shared" si="201"/>
        <v>2889571.038102109</v>
      </c>
      <c r="AR126" s="1005">
        <f t="shared" si="227"/>
        <v>130030.6967145949</v>
      </c>
      <c r="AS126" s="1147">
        <f t="shared" si="228"/>
        <v>3019601.7348167039</v>
      </c>
      <c r="AT126" s="1148">
        <f t="shared" ref="AT126" si="357">AS126</f>
        <v>3019601.7348167039</v>
      </c>
      <c r="AU126" s="1148"/>
      <c r="AV126" s="1148"/>
      <c r="AW126" s="1148"/>
      <c r="AX126" s="1148">
        <f t="shared" si="204"/>
        <v>0</v>
      </c>
      <c r="AY126" s="1147">
        <f t="shared" si="229"/>
        <v>3019601.7348167039</v>
      </c>
      <c r="AZ126" s="934">
        <f t="shared" si="230"/>
        <v>37745.021685208798</v>
      </c>
      <c r="BA126" s="716" t="s">
        <v>269</v>
      </c>
      <c r="BB126" s="716">
        <f t="shared" si="355"/>
        <v>3057346.7565019126</v>
      </c>
      <c r="BC126" s="716" t="s">
        <v>269</v>
      </c>
      <c r="BD126" s="716">
        <f t="shared" si="231"/>
        <v>114650.50336882172</v>
      </c>
      <c r="BE126" s="716">
        <f t="shared" si="232"/>
        <v>33600</v>
      </c>
      <c r="BF126" s="716">
        <f t="shared" si="233"/>
        <v>3205597.2598707345</v>
      </c>
      <c r="BG126" s="716"/>
      <c r="BH126" s="716">
        <f t="shared" si="234"/>
        <v>3205597.2598707345</v>
      </c>
      <c r="BI126" s="716"/>
      <c r="BJ126" s="716">
        <f t="shared" si="235"/>
        <v>3205597.2598707345</v>
      </c>
      <c r="BK126" s="716"/>
      <c r="BL126" s="716">
        <f t="shared" si="236"/>
        <v>3205597.2598707345</v>
      </c>
      <c r="BM126" s="716"/>
      <c r="BN126" s="716">
        <f t="shared" si="206"/>
        <v>3205597.2598707345</v>
      </c>
      <c r="BO126" s="716"/>
      <c r="BP126" s="716">
        <f t="shared" si="237"/>
        <v>3205597.2598707345</v>
      </c>
      <c r="BQ126" s="716"/>
      <c r="BR126" s="716">
        <f t="shared" si="238"/>
        <v>3205597.2598707345</v>
      </c>
      <c r="BS126" s="716"/>
      <c r="BT126" s="716">
        <f t="shared" si="239"/>
        <v>3205597.2598707345</v>
      </c>
      <c r="BU126" s="716"/>
      <c r="BV126" s="716">
        <f t="shared" si="207"/>
        <v>3205597.2598707345</v>
      </c>
      <c r="BW126" s="716"/>
      <c r="BX126" s="716">
        <f t="shared" si="329"/>
        <v>31400</v>
      </c>
      <c r="BY126" s="716">
        <f t="shared" si="240"/>
        <v>3236997.2598707345</v>
      </c>
      <c r="BZ126" s="716"/>
      <c r="CA126" s="716">
        <f t="shared" si="241"/>
        <v>3236997.2598707345</v>
      </c>
      <c r="CB126" s="1135">
        <f t="shared" si="242"/>
        <v>3236997.2598707345</v>
      </c>
      <c r="CC126" s="1164">
        <f t="shared" si="286"/>
        <v>3236997.2598707345</v>
      </c>
      <c r="CD126" s="1164"/>
      <c r="CE126" s="1164">
        <f t="shared" si="243"/>
        <v>0</v>
      </c>
      <c r="CF126" s="1164">
        <f t="shared" si="291"/>
        <v>0</v>
      </c>
      <c r="CG126" s="1164">
        <f t="shared" si="292"/>
        <v>0</v>
      </c>
      <c r="CH126" s="1154">
        <f t="shared" si="339"/>
        <v>3236997.2598707345</v>
      </c>
      <c r="CI126" s="935">
        <f t="shared" si="340"/>
        <v>3236997.2598707345</v>
      </c>
      <c r="CJ126" s="935">
        <f t="shared" si="244"/>
        <v>0</v>
      </c>
      <c r="CK126" s="935">
        <f t="shared" si="208"/>
        <v>331792.21913675027</v>
      </c>
      <c r="CL126" s="935">
        <f t="shared" si="209"/>
        <v>113294.90409547572</v>
      </c>
      <c r="CM126" s="1006">
        <f t="shared" si="306"/>
        <v>3682084.3831029604</v>
      </c>
      <c r="CN126" s="1007">
        <f t="shared" si="307"/>
        <v>0.125</v>
      </c>
      <c r="CO126" s="935">
        <f t="shared" si="210"/>
        <v>460260.54788787005</v>
      </c>
      <c r="CP126" s="935">
        <f t="shared" si="330"/>
        <v>30000</v>
      </c>
      <c r="CQ126" s="935">
        <f t="shared" si="211"/>
        <v>430260.54788787005</v>
      </c>
      <c r="CR126" s="745">
        <f t="shared" si="308"/>
        <v>2</v>
      </c>
      <c r="CS126" s="935">
        <f t="shared" si="212"/>
        <v>215130.27394393503</v>
      </c>
      <c r="CT126" s="1007">
        <f t="shared" si="245"/>
        <v>0.875</v>
      </c>
      <c r="CU126" s="935">
        <f t="shared" si="246"/>
        <v>3221823.8352150903</v>
      </c>
      <c r="CV126" s="1008">
        <f t="shared" si="247"/>
        <v>24978.765901937801</v>
      </c>
      <c r="CW126" s="1008">
        <f t="shared" si="248"/>
        <v>28958.663467975144</v>
      </c>
      <c r="CX126" s="1008">
        <f t="shared" si="249"/>
        <v>37408.106581713902</v>
      </c>
      <c r="CY126" s="1008">
        <f t="shared" si="250"/>
        <v>63795.973423124386</v>
      </c>
      <c r="CZ126" s="1119">
        <f t="shared" si="251"/>
        <v>261718.99074760807</v>
      </c>
      <c r="DA126" s="1119">
        <f t="shared" si="252"/>
        <v>103560.92973242833</v>
      </c>
      <c r="DB126" s="1119">
        <f t="shared" si="253"/>
        <v>74800.59279213204</v>
      </c>
      <c r="DC126" s="1119">
        <f t="shared" si="254"/>
        <v>56926.69475624794</v>
      </c>
      <c r="DD126" s="1028">
        <f t="shared" si="294"/>
        <v>0</v>
      </c>
      <c r="DE126" s="1028">
        <f t="shared" si="341"/>
        <v>0</v>
      </c>
      <c r="DF126" s="916" t="s">
        <v>512</v>
      </c>
      <c r="DG126" s="1009" t="s">
        <v>271</v>
      </c>
      <c r="DH126" s="966">
        <f t="shared" si="287"/>
        <v>45658</v>
      </c>
      <c r="DI126" s="912">
        <f t="shared" si="255"/>
        <v>14</v>
      </c>
      <c r="DJ126" s="939"/>
      <c r="DK126" s="913">
        <f t="shared" si="213"/>
        <v>45723</v>
      </c>
      <c r="DL126" s="912">
        <f t="shared" si="256"/>
        <v>16</v>
      </c>
      <c r="DM126" s="750" t="s">
        <v>272</v>
      </c>
      <c r="DN126" s="750" t="s">
        <v>273</v>
      </c>
      <c r="DO126" s="751">
        <f t="shared" si="214"/>
        <v>0</v>
      </c>
      <c r="DP126" s="751">
        <f t="shared" si="215"/>
        <v>0</v>
      </c>
      <c r="DQ126" s="752">
        <f t="shared" si="295"/>
        <v>0</v>
      </c>
      <c r="DR126" s="503"/>
      <c r="DS126" s="751">
        <f t="shared" si="296"/>
        <v>3236997.2598707345</v>
      </c>
      <c r="DT126" s="751">
        <f>'[4]INTERNAL PRICELIST'!N120</f>
        <v>2111900</v>
      </c>
      <c r="DU126" s="751">
        <f t="shared" si="216"/>
        <v>1125097.2598707345</v>
      </c>
      <c r="DV126" s="503"/>
      <c r="DW126" s="951">
        <f t="shared" si="297"/>
        <v>147136.23908503339</v>
      </c>
      <c r="DX126" s="503"/>
      <c r="DZ126" s="1010" t="s">
        <v>543</v>
      </c>
      <c r="EA126" s="1052" t="b">
        <f t="shared" si="217"/>
        <v>1</v>
      </c>
      <c r="EB126" s="1072" t="s">
        <v>544</v>
      </c>
      <c r="EC126" s="1072" t="s">
        <v>514</v>
      </c>
      <c r="ED126" s="503"/>
      <c r="EH126" s="930"/>
      <c r="EI126" s="930"/>
      <c r="EJ126" s="503"/>
      <c r="EK126" s="503"/>
      <c r="EL126" s="503"/>
      <c r="EM126" s="503"/>
      <c r="EN126" s="503"/>
      <c r="EO126" s="503"/>
      <c r="EP126" s="503"/>
      <c r="EQ126" s="503"/>
      <c r="ER126" s="1017" t="s">
        <v>264</v>
      </c>
      <c r="ES126" s="1391" t="s">
        <v>264</v>
      </c>
      <c r="ET126" s="1018" t="b">
        <f t="shared" si="257"/>
        <v>1</v>
      </c>
      <c r="EU126" s="940"/>
      <c r="EV126" s="941"/>
      <c r="EW126" s="940"/>
      <c r="EX126" s="1019">
        <v>3213445.9519914463</v>
      </c>
      <c r="EY126" s="1019">
        <f t="shared" si="310"/>
        <v>482016.8927987169</v>
      </c>
      <c r="EZ126" s="1019">
        <f t="shared" si="311"/>
        <v>2731429.0591927292</v>
      </c>
      <c r="FA126" s="1019">
        <f t="shared" si="312"/>
        <v>321344.59519914468</v>
      </c>
      <c r="FB126" s="1019">
        <f t="shared" si="313"/>
        <v>2892101.3567923019</v>
      </c>
      <c r="FC126" s="1019">
        <f t="shared" si="314"/>
        <v>160672.29759957269</v>
      </c>
      <c r="FD126" s="1020"/>
      <c r="FE126" s="1021"/>
      <c r="FF126" s="1022">
        <f t="shared" si="315"/>
        <v>2731429.0591927292</v>
      </c>
      <c r="FG126" s="1022">
        <f t="shared" si="316"/>
        <v>232171.47003138199</v>
      </c>
      <c r="FH126" s="1022">
        <f t="shared" si="317"/>
        <v>116085.735015691</v>
      </c>
      <c r="FI126" s="1023">
        <f t="shared" si="318"/>
        <v>2892101.3567923019</v>
      </c>
      <c r="FJ126" s="1023">
        <f t="shared" si="319"/>
        <v>245828.61532734567</v>
      </c>
      <c r="FK126" s="1023">
        <f t="shared" si="320"/>
        <v>122914.30766367284</v>
      </c>
      <c r="FL126" s="1019">
        <f t="shared" si="321"/>
        <v>13657.145295963681</v>
      </c>
      <c r="FM126" s="1019">
        <f t="shared" si="322"/>
        <v>6828.5726479818404</v>
      </c>
      <c r="FN126" s="1019" t="str">
        <f t="shared" si="323"/>
        <v>VS</v>
      </c>
      <c r="FO126" s="1019">
        <f t="shared" si="324"/>
        <v>27537.409960060559</v>
      </c>
      <c r="FP126" s="1019">
        <f t="shared" si="325"/>
        <v>-20708.837312078718</v>
      </c>
      <c r="FQ126" s="1021"/>
      <c r="FR126" s="1021"/>
      <c r="FS126" s="1020"/>
      <c r="FT126" s="503"/>
      <c r="FU126" s="956"/>
      <c r="FV126" s="503"/>
      <c r="FW126" s="503"/>
      <c r="FX126" s="1040"/>
      <c r="FY126" s="503"/>
      <c r="FZ126" s="503"/>
      <c r="GA126" s="503"/>
      <c r="GE126" s="503"/>
      <c r="GF126" s="1059"/>
      <c r="GG126" s="956"/>
      <c r="GH126" s="945"/>
      <c r="GI126" s="1024">
        <f t="shared" si="258"/>
        <v>3682084.3831029604</v>
      </c>
      <c r="GJ126" s="1025">
        <f t="shared" si="259"/>
        <v>0.125</v>
      </c>
      <c r="GK126" s="1024">
        <f t="shared" si="260"/>
        <v>460260.54788787005</v>
      </c>
      <c r="GL126" s="1024">
        <f t="shared" si="261"/>
        <v>30000</v>
      </c>
      <c r="GM126" s="1024">
        <f t="shared" si="262"/>
        <v>430260.54788787005</v>
      </c>
      <c r="GN126" s="1024">
        <f t="shared" si="263"/>
        <v>2</v>
      </c>
      <c r="GO126" s="1024">
        <f t="shared" si="264"/>
        <v>215130.27394393503</v>
      </c>
      <c r="GP126" s="1025">
        <f t="shared" si="265"/>
        <v>0.875</v>
      </c>
      <c r="GQ126" s="1024">
        <f t="shared" si="266"/>
        <v>3221823.8352150903</v>
      </c>
      <c r="GR126" s="1024">
        <f t="shared" si="267"/>
        <v>24978.765901937801</v>
      </c>
      <c r="GS126" s="1024">
        <f t="shared" si="268"/>
        <v>28958.663467975144</v>
      </c>
      <c r="GT126" s="1024">
        <f t="shared" si="269"/>
        <v>37408.106581713902</v>
      </c>
      <c r="GU126" s="1024">
        <f t="shared" si="270"/>
        <v>63795.973423124386</v>
      </c>
      <c r="GV126" s="945"/>
      <c r="GW126" s="1024">
        <f t="shared" si="271"/>
        <v>3682084.3831029604</v>
      </c>
      <c r="GX126" s="1025">
        <f t="shared" si="272"/>
        <v>0.125</v>
      </c>
      <c r="GY126" s="1024">
        <f t="shared" si="273"/>
        <v>460260.54788787005</v>
      </c>
      <c r="GZ126" s="1024">
        <f t="shared" si="274"/>
        <v>30000</v>
      </c>
      <c r="HA126" s="1024">
        <f t="shared" si="275"/>
        <v>430260.54788787005</v>
      </c>
      <c r="HB126" s="1026">
        <f t="shared" si="276"/>
        <v>25</v>
      </c>
      <c r="HC126" s="1009">
        <f t="shared" si="277"/>
        <v>17210.421915514802</v>
      </c>
      <c r="HD126" s="1027">
        <f t="shared" si="278"/>
        <v>0.875</v>
      </c>
      <c r="HE126" s="1009">
        <f t="shared" si="279"/>
        <v>3221823.8352150903</v>
      </c>
      <c r="HF126" s="1008">
        <f t="shared" si="280"/>
        <v>24978.765901937801</v>
      </c>
      <c r="HG126" s="1008">
        <f t="shared" si="281"/>
        <v>28958.663467975144</v>
      </c>
      <c r="HH126" s="1008">
        <f t="shared" si="282"/>
        <v>37408.106581713902</v>
      </c>
      <c r="HI126" s="1008">
        <f t="shared" si="283"/>
        <v>63795.973423124386</v>
      </c>
      <c r="HJ126" s="945"/>
      <c r="HK126" s="1009">
        <f t="shared" si="284"/>
        <v>-197919.85202842022</v>
      </c>
      <c r="HL126" s="503"/>
      <c r="HM126" s="503"/>
      <c r="HN126" s="503"/>
      <c r="HO126" s="503"/>
      <c r="HP126" s="503"/>
      <c r="HQ126" s="503"/>
      <c r="HR126" s="956">
        <f t="shared" si="285"/>
        <v>0</v>
      </c>
      <c r="HS126" s="503"/>
      <c r="HT126" s="503"/>
      <c r="HU126" s="956"/>
      <c r="HV126" s="503"/>
      <c r="HW126" s="956"/>
      <c r="HX126" s="956"/>
      <c r="HY126" s="503"/>
      <c r="HZ126" s="503"/>
      <c r="IA126" s="503"/>
      <c r="ID126" s="1394"/>
    </row>
    <row r="127" spans="1:238" s="1051" customFormat="1" ht="14.25" hidden="1" customHeight="1">
      <c r="A127" s="1018">
        <f t="shared" si="326"/>
        <v>121</v>
      </c>
      <c r="B127" s="716" t="s">
        <v>264</v>
      </c>
      <c r="C127" s="741">
        <v>1</v>
      </c>
      <c r="D127" s="716" t="s">
        <v>286</v>
      </c>
      <c r="E127" s="743" t="str">
        <f t="shared" si="352"/>
        <v>9th Floor</v>
      </c>
      <c r="F127" s="1048"/>
      <c r="G127" s="745" t="s">
        <v>545</v>
      </c>
      <c r="H127" s="745" t="s">
        <v>266</v>
      </c>
      <c r="I127" s="745" t="s">
        <v>267</v>
      </c>
      <c r="J127" s="1005">
        <v>22</v>
      </c>
      <c r="K127" s="1049"/>
      <c r="L127" s="1006" t="s">
        <v>73</v>
      </c>
      <c r="M127" s="745" t="s">
        <v>65</v>
      </c>
      <c r="N127" s="1050">
        <v>95909.091</v>
      </c>
      <c r="O127" s="934">
        <f t="shared" si="298"/>
        <v>2110000.0019999999</v>
      </c>
      <c r="P127" s="934">
        <f t="shared" si="327"/>
        <v>22400</v>
      </c>
      <c r="Q127" s="934">
        <f t="shared" si="293"/>
        <v>50000</v>
      </c>
      <c r="R127" s="934"/>
      <c r="S127" s="934"/>
      <c r="T127" s="934"/>
      <c r="U127" s="934"/>
      <c r="V127" s="749">
        <f t="shared" si="356"/>
        <v>55000</v>
      </c>
      <c r="W127" s="749"/>
      <c r="X127" s="934"/>
      <c r="Y127" s="934">
        <f>Y126+Y5</f>
        <v>100000</v>
      </c>
      <c r="Z127" s="934">
        <f t="shared" si="299"/>
        <v>75000</v>
      </c>
      <c r="AA127" s="934"/>
      <c r="AB127" s="934"/>
      <c r="AC127" s="934"/>
      <c r="AD127" s="934"/>
      <c r="AE127" s="934">
        <f t="shared" si="199"/>
        <v>302400</v>
      </c>
      <c r="AF127" s="1005">
        <f t="shared" si="200"/>
        <v>2412400.0019999999</v>
      </c>
      <c r="AG127" s="1005">
        <f t="shared" si="220"/>
        <v>60310.000050000002</v>
      </c>
      <c r="AH127" s="1005">
        <f t="shared" si="221"/>
        <v>2472710.0020499998</v>
      </c>
      <c r="AI127" s="1005">
        <f t="shared" si="222"/>
        <v>61817.750051249997</v>
      </c>
      <c r="AJ127" s="1005">
        <f t="shared" si="223"/>
        <v>2534527.75210125</v>
      </c>
      <c r="AK127" s="1005">
        <f t="shared" si="224"/>
        <v>126726.38760506251</v>
      </c>
      <c r="AL127" s="1005">
        <f t="shared" si="300"/>
        <v>2661254.1397063127</v>
      </c>
      <c r="AM127" s="934">
        <f t="shared" si="225"/>
        <v>26612.541397063127</v>
      </c>
      <c r="AN127" s="934">
        <f t="shared" si="226"/>
        <v>27537.409960060559</v>
      </c>
      <c r="AO127" s="934"/>
      <c r="AP127" s="934">
        <f t="shared" si="301"/>
        <v>120396.06974051513</v>
      </c>
      <c r="AQ127" s="1005">
        <f t="shared" si="201"/>
        <v>2835800.1608039513</v>
      </c>
      <c r="AR127" s="1005">
        <f t="shared" si="227"/>
        <v>127611.0072361778</v>
      </c>
      <c r="AS127" s="1147">
        <f t="shared" si="228"/>
        <v>2963411.1680401294</v>
      </c>
      <c r="AT127" s="1148">
        <f t="shared" si="348"/>
        <v>2000000</v>
      </c>
      <c r="AU127" s="1148">
        <f t="shared" ref="AU127:AU162" si="358">AV127/J127</f>
        <v>43791.416729096789</v>
      </c>
      <c r="AV127" s="1148">
        <f>AS127-AT127</f>
        <v>963411.16804012936</v>
      </c>
      <c r="AW127" s="1148">
        <f>AV127*$AW$5</f>
        <v>115609.34016481551</v>
      </c>
      <c r="AX127" s="1148">
        <f t="shared" si="204"/>
        <v>1079020.5082049449</v>
      </c>
      <c r="AY127" s="1147">
        <f t="shared" si="229"/>
        <v>3079020.5082049449</v>
      </c>
      <c r="AZ127" s="934">
        <f t="shared" si="230"/>
        <v>38487.75635256181</v>
      </c>
      <c r="BA127" s="716" t="s">
        <v>269</v>
      </c>
      <c r="BB127" s="716">
        <f t="shared" si="355"/>
        <v>3117508.2645575069</v>
      </c>
      <c r="BC127" s="716" t="s">
        <v>269</v>
      </c>
      <c r="BD127" s="716">
        <f t="shared" si="231"/>
        <v>116906.55992090651</v>
      </c>
      <c r="BE127" s="716">
        <f t="shared" si="232"/>
        <v>33600</v>
      </c>
      <c r="BF127" s="716">
        <f t="shared" si="233"/>
        <v>3268014.8244784134</v>
      </c>
      <c r="BG127" s="716"/>
      <c r="BH127" s="716">
        <f t="shared" si="234"/>
        <v>3268014.8244784134</v>
      </c>
      <c r="BI127" s="716"/>
      <c r="BJ127" s="716">
        <f t="shared" si="235"/>
        <v>3268014.8244784134</v>
      </c>
      <c r="BK127" s="716"/>
      <c r="BL127" s="716">
        <f t="shared" si="236"/>
        <v>3268014.8244784134</v>
      </c>
      <c r="BM127" s="716"/>
      <c r="BN127" s="716">
        <f t="shared" si="206"/>
        <v>3268014.8244784134</v>
      </c>
      <c r="BO127" s="716"/>
      <c r="BP127" s="716">
        <f t="shared" si="237"/>
        <v>3268014.8244784134</v>
      </c>
      <c r="BQ127" s="716"/>
      <c r="BR127" s="716">
        <f t="shared" si="238"/>
        <v>3268014.8244784134</v>
      </c>
      <c r="BS127" s="716"/>
      <c r="BT127" s="716">
        <f t="shared" si="239"/>
        <v>3268014.8244784134</v>
      </c>
      <c r="BU127" s="716"/>
      <c r="BV127" s="716">
        <f t="shared" si="207"/>
        <v>3268014.8244784134</v>
      </c>
      <c r="BW127" s="716"/>
      <c r="BX127" s="716">
        <f t="shared" si="329"/>
        <v>31400</v>
      </c>
      <c r="BY127" s="716">
        <f t="shared" si="240"/>
        <v>3299414.8244784134</v>
      </c>
      <c r="BZ127" s="716"/>
      <c r="CA127" s="716">
        <f t="shared" si="241"/>
        <v>3299414.8244784134</v>
      </c>
      <c r="CB127" s="1135">
        <f t="shared" si="242"/>
        <v>3299414.8244784134</v>
      </c>
      <c r="CC127" s="1164">
        <f t="shared" si="286"/>
        <v>3299414.8244784134</v>
      </c>
      <c r="CD127" s="1164"/>
      <c r="CE127" s="1164">
        <f t="shared" si="243"/>
        <v>0</v>
      </c>
      <c r="CF127" s="1164">
        <f t="shared" si="291"/>
        <v>0</v>
      </c>
      <c r="CG127" s="1164">
        <f t="shared" si="292"/>
        <v>0</v>
      </c>
      <c r="CH127" s="1154">
        <f t="shared" si="339"/>
        <v>3299414.8244784134</v>
      </c>
      <c r="CI127" s="935">
        <f t="shared" si="340"/>
        <v>3299414.8244784134</v>
      </c>
      <c r="CJ127" s="935">
        <f t="shared" si="244"/>
        <v>0</v>
      </c>
      <c r="CK127" s="935">
        <f t="shared" si="208"/>
        <v>338190.01950903737</v>
      </c>
      <c r="CL127" s="935">
        <f t="shared" si="209"/>
        <v>115479.51885674449</v>
      </c>
      <c r="CM127" s="1006">
        <f t="shared" si="306"/>
        <v>3753084.3628441952</v>
      </c>
      <c r="CN127" s="1007">
        <f t="shared" si="307"/>
        <v>0.125</v>
      </c>
      <c r="CO127" s="935">
        <f t="shared" si="210"/>
        <v>469135.5453555244</v>
      </c>
      <c r="CP127" s="935">
        <f t="shared" si="330"/>
        <v>30000</v>
      </c>
      <c r="CQ127" s="935">
        <f t="shared" si="211"/>
        <v>439135.5453555244</v>
      </c>
      <c r="CR127" s="745">
        <f t="shared" si="308"/>
        <v>2</v>
      </c>
      <c r="CS127" s="935">
        <f t="shared" si="212"/>
        <v>219567.7726777622</v>
      </c>
      <c r="CT127" s="1007">
        <f t="shared" si="245"/>
        <v>0.875</v>
      </c>
      <c r="CU127" s="935">
        <f t="shared" si="246"/>
        <v>3283948.8174886708</v>
      </c>
      <c r="CV127" s="1008">
        <f t="shared" si="247"/>
        <v>25460.420228258285</v>
      </c>
      <c r="CW127" s="1008">
        <f t="shared" si="248"/>
        <v>29517.060371912146</v>
      </c>
      <c r="CX127" s="1008">
        <f t="shared" si="249"/>
        <v>38129.430303040841</v>
      </c>
      <c r="CY127" s="1008">
        <f t="shared" si="250"/>
        <v>65026.12253143925</v>
      </c>
      <c r="CZ127" s="1119">
        <f t="shared" si="251"/>
        <v>266765.60052283469</v>
      </c>
      <c r="DA127" s="1119">
        <f t="shared" si="252"/>
        <v>105557.84863703788</v>
      </c>
      <c r="DB127" s="1119">
        <f t="shared" si="253"/>
        <v>76242.939034180468</v>
      </c>
      <c r="DC127" s="1119">
        <f t="shared" si="254"/>
        <v>58024.386648638247</v>
      </c>
      <c r="DD127" s="1028">
        <f t="shared" si="294"/>
        <v>0.48170558402006469</v>
      </c>
      <c r="DE127" s="1028">
        <f t="shared" si="341"/>
        <v>0</v>
      </c>
      <c r="DF127" s="1009" t="s">
        <v>270</v>
      </c>
      <c r="DG127" s="1009" t="s">
        <v>271</v>
      </c>
      <c r="DH127" s="966">
        <f t="shared" si="287"/>
        <v>45658</v>
      </c>
      <c r="DI127" s="912">
        <f t="shared" si="255"/>
        <v>14</v>
      </c>
      <c r="DJ127" s="939"/>
      <c r="DK127" s="913">
        <f t="shared" si="213"/>
        <v>45723</v>
      </c>
      <c r="DL127" s="912">
        <f t="shared" si="256"/>
        <v>16</v>
      </c>
      <c r="DM127" s="750" t="s">
        <v>272</v>
      </c>
      <c r="DN127" s="750" t="s">
        <v>273</v>
      </c>
      <c r="DO127" s="751">
        <f t="shared" si="214"/>
        <v>49046.386736588407</v>
      </c>
      <c r="DP127" s="751">
        <f t="shared" si="215"/>
        <v>1079020.5082049449</v>
      </c>
      <c r="DQ127" s="752">
        <f t="shared" si="295"/>
        <v>0.53951025410247244</v>
      </c>
      <c r="DR127" s="503"/>
      <c r="DS127" s="751">
        <f t="shared" si="296"/>
        <v>3299414.8244784134</v>
      </c>
      <c r="DT127" s="751">
        <f>'[4]INTERNAL PRICELIST'!N121</f>
        <v>2113804</v>
      </c>
      <c r="DU127" s="751">
        <f t="shared" si="216"/>
        <v>1185610.8244784134</v>
      </c>
      <c r="DV127" s="503"/>
      <c r="DW127" s="951">
        <f t="shared" si="297"/>
        <v>149973.40111265515</v>
      </c>
      <c r="DX127" s="503"/>
      <c r="DZ127" s="1010" t="s">
        <v>545</v>
      </c>
      <c r="EA127" s="1052" t="b">
        <f t="shared" si="217"/>
        <v>1</v>
      </c>
      <c r="EB127" s="1072" t="s">
        <v>546</v>
      </c>
      <c r="EC127" s="1072" t="s">
        <v>547</v>
      </c>
      <c r="ED127" s="503"/>
      <c r="EH127" s="930"/>
      <c r="EI127" s="930"/>
      <c r="EJ127" s="503"/>
      <c r="EK127" s="503"/>
      <c r="EL127" s="503"/>
      <c r="EM127" s="503"/>
      <c r="EN127" s="503"/>
      <c r="EO127" s="503"/>
      <c r="EP127" s="503"/>
      <c r="EQ127" s="503"/>
      <c r="ER127" s="1017" t="s">
        <v>264</v>
      </c>
      <c r="ES127" s="1391" t="s">
        <v>264</v>
      </c>
      <c r="ET127" s="1018" t="b">
        <f t="shared" si="257"/>
        <v>1</v>
      </c>
      <c r="EU127" s="940"/>
      <c r="EV127" s="941"/>
      <c r="EW127" s="940"/>
      <c r="EX127" s="1019">
        <v>3147609.6664186958</v>
      </c>
      <c r="EY127" s="1019">
        <f t="shared" si="310"/>
        <v>472141.44996280433</v>
      </c>
      <c r="EZ127" s="1019">
        <f t="shared" si="311"/>
        <v>2675468.2164558913</v>
      </c>
      <c r="FA127" s="1019">
        <f t="shared" si="312"/>
        <v>314760.96664186963</v>
      </c>
      <c r="FB127" s="1019">
        <f t="shared" si="313"/>
        <v>2832848.6997768264</v>
      </c>
      <c r="FC127" s="1019">
        <f t="shared" si="314"/>
        <v>157380.48332093516</v>
      </c>
      <c r="FD127" s="1020"/>
      <c r="FE127" s="1021"/>
      <c r="FF127" s="1022">
        <f t="shared" si="315"/>
        <v>2675468.2164558913</v>
      </c>
      <c r="FG127" s="1022">
        <f t="shared" si="316"/>
        <v>227414.79839875078</v>
      </c>
      <c r="FH127" s="1022">
        <f t="shared" si="317"/>
        <v>113707.39919937539</v>
      </c>
      <c r="FI127" s="1023">
        <f t="shared" si="318"/>
        <v>2832848.6997768264</v>
      </c>
      <c r="FJ127" s="1023">
        <f t="shared" si="319"/>
        <v>240792.13948103026</v>
      </c>
      <c r="FK127" s="1023">
        <f t="shared" si="320"/>
        <v>120396.06974051513</v>
      </c>
      <c r="FL127" s="1019">
        <f t="shared" si="321"/>
        <v>13377.341082279483</v>
      </c>
      <c r="FM127" s="1019">
        <f t="shared" si="322"/>
        <v>6688.6705411397415</v>
      </c>
      <c r="FN127" s="1019" t="str">
        <f t="shared" si="323"/>
        <v>VS</v>
      </c>
      <c r="FO127" s="1019">
        <f t="shared" si="324"/>
        <v>27537.409960060559</v>
      </c>
      <c r="FP127" s="1019">
        <f t="shared" si="325"/>
        <v>-20848.739418920817</v>
      </c>
      <c r="FQ127" s="1021"/>
      <c r="FR127" s="1021"/>
      <c r="FS127" s="1020"/>
      <c r="FT127" s="503"/>
      <c r="FU127" s="956"/>
      <c r="FV127" s="503"/>
      <c r="FW127" s="503"/>
      <c r="FX127" s="1040"/>
      <c r="FY127" s="503"/>
      <c r="FZ127" s="503"/>
      <c r="GA127" s="503"/>
      <c r="GE127" s="503"/>
      <c r="GF127" s="1059"/>
      <c r="GG127" s="956"/>
      <c r="GH127" s="945"/>
      <c r="GI127" s="1024">
        <f t="shared" si="258"/>
        <v>3753084.3628441952</v>
      </c>
      <c r="GJ127" s="1025">
        <f t="shared" si="259"/>
        <v>0.125</v>
      </c>
      <c r="GK127" s="1024">
        <f t="shared" si="260"/>
        <v>469135.5453555244</v>
      </c>
      <c r="GL127" s="1024">
        <f t="shared" si="261"/>
        <v>30000</v>
      </c>
      <c r="GM127" s="1024">
        <f t="shared" si="262"/>
        <v>439135.5453555244</v>
      </c>
      <c r="GN127" s="1024">
        <f t="shared" si="263"/>
        <v>2</v>
      </c>
      <c r="GO127" s="1024">
        <f t="shared" si="264"/>
        <v>219567.7726777622</v>
      </c>
      <c r="GP127" s="1025">
        <f t="shared" si="265"/>
        <v>0.875</v>
      </c>
      <c r="GQ127" s="1024">
        <f t="shared" si="266"/>
        <v>3283948.8174886708</v>
      </c>
      <c r="GR127" s="1024">
        <f t="shared" si="267"/>
        <v>25460.420228258285</v>
      </c>
      <c r="GS127" s="1024">
        <f t="shared" si="268"/>
        <v>29517.060371912146</v>
      </c>
      <c r="GT127" s="1024">
        <f t="shared" si="269"/>
        <v>38129.430303040841</v>
      </c>
      <c r="GU127" s="1024">
        <f t="shared" si="270"/>
        <v>65026.12253143925</v>
      </c>
      <c r="GV127" s="945"/>
      <c r="GW127" s="1024">
        <f t="shared" si="271"/>
        <v>3753084.3628441952</v>
      </c>
      <c r="GX127" s="1025">
        <f t="shared" si="272"/>
        <v>0.125</v>
      </c>
      <c r="GY127" s="1024">
        <f t="shared" si="273"/>
        <v>469135.5453555244</v>
      </c>
      <c r="GZ127" s="1024">
        <f t="shared" si="274"/>
        <v>30000</v>
      </c>
      <c r="HA127" s="1024">
        <f t="shared" si="275"/>
        <v>439135.5453555244</v>
      </c>
      <c r="HB127" s="1026">
        <f t="shared" si="276"/>
        <v>25</v>
      </c>
      <c r="HC127" s="1009">
        <f t="shared" si="277"/>
        <v>17565.421814220976</v>
      </c>
      <c r="HD127" s="1027">
        <f t="shared" si="278"/>
        <v>0.875</v>
      </c>
      <c r="HE127" s="1009">
        <f t="shared" si="279"/>
        <v>3283948.8174886708</v>
      </c>
      <c r="HF127" s="1008">
        <f t="shared" si="280"/>
        <v>25460.420228258285</v>
      </c>
      <c r="HG127" s="1008">
        <f t="shared" si="281"/>
        <v>29517.060371912146</v>
      </c>
      <c r="HH127" s="1008">
        <f t="shared" si="282"/>
        <v>38129.430303040841</v>
      </c>
      <c r="HI127" s="1008">
        <f t="shared" si="283"/>
        <v>65026.12253143925</v>
      </c>
      <c r="HJ127" s="945"/>
      <c r="HK127" s="1009">
        <f t="shared" si="284"/>
        <v>-202002.35086354121</v>
      </c>
      <c r="HL127" s="503"/>
      <c r="HM127" s="503"/>
      <c r="HN127" s="503"/>
      <c r="HO127" s="503"/>
      <c r="HP127" s="503"/>
      <c r="HQ127" s="503"/>
      <c r="HR127" s="956">
        <f t="shared" si="285"/>
        <v>0</v>
      </c>
      <c r="HS127" s="503"/>
      <c r="HT127" s="503"/>
      <c r="HU127" s="956"/>
      <c r="HV127" s="503"/>
      <c r="HW127" s="956"/>
      <c r="HX127" s="956"/>
      <c r="HY127" s="503"/>
      <c r="HZ127" s="503"/>
      <c r="IA127" s="503"/>
      <c r="ID127" s="1394"/>
    </row>
    <row r="128" spans="1:238" s="1051" customFormat="1" ht="14.25" hidden="1" customHeight="1">
      <c r="A128" s="1018">
        <f t="shared" si="326"/>
        <v>122</v>
      </c>
      <c r="B128" s="716" t="s">
        <v>264</v>
      </c>
      <c r="C128" s="741">
        <f>C127+1</f>
        <v>2</v>
      </c>
      <c r="D128" s="716" t="s">
        <v>286</v>
      </c>
      <c r="E128" s="743" t="str">
        <f t="shared" si="352"/>
        <v>9th Floor</v>
      </c>
      <c r="F128" s="1048"/>
      <c r="G128" s="745" t="s">
        <v>548</v>
      </c>
      <c r="H128" s="745" t="s">
        <v>278</v>
      </c>
      <c r="I128" s="745" t="s">
        <v>267</v>
      </c>
      <c r="J128" s="1005">
        <v>22</v>
      </c>
      <c r="K128" s="1049"/>
      <c r="L128" s="1006" t="s">
        <v>73</v>
      </c>
      <c r="M128" s="745" t="s">
        <v>240</v>
      </c>
      <c r="N128" s="1050">
        <v>95909.091</v>
      </c>
      <c r="O128" s="934">
        <f t="shared" si="298"/>
        <v>2110000.0019999999</v>
      </c>
      <c r="P128" s="934">
        <f t="shared" si="327"/>
        <v>22400</v>
      </c>
      <c r="Q128" s="934">
        <f t="shared" si="293"/>
        <v>50000</v>
      </c>
      <c r="R128" s="934"/>
      <c r="S128" s="934"/>
      <c r="T128" s="934"/>
      <c r="U128" s="934"/>
      <c r="V128" s="934"/>
      <c r="W128" s="749">
        <f t="shared" ref="W128:W131" si="359">J128*$W$5</f>
        <v>22000</v>
      </c>
      <c r="X128" s="934"/>
      <c r="Y128" s="934">
        <f>$Y$127</f>
        <v>100000</v>
      </c>
      <c r="Z128" s="934">
        <f t="shared" si="299"/>
        <v>75000</v>
      </c>
      <c r="AA128" s="934"/>
      <c r="AB128" s="934"/>
      <c r="AC128" s="934"/>
      <c r="AD128" s="934"/>
      <c r="AE128" s="934">
        <f t="shared" si="199"/>
        <v>269400</v>
      </c>
      <c r="AF128" s="1005">
        <f t="shared" si="200"/>
        <v>2379400.0019999999</v>
      </c>
      <c r="AG128" s="1005">
        <f t="shared" si="220"/>
        <v>59485.000050000002</v>
      </c>
      <c r="AH128" s="1005">
        <f t="shared" si="221"/>
        <v>2438885.0020499998</v>
      </c>
      <c r="AI128" s="1005">
        <f t="shared" si="222"/>
        <v>60972.125051249997</v>
      </c>
      <c r="AJ128" s="1005">
        <f t="shared" si="223"/>
        <v>2499857.12710125</v>
      </c>
      <c r="AK128" s="1005">
        <f t="shared" si="224"/>
        <v>124992.85635506251</v>
      </c>
      <c r="AL128" s="1005">
        <f t="shared" si="300"/>
        <v>2624849.9834563127</v>
      </c>
      <c r="AM128" s="934">
        <f t="shared" si="225"/>
        <v>26248.499834563128</v>
      </c>
      <c r="AN128" s="934">
        <f t="shared" si="226"/>
        <v>27537.409960060559</v>
      </c>
      <c r="AO128" s="934"/>
      <c r="AP128" s="934">
        <f t="shared" si="301"/>
        <v>116435.31638590517</v>
      </c>
      <c r="AQ128" s="1005">
        <f t="shared" si="201"/>
        <v>2795071.2096368414</v>
      </c>
      <c r="AR128" s="1005">
        <f t="shared" si="227"/>
        <v>125778.20443365785</v>
      </c>
      <c r="AS128" s="1147">
        <f t="shared" si="228"/>
        <v>2920849.4140704991</v>
      </c>
      <c r="AT128" s="1148">
        <f t="shared" si="348"/>
        <v>2000000</v>
      </c>
      <c r="AU128" s="1148">
        <f t="shared" si="358"/>
        <v>41856.79154865905</v>
      </c>
      <c r="AV128" s="1148">
        <f t="shared" si="303"/>
        <v>920849.41407049913</v>
      </c>
      <c r="AW128" s="1148">
        <f t="shared" si="203"/>
        <v>110501.92968845989</v>
      </c>
      <c r="AX128" s="1148">
        <f t="shared" si="204"/>
        <v>1031351.343758959</v>
      </c>
      <c r="AY128" s="1147">
        <f t="shared" si="229"/>
        <v>3031351.3437589589</v>
      </c>
      <c r="AZ128" s="934">
        <f t="shared" si="230"/>
        <v>37891.891796986987</v>
      </c>
      <c r="BA128" s="716" t="s">
        <v>269</v>
      </c>
      <c r="BB128" s="716">
        <f t="shared" si="355"/>
        <v>3069243.2355559459</v>
      </c>
      <c r="BC128" s="716" t="s">
        <v>269</v>
      </c>
      <c r="BD128" s="716">
        <f t="shared" si="231"/>
        <v>115096.62133334797</v>
      </c>
      <c r="BE128" s="716">
        <f t="shared" si="232"/>
        <v>33600</v>
      </c>
      <c r="BF128" s="716">
        <f t="shared" si="233"/>
        <v>3217939.856889294</v>
      </c>
      <c r="BG128" s="716"/>
      <c r="BH128" s="716">
        <f t="shared" si="234"/>
        <v>3217939.856889294</v>
      </c>
      <c r="BI128" s="716"/>
      <c r="BJ128" s="716">
        <f t="shared" si="235"/>
        <v>3217939.856889294</v>
      </c>
      <c r="BK128" s="716"/>
      <c r="BL128" s="716">
        <f t="shared" si="236"/>
        <v>3217939.856889294</v>
      </c>
      <c r="BM128" s="716"/>
      <c r="BN128" s="716">
        <f t="shared" si="206"/>
        <v>3217939.856889294</v>
      </c>
      <c r="BO128" s="716"/>
      <c r="BP128" s="716">
        <f t="shared" si="237"/>
        <v>3217939.856889294</v>
      </c>
      <c r="BQ128" s="716"/>
      <c r="BR128" s="716">
        <f t="shared" si="238"/>
        <v>3217939.856889294</v>
      </c>
      <c r="BS128" s="716"/>
      <c r="BT128" s="716">
        <f t="shared" si="239"/>
        <v>3217939.856889294</v>
      </c>
      <c r="BU128" s="716"/>
      <c r="BV128" s="716">
        <f t="shared" si="207"/>
        <v>3217939.856889294</v>
      </c>
      <c r="BW128" s="716"/>
      <c r="BX128" s="716">
        <f t="shared" si="329"/>
        <v>31400</v>
      </c>
      <c r="BY128" s="716">
        <f t="shared" si="240"/>
        <v>3249339.856889294</v>
      </c>
      <c r="BZ128" s="716"/>
      <c r="CA128" s="716">
        <f t="shared" si="241"/>
        <v>3249339.856889294</v>
      </c>
      <c r="CB128" s="1135">
        <f t="shared" si="242"/>
        <v>3249339.856889294</v>
      </c>
      <c r="CC128" s="1164">
        <f t="shared" si="286"/>
        <v>3249339.856889294</v>
      </c>
      <c r="CD128" s="1164"/>
      <c r="CE128" s="1164">
        <f t="shared" si="243"/>
        <v>0</v>
      </c>
      <c r="CF128" s="1164">
        <f t="shared" si="291"/>
        <v>0</v>
      </c>
      <c r="CG128" s="1164">
        <f t="shared" si="292"/>
        <v>0</v>
      </c>
      <c r="CH128" s="1154">
        <f t="shared" si="339"/>
        <v>3249339.856889294</v>
      </c>
      <c r="CI128" s="935">
        <f t="shared" si="340"/>
        <v>3249339.856889294</v>
      </c>
      <c r="CJ128" s="935">
        <f t="shared" si="244"/>
        <v>0</v>
      </c>
      <c r="CK128" s="935">
        <f t="shared" si="208"/>
        <v>333057.3353311526</v>
      </c>
      <c r="CL128" s="935">
        <f t="shared" si="209"/>
        <v>113726.8949911253</v>
      </c>
      <c r="CM128" s="1006">
        <f t="shared" si="306"/>
        <v>3696124.0872115721</v>
      </c>
      <c r="CN128" s="1007">
        <f t="shared" si="307"/>
        <v>0.125</v>
      </c>
      <c r="CO128" s="935">
        <f t="shared" si="210"/>
        <v>462015.51090144651</v>
      </c>
      <c r="CP128" s="935">
        <f t="shared" si="330"/>
        <v>30000</v>
      </c>
      <c r="CQ128" s="935">
        <f t="shared" si="211"/>
        <v>432015.51090144651</v>
      </c>
      <c r="CR128" s="745">
        <f t="shared" si="308"/>
        <v>2</v>
      </c>
      <c r="CS128" s="935">
        <f t="shared" si="212"/>
        <v>216007.75545072326</v>
      </c>
      <c r="CT128" s="1007">
        <f t="shared" si="245"/>
        <v>0.875</v>
      </c>
      <c r="CU128" s="935">
        <f t="shared" si="246"/>
        <v>3234108.5763101256</v>
      </c>
      <c r="CV128" s="1008">
        <f t="shared" si="247"/>
        <v>25074.009368891144</v>
      </c>
      <c r="CW128" s="1008">
        <f t="shared" si="248"/>
        <v>29069.082193938346</v>
      </c>
      <c r="CX128" s="1008">
        <f t="shared" si="249"/>
        <v>37550.742842327803</v>
      </c>
      <c r="CY128" s="1008">
        <f t="shared" si="250"/>
        <v>64039.226020563969</v>
      </c>
      <c r="CZ128" s="1119">
        <f t="shared" si="251"/>
        <v>262716.91931398289</v>
      </c>
      <c r="DA128" s="1119">
        <f t="shared" si="252"/>
        <v>103955.80520495369</v>
      </c>
      <c r="DB128" s="1119">
        <f t="shared" si="253"/>
        <v>75085.80575323895</v>
      </c>
      <c r="DC128" s="1119">
        <f t="shared" si="254"/>
        <v>57143.754950176859</v>
      </c>
      <c r="DD128" s="1028">
        <f t="shared" si="294"/>
        <v>0.46042470703524957</v>
      </c>
      <c r="DE128" s="1028">
        <f t="shared" si="341"/>
        <v>0</v>
      </c>
      <c r="DF128" s="1009" t="s">
        <v>270</v>
      </c>
      <c r="DG128" s="1009" t="s">
        <v>271</v>
      </c>
      <c r="DH128" s="966">
        <f t="shared" si="287"/>
        <v>45658</v>
      </c>
      <c r="DI128" s="912">
        <f t="shared" si="255"/>
        <v>14</v>
      </c>
      <c r="DJ128" s="939"/>
      <c r="DK128" s="913">
        <f t="shared" si="213"/>
        <v>45723</v>
      </c>
      <c r="DL128" s="912">
        <f t="shared" si="256"/>
        <v>16</v>
      </c>
      <c r="DM128" s="750" t="s">
        <v>272</v>
      </c>
      <c r="DN128" s="750" t="s">
        <v>273</v>
      </c>
      <c r="DO128" s="751">
        <f t="shared" si="214"/>
        <v>46879.606534498133</v>
      </c>
      <c r="DP128" s="751">
        <f t="shared" si="215"/>
        <v>1031351.343758959</v>
      </c>
      <c r="DQ128" s="752">
        <f t="shared" si="295"/>
        <v>0.51567567187947949</v>
      </c>
      <c r="DR128" s="503"/>
      <c r="DS128" s="751">
        <f t="shared" si="296"/>
        <v>3249339.856889294</v>
      </c>
      <c r="DT128" s="751">
        <f>'[4]INTERNAL PRICELIST'!N122</f>
        <v>2111900</v>
      </c>
      <c r="DU128" s="751">
        <f t="shared" si="216"/>
        <v>1137439.856889294</v>
      </c>
      <c r="DV128" s="503"/>
      <c r="DW128" s="951">
        <f t="shared" si="297"/>
        <v>147697.26622224064</v>
      </c>
      <c r="DX128" s="503"/>
      <c r="DZ128" s="1010" t="s">
        <v>548</v>
      </c>
      <c r="EA128" s="1052" t="b">
        <f t="shared" si="217"/>
        <v>1</v>
      </c>
      <c r="EB128" s="1072" t="s">
        <v>549</v>
      </c>
      <c r="EC128" s="1072" t="s">
        <v>547</v>
      </c>
      <c r="ED128" s="503"/>
      <c r="EH128" s="930"/>
      <c r="EI128" s="930"/>
      <c r="EJ128" s="503"/>
      <c r="EK128" s="503"/>
      <c r="EL128" s="503"/>
      <c r="EM128" s="503"/>
      <c r="EN128" s="503"/>
      <c r="EO128" s="503"/>
      <c r="EP128" s="503"/>
      <c r="EQ128" s="503"/>
      <c r="ER128" s="1017" t="s">
        <v>264</v>
      </c>
      <c r="ES128" s="1391" t="s">
        <v>264</v>
      </c>
      <c r="ET128" s="1018" t="b">
        <f t="shared" si="257"/>
        <v>1</v>
      </c>
      <c r="EU128" s="940"/>
      <c r="EV128" s="941"/>
      <c r="EW128" s="940"/>
      <c r="EX128" s="1019">
        <v>3044060.5591086317</v>
      </c>
      <c r="EY128" s="1019">
        <f t="shared" si="310"/>
        <v>456609.08386629476</v>
      </c>
      <c r="EZ128" s="1019">
        <f t="shared" si="311"/>
        <v>2587451.4752423367</v>
      </c>
      <c r="FA128" s="1019">
        <f t="shared" si="312"/>
        <v>304406.05591086316</v>
      </c>
      <c r="FB128" s="1019">
        <f t="shared" si="313"/>
        <v>2739654.5031977687</v>
      </c>
      <c r="FC128" s="1019">
        <f t="shared" si="314"/>
        <v>152203.02795543196</v>
      </c>
      <c r="FD128" s="1020"/>
      <c r="FE128" s="1021"/>
      <c r="FF128" s="1022">
        <f t="shared" si="315"/>
        <v>2587451.4752423367</v>
      </c>
      <c r="FG128" s="1022">
        <f t="shared" si="316"/>
        <v>219933.37539559865</v>
      </c>
      <c r="FH128" s="1022">
        <f t="shared" si="317"/>
        <v>109966.68769779932</v>
      </c>
      <c r="FI128" s="1023">
        <f t="shared" si="318"/>
        <v>2739654.5031977687</v>
      </c>
      <c r="FJ128" s="1023">
        <f t="shared" si="319"/>
        <v>232870.63277181034</v>
      </c>
      <c r="FK128" s="1023">
        <f t="shared" si="320"/>
        <v>116435.31638590517</v>
      </c>
      <c r="FL128" s="1019">
        <f t="shared" si="321"/>
        <v>12937.257376211695</v>
      </c>
      <c r="FM128" s="1019">
        <f t="shared" si="322"/>
        <v>6468.6286881058477</v>
      </c>
      <c r="FN128" s="1019" t="str">
        <f t="shared" si="323"/>
        <v>VS</v>
      </c>
      <c r="FO128" s="1019">
        <f t="shared" si="324"/>
        <v>27537.409960060559</v>
      </c>
      <c r="FP128" s="1019">
        <f t="shared" si="325"/>
        <v>-21068.781271954711</v>
      </c>
      <c r="FQ128" s="1021"/>
      <c r="FR128" s="1021"/>
      <c r="FS128" s="1020"/>
      <c r="FT128" s="503"/>
      <c r="FU128" s="956"/>
      <c r="FV128" s="503"/>
      <c r="FW128" s="503"/>
      <c r="FX128" s="1040"/>
      <c r="FY128" s="503"/>
      <c r="FZ128" s="503"/>
      <c r="GA128" s="503"/>
      <c r="GE128" s="503"/>
      <c r="GF128" s="1059"/>
      <c r="GG128" s="956"/>
      <c r="GH128" s="945"/>
      <c r="GI128" s="1024">
        <f t="shared" si="258"/>
        <v>3696124.0872115721</v>
      </c>
      <c r="GJ128" s="1025">
        <f t="shared" si="259"/>
        <v>0.125</v>
      </c>
      <c r="GK128" s="1024">
        <f t="shared" si="260"/>
        <v>462015.51090144651</v>
      </c>
      <c r="GL128" s="1024">
        <f t="shared" si="261"/>
        <v>30000</v>
      </c>
      <c r="GM128" s="1024">
        <f t="shared" si="262"/>
        <v>432015.51090144651</v>
      </c>
      <c r="GN128" s="1024">
        <f t="shared" si="263"/>
        <v>2</v>
      </c>
      <c r="GO128" s="1024">
        <f t="shared" si="264"/>
        <v>216007.75545072326</v>
      </c>
      <c r="GP128" s="1025">
        <f t="shared" si="265"/>
        <v>0.875</v>
      </c>
      <c r="GQ128" s="1024">
        <f t="shared" si="266"/>
        <v>3234108.5763101256</v>
      </c>
      <c r="GR128" s="1024">
        <f t="shared" si="267"/>
        <v>25074.009368891144</v>
      </c>
      <c r="GS128" s="1024">
        <f t="shared" si="268"/>
        <v>29069.082193938346</v>
      </c>
      <c r="GT128" s="1024">
        <f t="shared" si="269"/>
        <v>37550.742842327803</v>
      </c>
      <c r="GU128" s="1024">
        <f t="shared" si="270"/>
        <v>64039.226020563969</v>
      </c>
      <c r="GV128" s="945"/>
      <c r="GW128" s="1024">
        <f t="shared" si="271"/>
        <v>3696124.0872115721</v>
      </c>
      <c r="GX128" s="1025">
        <f t="shared" si="272"/>
        <v>0.125</v>
      </c>
      <c r="GY128" s="1024">
        <f t="shared" si="273"/>
        <v>462015.51090144651</v>
      </c>
      <c r="GZ128" s="1024">
        <f t="shared" si="274"/>
        <v>30000</v>
      </c>
      <c r="HA128" s="1024">
        <f t="shared" si="275"/>
        <v>432015.51090144651</v>
      </c>
      <c r="HB128" s="1026">
        <f t="shared" si="276"/>
        <v>25</v>
      </c>
      <c r="HC128" s="1009">
        <f t="shared" si="277"/>
        <v>17280.620436057859</v>
      </c>
      <c r="HD128" s="1027">
        <f t="shared" si="278"/>
        <v>0.875</v>
      </c>
      <c r="HE128" s="1009">
        <f t="shared" si="279"/>
        <v>3234108.5763101256</v>
      </c>
      <c r="HF128" s="1008">
        <f t="shared" si="280"/>
        <v>25074.009368891144</v>
      </c>
      <c r="HG128" s="1008">
        <f t="shared" si="281"/>
        <v>29069.082193938346</v>
      </c>
      <c r="HH128" s="1008">
        <f t="shared" si="282"/>
        <v>37550.742842327803</v>
      </c>
      <c r="HI128" s="1008">
        <f t="shared" si="283"/>
        <v>64039.226020563969</v>
      </c>
      <c r="HJ128" s="945"/>
      <c r="HK128" s="1009">
        <f t="shared" si="284"/>
        <v>-198727.1350146654</v>
      </c>
      <c r="HL128" s="503"/>
      <c r="HM128" s="503"/>
      <c r="HN128" s="503"/>
      <c r="HO128" s="503"/>
      <c r="HP128" s="503"/>
      <c r="HQ128" s="503"/>
      <c r="HR128" s="956">
        <f t="shared" si="285"/>
        <v>0</v>
      </c>
      <c r="HS128" s="503"/>
      <c r="HT128" s="503"/>
      <c r="HU128" s="956"/>
      <c r="HV128" s="503"/>
      <c r="HW128" s="956"/>
      <c r="HX128" s="956"/>
      <c r="HY128" s="503"/>
      <c r="HZ128" s="503"/>
      <c r="IA128" s="503"/>
      <c r="ID128" s="1394"/>
    </row>
    <row r="129" spans="1:238" s="1051" customFormat="1" ht="14.25" hidden="1" customHeight="1">
      <c r="A129" s="1018">
        <f t="shared" si="326"/>
        <v>123</v>
      </c>
      <c r="B129" s="716" t="s">
        <v>264</v>
      </c>
      <c r="C129" s="741">
        <f t="shared" ref="C129:C144" si="360">C128+1</f>
        <v>3</v>
      </c>
      <c r="D129" s="716" t="s">
        <v>286</v>
      </c>
      <c r="E129" s="743" t="str">
        <f t="shared" si="352"/>
        <v>9th Floor</v>
      </c>
      <c r="F129" s="1048"/>
      <c r="G129" s="745" t="s">
        <v>550</v>
      </c>
      <c r="H129" s="745" t="s">
        <v>283</v>
      </c>
      <c r="I129" s="745" t="s">
        <v>267</v>
      </c>
      <c r="J129" s="1005">
        <v>22</v>
      </c>
      <c r="K129" s="1049"/>
      <c r="L129" s="1006" t="s">
        <v>73</v>
      </c>
      <c r="M129" s="745" t="s">
        <v>240</v>
      </c>
      <c r="N129" s="1050">
        <v>95909.091</v>
      </c>
      <c r="O129" s="934">
        <f t="shared" si="298"/>
        <v>2110000.0019999999</v>
      </c>
      <c r="P129" s="934">
        <f t="shared" si="327"/>
        <v>22400</v>
      </c>
      <c r="Q129" s="934">
        <f t="shared" si="293"/>
        <v>50000</v>
      </c>
      <c r="R129" s="934"/>
      <c r="S129" s="934"/>
      <c r="T129" s="934"/>
      <c r="U129" s="934"/>
      <c r="V129" s="934"/>
      <c r="W129" s="749">
        <f t="shared" si="359"/>
        <v>22000</v>
      </c>
      <c r="X129" s="934"/>
      <c r="Y129" s="934">
        <f t="shared" ref="Y129:Y144" si="361">$Y$127</f>
        <v>100000</v>
      </c>
      <c r="Z129" s="934">
        <f t="shared" si="299"/>
        <v>75000</v>
      </c>
      <c r="AA129" s="934"/>
      <c r="AB129" s="934"/>
      <c r="AC129" s="934"/>
      <c r="AD129" s="934"/>
      <c r="AE129" s="934">
        <f t="shared" si="199"/>
        <v>269400</v>
      </c>
      <c r="AF129" s="1005">
        <f t="shared" si="200"/>
        <v>2379400.0019999999</v>
      </c>
      <c r="AG129" s="1005">
        <f t="shared" si="220"/>
        <v>59485.000050000002</v>
      </c>
      <c r="AH129" s="1005">
        <f t="shared" si="221"/>
        <v>2438885.0020499998</v>
      </c>
      <c r="AI129" s="1005">
        <f t="shared" si="222"/>
        <v>60972.125051249997</v>
      </c>
      <c r="AJ129" s="1005">
        <f t="shared" si="223"/>
        <v>2499857.12710125</v>
      </c>
      <c r="AK129" s="1005">
        <f t="shared" si="224"/>
        <v>124992.85635506251</v>
      </c>
      <c r="AL129" s="1005">
        <f t="shared" si="300"/>
        <v>2624849.9834563127</v>
      </c>
      <c r="AM129" s="934">
        <f t="shared" si="225"/>
        <v>26248.499834563128</v>
      </c>
      <c r="AN129" s="934">
        <f t="shared" si="226"/>
        <v>27537.409960060559</v>
      </c>
      <c r="AO129" s="934"/>
      <c r="AP129" s="934">
        <f t="shared" si="301"/>
        <v>116435.31638590517</v>
      </c>
      <c r="AQ129" s="1005">
        <f t="shared" si="201"/>
        <v>2795071.2096368414</v>
      </c>
      <c r="AR129" s="1005">
        <f t="shared" si="227"/>
        <v>125778.20443365785</v>
      </c>
      <c r="AS129" s="1147">
        <f t="shared" si="228"/>
        <v>2920849.4140704991</v>
      </c>
      <c r="AT129" s="1148">
        <f t="shared" si="348"/>
        <v>2000000</v>
      </c>
      <c r="AU129" s="1148">
        <f t="shared" si="358"/>
        <v>41856.79154865905</v>
      </c>
      <c r="AV129" s="1148">
        <f t="shared" si="303"/>
        <v>920849.41407049913</v>
      </c>
      <c r="AW129" s="1148">
        <f t="shared" si="203"/>
        <v>110501.92968845989</v>
      </c>
      <c r="AX129" s="1148">
        <f t="shared" si="204"/>
        <v>1031351.343758959</v>
      </c>
      <c r="AY129" s="1147">
        <f t="shared" si="229"/>
        <v>3031351.3437589589</v>
      </c>
      <c r="AZ129" s="934">
        <f t="shared" si="230"/>
        <v>37891.891796986987</v>
      </c>
      <c r="BA129" s="716" t="s">
        <v>269</v>
      </c>
      <c r="BB129" s="716">
        <f t="shared" si="355"/>
        <v>3069243.2355559459</v>
      </c>
      <c r="BC129" s="716" t="s">
        <v>269</v>
      </c>
      <c r="BD129" s="716">
        <f t="shared" si="231"/>
        <v>115096.62133334797</v>
      </c>
      <c r="BE129" s="716">
        <f t="shared" si="232"/>
        <v>33600</v>
      </c>
      <c r="BF129" s="716">
        <f t="shared" si="233"/>
        <v>3217939.856889294</v>
      </c>
      <c r="BG129" s="716"/>
      <c r="BH129" s="716">
        <f t="shared" si="234"/>
        <v>3217939.856889294</v>
      </c>
      <c r="BI129" s="716"/>
      <c r="BJ129" s="716">
        <f t="shared" si="235"/>
        <v>3217939.856889294</v>
      </c>
      <c r="BK129" s="716"/>
      <c r="BL129" s="716">
        <f t="shared" si="236"/>
        <v>3217939.856889294</v>
      </c>
      <c r="BM129" s="716"/>
      <c r="BN129" s="716">
        <f t="shared" si="206"/>
        <v>3217939.856889294</v>
      </c>
      <c r="BO129" s="716"/>
      <c r="BP129" s="716">
        <f t="shared" si="237"/>
        <v>3217939.856889294</v>
      </c>
      <c r="BQ129" s="716"/>
      <c r="BR129" s="716">
        <f t="shared" si="238"/>
        <v>3217939.856889294</v>
      </c>
      <c r="BS129" s="716"/>
      <c r="BT129" s="716">
        <f t="shared" si="239"/>
        <v>3217939.856889294</v>
      </c>
      <c r="BU129" s="716"/>
      <c r="BV129" s="716">
        <f t="shared" si="207"/>
        <v>3217939.856889294</v>
      </c>
      <c r="BW129" s="716"/>
      <c r="BX129" s="716">
        <f t="shared" si="329"/>
        <v>31400</v>
      </c>
      <c r="BY129" s="716">
        <f t="shared" si="240"/>
        <v>3249339.856889294</v>
      </c>
      <c r="BZ129" s="716"/>
      <c r="CA129" s="716">
        <f t="shared" si="241"/>
        <v>3249339.856889294</v>
      </c>
      <c r="CB129" s="1135">
        <f t="shared" si="242"/>
        <v>3249339.856889294</v>
      </c>
      <c r="CC129" s="1164">
        <f t="shared" si="286"/>
        <v>3249339.856889294</v>
      </c>
      <c r="CD129" s="1164"/>
      <c r="CE129" s="1164">
        <f t="shared" si="243"/>
        <v>0</v>
      </c>
      <c r="CF129" s="1164">
        <f t="shared" si="291"/>
        <v>0</v>
      </c>
      <c r="CG129" s="1164">
        <f t="shared" si="292"/>
        <v>0</v>
      </c>
      <c r="CH129" s="1154">
        <f t="shared" si="339"/>
        <v>3249339.856889294</v>
      </c>
      <c r="CI129" s="935">
        <f t="shared" si="340"/>
        <v>3249339.856889294</v>
      </c>
      <c r="CJ129" s="935">
        <f t="shared" si="244"/>
        <v>0</v>
      </c>
      <c r="CK129" s="935">
        <f t="shared" si="208"/>
        <v>333057.3353311526</v>
      </c>
      <c r="CL129" s="935">
        <f t="shared" si="209"/>
        <v>113726.8949911253</v>
      </c>
      <c r="CM129" s="1006">
        <f t="shared" si="306"/>
        <v>3696124.0872115721</v>
      </c>
      <c r="CN129" s="1007">
        <f t="shared" si="307"/>
        <v>0.125</v>
      </c>
      <c r="CO129" s="935">
        <f t="shared" si="210"/>
        <v>462015.51090144651</v>
      </c>
      <c r="CP129" s="935">
        <f t="shared" si="330"/>
        <v>30000</v>
      </c>
      <c r="CQ129" s="935">
        <f t="shared" si="211"/>
        <v>432015.51090144651</v>
      </c>
      <c r="CR129" s="745">
        <f t="shared" si="308"/>
        <v>2</v>
      </c>
      <c r="CS129" s="935">
        <f t="shared" si="212"/>
        <v>216007.75545072326</v>
      </c>
      <c r="CT129" s="1007">
        <f t="shared" si="245"/>
        <v>0.875</v>
      </c>
      <c r="CU129" s="935">
        <f t="shared" si="246"/>
        <v>3234108.5763101256</v>
      </c>
      <c r="CV129" s="1008">
        <f t="shared" si="247"/>
        <v>25074.009368891144</v>
      </c>
      <c r="CW129" s="1008">
        <f t="shared" si="248"/>
        <v>29069.082193938346</v>
      </c>
      <c r="CX129" s="1008">
        <f t="shared" si="249"/>
        <v>37550.742842327803</v>
      </c>
      <c r="CY129" s="1008">
        <f t="shared" si="250"/>
        <v>64039.226020563969</v>
      </c>
      <c r="CZ129" s="1119">
        <f t="shared" si="251"/>
        <v>262716.91931398289</v>
      </c>
      <c r="DA129" s="1119">
        <f t="shared" si="252"/>
        <v>103955.80520495369</v>
      </c>
      <c r="DB129" s="1119">
        <f t="shared" si="253"/>
        <v>75085.80575323895</v>
      </c>
      <c r="DC129" s="1119">
        <f t="shared" si="254"/>
        <v>57143.754950176859</v>
      </c>
      <c r="DD129" s="1028">
        <f t="shared" si="294"/>
        <v>0.46042470703524957</v>
      </c>
      <c r="DE129" s="1028">
        <f t="shared" si="341"/>
        <v>0</v>
      </c>
      <c r="DF129" s="1009" t="s">
        <v>270</v>
      </c>
      <c r="DG129" s="1009" t="s">
        <v>271</v>
      </c>
      <c r="DH129" s="966">
        <f t="shared" si="287"/>
        <v>45658</v>
      </c>
      <c r="DI129" s="912">
        <f t="shared" si="255"/>
        <v>14</v>
      </c>
      <c r="DJ129" s="939"/>
      <c r="DK129" s="913">
        <f t="shared" si="213"/>
        <v>45723</v>
      </c>
      <c r="DL129" s="912">
        <f t="shared" si="256"/>
        <v>16</v>
      </c>
      <c r="DM129" s="750" t="s">
        <v>272</v>
      </c>
      <c r="DN129" s="750" t="s">
        <v>273</v>
      </c>
      <c r="DO129" s="751">
        <f t="shared" si="214"/>
        <v>46879.606534498133</v>
      </c>
      <c r="DP129" s="751">
        <f t="shared" si="215"/>
        <v>1031351.343758959</v>
      </c>
      <c r="DQ129" s="752">
        <f t="shared" si="295"/>
        <v>0.51567567187947949</v>
      </c>
      <c r="DR129" s="503"/>
      <c r="DS129" s="751">
        <f t="shared" si="296"/>
        <v>3249339.856889294</v>
      </c>
      <c r="DT129" s="751">
        <f>'[4]INTERNAL PRICELIST'!N123</f>
        <v>2111900</v>
      </c>
      <c r="DU129" s="751">
        <f t="shared" si="216"/>
        <v>1137439.856889294</v>
      </c>
      <c r="DV129" s="503"/>
      <c r="DW129" s="951">
        <f t="shared" si="297"/>
        <v>147697.26622224064</v>
      </c>
      <c r="DX129" s="503"/>
      <c r="DZ129" s="1010" t="s">
        <v>550</v>
      </c>
      <c r="EA129" s="1052" t="b">
        <f t="shared" si="217"/>
        <v>1</v>
      </c>
      <c r="EB129" s="1072" t="s">
        <v>551</v>
      </c>
      <c r="EC129" s="1072" t="s">
        <v>547</v>
      </c>
      <c r="ED129" s="503"/>
      <c r="EH129" s="930"/>
      <c r="EI129" s="930"/>
      <c r="EJ129" s="503"/>
      <c r="EK129" s="503"/>
      <c r="EL129" s="503"/>
      <c r="EM129" s="503"/>
      <c r="EN129" s="503"/>
      <c r="EO129" s="503"/>
      <c r="EP129" s="503"/>
      <c r="EQ129" s="503"/>
      <c r="ER129" s="1017" t="s">
        <v>264</v>
      </c>
      <c r="ES129" s="1391" t="s">
        <v>264</v>
      </c>
      <c r="ET129" s="1018" t="b">
        <f t="shared" si="257"/>
        <v>1</v>
      </c>
      <c r="EU129" s="940"/>
      <c r="EV129" s="941"/>
      <c r="EW129" s="940"/>
      <c r="EX129" s="1019">
        <v>3044060.5591086317</v>
      </c>
      <c r="EY129" s="1019">
        <f t="shared" si="310"/>
        <v>456609.08386629476</v>
      </c>
      <c r="EZ129" s="1019">
        <f t="shared" si="311"/>
        <v>2587451.4752423367</v>
      </c>
      <c r="FA129" s="1019">
        <f t="shared" si="312"/>
        <v>304406.05591086316</v>
      </c>
      <c r="FB129" s="1019">
        <f t="shared" si="313"/>
        <v>2739654.5031977687</v>
      </c>
      <c r="FC129" s="1019">
        <f t="shared" si="314"/>
        <v>152203.02795543196</v>
      </c>
      <c r="FD129" s="1020"/>
      <c r="FE129" s="1021"/>
      <c r="FF129" s="1022">
        <f t="shared" si="315"/>
        <v>2587451.4752423367</v>
      </c>
      <c r="FG129" s="1022">
        <f t="shared" si="316"/>
        <v>219933.37539559865</v>
      </c>
      <c r="FH129" s="1022">
        <f t="shared" si="317"/>
        <v>109966.68769779932</v>
      </c>
      <c r="FI129" s="1023">
        <f t="shared" si="318"/>
        <v>2739654.5031977687</v>
      </c>
      <c r="FJ129" s="1023">
        <f t="shared" si="319"/>
        <v>232870.63277181034</v>
      </c>
      <c r="FK129" s="1023">
        <f t="shared" si="320"/>
        <v>116435.31638590517</v>
      </c>
      <c r="FL129" s="1019">
        <f t="shared" si="321"/>
        <v>12937.257376211695</v>
      </c>
      <c r="FM129" s="1019">
        <f t="shared" si="322"/>
        <v>6468.6286881058477</v>
      </c>
      <c r="FN129" s="1019" t="str">
        <f t="shared" si="323"/>
        <v>VS</v>
      </c>
      <c r="FO129" s="1019">
        <f t="shared" si="324"/>
        <v>27537.409960060559</v>
      </c>
      <c r="FP129" s="1019">
        <f t="shared" si="325"/>
        <v>-21068.781271954711</v>
      </c>
      <c r="FQ129" s="1021"/>
      <c r="FR129" s="1021"/>
      <c r="FS129" s="1020"/>
      <c r="FT129" s="503"/>
      <c r="FU129" s="956"/>
      <c r="FV129" s="503"/>
      <c r="FW129" s="503"/>
      <c r="FX129" s="1040"/>
      <c r="FY129" s="503"/>
      <c r="FZ129" s="503"/>
      <c r="GA129" s="503"/>
      <c r="GE129" s="503"/>
      <c r="GF129" s="1059"/>
      <c r="GG129" s="956"/>
      <c r="GH129" s="945"/>
      <c r="GI129" s="1024">
        <f t="shared" si="258"/>
        <v>3696124.0872115721</v>
      </c>
      <c r="GJ129" s="1025">
        <f t="shared" si="259"/>
        <v>0.125</v>
      </c>
      <c r="GK129" s="1024">
        <f t="shared" si="260"/>
        <v>462015.51090144651</v>
      </c>
      <c r="GL129" s="1024">
        <f t="shared" si="261"/>
        <v>30000</v>
      </c>
      <c r="GM129" s="1024">
        <f t="shared" si="262"/>
        <v>432015.51090144651</v>
      </c>
      <c r="GN129" s="1024">
        <f t="shared" si="263"/>
        <v>2</v>
      </c>
      <c r="GO129" s="1024">
        <f t="shared" si="264"/>
        <v>216007.75545072326</v>
      </c>
      <c r="GP129" s="1025">
        <f t="shared" si="265"/>
        <v>0.875</v>
      </c>
      <c r="GQ129" s="1024">
        <f t="shared" si="266"/>
        <v>3234108.5763101256</v>
      </c>
      <c r="GR129" s="1024">
        <f t="shared" si="267"/>
        <v>25074.009368891144</v>
      </c>
      <c r="GS129" s="1024">
        <f t="shared" si="268"/>
        <v>29069.082193938346</v>
      </c>
      <c r="GT129" s="1024">
        <f t="shared" si="269"/>
        <v>37550.742842327803</v>
      </c>
      <c r="GU129" s="1024">
        <f t="shared" si="270"/>
        <v>64039.226020563969</v>
      </c>
      <c r="GV129" s="945"/>
      <c r="GW129" s="1024">
        <f t="shared" si="271"/>
        <v>3696124.0872115721</v>
      </c>
      <c r="GX129" s="1025">
        <f t="shared" si="272"/>
        <v>0.125</v>
      </c>
      <c r="GY129" s="1024">
        <f t="shared" si="273"/>
        <v>462015.51090144651</v>
      </c>
      <c r="GZ129" s="1024">
        <f t="shared" si="274"/>
        <v>30000</v>
      </c>
      <c r="HA129" s="1024">
        <f t="shared" si="275"/>
        <v>432015.51090144651</v>
      </c>
      <c r="HB129" s="1026">
        <f t="shared" si="276"/>
        <v>25</v>
      </c>
      <c r="HC129" s="1009">
        <f t="shared" si="277"/>
        <v>17280.620436057859</v>
      </c>
      <c r="HD129" s="1027">
        <f t="shared" si="278"/>
        <v>0.875</v>
      </c>
      <c r="HE129" s="1009">
        <f t="shared" si="279"/>
        <v>3234108.5763101256</v>
      </c>
      <c r="HF129" s="1008">
        <f t="shared" si="280"/>
        <v>25074.009368891144</v>
      </c>
      <c r="HG129" s="1008">
        <f t="shared" si="281"/>
        <v>29069.082193938346</v>
      </c>
      <c r="HH129" s="1008">
        <f t="shared" si="282"/>
        <v>37550.742842327803</v>
      </c>
      <c r="HI129" s="1008">
        <f t="shared" si="283"/>
        <v>64039.226020563969</v>
      </c>
      <c r="HJ129" s="945"/>
      <c r="HK129" s="1009">
        <f t="shared" si="284"/>
        <v>-198727.1350146654</v>
      </c>
      <c r="HL129" s="503"/>
      <c r="HM129" s="503"/>
      <c r="HN129" s="503"/>
      <c r="HO129" s="503"/>
      <c r="HP129" s="503"/>
      <c r="HQ129" s="503"/>
      <c r="HR129" s="956">
        <f t="shared" si="285"/>
        <v>0</v>
      </c>
      <c r="HS129" s="503"/>
      <c r="HT129" s="503"/>
      <c r="HU129" s="956"/>
      <c r="HV129" s="503"/>
      <c r="HW129" s="956"/>
      <c r="HX129" s="956"/>
      <c r="HY129" s="503"/>
      <c r="HZ129" s="503"/>
      <c r="IA129" s="503"/>
      <c r="ID129" s="1394"/>
    </row>
    <row r="130" spans="1:238" ht="14.25" hidden="1" customHeight="1">
      <c r="A130" s="1018">
        <f t="shared" si="326"/>
        <v>124</v>
      </c>
      <c r="B130" s="716"/>
      <c r="C130" s="741">
        <f t="shared" si="360"/>
        <v>4</v>
      </c>
      <c r="D130" s="716" t="s">
        <v>286</v>
      </c>
      <c r="E130" s="743" t="str">
        <f t="shared" si="352"/>
        <v>9th Floor</v>
      </c>
      <c r="F130" s="1048"/>
      <c r="G130" s="745" t="s">
        <v>552</v>
      </c>
      <c r="H130" s="745" t="s">
        <v>288</v>
      </c>
      <c r="I130" s="745" t="s">
        <v>267</v>
      </c>
      <c r="J130" s="1005">
        <v>22</v>
      </c>
      <c r="K130" s="1049"/>
      <c r="L130" s="1006" t="s">
        <v>73</v>
      </c>
      <c r="M130" s="745" t="s">
        <v>240</v>
      </c>
      <c r="N130" s="1050">
        <v>95909.091</v>
      </c>
      <c r="O130" s="934">
        <f t="shared" si="298"/>
        <v>2110000.0019999999</v>
      </c>
      <c r="P130" s="934">
        <f t="shared" si="327"/>
        <v>22400</v>
      </c>
      <c r="Q130" s="934">
        <f t="shared" si="293"/>
        <v>50000</v>
      </c>
      <c r="R130" s="934"/>
      <c r="S130" s="934"/>
      <c r="T130" s="934"/>
      <c r="U130" s="934"/>
      <c r="V130" s="934"/>
      <c r="W130" s="749">
        <f t="shared" si="359"/>
        <v>22000</v>
      </c>
      <c r="X130" s="934"/>
      <c r="Y130" s="934">
        <f t="shared" si="361"/>
        <v>100000</v>
      </c>
      <c r="Z130" s="934">
        <f t="shared" si="299"/>
        <v>75000</v>
      </c>
      <c r="AA130" s="934"/>
      <c r="AB130" s="934"/>
      <c r="AC130" s="934"/>
      <c r="AD130" s="934"/>
      <c r="AE130" s="934">
        <f t="shared" si="199"/>
        <v>269400</v>
      </c>
      <c r="AF130" s="1005">
        <f t="shared" si="200"/>
        <v>2379400.0019999999</v>
      </c>
      <c r="AG130" s="1005">
        <f t="shared" si="220"/>
        <v>59485.000050000002</v>
      </c>
      <c r="AH130" s="1005">
        <f t="shared" si="221"/>
        <v>2438885.0020499998</v>
      </c>
      <c r="AI130" s="1005">
        <f t="shared" si="222"/>
        <v>60972.125051249997</v>
      </c>
      <c r="AJ130" s="1005">
        <f t="shared" si="223"/>
        <v>2499857.12710125</v>
      </c>
      <c r="AK130" s="1005">
        <f t="shared" si="224"/>
        <v>124992.85635506251</v>
      </c>
      <c r="AL130" s="1005">
        <f t="shared" si="300"/>
        <v>2624849.9834563127</v>
      </c>
      <c r="AM130" s="934">
        <f t="shared" si="225"/>
        <v>26248.499834563128</v>
      </c>
      <c r="AN130" s="934">
        <f t="shared" si="226"/>
        <v>27537.409960060559</v>
      </c>
      <c r="AO130" s="934"/>
      <c r="AP130" s="934">
        <f t="shared" si="301"/>
        <v>116435.31638590517</v>
      </c>
      <c r="AQ130" s="1005">
        <f t="shared" si="201"/>
        <v>2795071.2096368414</v>
      </c>
      <c r="AR130" s="1005">
        <f t="shared" si="227"/>
        <v>125778.20443365785</v>
      </c>
      <c r="AS130" s="1147">
        <f t="shared" si="228"/>
        <v>2920849.4140704991</v>
      </c>
      <c r="AT130" s="1148">
        <f t="shared" si="348"/>
        <v>2000000</v>
      </c>
      <c r="AU130" s="1148">
        <f t="shared" si="358"/>
        <v>41856.79154865905</v>
      </c>
      <c r="AV130" s="1148">
        <f t="shared" si="303"/>
        <v>920849.41407049913</v>
      </c>
      <c r="AW130" s="1148">
        <f t="shared" si="203"/>
        <v>110501.92968845989</v>
      </c>
      <c r="AX130" s="1148">
        <f t="shared" si="204"/>
        <v>1031351.343758959</v>
      </c>
      <c r="AY130" s="1147">
        <f t="shared" si="229"/>
        <v>3031351.3437589589</v>
      </c>
      <c r="AZ130" s="934">
        <f t="shared" si="230"/>
        <v>37891.891796986987</v>
      </c>
      <c r="BA130" s="716" t="s">
        <v>269</v>
      </c>
      <c r="BB130" s="716">
        <f t="shared" si="355"/>
        <v>3069243.2355559459</v>
      </c>
      <c r="BC130" s="716" t="s">
        <v>269</v>
      </c>
      <c r="BD130" s="716">
        <f t="shared" si="231"/>
        <v>115096.62133334797</v>
      </c>
      <c r="BE130" s="716">
        <f t="shared" si="232"/>
        <v>33600</v>
      </c>
      <c r="BF130" s="716">
        <f t="shared" si="233"/>
        <v>3217939.856889294</v>
      </c>
      <c r="BG130" s="716"/>
      <c r="BH130" s="716">
        <f t="shared" si="234"/>
        <v>3217939.856889294</v>
      </c>
      <c r="BI130" s="716"/>
      <c r="BJ130" s="716">
        <f t="shared" si="235"/>
        <v>3217939.856889294</v>
      </c>
      <c r="BK130" s="716"/>
      <c r="BL130" s="716">
        <f t="shared" si="236"/>
        <v>3217939.856889294</v>
      </c>
      <c r="BM130" s="716"/>
      <c r="BN130" s="716">
        <f t="shared" si="206"/>
        <v>3217939.856889294</v>
      </c>
      <c r="BO130" s="716"/>
      <c r="BP130" s="716">
        <f t="shared" si="237"/>
        <v>3217939.856889294</v>
      </c>
      <c r="BQ130" s="716"/>
      <c r="BR130" s="716">
        <f t="shared" si="238"/>
        <v>3217939.856889294</v>
      </c>
      <c r="BS130" s="716"/>
      <c r="BT130" s="716">
        <f t="shared" si="239"/>
        <v>3217939.856889294</v>
      </c>
      <c r="BU130" s="716"/>
      <c r="BV130" s="716">
        <f t="shared" si="207"/>
        <v>3217939.856889294</v>
      </c>
      <c r="BW130" s="716"/>
      <c r="BX130" s="716">
        <f t="shared" si="329"/>
        <v>31400</v>
      </c>
      <c r="BY130" s="716">
        <f t="shared" si="240"/>
        <v>3249339.856889294</v>
      </c>
      <c r="BZ130" s="716"/>
      <c r="CA130" s="716">
        <f t="shared" si="241"/>
        <v>3249339.856889294</v>
      </c>
      <c r="CB130" s="1135">
        <f t="shared" si="242"/>
        <v>3249339.856889294</v>
      </c>
      <c r="CC130" s="1164">
        <f t="shared" si="286"/>
        <v>3249339.856889294</v>
      </c>
      <c r="CD130" s="1164"/>
      <c r="CE130" s="1164">
        <f t="shared" si="243"/>
        <v>0</v>
      </c>
      <c r="CF130" s="1164">
        <f t="shared" si="291"/>
        <v>0</v>
      </c>
      <c r="CG130" s="1164">
        <f t="shared" si="292"/>
        <v>0</v>
      </c>
      <c r="CH130" s="1154">
        <f t="shared" si="339"/>
        <v>3249339.856889294</v>
      </c>
      <c r="CI130" s="935">
        <f t="shared" si="340"/>
        <v>3249339.856889294</v>
      </c>
      <c r="CJ130" s="935">
        <f t="shared" si="244"/>
        <v>0</v>
      </c>
      <c r="CK130" s="935">
        <f t="shared" si="208"/>
        <v>333057.3353311526</v>
      </c>
      <c r="CL130" s="935">
        <f t="shared" si="209"/>
        <v>113726.8949911253</v>
      </c>
      <c r="CM130" s="1006">
        <f t="shared" si="306"/>
        <v>3696124.0872115721</v>
      </c>
      <c r="CN130" s="1007">
        <f t="shared" si="307"/>
        <v>0.125</v>
      </c>
      <c r="CO130" s="935">
        <f t="shared" si="210"/>
        <v>462015.51090144651</v>
      </c>
      <c r="CP130" s="935">
        <f t="shared" si="330"/>
        <v>30000</v>
      </c>
      <c r="CQ130" s="935">
        <f t="shared" si="211"/>
        <v>432015.51090144651</v>
      </c>
      <c r="CR130" s="745">
        <f t="shared" si="308"/>
        <v>2</v>
      </c>
      <c r="CS130" s="935">
        <f t="shared" si="212"/>
        <v>216007.75545072326</v>
      </c>
      <c r="CT130" s="1007">
        <f t="shared" si="245"/>
        <v>0.875</v>
      </c>
      <c r="CU130" s="935">
        <f t="shared" si="246"/>
        <v>3234108.5763101256</v>
      </c>
      <c r="CV130" s="1008">
        <f t="shared" si="247"/>
        <v>25074.009368891144</v>
      </c>
      <c r="CW130" s="1008">
        <f t="shared" si="248"/>
        <v>29069.082193938346</v>
      </c>
      <c r="CX130" s="1008">
        <f t="shared" si="249"/>
        <v>37550.742842327803</v>
      </c>
      <c r="CY130" s="1008">
        <f t="shared" si="250"/>
        <v>64039.226020563969</v>
      </c>
      <c r="CZ130" s="1119">
        <f t="shared" si="251"/>
        <v>262716.91931398289</v>
      </c>
      <c r="DA130" s="1119">
        <f t="shared" si="252"/>
        <v>103955.80520495369</v>
      </c>
      <c r="DB130" s="1119">
        <f t="shared" si="253"/>
        <v>75085.80575323895</v>
      </c>
      <c r="DC130" s="1119">
        <f t="shared" si="254"/>
        <v>57143.754950176859</v>
      </c>
      <c r="DD130" s="1028">
        <f t="shared" si="294"/>
        <v>0.46042470703524957</v>
      </c>
      <c r="DE130" s="1028">
        <f t="shared" si="341"/>
        <v>0</v>
      </c>
      <c r="DF130" s="1009" t="s">
        <v>270</v>
      </c>
      <c r="DG130" s="1009" t="s">
        <v>271</v>
      </c>
      <c r="DH130" s="966">
        <f t="shared" si="287"/>
        <v>45658</v>
      </c>
      <c r="DI130" s="912">
        <f t="shared" si="255"/>
        <v>14</v>
      </c>
      <c r="DK130" s="913">
        <f t="shared" si="213"/>
        <v>45723</v>
      </c>
      <c r="DL130" s="912">
        <f t="shared" si="256"/>
        <v>16</v>
      </c>
      <c r="DM130" s="750" t="s">
        <v>272</v>
      </c>
      <c r="DN130" s="750" t="s">
        <v>273</v>
      </c>
      <c r="DO130" s="751">
        <f t="shared" si="214"/>
        <v>46879.606534498133</v>
      </c>
      <c r="DP130" s="751">
        <f t="shared" si="215"/>
        <v>1031351.343758959</v>
      </c>
      <c r="DQ130" s="752">
        <f t="shared" si="295"/>
        <v>0.51567567187947949</v>
      </c>
      <c r="DS130" s="751">
        <f t="shared" si="296"/>
        <v>3249339.856889294</v>
      </c>
      <c r="DT130" s="751">
        <f>'[4]INTERNAL PRICELIST'!N124</f>
        <v>2111900</v>
      </c>
      <c r="DU130" s="751">
        <f t="shared" si="216"/>
        <v>1137439.856889294</v>
      </c>
      <c r="DW130" s="951">
        <f t="shared" si="297"/>
        <v>147697.26622224064</v>
      </c>
      <c r="DZ130" s="1010" t="s">
        <v>552</v>
      </c>
      <c r="EA130" s="1011" t="b">
        <f t="shared" si="217"/>
        <v>1</v>
      </c>
      <c r="EB130" s="1011"/>
      <c r="EC130" s="1011"/>
      <c r="ER130" s="1026" t="s">
        <v>264</v>
      </c>
      <c r="ES130" s="1391" t="s">
        <v>264</v>
      </c>
      <c r="ET130" s="1018" t="b">
        <f t="shared" si="257"/>
        <v>1</v>
      </c>
      <c r="EX130" s="1019">
        <v>3044060.5591086317</v>
      </c>
      <c r="EY130" s="1019">
        <f t="shared" si="310"/>
        <v>456609.08386629476</v>
      </c>
      <c r="EZ130" s="1019">
        <f t="shared" si="311"/>
        <v>2587451.4752423367</v>
      </c>
      <c r="FA130" s="1019">
        <f t="shared" si="312"/>
        <v>304406.05591086316</v>
      </c>
      <c r="FB130" s="1019">
        <f t="shared" si="313"/>
        <v>2739654.5031977687</v>
      </c>
      <c r="FC130" s="1019">
        <f t="shared" si="314"/>
        <v>152203.02795543196</v>
      </c>
      <c r="FD130" s="1020"/>
      <c r="FE130" s="1021"/>
      <c r="FF130" s="1022">
        <f t="shared" si="315"/>
        <v>2587451.4752423367</v>
      </c>
      <c r="FG130" s="1022">
        <f t="shared" si="316"/>
        <v>219933.37539559865</v>
      </c>
      <c r="FH130" s="1022">
        <f t="shared" si="317"/>
        <v>109966.68769779932</v>
      </c>
      <c r="FI130" s="1023">
        <f t="shared" si="318"/>
        <v>2739654.5031977687</v>
      </c>
      <c r="FJ130" s="1023">
        <f t="shared" si="319"/>
        <v>232870.63277181034</v>
      </c>
      <c r="FK130" s="1023">
        <f t="shared" si="320"/>
        <v>116435.31638590517</v>
      </c>
      <c r="FL130" s="1019">
        <f t="shared" si="321"/>
        <v>12937.257376211695</v>
      </c>
      <c r="FM130" s="1019">
        <f t="shared" si="322"/>
        <v>6468.6286881058477</v>
      </c>
      <c r="FN130" s="1019" t="str">
        <f t="shared" si="323"/>
        <v>VS</v>
      </c>
      <c r="FO130" s="1019">
        <f t="shared" si="324"/>
        <v>27537.409960060559</v>
      </c>
      <c r="FP130" s="1019">
        <f t="shared" si="325"/>
        <v>-21068.781271954711</v>
      </c>
      <c r="FQ130" s="1021"/>
      <c r="FR130" s="1021"/>
      <c r="FS130" s="1020"/>
      <c r="FT130" s="956">
        <f>FB130</f>
        <v>2739654.5031977687</v>
      </c>
      <c r="FU130" s="956"/>
      <c r="FV130" s="503"/>
      <c r="FX130" s="1040"/>
      <c r="GF130" s="1059"/>
      <c r="GG130" s="956"/>
      <c r="GH130" s="1058"/>
      <c r="GI130" s="1024">
        <f t="shared" si="258"/>
        <v>3696124.0872115721</v>
      </c>
      <c r="GJ130" s="1025">
        <f t="shared" si="259"/>
        <v>0.125</v>
      </c>
      <c r="GK130" s="1024">
        <f t="shared" si="260"/>
        <v>462015.51090144651</v>
      </c>
      <c r="GL130" s="1024">
        <f t="shared" si="261"/>
        <v>30000</v>
      </c>
      <c r="GM130" s="1024">
        <f t="shared" si="262"/>
        <v>432015.51090144651</v>
      </c>
      <c r="GN130" s="1024">
        <f t="shared" si="263"/>
        <v>2</v>
      </c>
      <c r="GO130" s="1024">
        <f t="shared" si="264"/>
        <v>216007.75545072326</v>
      </c>
      <c r="GP130" s="1025">
        <f t="shared" si="265"/>
        <v>0.875</v>
      </c>
      <c r="GQ130" s="1024">
        <f t="shared" si="266"/>
        <v>3234108.5763101256</v>
      </c>
      <c r="GR130" s="1024">
        <f t="shared" si="267"/>
        <v>25074.009368891144</v>
      </c>
      <c r="GS130" s="1024">
        <f t="shared" si="268"/>
        <v>29069.082193938346</v>
      </c>
      <c r="GT130" s="1024">
        <f t="shared" si="269"/>
        <v>37550.742842327803</v>
      </c>
      <c r="GU130" s="1024">
        <f t="shared" si="270"/>
        <v>64039.226020563969</v>
      </c>
      <c r="GW130" s="1024">
        <f t="shared" si="271"/>
        <v>3696124.0872115721</v>
      </c>
      <c r="GX130" s="1025">
        <f t="shared" si="272"/>
        <v>0.125</v>
      </c>
      <c r="GY130" s="1024">
        <f t="shared" si="273"/>
        <v>462015.51090144651</v>
      </c>
      <c r="GZ130" s="1024">
        <f t="shared" si="274"/>
        <v>30000</v>
      </c>
      <c r="HA130" s="1024">
        <f t="shared" si="275"/>
        <v>432015.51090144651</v>
      </c>
      <c r="HB130" s="1026">
        <f t="shared" si="276"/>
        <v>25</v>
      </c>
      <c r="HC130" s="1009">
        <f t="shared" si="277"/>
        <v>17280.620436057859</v>
      </c>
      <c r="HD130" s="1027">
        <f t="shared" si="278"/>
        <v>0.875</v>
      </c>
      <c r="HE130" s="1009">
        <f t="shared" si="279"/>
        <v>3234108.5763101256</v>
      </c>
      <c r="HF130" s="1008">
        <f t="shared" si="280"/>
        <v>25074.009368891144</v>
      </c>
      <c r="HG130" s="1008">
        <f t="shared" si="281"/>
        <v>29069.082193938346</v>
      </c>
      <c r="HH130" s="1008">
        <f t="shared" si="282"/>
        <v>37550.742842327803</v>
      </c>
      <c r="HI130" s="1008">
        <f t="shared" si="283"/>
        <v>64039.226020563969</v>
      </c>
      <c r="HK130" s="1009">
        <f t="shared" si="284"/>
        <v>-198727.1350146654</v>
      </c>
      <c r="HR130" s="956">
        <f t="shared" si="285"/>
        <v>0</v>
      </c>
      <c r="HU130" s="956"/>
      <c r="HW130" s="956"/>
      <c r="HX130" s="956"/>
    </row>
    <row r="131" spans="1:238" ht="14.25" customHeight="1">
      <c r="A131" s="1018">
        <f t="shared" si="326"/>
        <v>125</v>
      </c>
      <c r="B131" s="716"/>
      <c r="C131" s="741">
        <f t="shared" si="360"/>
        <v>5</v>
      </c>
      <c r="D131" s="716" t="s">
        <v>286</v>
      </c>
      <c r="E131" s="743" t="str">
        <f t="shared" si="352"/>
        <v>9th Floor</v>
      </c>
      <c r="F131" s="1048"/>
      <c r="G131" s="745" t="s">
        <v>553</v>
      </c>
      <c r="H131" s="745" t="s">
        <v>292</v>
      </c>
      <c r="I131" s="745" t="s">
        <v>267</v>
      </c>
      <c r="J131" s="1005">
        <v>22</v>
      </c>
      <c r="K131" s="1049"/>
      <c r="L131" s="1006" t="s">
        <v>73</v>
      </c>
      <c r="M131" s="745" t="s">
        <v>240</v>
      </c>
      <c r="N131" s="1050">
        <v>95909.091</v>
      </c>
      <c r="O131" s="934">
        <f t="shared" si="298"/>
        <v>2110000.0019999999</v>
      </c>
      <c r="P131" s="934">
        <f t="shared" si="327"/>
        <v>22400</v>
      </c>
      <c r="Q131" s="934">
        <f t="shared" si="293"/>
        <v>50000</v>
      </c>
      <c r="R131" s="934"/>
      <c r="S131" s="934"/>
      <c r="T131" s="934"/>
      <c r="U131" s="934"/>
      <c r="V131" s="934"/>
      <c r="W131" s="749">
        <f t="shared" si="359"/>
        <v>22000</v>
      </c>
      <c r="X131" s="934"/>
      <c r="Y131" s="934">
        <f t="shared" si="361"/>
        <v>100000</v>
      </c>
      <c r="Z131" s="934">
        <f t="shared" si="299"/>
        <v>75000</v>
      </c>
      <c r="AA131" s="934"/>
      <c r="AB131" s="934"/>
      <c r="AC131" s="934"/>
      <c r="AD131" s="934"/>
      <c r="AE131" s="934">
        <f t="shared" si="199"/>
        <v>269400</v>
      </c>
      <c r="AF131" s="1005">
        <f t="shared" si="200"/>
        <v>2379400.0019999999</v>
      </c>
      <c r="AG131" s="1005">
        <f t="shared" si="220"/>
        <v>59485.000050000002</v>
      </c>
      <c r="AH131" s="1005">
        <f t="shared" si="221"/>
        <v>2438885.0020499998</v>
      </c>
      <c r="AI131" s="1005">
        <f t="shared" si="222"/>
        <v>60972.125051249997</v>
      </c>
      <c r="AJ131" s="1005">
        <f t="shared" si="223"/>
        <v>2499857.12710125</v>
      </c>
      <c r="AK131" s="1005">
        <f t="shared" si="224"/>
        <v>124992.85635506251</v>
      </c>
      <c r="AL131" s="1005">
        <f t="shared" si="300"/>
        <v>2624849.9834563127</v>
      </c>
      <c r="AM131" s="934">
        <f t="shared" si="225"/>
        <v>26248.499834563128</v>
      </c>
      <c r="AN131" s="934">
        <f t="shared" si="226"/>
        <v>27537.409960060559</v>
      </c>
      <c r="AO131" s="934"/>
      <c r="AP131" s="934">
        <f t="shared" si="301"/>
        <v>116435.31638590517</v>
      </c>
      <c r="AQ131" s="1005">
        <f t="shared" si="201"/>
        <v>2795071.2096368414</v>
      </c>
      <c r="AR131" s="1005">
        <f t="shared" si="227"/>
        <v>125778.20443365785</v>
      </c>
      <c r="AS131" s="1147">
        <f t="shared" si="228"/>
        <v>2920849.4140704991</v>
      </c>
      <c r="AT131" s="1148">
        <f t="shared" si="348"/>
        <v>2000000</v>
      </c>
      <c r="AU131" s="1148">
        <f t="shared" si="358"/>
        <v>41856.79154865905</v>
      </c>
      <c r="AV131" s="1148">
        <f t="shared" si="303"/>
        <v>920849.41407049913</v>
      </c>
      <c r="AW131" s="1148">
        <f t="shared" si="203"/>
        <v>110501.92968845989</v>
      </c>
      <c r="AX131" s="1148">
        <f t="shared" si="204"/>
        <v>1031351.343758959</v>
      </c>
      <c r="AY131" s="1147">
        <f t="shared" si="229"/>
        <v>3031351.3437589589</v>
      </c>
      <c r="AZ131" s="934">
        <f t="shared" si="230"/>
        <v>37891.891796986987</v>
      </c>
      <c r="BA131" s="716" t="s">
        <v>269</v>
      </c>
      <c r="BB131" s="716">
        <f t="shared" si="355"/>
        <v>3069243.2355559459</v>
      </c>
      <c r="BC131" s="716" t="s">
        <v>269</v>
      </c>
      <c r="BD131" s="716">
        <f t="shared" si="231"/>
        <v>115096.62133334797</v>
      </c>
      <c r="BE131" s="716">
        <f t="shared" si="232"/>
        <v>33600</v>
      </c>
      <c r="BF131" s="716">
        <f t="shared" si="233"/>
        <v>3217939.856889294</v>
      </c>
      <c r="BG131" s="716"/>
      <c r="BH131" s="716">
        <f t="shared" si="234"/>
        <v>3217939.856889294</v>
      </c>
      <c r="BI131" s="716"/>
      <c r="BJ131" s="716">
        <f t="shared" si="235"/>
        <v>3217939.856889294</v>
      </c>
      <c r="BK131" s="716">
        <v>5092.7923200000005</v>
      </c>
      <c r="BL131" s="716">
        <f t="shared" si="236"/>
        <v>3223032.649209294</v>
      </c>
      <c r="BM131" s="716"/>
      <c r="BN131" s="716">
        <f t="shared" si="206"/>
        <v>3223032.649209294</v>
      </c>
      <c r="BO131" s="716"/>
      <c r="BP131" s="716">
        <f t="shared" si="237"/>
        <v>3223032.649209294</v>
      </c>
      <c r="BQ131" s="716"/>
      <c r="BR131" s="716">
        <f t="shared" si="238"/>
        <v>3223032.649209294</v>
      </c>
      <c r="BS131" s="716"/>
      <c r="BT131" s="716">
        <f t="shared" si="239"/>
        <v>3223032.649209294</v>
      </c>
      <c r="BU131" s="716">
        <f>$BU$5/24</f>
        <v>546.00000000000011</v>
      </c>
      <c r="BV131" s="716">
        <f t="shared" si="207"/>
        <v>3223578.649209294</v>
      </c>
      <c r="BW131" s="716"/>
      <c r="BX131" s="716">
        <f t="shared" si="329"/>
        <v>31400</v>
      </c>
      <c r="BY131" s="716">
        <f t="shared" si="240"/>
        <v>3254978.649209294</v>
      </c>
      <c r="BZ131" s="716">
        <f>$BZ$5/20</f>
        <v>33654.337039807535</v>
      </c>
      <c r="CA131" s="716">
        <f t="shared" si="241"/>
        <v>3288632.9862491013</v>
      </c>
      <c r="CB131" s="1135">
        <f>CA131</f>
        <v>3288632.9862491013</v>
      </c>
      <c r="CC131" s="1164">
        <f t="shared" si="286"/>
        <v>3288632.9862491013</v>
      </c>
      <c r="CD131" s="1164"/>
      <c r="CE131" s="1164">
        <f t="shared" si="243"/>
        <v>0</v>
      </c>
      <c r="CF131" s="1164">
        <f t="shared" si="291"/>
        <v>0</v>
      </c>
      <c r="CG131" s="1164">
        <f t="shared" si="292"/>
        <v>0</v>
      </c>
      <c r="CH131" s="1154">
        <f t="shared" si="339"/>
        <v>3288632.9862491013</v>
      </c>
      <c r="CI131" s="935">
        <f t="shared" si="340"/>
        <v>3288632.9862491013</v>
      </c>
      <c r="CJ131" s="935">
        <f t="shared" si="244"/>
        <v>0</v>
      </c>
      <c r="CK131" s="935">
        <f t="shared" si="208"/>
        <v>337084.88109053287</v>
      </c>
      <c r="CL131" s="935">
        <f t="shared" si="209"/>
        <v>115102.15451871855</v>
      </c>
      <c r="CM131" s="1006">
        <f t="shared" si="306"/>
        <v>3740820.0218583527</v>
      </c>
      <c r="CN131" s="1007">
        <f t="shared" si="307"/>
        <v>0.125</v>
      </c>
      <c r="CO131" s="935">
        <f t="shared" si="210"/>
        <v>467602.50273229409</v>
      </c>
      <c r="CP131" s="935">
        <f t="shared" si="330"/>
        <v>30000</v>
      </c>
      <c r="CQ131" s="935">
        <f t="shared" si="211"/>
        <v>437602.50273229409</v>
      </c>
      <c r="CR131" s="745">
        <v>1</v>
      </c>
      <c r="CS131" s="935">
        <f t="shared" si="212"/>
        <v>437602.50273229409</v>
      </c>
      <c r="CT131" s="1007">
        <f t="shared" si="245"/>
        <v>0.875</v>
      </c>
      <c r="CU131" s="935">
        <f t="shared" si="246"/>
        <v>3273217.5191260586</v>
      </c>
      <c r="CV131" s="1008">
        <f t="shared" si="247"/>
        <v>25377.220586274867</v>
      </c>
      <c r="CW131" s="1008">
        <f t="shared" si="248"/>
        <v>29420.604428399463</v>
      </c>
      <c r="CX131" s="1008">
        <f t="shared" si="249"/>
        <v>38004.830829748418</v>
      </c>
      <c r="CY131" s="1008">
        <f t="shared" si="250"/>
        <v>64813.629961965438</v>
      </c>
      <c r="CZ131" s="1119">
        <f t="shared" si="251"/>
        <v>265893.8630472545</v>
      </c>
      <c r="DA131" s="1119">
        <f t="shared" si="252"/>
        <v>105212.90636442785</v>
      </c>
      <c r="DB131" s="1119">
        <f t="shared" si="253"/>
        <v>75993.792116158787</v>
      </c>
      <c r="DC131" s="1119">
        <f t="shared" si="254"/>
        <v>57834.77437389204</v>
      </c>
      <c r="DD131" s="1028">
        <f t="shared" si="294"/>
        <v>0.46042470703524957</v>
      </c>
      <c r="DE131" s="1028">
        <f t="shared" si="341"/>
        <v>0</v>
      </c>
      <c r="DF131" s="1009" t="s">
        <v>270</v>
      </c>
      <c r="DG131" s="1009" t="s">
        <v>271</v>
      </c>
      <c r="DH131" s="966">
        <f t="shared" si="287"/>
        <v>45658</v>
      </c>
      <c r="DI131" s="912">
        <f t="shared" si="255"/>
        <v>14</v>
      </c>
      <c r="DK131" s="913">
        <f t="shared" si="213"/>
        <v>45723</v>
      </c>
      <c r="DL131" s="912">
        <f t="shared" si="256"/>
        <v>16</v>
      </c>
      <c r="DM131" s="750" t="s">
        <v>272</v>
      </c>
      <c r="DN131" s="750" t="s">
        <v>273</v>
      </c>
      <c r="DO131" s="751">
        <f t="shared" si="214"/>
        <v>46879.606534498133</v>
      </c>
      <c r="DP131" s="751">
        <f t="shared" si="215"/>
        <v>1031351.343758959</v>
      </c>
      <c r="DQ131" s="752">
        <f t="shared" si="295"/>
        <v>0.51567567187947949</v>
      </c>
      <c r="DS131" s="751">
        <f t="shared" si="296"/>
        <v>3288632.9862491013</v>
      </c>
      <c r="DT131" s="751">
        <f>'[4]INTERNAL PRICELIST'!N125</f>
        <v>2111900</v>
      </c>
      <c r="DU131" s="751">
        <f t="shared" si="216"/>
        <v>1176732.9862491013</v>
      </c>
      <c r="DW131" s="951">
        <f t="shared" si="297"/>
        <v>149483.31755677733</v>
      </c>
      <c r="DZ131" s="1010" t="s">
        <v>553</v>
      </c>
      <c r="EA131" s="1011" t="b">
        <f t="shared" si="217"/>
        <v>1</v>
      </c>
      <c r="EB131" s="1011"/>
      <c r="EC131" s="1011"/>
      <c r="ER131" s="1017" t="s">
        <v>243</v>
      </c>
      <c r="ES131" s="1391" t="s">
        <v>243</v>
      </c>
      <c r="ET131" s="1018" t="b">
        <f t="shared" si="257"/>
        <v>1</v>
      </c>
      <c r="EX131" s="1019">
        <v>3044060.5591086317</v>
      </c>
      <c r="EY131" s="1019">
        <f t="shared" si="310"/>
        <v>456609.08386629476</v>
      </c>
      <c r="EZ131" s="1019">
        <f t="shared" si="311"/>
        <v>2587451.4752423367</v>
      </c>
      <c r="FA131" s="1019">
        <f t="shared" si="312"/>
        <v>304406.05591086316</v>
      </c>
      <c r="FB131" s="1019">
        <f t="shared" si="313"/>
        <v>2739654.5031977687</v>
      </c>
      <c r="FC131" s="1019">
        <f t="shared" si="314"/>
        <v>152203.02795543196</v>
      </c>
      <c r="FD131" s="1020"/>
      <c r="FE131" s="1021"/>
      <c r="FF131" s="1022">
        <f t="shared" si="315"/>
        <v>2587451.4752423367</v>
      </c>
      <c r="FG131" s="1022">
        <f t="shared" si="316"/>
        <v>219933.37539559865</v>
      </c>
      <c r="FH131" s="1022">
        <f t="shared" si="317"/>
        <v>109966.68769779932</v>
      </c>
      <c r="FI131" s="1023">
        <f t="shared" si="318"/>
        <v>2739654.5031977687</v>
      </c>
      <c r="FJ131" s="1023">
        <f t="shared" si="319"/>
        <v>232870.63277181034</v>
      </c>
      <c r="FK131" s="1023">
        <f t="shared" si="320"/>
        <v>116435.31638590517</v>
      </c>
      <c r="FL131" s="1019">
        <f t="shared" si="321"/>
        <v>12937.257376211695</v>
      </c>
      <c r="FM131" s="1019">
        <f t="shared" si="322"/>
        <v>6468.6286881058477</v>
      </c>
      <c r="FN131" s="1019" t="str">
        <f t="shared" si="323"/>
        <v>VS</v>
      </c>
      <c r="FO131" s="1019">
        <f t="shared" si="324"/>
        <v>27537.409960060559</v>
      </c>
      <c r="FP131" s="1019">
        <f t="shared" si="325"/>
        <v>-21068.781271954711</v>
      </c>
      <c r="FQ131" s="1021"/>
      <c r="FR131" s="1021"/>
      <c r="FS131" s="1020"/>
      <c r="FT131" s="1055">
        <f>FB131</f>
        <v>2739654.5031977687</v>
      </c>
      <c r="FU131" s="1056"/>
      <c r="FV131" s="1056"/>
      <c r="FX131" s="1040"/>
      <c r="GF131" s="1059"/>
      <c r="GG131" s="956"/>
      <c r="GH131" s="1058"/>
      <c r="GI131" s="1024">
        <f t="shared" si="258"/>
        <v>3740820.0218583527</v>
      </c>
      <c r="GJ131" s="1025">
        <f t="shared" si="259"/>
        <v>0.125</v>
      </c>
      <c r="GK131" s="1024">
        <f t="shared" si="260"/>
        <v>467602.50273229409</v>
      </c>
      <c r="GL131" s="1024">
        <f t="shared" si="261"/>
        <v>30000</v>
      </c>
      <c r="GM131" s="1024">
        <f t="shared" si="262"/>
        <v>437602.50273229409</v>
      </c>
      <c r="GN131" s="1024">
        <f t="shared" si="263"/>
        <v>1</v>
      </c>
      <c r="GO131" s="1024">
        <f t="shared" si="264"/>
        <v>437602.50273229409</v>
      </c>
      <c r="GP131" s="1025">
        <f t="shared" si="265"/>
        <v>0.875</v>
      </c>
      <c r="GQ131" s="1024">
        <f t="shared" si="266"/>
        <v>3273217.5191260586</v>
      </c>
      <c r="GR131" s="1024">
        <f t="shared" si="267"/>
        <v>25377.220586274867</v>
      </c>
      <c r="GS131" s="1024">
        <f t="shared" si="268"/>
        <v>29420.604428399463</v>
      </c>
      <c r="GT131" s="1024">
        <f t="shared" si="269"/>
        <v>38004.830829748418</v>
      </c>
      <c r="GU131" s="1024">
        <f t="shared" si="270"/>
        <v>64813.629961965438</v>
      </c>
      <c r="GW131" s="1024">
        <f t="shared" si="271"/>
        <v>3740820.0218583527</v>
      </c>
      <c r="GX131" s="1025">
        <f t="shared" si="272"/>
        <v>0.125</v>
      </c>
      <c r="GY131" s="1024">
        <f t="shared" si="273"/>
        <v>467602.50273229409</v>
      </c>
      <c r="GZ131" s="1024">
        <f t="shared" si="274"/>
        <v>30000</v>
      </c>
      <c r="HA131" s="1024">
        <f t="shared" si="275"/>
        <v>437602.50273229409</v>
      </c>
      <c r="HB131" s="1026">
        <f t="shared" si="276"/>
        <v>25</v>
      </c>
      <c r="HC131" s="1009">
        <f t="shared" si="277"/>
        <v>17504.100109291765</v>
      </c>
      <c r="HD131" s="1027">
        <f t="shared" si="278"/>
        <v>0.875</v>
      </c>
      <c r="HE131" s="1009">
        <f t="shared" si="279"/>
        <v>3273217.5191260586</v>
      </c>
      <c r="HF131" s="1008">
        <f t="shared" si="280"/>
        <v>25377.220586274867</v>
      </c>
      <c r="HG131" s="1008">
        <f t="shared" si="281"/>
        <v>29420.604428399463</v>
      </c>
      <c r="HH131" s="1008">
        <f t="shared" si="282"/>
        <v>38004.830829748418</v>
      </c>
      <c r="HI131" s="1008">
        <f t="shared" si="283"/>
        <v>64813.629961965438</v>
      </c>
      <c r="HK131" s="1009">
        <f t="shared" si="284"/>
        <v>-420098.4026230023</v>
      </c>
      <c r="HR131" s="956">
        <f t="shared" si="285"/>
        <v>0</v>
      </c>
      <c r="HU131" s="956"/>
      <c r="HW131" s="956"/>
      <c r="HX131" s="956"/>
    </row>
    <row r="132" spans="1:238" ht="14.25" hidden="1" customHeight="1">
      <c r="A132" s="1018">
        <f t="shared" si="326"/>
        <v>126</v>
      </c>
      <c r="B132" s="716"/>
      <c r="C132" s="741">
        <f t="shared" si="360"/>
        <v>6</v>
      </c>
      <c r="D132" s="716" t="s">
        <v>286</v>
      </c>
      <c r="E132" s="743" t="str">
        <f t="shared" si="352"/>
        <v>9th Floor</v>
      </c>
      <c r="F132" s="1048"/>
      <c r="G132" s="745" t="s">
        <v>554</v>
      </c>
      <c r="H132" s="745" t="s">
        <v>296</v>
      </c>
      <c r="I132" s="745" t="s">
        <v>267</v>
      </c>
      <c r="J132" s="1005">
        <v>22</v>
      </c>
      <c r="K132" s="1049"/>
      <c r="L132" s="1006" t="s">
        <v>73</v>
      </c>
      <c r="M132" s="745" t="s">
        <v>79</v>
      </c>
      <c r="N132" s="1050">
        <v>95909.091</v>
      </c>
      <c r="O132" s="934">
        <f t="shared" si="298"/>
        <v>2110000.0019999999</v>
      </c>
      <c r="P132" s="934">
        <f t="shared" si="327"/>
        <v>22400</v>
      </c>
      <c r="Q132" s="934">
        <f t="shared" si="293"/>
        <v>50000</v>
      </c>
      <c r="R132" s="934"/>
      <c r="S132" s="934"/>
      <c r="T132" s="934"/>
      <c r="U132" s="934"/>
      <c r="V132" s="934"/>
      <c r="W132" s="934"/>
      <c r="X132" s="934"/>
      <c r="Y132" s="934">
        <f t="shared" si="361"/>
        <v>100000</v>
      </c>
      <c r="Z132" s="934">
        <f t="shared" si="299"/>
        <v>75000</v>
      </c>
      <c r="AA132" s="934"/>
      <c r="AB132" s="934"/>
      <c r="AC132" s="934"/>
      <c r="AD132" s="934"/>
      <c r="AE132" s="934">
        <f t="shared" si="199"/>
        <v>247400</v>
      </c>
      <c r="AF132" s="1005">
        <f t="shared" si="200"/>
        <v>2357400.0019999999</v>
      </c>
      <c r="AG132" s="1005">
        <f t="shared" si="220"/>
        <v>58935.000050000002</v>
      </c>
      <c r="AH132" s="1005">
        <f t="shared" si="221"/>
        <v>2416335.0020499998</v>
      </c>
      <c r="AI132" s="1005">
        <f t="shared" si="222"/>
        <v>60408.375051249997</v>
      </c>
      <c r="AJ132" s="1005">
        <f t="shared" si="223"/>
        <v>2476743.37710125</v>
      </c>
      <c r="AK132" s="1005">
        <f t="shared" si="224"/>
        <v>123837.16885506251</v>
      </c>
      <c r="AL132" s="1005">
        <f t="shared" si="300"/>
        <v>2600580.5459563127</v>
      </c>
      <c r="AM132" s="934">
        <f t="shared" si="225"/>
        <v>26005.805459563126</v>
      </c>
      <c r="AN132" s="934">
        <f t="shared" si="226"/>
        <v>27537.409960060559</v>
      </c>
      <c r="AO132" s="934"/>
      <c r="AP132" s="934">
        <f t="shared" si="301"/>
        <v>115263.05158883642</v>
      </c>
      <c r="AQ132" s="1005">
        <f t="shared" si="201"/>
        <v>2769386.8129647728</v>
      </c>
      <c r="AR132" s="1005">
        <f t="shared" si="227"/>
        <v>124622.40658341478</v>
      </c>
      <c r="AS132" s="1147">
        <f t="shared" si="228"/>
        <v>2894009.2195481877</v>
      </c>
      <c r="AT132" s="1148">
        <f t="shared" si="348"/>
        <v>2000000</v>
      </c>
      <c r="AU132" s="1148">
        <f t="shared" si="358"/>
        <v>40636.782706735801</v>
      </c>
      <c r="AV132" s="1148">
        <f t="shared" si="303"/>
        <v>894009.21954818768</v>
      </c>
      <c r="AW132" s="1148">
        <f t="shared" si="203"/>
        <v>107281.10634578252</v>
      </c>
      <c r="AX132" s="1148">
        <f t="shared" si="204"/>
        <v>1001290.3258939702</v>
      </c>
      <c r="AY132" s="1147">
        <f t="shared" si="229"/>
        <v>3001290.3258939702</v>
      </c>
      <c r="AZ132" s="934">
        <f t="shared" si="230"/>
        <v>37516.12907367463</v>
      </c>
      <c r="BA132" s="716" t="s">
        <v>269</v>
      </c>
      <c r="BB132" s="716">
        <f t="shared" si="355"/>
        <v>3038806.454967645</v>
      </c>
      <c r="BC132" s="716" t="s">
        <v>269</v>
      </c>
      <c r="BD132" s="716">
        <f t="shared" si="231"/>
        <v>113955.24206128668</v>
      </c>
      <c r="BE132" s="716">
        <f t="shared" si="232"/>
        <v>33600</v>
      </c>
      <c r="BF132" s="716">
        <f t="shared" si="233"/>
        <v>3186361.6970289317</v>
      </c>
      <c r="BG132" s="716"/>
      <c r="BH132" s="716">
        <f t="shared" si="234"/>
        <v>3186361.6970289317</v>
      </c>
      <c r="BI132" s="716"/>
      <c r="BJ132" s="716">
        <f t="shared" si="235"/>
        <v>3186361.6970289317</v>
      </c>
      <c r="BK132" s="716"/>
      <c r="BL132" s="716">
        <f t="shared" si="236"/>
        <v>3186361.6970289317</v>
      </c>
      <c r="BM132" s="716"/>
      <c r="BN132" s="716">
        <f t="shared" si="206"/>
        <v>3186361.6970289317</v>
      </c>
      <c r="BO132" s="716"/>
      <c r="BP132" s="716">
        <f t="shared" si="237"/>
        <v>3186361.6970289317</v>
      </c>
      <c r="BQ132" s="716"/>
      <c r="BR132" s="716">
        <f t="shared" si="238"/>
        <v>3186361.6970289317</v>
      </c>
      <c r="BS132" s="716"/>
      <c r="BT132" s="716">
        <f t="shared" si="239"/>
        <v>3186361.6970289317</v>
      </c>
      <c r="BU132" s="716"/>
      <c r="BV132" s="716">
        <f t="shared" si="207"/>
        <v>3186361.6970289317</v>
      </c>
      <c r="BW132" s="716"/>
      <c r="BX132" s="716">
        <f t="shared" si="329"/>
        <v>31400</v>
      </c>
      <c r="BY132" s="716">
        <f t="shared" si="240"/>
        <v>3217761.6970289317</v>
      </c>
      <c r="BZ132" s="716"/>
      <c r="CA132" s="716">
        <f t="shared" si="241"/>
        <v>3217761.6970289317</v>
      </c>
      <c r="CB132" s="1135">
        <f t="shared" si="242"/>
        <v>3217761.6970289317</v>
      </c>
      <c r="CC132" s="1164">
        <f t="shared" si="286"/>
        <v>3217761.6970289317</v>
      </c>
      <c r="CD132" s="1164"/>
      <c r="CE132" s="1164">
        <f t="shared" si="243"/>
        <v>0</v>
      </c>
      <c r="CF132" s="1164">
        <f t="shared" si="291"/>
        <v>0</v>
      </c>
      <c r="CG132" s="1164">
        <f t="shared" si="292"/>
        <v>0</v>
      </c>
      <c r="CH132" s="1154">
        <f t="shared" si="339"/>
        <v>3217761.6970289317</v>
      </c>
      <c r="CI132" s="935">
        <f t="shared" si="340"/>
        <v>3217761.6970289317</v>
      </c>
      <c r="CJ132" s="935">
        <f t="shared" si="244"/>
        <v>0</v>
      </c>
      <c r="CK132" s="935">
        <f t="shared" si="208"/>
        <v>329820.5739454655</v>
      </c>
      <c r="CL132" s="935">
        <f t="shared" si="209"/>
        <v>112621.65939601262</v>
      </c>
      <c r="CM132" s="1006">
        <f t="shared" si="306"/>
        <v>3660203.93037041</v>
      </c>
      <c r="CN132" s="1007">
        <f t="shared" si="307"/>
        <v>0.125</v>
      </c>
      <c r="CO132" s="935">
        <f t="shared" si="210"/>
        <v>457525.49129630125</v>
      </c>
      <c r="CP132" s="935">
        <f t="shared" si="330"/>
        <v>30000</v>
      </c>
      <c r="CQ132" s="935">
        <f t="shared" si="211"/>
        <v>427525.49129630125</v>
      </c>
      <c r="CR132" s="745">
        <f t="shared" si="308"/>
        <v>2</v>
      </c>
      <c r="CS132" s="935">
        <f t="shared" si="212"/>
        <v>213762.74564815062</v>
      </c>
      <c r="CT132" s="1007">
        <f t="shared" si="245"/>
        <v>0.875</v>
      </c>
      <c r="CU132" s="935">
        <f t="shared" si="246"/>
        <v>3202678.4390741088</v>
      </c>
      <c r="CV132" s="1008">
        <f t="shared" si="247"/>
        <v>24830.331849436756</v>
      </c>
      <c r="CW132" s="1008">
        <f t="shared" si="248"/>
        <v>28786.57923489331</v>
      </c>
      <c r="CX132" s="1008">
        <f t="shared" si="249"/>
        <v>37185.812298717152</v>
      </c>
      <c r="CY132" s="1008">
        <f t="shared" si="250"/>
        <v>63416.871633003168</v>
      </c>
      <c r="CZ132" s="1119">
        <f t="shared" si="251"/>
        <v>260163.749365161</v>
      </c>
      <c r="DA132" s="1119">
        <f t="shared" si="252"/>
        <v>102945.52829340976</v>
      </c>
      <c r="DB132" s="1119">
        <f t="shared" si="253"/>
        <v>74356.097048779266</v>
      </c>
      <c r="DC132" s="1119">
        <f t="shared" si="254"/>
        <v>56588.413032029348</v>
      </c>
      <c r="DD132" s="1028">
        <f t="shared" si="294"/>
        <v>0.44700460977409384</v>
      </c>
      <c r="DE132" s="1028">
        <f t="shared" si="341"/>
        <v>0</v>
      </c>
      <c r="DF132" s="1009" t="s">
        <v>270</v>
      </c>
      <c r="DG132" s="1009" t="s">
        <v>271</v>
      </c>
      <c r="DH132" s="966">
        <f t="shared" si="287"/>
        <v>45658</v>
      </c>
      <c r="DI132" s="912">
        <f t="shared" si="255"/>
        <v>14</v>
      </c>
      <c r="DK132" s="913">
        <f t="shared" si="213"/>
        <v>45723</v>
      </c>
      <c r="DL132" s="912">
        <f t="shared" si="256"/>
        <v>16</v>
      </c>
      <c r="DM132" s="750" t="s">
        <v>272</v>
      </c>
      <c r="DN132" s="750" t="s">
        <v>273</v>
      </c>
      <c r="DO132" s="751">
        <f t="shared" si="214"/>
        <v>45513.196631544102</v>
      </c>
      <c r="DP132" s="751">
        <f t="shared" si="215"/>
        <v>1001290.3258939702</v>
      </c>
      <c r="DQ132" s="752">
        <f t="shared" si="295"/>
        <v>0.50064516294698513</v>
      </c>
      <c r="DS132" s="751">
        <f t="shared" si="296"/>
        <v>3217761.6970289317</v>
      </c>
      <c r="DT132" s="751">
        <f>'[4]INTERNAL PRICELIST'!N126</f>
        <v>2111900</v>
      </c>
      <c r="DU132" s="751">
        <f t="shared" si="216"/>
        <v>1105861.6970289317</v>
      </c>
      <c r="DW132" s="951">
        <f t="shared" si="297"/>
        <v>146261.89531949689</v>
      </c>
      <c r="DZ132" s="1010" t="s">
        <v>554</v>
      </c>
      <c r="EA132" s="1011" t="b">
        <f t="shared" si="217"/>
        <v>1</v>
      </c>
      <c r="EB132" s="1011"/>
      <c r="EC132" s="1011"/>
      <c r="ER132" s="1017" t="s">
        <v>264</v>
      </c>
      <c r="ES132" s="1391" t="s">
        <v>264</v>
      </c>
      <c r="ET132" s="1018" t="b">
        <f t="shared" si="257"/>
        <v>1</v>
      </c>
      <c r="EX132" s="1019">
        <v>3013413.1134336316</v>
      </c>
      <c r="EY132" s="1019">
        <f t="shared" si="310"/>
        <v>452011.96701504471</v>
      </c>
      <c r="EZ132" s="1019">
        <f t="shared" si="311"/>
        <v>2561401.1464185868</v>
      </c>
      <c r="FA132" s="1019">
        <f t="shared" si="312"/>
        <v>301341.3113433632</v>
      </c>
      <c r="FB132" s="1019">
        <f t="shared" si="313"/>
        <v>2712071.8020902686</v>
      </c>
      <c r="FC132" s="1019">
        <f t="shared" si="314"/>
        <v>150670.65567168174</v>
      </c>
      <c r="FD132" s="1020"/>
      <c r="FE132" s="1021"/>
      <c r="FF132" s="1022">
        <f t="shared" si="315"/>
        <v>2561401.1464185868</v>
      </c>
      <c r="FG132" s="1022">
        <f t="shared" si="316"/>
        <v>217719.09744557989</v>
      </c>
      <c r="FH132" s="1022">
        <f t="shared" si="317"/>
        <v>108859.54872278994</v>
      </c>
      <c r="FI132" s="1023">
        <f t="shared" si="318"/>
        <v>2712071.8020902686</v>
      </c>
      <c r="FJ132" s="1023">
        <f t="shared" si="319"/>
        <v>230526.10317767283</v>
      </c>
      <c r="FK132" s="1023">
        <f t="shared" si="320"/>
        <v>115263.05158883642</v>
      </c>
      <c r="FL132" s="1019">
        <f t="shared" si="321"/>
        <v>12807.005732092948</v>
      </c>
      <c r="FM132" s="1019">
        <f t="shared" si="322"/>
        <v>6403.5028660464741</v>
      </c>
      <c r="FN132" s="1019" t="str">
        <f t="shared" si="323"/>
        <v>VS</v>
      </c>
      <c r="FO132" s="1019">
        <f t="shared" si="324"/>
        <v>27537.409960060559</v>
      </c>
      <c r="FP132" s="1019">
        <f t="shared" si="325"/>
        <v>-21133.907094014085</v>
      </c>
      <c r="FQ132" s="1021"/>
      <c r="FR132" s="1021"/>
      <c r="FS132" s="1020"/>
      <c r="FT132" s="503"/>
      <c r="FU132" s="956"/>
      <c r="FV132" s="503"/>
      <c r="FX132" s="1040"/>
      <c r="GF132" s="1059"/>
      <c r="GG132" s="956"/>
      <c r="GI132" s="1024">
        <f t="shared" si="258"/>
        <v>3660203.93037041</v>
      </c>
      <c r="GJ132" s="1025">
        <f t="shared" si="259"/>
        <v>0.125</v>
      </c>
      <c r="GK132" s="1024">
        <f t="shared" si="260"/>
        <v>457525.49129630125</v>
      </c>
      <c r="GL132" s="1024">
        <f t="shared" si="261"/>
        <v>30000</v>
      </c>
      <c r="GM132" s="1024">
        <f t="shared" si="262"/>
        <v>427525.49129630125</v>
      </c>
      <c r="GN132" s="1024">
        <f t="shared" si="263"/>
        <v>2</v>
      </c>
      <c r="GO132" s="1024">
        <f t="shared" si="264"/>
        <v>213762.74564815062</v>
      </c>
      <c r="GP132" s="1025">
        <f t="shared" si="265"/>
        <v>0.875</v>
      </c>
      <c r="GQ132" s="1024">
        <f t="shared" si="266"/>
        <v>3202678.4390741088</v>
      </c>
      <c r="GR132" s="1024">
        <f t="shared" si="267"/>
        <v>24830.331849436756</v>
      </c>
      <c r="GS132" s="1024">
        <f t="shared" si="268"/>
        <v>28786.57923489331</v>
      </c>
      <c r="GT132" s="1024">
        <f t="shared" si="269"/>
        <v>37185.812298717152</v>
      </c>
      <c r="GU132" s="1024">
        <f t="shared" si="270"/>
        <v>63416.871633003168</v>
      </c>
      <c r="GW132" s="1024">
        <f t="shared" si="271"/>
        <v>3660203.93037041</v>
      </c>
      <c r="GX132" s="1025">
        <f t="shared" si="272"/>
        <v>0.125</v>
      </c>
      <c r="GY132" s="1024">
        <f t="shared" si="273"/>
        <v>457525.49129630125</v>
      </c>
      <c r="GZ132" s="1024">
        <f t="shared" si="274"/>
        <v>30000</v>
      </c>
      <c r="HA132" s="1024">
        <f t="shared" si="275"/>
        <v>427525.49129630125</v>
      </c>
      <c r="HB132" s="1026">
        <f t="shared" si="276"/>
        <v>25</v>
      </c>
      <c r="HC132" s="1009">
        <f t="shared" si="277"/>
        <v>17101.01965185205</v>
      </c>
      <c r="HD132" s="1027">
        <f t="shared" si="278"/>
        <v>0.875</v>
      </c>
      <c r="HE132" s="1009">
        <f t="shared" si="279"/>
        <v>3202678.4390741088</v>
      </c>
      <c r="HF132" s="1008">
        <f t="shared" si="280"/>
        <v>24830.331849436756</v>
      </c>
      <c r="HG132" s="1008">
        <f t="shared" si="281"/>
        <v>28786.57923489331</v>
      </c>
      <c r="HH132" s="1008">
        <f t="shared" si="282"/>
        <v>37185.812298717152</v>
      </c>
      <c r="HI132" s="1008">
        <f t="shared" si="283"/>
        <v>63416.871633003168</v>
      </c>
      <c r="HK132" s="1009">
        <f t="shared" si="284"/>
        <v>-196661.72599629857</v>
      </c>
      <c r="HR132" s="956">
        <f t="shared" si="285"/>
        <v>0</v>
      </c>
      <c r="HU132" s="956"/>
      <c r="HW132" s="956"/>
      <c r="HX132" s="956"/>
    </row>
    <row r="133" spans="1:238" ht="14.25" hidden="1" customHeight="1">
      <c r="A133" s="1018">
        <f t="shared" si="326"/>
        <v>127</v>
      </c>
      <c r="B133" s="716"/>
      <c r="C133" s="741">
        <f t="shared" si="360"/>
        <v>7</v>
      </c>
      <c r="D133" s="716" t="s">
        <v>286</v>
      </c>
      <c r="E133" s="743" t="str">
        <f t="shared" si="352"/>
        <v>9th Floor</v>
      </c>
      <c r="F133" s="1048"/>
      <c r="G133" s="745" t="s">
        <v>555</v>
      </c>
      <c r="H133" s="745" t="s">
        <v>310</v>
      </c>
      <c r="I133" s="745" t="s">
        <v>267</v>
      </c>
      <c r="J133" s="1005">
        <v>22</v>
      </c>
      <c r="K133" s="1049"/>
      <c r="L133" s="1006" t="s">
        <v>73</v>
      </c>
      <c r="M133" s="745" t="s">
        <v>240</v>
      </c>
      <c r="N133" s="1050">
        <v>95909.091</v>
      </c>
      <c r="O133" s="934">
        <f t="shared" si="298"/>
        <v>2110000.0019999999</v>
      </c>
      <c r="P133" s="934">
        <f t="shared" si="327"/>
        <v>22400</v>
      </c>
      <c r="Q133" s="934">
        <f t="shared" si="293"/>
        <v>50000</v>
      </c>
      <c r="R133" s="934"/>
      <c r="S133" s="934"/>
      <c r="T133" s="934"/>
      <c r="U133" s="934"/>
      <c r="V133" s="934"/>
      <c r="W133" s="749">
        <f>J133*$W$5</f>
        <v>22000</v>
      </c>
      <c r="X133" s="934"/>
      <c r="Y133" s="934">
        <f t="shared" si="361"/>
        <v>100000</v>
      </c>
      <c r="Z133" s="934">
        <f t="shared" si="299"/>
        <v>75000</v>
      </c>
      <c r="AA133" s="934"/>
      <c r="AB133" s="934"/>
      <c r="AC133" s="934"/>
      <c r="AD133" s="934"/>
      <c r="AE133" s="934">
        <f t="shared" si="199"/>
        <v>269400</v>
      </c>
      <c r="AF133" s="1005">
        <f t="shared" si="200"/>
        <v>2379400.0019999999</v>
      </c>
      <c r="AG133" s="1005">
        <f t="shared" si="220"/>
        <v>59485.000050000002</v>
      </c>
      <c r="AH133" s="1005">
        <f t="shared" si="221"/>
        <v>2438885.0020499998</v>
      </c>
      <c r="AI133" s="1005">
        <f t="shared" si="222"/>
        <v>60972.125051249997</v>
      </c>
      <c r="AJ133" s="1005">
        <f t="shared" si="223"/>
        <v>2499857.12710125</v>
      </c>
      <c r="AK133" s="1005">
        <f t="shared" si="224"/>
        <v>124992.85635506251</v>
      </c>
      <c r="AL133" s="1005">
        <f t="shared" si="300"/>
        <v>2624849.9834563127</v>
      </c>
      <c r="AM133" s="934">
        <f t="shared" si="225"/>
        <v>26248.499834563128</v>
      </c>
      <c r="AN133" s="934">
        <f t="shared" si="226"/>
        <v>27537.409960060559</v>
      </c>
      <c r="AO133" s="934"/>
      <c r="AP133" s="934">
        <f t="shared" si="301"/>
        <v>116435.31638590517</v>
      </c>
      <c r="AQ133" s="1005">
        <f t="shared" si="201"/>
        <v>2795071.2096368414</v>
      </c>
      <c r="AR133" s="1005">
        <f t="shared" si="227"/>
        <v>125778.20443365785</v>
      </c>
      <c r="AS133" s="1147">
        <f t="shared" si="228"/>
        <v>2920849.4140704991</v>
      </c>
      <c r="AT133" s="1148">
        <f t="shared" si="348"/>
        <v>2000000</v>
      </c>
      <c r="AU133" s="1148">
        <f t="shared" si="358"/>
        <v>41856.79154865905</v>
      </c>
      <c r="AV133" s="1148">
        <f t="shared" si="303"/>
        <v>920849.41407049913</v>
      </c>
      <c r="AW133" s="1148">
        <f t="shared" si="203"/>
        <v>110501.92968845989</v>
      </c>
      <c r="AX133" s="1148">
        <f t="shared" si="204"/>
        <v>1031351.343758959</v>
      </c>
      <c r="AY133" s="1147">
        <f t="shared" si="229"/>
        <v>3031351.3437589589</v>
      </c>
      <c r="AZ133" s="934">
        <f t="shared" si="230"/>
        <v>37891.891796986987</v>
      </c>
      <c r="BA133" s="716" t="s">
        <v>269</v>
      </c>
      <c r="BB133" s="716">
        <f t="shared" si="355"/>
        <v>3069243.2355559459</v>
      </c>
      <c r="BC133" s="716" t="s">
        <v>269</v>
      </c>
      <c r="BD133" s="716">
        <f t="shared" si="231"/>
        <v>115096.62133334797</v>
      </c>
      <c r="BE133" s="716">
        <f t="shared" si="232"/>
        <v>33600</v>
      </c>
      <c r="BF133" s="716">
        <f t="shared" si="233"/>
        <v>3217939.856889294</v>
      </c>
      <c r="BG133" s="716"/>
      <c r="BH133" s="716">
        <f t="shared" si="234"/>
        <v>3217939.856889294</v>
      </c>
      <c r="BI133" s="716"/>
      <c r="BJ133" s="716">
        <f t="shared" si="235"/>
        <v>3217939.856889294</v>
      </c>
      <c r="BK133" s="716"/>
      <c r="BL133" s="716">
        <f t="shared" si="236"/>
        <v>3217939.856889294</v>
      </c>
      <c r="BM133" s="716"/>
      <c r="BN133" s="716">
        <f t="shared" si="206"/>
        <v>3217939.856889294</v>
      </c>
      <c r="BO133" s="716"/>
      <c r="BP133" s="716">
        <f t="shared" si="237"/>
        <v>3217939.856889294</v>
      </c>
      <c r="BQ133" s="716"/>
      <c r="BR133" s="716">
        <f t="shared" si="238"/>
        <v>3217939.856889294</v>
      </c>
      <c r="BS133" s="716"/>
      <c r="BT133" s="716">
        <f t="shared" si="239"/>
        <v>3217939.856889294</v>
      </c>
      <c r="BU133" s="716"/>
      <c r="BV133" s="716">
        <f t="shared" si="207"/>
        <v>3217939.856889294</v>
      </c>
      <c r="BW133" s="716"/>
      <c r="BX133" s="716">
        <f t="shared" si="329"/>
        <v>31400</v>
      </c>
      <c r="BY133" s="716">
        <f t="shared" si="240"/>
        <v>3249339.856889294</v>
      </c>
      <c r="BZ133" s="716"/>
      <c r="CA133" s="716">
        <f t="shared" si="241"/>
        <v>3249339.856889294</v>
      </c>
      <c r="CB133" s="1135">
        <f t="shared" si="242"/>
        <v>3249339.856889294</v>
      </c>
      <c r="CC133" s="1164">
        <f t="shared" si="286"/>
        <v>3249339.856889294</v>
      </c>
      <c r="CD133" s="1164"/>
      <c r="CE133" s="1164">
        <f t="shared" si="243"/>
        <v>0</v>
      </c>
      <c r="CF133" s="1164">
        <f t="shared" si="291"/>
        <v>0</v>
      </c>
      <c r="CG133" s="1164">
        <f t="shared" si="292"/>
        <v>0</v>
      </c>
      <c r="CH133" s="1154">
        <f t="shared" si="339"/>
        <v>3249339.856889294</v>
      </c>
      <c r="CI133" s="935">
        <f t="shared" si="340"/>
        <v>3249339.856889294</v>
      </c>
      <c r="CJ133" s="935">
        <f t="shared" si="244"/>
        <v>0</v>
      </c>
      <c r="CK133" s="935">
        <f t="shared" si="208"/>
        <v>333057.3353311526</v>
      </c>
      <c r="CL133" s="935">
        <f t="shared" si="209"/>
        <v>113726.8949911253</v>
      </c>
      <c r="CM133" s="1006">
        <f t="shared" si="306"/>
        <v>3696124.0872115721</v>
      </c>
      <c r="CN133" s="1007">
        <f t="shared" si="307"/>
        <v>0.125</v>
      </c>
      <c r="CO133" s="935">
        <f t="shared" si="210"/>
        <v>462015.51090144651</v>
      </c>
      <c r="CP133" s="935">
        <f t="shared" si="330"/>
        <v>30000</v>
      </c>
      <c r="CQ133" s="935">
        <f t="shared" si="211"/>
        <v>432015.51090144651</v>
      </c>
      <c r="CR133" s="745">
        <f t="shared" si="308"/>
        <v>2</v>
      </c>
      <c r="CS133" s="935">
        <f t="shared" si="212"/>
        <v>216007.75545072326</v>
      </c>
      <c r="CT133" s="1007">
        <f t="shared" si="245"/>
        <v>0.875</v>
      </c>
      <c r="CU133" s="935">
        <f t="shared" si="246"/>
        <v>3234108.5763101256</v>
      </c>
      <c r="CV133" s="1008">
        <f t="shared" si="247"/>
        <v>25074.009368891144</v>
      </c>
      <c r="CW133" s="1008">
        <f t="shared" si="248"/>
        <v>29069.082193938346</v>
      </c>
      <c r="CX133" s="1008">
        <f t="shared" si="249"/>
        <v>37550.742842327803</v>
      </c>
      <c r="CY133" s="1008">
        <f t="shared" si="250"/>
        <v>64039.226020563969</v>
      </c>
      <c r="CZ133" s="1119">
        <f t="shared" si="251"/>
        <v>262716.91931398289</v>
      </c>
      <c r="DA133" s="1119">
        <f t="shared" si="252"/>
        <v>103955.80520495369</v>
      </c>
      <c r="DB133" s="1119">
        <f t="shared" si="253"/>
        <v>75085.80575323895</v>
      </c>
      <c r="DC133" s="1119">
        <f t="shared" si="254"/>
        <v>57143.754950176859</v>
      </c>
      <c r="DD133" s="1028">
        <f t="shared" si="294"/>
        <v>0.46042470703524957</v>
      </c>
      <c r="DE133" s="1028">
        <f t="shared" si="341"/>
        <v>0</v>
      </c>
      <c r="DF133" s="1009" t="s">
        <v>270</v>
      </c>
      <c r="DG133" s="1009" t="s">
        <v>271</v>
      </c>
      <c r="DH133" s="966">
        <f t="shared" si="287"/>
        <v>45658</v>
      </c>
      <c r="DI133" s="912">
        <f t="shared" si="255"/>
        <v>14</v>
      </c>
      <c r="DK133" s="913">
        <f t="shared" si="213"/>
        <v>45723</v>
      </c>
      <c r="DL133" s="912">
        <f t="shared" si="256"/>
        <v>16</v>
      </c>
      <c r="DM133" s="750" t="s">
        <v>272</v>
      </c>
      <c r="DN133" s="750" t="s">
        <v>273</v>
      </c>
      <c r="DO133" s="751">
        <f t="shared" si="214"/>
        <v>46879.606534498133</v>
      </c>
      <c r="DP133" s="751">
        <f t="shared" si="215"/>
        <v>1031351.343758959</v>
      </c>
      <c r="DQ133" s="752">
        <f t="shared" si="295"/>
        <v>0.51567567187947949</v>
      </c>
      <c r="DS133" s="751">
        <f t="shared" si="296"/>
        <v>3249339.856889294</v>
      </c>
      <c r="DT133" s="751">
        <f>'[4]INTERNAL PRICELIST'!N127</f>
        <v>2111900</v>
      </c>
      <c r="DU133" s="751">
        <f t="shared" si="216"/>
        <v>1137439.856889294</v>
      </c>
      <c r="DW133" s="951">
        <f t="shared" si="297"/>
        <v>147697.26622224064</v>
      </c>
      <c r="DZ133" s="1010" t="s">
        <v>555</v>
      </c>
      <c r="EA133" s="1011" t="b">
        <f t="shared" si="217"/>
        <v>1</v>
      </c>
      <c r="EB133" s="1011"/>
      <c r="EC133" s="1011"/>
      <c r="ER133" s="1017" t="s">
        <v>264</v>
      </c>
      <c r="ES133" s="1391" t="s">
        <v>264</v>
      </c>
      <c r="ET133" s="1018" t="b">
        <f t="shared" si="257"/>
        <v>1</v>
      </c>
      <c r="EX133" s="1019">
        <v>3044060.5591086317</v>
      </c>
      <c r="EY133" s="1019">
        <f t="shared" si="310"/>
        <v>456609.08386629476</v>
      </c>
      <c r="EZ133" s="1019">
        <f t="shared" si="311"/>
        <v>2587451.4752423367</v>
      </c>
      <c r="FA133" s="1019">
        <f t="shared" si="312"/>
        <v>304406.05591086316</v>
      </c>
      <c r="FB133" s="1019">
        <f t="shared" si="313"/>
        <v>2739654.5031977687</v>
      </c>
      <c r="FC133" s="1019">
        <f t="shared" si="314"/>
        <v>152203.02795543196</v>
      </c>
      <c r="FD133" s="1020"/>
      <c r="FE133" s="1021"/>
      <c r="FF133" s="1022">
        <f t="shared" si="315"/>
        <v>2587451.4752423367</v>
      </c>
      <c r="FG133" s="1022">
        <f t="shared" si="316"/>
        <v>219933.37539559865</v>
      </c>
      <c r="FH133" s="1022">
        <f t="shared" si="317"/>
        <v>109966.68769779932</v>
      </c>
      <c r="FI133" s="1023">
        <f t="shared" si="318"/>
        <v>2739654.5031977687</v>
      </c>
      <c r="FJ133" s="1023">
        <f t="shared" si="319"/>
        <v>232870.63277181034</v>
      </c>
      <c r="FK133" s="1023">
        <f t="shared" si="320"/>
        <v>116435.31638590517</v>
      </c>
      <c r="FL133" s="1019">
        <f t="shared" si="321"/>
        <v>12937.257376211695</v>
      </c>
      <c r="FM133" s="1019">
        <f t="shared" si="322"/>
        <v>6468.6286881058477</v>
      </c>
      <c r="FN133" s="1019" t="str">
        <f t="shared" si="323"/>
        <v>VS</v>
      </c>
      <c r="FO133" s="1019">
        <f t="shared" si="324"/>
        <v>27537.409960060559</v>
      </c>
      <c r="FP133" s="1019">
        <f t="shared" si="325"/>
        <v>-21068.781271954711</v>
      </c>
      <c r="FQ133" s="1021"/>
      <c r="FR133" s="1021"/>
      <c r="FS133" s="1020"/>
      <c r="FT133" s="503"/>
      <c r="FU133" s="956"/>
      <c r="FV133" s="503"/>
      <c r="FX133" s="1040"/>
      <c r="GF133" s="1059"/>
      <c r="GG133" s="956"/>
      <c r="GI133" s="1024">
        <f t="shared" si="258"/>
        <v>3696124.0872115721</v>
      </c>
      <c r="GJ133" s="1025">
        <f t="shared" si="259"/>
        <v>0.125</v>
      </c>
      <c r="GK133" s="1024">
        <f t="shared" si="260"/>
        <v>462015.51090144651</v>
      </c>
      <c r="GL133" s="1024">
        <f t="shared" si="261"/>
        <v>30000</v>
      </c>
      <c r="GM133" s="1024">
        <f t="shared" si="262"/>
        <v>432015.51090144651</v>
      </c>
      <c r="GN133" s="1024">
        <f t="shared" si="263"/>
        <v>2</v>
      </c>
      <c r="GO133" s="1024">
        <f t="shared" si="264"/>
        <v>216007.75545072326</v>
      </c>
      <c r="GP133" s="1025">
        <f t="shared" si="265"/>
        <v>0.875</v>
      </c>
      <c r="GQ133" s="1024">
        <f t="shared" si="266"/>
        <v>3234108.5763101256</v>
      </c>
      <c r="GR133" s="1024">
        <f t="shared" si="267"/>
        <v>25074.009368891144</v>
      </c>
      <c r="GS133" s="1024">
        <f t="shared" si="268"/>
        <v>29069.082193938346</v>
      </c>
      <c r="GT133" s="1024">
        <f t="shared" si="269"/>
        <v>37550.742842327803</v>
      </c>
      <c r="GU133" s="1024">
        <f t="shared" si="270"/>
        <v>64039.226020563969</v>
      </c>
      <c r="GW133" s="1024">
        <f t="shared" si="271"/>
        <v>3696124.0872115721</v>
      </c>
      <c r="GX133" s="1025">
        <f t="shared" si="272"/>
        <v>0.125</v>
      </c>
      <c r="GY133" s="1024">
        <f t="shared" si="273"/>
        <v>462015.51090144651</v>
      </c>
      <c r="GZ133" s="1024">
        <f t="shared" si="274"/>
        <v>30000</v>
      </c>
      <c r="HA133" s="1024">
        <f t="shared" si="275"/>
        <v>432015.51090144651</v>
      </c>
      <c r="HB133" s="1026">
        <f t="shared" si="276"/>
        <v>25</v>
      </c>
      <c r="HC133" s="1009">
        <f t="shared" si="277"/>
        <v>17280.620436057859</v>
      </c>
      <c r="HD133" s="1027">
        <f t="shared" si="278"/>
        <v>0.875</v>
      </c>
      <c r="HE133" s="1009">
        <f t="shared" si="279"/>
        <v>3234108.5763101256</v>
      </c>
      <c r="HF133" s="1008">
        <f t="shared" si="280"/>
        <v>25074.009368891144</v>
      </c>
      <c r="HG133" s="1008">
        <f t="shared" si="281"/>
        <v>29069.082193938346</v>
      </c>
      <c r="HH133" s="1008">
        <f t="shared" si="282"/>
        <v>37550.742842327803</v>
      </c>
      <c r="HI133" s="1008">
        <f t="shared" si="283"/>
        <v>64039.226020563969</v>
      </c>
      <c r="HK133" s="1009">
        <f t="shared" si="284"/>
        <v>-198727.1350146654</v>
      </c>
      <c r="HR133" s="956">
        <f t="shared" si="285"/>
        <v>0</v>
      </c>
      <c r="HU133" s="956"/>
      <c r="HW133" s="956"/>
      <c r="HX133" s="956"/>
    </row>
    <row r="134" spans="1:238" s="1051" customFormat="1" ht="14.25" hidden="1" customHeight="1">
      <c r="A134" s="1018">
        <f t="shared" si="326"/>
        <v>128</v>
      </c>
      <c r="B134" s="716" t="s">
        <v>264</v>
      </c>
      <c r="C134" s="741">
        <f t="shared" si="360"/>
        <v>8</v>
      </c>
      <c r="D134" s="716" t="s">
        <v>286</v>
      </c>
      <c r="E134" s="743" t="str">
        <f t="shared" si="352"/>
        <v>9th Floor</v>
      </c>
      <c r="F134" s="1048"/>
      <c r="G134" s="745" t="s">
        <v>556</v>
      </c>
      <c r="H134" s="745" t="s">
        <v>316</v>
      </c>
      <c r="I134" s="745" t="s">
        <v>267</v>
      </c>
      <c r="J134" s="1005">
        <v>22</v>
      </c>
      <c r="K134" s="1049"/>
      <c r="L134" s="1006" t="s">
        <v>268</v>
      </c>
      <c r="M134" s="745" t="s">
        <v>65</v>
      </c>
      <c r="N134" s="1050">
        <v>95909.091</v>
      </c>
      <c r="O134" s="934">
        <f t="shared" si="298"/>
        <v>2110000.0019999999</v>
      </c>
      <c r="P134" s="934">
        <f t="shared" si="327"/>
        <v>22400</v>
      </c>
      <c r="Q134" s="934">
        <f t="shared" si="293"/>
        <v>50000</v>
      </c>
      <c r="R134" s="934"/>
      <c r="S134" s="934"/>
      <c r="T134" s="934"/>
      <c r="U134" s="934"/>
      <c r="V134" s="749">
        <f>J134*$V$5</f>
        <v>55000</v>
      </c>
      <c r="W134" s="934"/>
      <c r="X134" s="934"/>
      <c r="Y134" s="934">
        <f t="shared" si="361"/>
        <v>100000</v>
      </c>
      <c r="Z134" s="934">
        <f t="shared" si="299"/>
        <v>75000</v>
      </c>
      <c r="AA134" s="934"/>
      <c r="AB134" s="934"/>
      <c r="AC134" s="934"/>
      <c r="AD134" s="934"/>
      <c r="AE134" s="934">
        <f t="shared" si="199"/>
        <v>302400</v>
      </c>
      <c r="AF134" s="1005">
        <f t="shared" si="200"/>
        <v>2412400.0019999999</v>
      </c>
      <c r="AG134" s="1005">
        <f t="shared" si="220"/>
        <v>60310.000050000002</v>
      </c>
      <c r="AH134" s="1005">
        <f t="shared" si="221"/>
        <v>2472710.0020499998</v>
      </c>
      <c r="AI134" s="1005">
        <f t="shared" si="222"/>
        <v>61817.750051249997</v>
      </c>
      <c r="AJ134" s="1005">
        <f t="shared" si="223"/>
        <v>2534527.75210125</v>
      </c>
      <c r="AK134" s="1005">
        <f t="shared" si="224"/>
        <v>126726.38760506251</v>
      </c>
      <c r="AL134" s="1005">
        <f t="shared" si="300"/>
        <v>2661254.1397063127</v>
      </c>
      <c r="AM134" s="934">
        <f t="shared" si="225"/>
        <v>26612.541397063127</v>
      </c>
      <c r="AN134" s="934">
        <f t="shared" si="226"/>
        <v>27537.409960060559</v>
      </c>
      <c r="AO134" s="934"/>
      <c r="AP134" s="934">
        <f t="shared" si="301"/>
        <v>120396.06974051513</v>
      </c>
      <c r="AQ134" s="1005">
        <f t="shared" si="201"/>
        <v>2835800.1608039513</v>
      </c>
      <c r="AR134" s="1005">
        <f t="shared" si="227"/>
        <v>127611.0072361778</v>
      </c>
      <c r="AS134" s="1147">
        <f t="shared" si="228"/>
        <v>2963411.1680401294</v>
      </c>
      <c r="AT134" s="1148">
        <f t="shared" si="348"/>
        <v>2000000</v>
      </c>
      <c r="AU134" s="1148">
        <f t="shared" si="358"/>
        <v>43791.416729096789</v>
      </c>
      <c r="AV134" s="1148">
        <f t="shared" ref="AV134" si="362">AS134-AT134</f>
        <v>963411.16804012936</v>
      </c>
      <c r="AW134" s="1148">
        <f t="shared" ref="AW134" si="363">AV134*$AW$5</f>
        <v>115609.34016481551</v>
      </c>
      <c r="AX134" s="1148">
        <f t="shared" ref="AX134" si="364">AV134+AW134</f>
        <v>1079020.5082049449</v>
      </c>
      <c r="AY134" s="1147">
        <f t="shared" si="229"/>
        <v>3079020.5082049449</v>
      </c>
      <c r="AZ134" s="934">
        <f t="shared" si="230"/>
        <v>38487.75635256181</v>
      </c>
      <c r="BA134" s="716" t="s">
        <v>269</v>
      </c>
      <c r="BB134" s="716">
        <f t="shared" si="355"/>
        <v>3117508.2645575069</v>
      </c>
      <c r="BC134" s="716" t="s">
        <v>269</v>
      </c>
      <c r="BD134" s="716">
        <f t="shared" si="231"/>
        <v>116906.55992090651</v>
      </c>
      <c r="BE134" s="716">
        <f t="shared" si="232"/>
        <v>33600</v>
      </c>
      <c r="BF134" s="716">
        <f t="shared" si="233"/>
        <v>3268014.8244784134</v>
      </c>
      <c r="BG134" s="716"/>
      <c r="BH134" s="716">
        <f t="shared" si="234"/>
        <v>3268014.8244784134</v>
      </c>
      <c r="BI134" s="716"/>
      <c r="BJ134" s="716">
        <f t="shared" si="235"/>
        <v>3268014.8244784134</v>
      </c>
      <c r="BK134" s="716"/>
      <c r="BL134" s="716">
        <f t="shared" si="236"/>
        <v>3268014.8244784134</v>
      </c>
      <c r="BM134" s="716"/>
      <c r="BN134" s="716">
        <f t="shared" si="206"/>
        <v>3268014.8244784134</v>
      </c>
      <c r="BO134" s="716"/>
      <c r="BP134" s="716">
        <f t="shared" si="237"/>
        <v>3268014.8244784134</v>
      </c>
      <c r="BQ134" s="716"/>
      <c r="BR134" s="716">
        <f t="shared" si="238"/>
        <v>3268014.8244784134</v>
      </c>
      <c r="BS134" s="716"/>
      <c r="BT134" s="716">
        <f t="shared" si="239"/>
        <v>3268014.8244784134</v>
      </c>
      <c r="BU134" s="716"/>
      <c r="BV134" s="716">
        <f t="shared" si="207"/>
        <v>3268014.8244784134</v>
      </c>
      <c r="BW134" s="716"/>
      <c r="BX134" s="716">
        <f t="shared" si="329"/>
        <v>31400</v>
      </c>
      <c r="BY134" s="716">
        <f t="shared" si="240"/>
        <v>3299414.8244784134</v>
      </c>
      <c r="BZ134" s="716"/>
      <c r="CA134" s="716">
        <f t="shared" si="241"/>
        <v>3299414.8244784134</v>
      </c>
      <c r="CB134" s="1135">
        <f t="shared" si="242"/>
        <v>3299414.8244784134</v>
      </c>
      <c r="CC134" s="1164">
        <f t="shared" si="286"/>
        <v>3299414.8244784134</v>
      </c>
      <c r="CD134" s="1164"/>
      <c r="CE134" s="1164">
        <f t="shared" si="243"/>
        <v>0</v>
      </c>
      <c r="CF134" s="1164">
        <f t="shared" si="291"/>
        <v>0</v>
      </c>
      <c r="CG134" s="1164">
        <f t="shared" si="292"/>
        <v>0</v>
      </c>
      <c r="CH134" s="1154">
        <f t="shared" si="339"/>
        <v>3299414.8244784134</v>
      </c>
      <c r="CI134" s="935">
        <f t="shared" si="340"/>
        <v>3299414.8244784134</v>
      </c>
      <c r="CJ134" s="935">
        <f t="shared" si="244"/>
        <v>0</v>
      </c>
      <c r="CK134" s="935">
        <f t="shared" si="208"/>
        <v>338190.01950903737</v>
      </c>
      <c r="CL134" s="935">
        <f t="shared" si="209"/>
        <v>115479.51885674449</v>
      </c>
      <c r="CM134" s="1006">
        <f t="shared" si="306"/>
        <v>3753084.3628441952</v>
      </c>
      <c r="CN134" s="1007">
        <f t="shared" si="307"/>
        <v>0.125</v>
      </c>
      <c r="CO134" s="935">
        <f t="shared" si="210"/>
        <v>469135.5453555244</v>
      </c>
      <c r="CP134" s="935">
        <f t="shared" si="330"/>
        <v>30000</v>
      </c>
      <c r="CQ134" s="935">
        <f t="shared" si="211"/>
        <v>439135.5453555244</v>
      </c>
      <c r="CR134" s="745">
        <f t="shared" si="308"/>
        <v>2</v>
      </c>
      <c r="CS134" s="935">
        <f t="shared" si="212"/>
        <v>219567.7726777622</v>
      </c>
      <c r="CT134" s="1007">
        <f t="shared" si="245"/>
        <v>0.875</v>
      </c>
      <c r="CU134" s="935">
        <f t="shared" si="246"/>
        <v>3283948.8174886708</v>
      </c>
      <c r="CV134" s="1008">
        <f t="shared" si="247"/>
        <v>25460.420228258285</v>
      </c>
      <c r="CW134" s="1008">
        <f t="shared" si="248"/>
        <v>29517.060371912146</v>
      </c>
      <c r="CX134" s="1008">
        <f t="shared" si="249"/>
        <v>38129.430303040841</v>
      </c>
      <c r="CY134" s="1008">
        <f t="shared" si="250"/>
        <v>65026.12253143925</v>
      </c>
      <c r="CZ134" s="1119">
        <f t="shared" si="251"/>
        <v>266765.60052283469</v>
      </c>
      <c r="DA134" s="1119">
        <f t="shared" si="252"/>
        <v>105557.84863703788</v>
      </c>
      <c r="DB134" s="1119">
        <f t="shared" si="253"/>
        <v>76242.939034180468</v>
      </c>
      <c r="DC134" s="1119">
        <f t="shared" si="254"/>
        <v>58024.386648638247</v>
      </c>
      <c r="DD134" s="1028">
        <f t="shared" si="294"/>
        <v>0.48170558402006469</v>
      </c>
      <c r="DE134" s="1028">
        <f t="shared" si="341"/>
        <v>0</v>
      </c>
      <c r="DF134" s="1009" t="s">
        <v>270</v>
      </c>
      <c r="DG134" s="1009" t="s">
        <v>271</v>
      </c>
      <c r="DH134" s="966">
        <f t="shared" si="287"/>
        <v>45658</v>
      </c>
      <c r="DI134" s="912">
        <f t="shared" si="255"/>
        <v>14</v>
      </c>
      <c r="DJ134" s="939"/>
      <c r="DK134" s="913">
        <f t="shared" si="213"/>
        <v>45723</v>
      </c>
      <c r="DL134" s="912">
        <f t="shared" si="256"/>
        <v>16</v>
      </c>
      <c r="DM134" s="750" t="s">
        <v>272</v>
      </c>
      <c r="DN134" s="750" t="s">
        <v>273</v>
      </c>
      <c r="DO134" s="751">
        <f t="shared" si="214"/>
        <v>49046.386736588407</v>
      </c>
      <c r="DP134" s="751">
        <f t="shared" si="215"/>
        <v>1079020.5082049449</v>
      </c>
      <c r="DQ134" s="752">
        <f t="shared" si="295"/>
        <v>0.53951025410247244</v>
      </c>
      <c r="DR134" s="503"/>
      <c r="DS134" s="751">
        <f t="shared" si="296"/>
        <v>3299414.8244784134</v>
      </c>
      <c r="DT134" s="751">
        <f>'[4]INTERNAL PRICELIST'!N128</f>
        <v>2111900</v>
      </c>
      <c r="DU134" s="751">
        <f t="shared" si="216"/>
        <v>1187514.8244784134</v>
      </c>
      <c r="DV134" s="503"/>
      <c r="DW134" s="951">
        <f t="shared" si="297"/>
        <v>149973.40111265515</v>
      </c>
      <c r="DX134" s="503"/>
      <c r="DZ134" s="1010" t="s">
        <v>556</v>
      </c>
      <c r="EA134" s="1052" t="b">
        <f t="shared" si="217"/>
        <v>1</v>
      </c>
      <c r="EB134" s="1072" t="s">
        <v>557</v>
      </c>
      <c r="EC134" s="1072" t="s">
        <v>547</v>
      </c>
      <c r="ED134" s="503"/>
      <c r="EH134" s="930"/>
      <c r="EI134" s="930"/>
      <c r="EJ134" s="503"/>
      <c r="EK134" s="503"/>
      <c r="EL134" s="503"/>
      <c r="EM134" s="503"/>
      <c r="EN134" s="503"/>
      <c r="EO134" s="503"/>
      <c r="EP134" s="503"/>
      <c r="EQ134" s="503"/>
      <c r="ER134" s="1017" t="s">
        <v>264</v>
      </c>
      <c r="ES134" s="1391" t="s">
        <v>264</v>
      </c>
      <c r="ET134" s="1018" t="b">
        <f t="shared" si="257"/>
        <v>1</v>
      </c>
      <c r="EU134" s="940"/>
      <c r="EV134" s="941"/>
      <c r="EW134" s="940"/>
      <c r="EX134" s="1019">
        <v>3147609.6664186958</v>
      </c>
      <c r="EY134" s="1019">
        <f t="shared" si="310"/>
        <v>472141.44996280433</v>
      </c>
      <c r="EZ134" s="1019">
        <f t="shared" si="311"/>
        <v>2675468.2164558913</v>
      </c>
      <c r="FA134" s="1019">
        <f t="shared" si="312"/>
        <v>314760.96664186963</v>
      </c>
      <c r="FB134" s="1019">
        <f t="shared" si="313"/>
        <v>2832848.6997768264</v>
      </c>
      <c r="FC134" s="1019">
        <f t="shared" si="314"/>
        <v>157380.48332093516</v>
      </c>
      <c r="FD134" s="1020"/>
      <c r="FE134" s="1021"/>
      <c r="FF134" s="1022">
        <f t="shared" si="315"/>
        <v>2675468.2164558913</v>
      </c>
      <c r="FG134" s="1022">
        <f t="shared" si="316"/>
        <v>227414.79839875078</v>
      </c>
      <c r="FH134" s="1022">
        <f t="shared" si="317"/>
        <v>113707.39919937539</v>
      </c>
      <c r="FI134" s="1023">
        <f t="shared" si="318"/>
        <v>2832848.6997768264</v>
      </c>
      <c r="FJ134" s="1023">
        <f t="shared" si="319"/>
        <v>240792.13948103026</v>
      </c>
      <c r="FK134" s="1023">
        <f t="shared" si="320"/>
        <v>120396.06974051513</v>
      </c>
      <c r="FL134" s="1019">
        <f t="shared" si="321"/>
        <v>13377.341082279483</v>
      </c>
      <c r="FM134" s="1019">
        <f t="shared" si="322"/>
        <v>6688.6705411397415</v>
      </c>
      <c r="FN134" s="1019" t="str">
        <f t="shared" si="323"/>
        <v>VS</v>
      </c>
      <c r="FO134" s="1019">
        <f t="shared" si="324"/>
        <v>27537.409960060559</v>
      </c>
      <c r="FP134" s="1019">
        <f t="shared" si="325"/>
        <v>-20848.739418920817</v>
      </c>
      <c r="FQ134" s="1021"/>
      <c r="FR134" s="1021"/>
      <c r="FS134" s="1020"/>
      <c r="FT134" s="503"/>
      <c r="FU134" s="956"/>
      <c r="FV134" s="503"/>
      <c r="FW134" s="503"/>
      <c r="FX134" s="1040"/>
      <c r="FY134" s="503"/>
      <c r="FZ134" s="503"/>
      <c r="GA134" s="503"/>
      <c r="GE134" s="503"/>
      <c r="GF134" s="1059"/>
      <c r="GG134" s="956"/>
      <c r="GH134" s="945"/>
      <c r="GI134" s="1024">
        <f t="shared" si="258"/>
        <v>3753084.3628441952</v>
      </c>
      <c r="GJ134" s="1025">
        <f t="shared" si="259"/>
        <v>0.125</v>
      </c>
      <c r="GK134" s="1024">
        <f t="shared" si="260"/>
        <v>469135.5453555244</v>
      </c>
      <c r="GL134" s="1024">
        <f t="shared" si="261"/>
        <v>30000</v>
      </c>
      <c r="GM134" s="1024">
        <f t="shared" si="262"/>
        <v>439135.5453555244</v>
      </c>
      <c r="GN134" s="1024">
        <f t="shared" si="263"/>
        <v>2</v>
      </c>
      <c r="GO134" s="1024">
        <f t="shared" si="264"/>
        <v>219567.7726777622</v>
      </c>
      <c r="GP134" s="1025">
        <f t="shared" si="265"/>
        <v>0.875</v>
      </c>
      <c r="GQ134" s="1024">
        <f t="shared" si="266"/>
        <v>3283948.8174886708</v>
      </c>
      <c r="GR134" s="1024">
        <f t="shared" si="267"/>
        <v>25460.420228258285</v>
      </c>
      <c r="GS134" s="1024">
        <f t="shared" si="268"/>
        <v>29517.060371912146</v>
      </c>
      <c r="GT134" s="1024">
        <f t="shared" si="269"/>
        <v>38129.430303040841</v>
      </c>
      <c r="GU134" s="1024">
        <f t="shared" si="270"/>
        <v>65026.12253143925</v>
      </c>
      <c r="GV134" s="945"/>
      <c r="GW134" s="1024">
        <f t="shared" si="271"/>
        <v>3753084.3628441952</v>
      </c>
      <c r="GX134" s="1025">
        <f t="shared" si="272"/>
        <v>0.125</v>
      </c>
      <c r="GY134" s="1024">
        <f t="shared" si="273"/>
        <v>469135.5453555244</v>
      </c>
      <c r="GZ134" s="1024">
        <f t="shared" si="274"/>
        <v>30000</v>
      </c>
      <c r="HA134" s="1024">
        <f t="shared" si="275"/>
        <v>439135.5453555244</v>
      </c>
      <c r="HB134" s="1026">
        <f t="shared" si="276"/>
        <v>25</v>
      </c>
      <c r="HC134" s="1009">
        <f t="shared" si="277"/>
        <v>17565.421814220976</v>
      </c>
      <c r="HD134" s="1027">
        <f t="shared" si="278"/>
        <v>0.875</v>
      </c>
      <c r="HE134" s="1009">
        <f t="shared" si="279"/>
        <v>3283948.8174886708</v>
      </c>
      <c r="HF134" s="1008">
        <f t="shared" si="280"/>
        <v>25460.420228258285</v>
      </c>
      <c r="HG134" s="1008">
        <f t="shared" si="281"/>
        <v>29517.060371912146</v>
      </c>
      <c r="HH134" s="1008">
        <f t="shared" si="282"/>
        <v>38129.430303040841</v>
      </c>
      <c r="HI134" s="1008">
        <f t="shared" si="283"/>
        <v>65026.12253143925</v>
      </c>
      <c r="HJ134" s="945"/>
      <c r="HK134" s="1009">
        <f t="shared" si="284"/>
        <v>-202002.35086354121</v>
      </c>
      <c r="HL134" s="503"/>
      <c r="HM134" s="503"/>
      <c r="HN134" s="503"/>
      <c r="HO134" s="503"/>
      <c r="HP134" s="503"/>
      <c r="HQ134" s="503"/>
      <c r="HR134" s="956">
        <f t="shared" si="285"/>
        <v>0</v>
      </c>
      <c r="HS134" s="503"/>
      <c r="HT134" s="503"/>
      <c r="HU134" s="956"/>
      <c r="HV134" s="503"/>
      <c r="HW134" s="956"/>
      <c r="HX134" s="956"/>
      <c r="HY134" s="503"/>
      <c r="HZ134" s="503"/>
      <c r="IA134" s="503"/>
      <c r="ID134" s="1394"/>
    </row>
    <row r="135" spans="1:238" s="1051" customFormat="1" ht="14.25" hidden="1" customHeight="1">
      <c r="A135" s="1018">
        <f t="shared" si="326"/>
        <v>129</v>
      </c>
      <c r="B135" s="716" t="s">
        <v>264</v>
      </c>
      <c r="C135" s="741">
        <f t="shared" si="360"/>
        <v>9</v>
      </c>
      <c r="D135" s="716" t="s">
        <v>286</v>
      </c>
      <c r="E135" s="743" t="str">
        <f t="shared" si="352"/>
        <v>9th Floor</v>
      </c>
      <c r="F135" s="1048"/>
      <c r="G135" s="745" t="s">
        <v>558</v>
      </c>
      <c r="H135" s="745" t="s">
        <v>321</v>
      </c>
      <c r="I135" s="745" t="s">
        <v>267</v>
      </c>
      <c r="J135" s="1005">
        <v>22</v>
      </c>
      <c r="K135" s="1049"/>
      <c r="L135" s="1006" t="s">
        <v>268</v>
      </c>
      <c r="M135" s="745" t="s">
        <v>79</v>
      </c>
      <c r="N135" s="1050">
        <v>95909.091</v>
      </c>
      <c r="O135" s="934">
        <f t="shared" si="298"/>
        <v>2110000.0019999999</v>
      </c>
      <c r="P135" s="934">
        <f t="shared" si="327"/>
        <v>22400</v>
      </c>
      <c r="Q135" s="934">
        <f t="shared" si="293"/>
        <v>50000</v>
      </c>
      <c r="R135" s="934"/>
      <c r="S135" s="934"/>
      <c r="T135" s="934"/>
      <c r="U135" s="934"/>
      <c r="V135" s="934"/>
      <c r="W135" s="934"/>
      <c r="X135" s="934"/>
      <c r="Y135" s="934">
        <f t="shared" si="361"/>
        <v>100000</v>
      </c>
      <c r="Z135" s="934">
        <f t="shared" si="299"/>
        <v>75000</v>
      </c>
      <c r="AA135" s="934"/>
      <c r="AB135" s="934"/>
      <c r="AC135" s="934"/>
      <c r="AD135" s="934"/>
      <c r="AE135" s="934">
        <f t="shared" ref="AE135:AE198" si="365">SUM(P135:AD135)</f>
        <v>247400</v>
      </c>
      <c r="AF135" s="1005">
        <f t="shared" ref="AF135:AF198" si="366">O135+AE135</f>
        <v>2357400.0019999999</v>
      </c>
      <c r="AG135" s="1005">
        <f t="shared" si="220"/>
        <v>58935.000050000002</v>
      </c>
      <c r="AH135" s="1005">
        <f t="shared" si="221"/>
        <v>2416335.0020499998</v>
      </c>
      <c r="AI135" s="1005">
        <f t="shared" si="222"/>
        <v>60408.375051249997</v>
      </c>
      <c r="AJ135" s="1005">
        <f t="shared" si="223"/>
        <v>2476743.37710125</v>
      </c>
      <c r="AK135" s="1005">
        <f t="shared" si="224"/>
        <v>123837.16885506251</v>
      </c>
      <c r="AL135" s="1005">
        <f t="shared" si="300"/>
        <v>2600580.5459563127</v>
      </c>
      <c r="AM135" s="934">
        <f t="shared" si="225"/>
        <v>26005.805459563126</v>
      </c>
      <c r="AN135" s="934">
        <f t="shared" si="226"/>
        <v>27537.409960060559</v>
      </c>
      <c r="AO135" s="934"/>
      <c r="AP135" s="934">
        <f t="shared" si="301"/>
        <v>115263.05158883642</v>
      </c>
      <c r="AQ135" s="1005">
        <f t="shared" ref="AQ135:AQ198" si="367">AL135+AM135+AP135+AN135+AO135</f>
        <v>2769386.8129647728</v>
      </c>
      <c r="AR135" s="1005">
        <f t="shared" si="227"/>
        <v>124622.40658341478</v>
      </c>
      <c r="AS135" s="1147">
        <f t="shared" si="228"/>
        <v>2894009.2195481877</v>
      </c>
      <c r="AT135" s="1148">
        <f t="shared" si="348"/>
        <v>2000000</v>
      </c>
      <c r="AU135" s="1148">
        <f t="shared" si="358"/>
        <v>40636.782706735801</v>
      </c>
      <c r="AV135" s="1148">
        <f t="shared" si="303"/>
        <v>894009.21954818768</v>
      </c>
      <c r="AW135" s="1148">
        <f t="shared" ref="AW135:AW197" si="368">AV135*$AW$5</f>
        <v>107281.10634578252</v>
      </c>
      <c r="AX135" s="1148">
        <f t="shared" ref="AX135:AX198" si="369">AV135+AW135</f>
        <v>1001290.3258939702</v>
      </c>
      <c r="AY135" s="1147">
        <f t="shared" si="229"/>
        <v>3001290.3258939702</v>
      </c>
      <c r="AZ135" s="934">
        <f t="shared" si="230"/>
        <v>37516.12907367463</v>
      </c>
      <c r="BA135" s="716" t="s">
        <v>269</v>
      </c>
      <c r="BB135" s="716">
        <f t="shared" ref="BB135:BB198" si="370">SUM(AY135:BA135)</f>
        <v>3038806.454967645</v>
      </c>
      <c r="BC135" s="716" t="s">
        <v>269</v>
      </c>
      <c r="BD135" s="716">
        <f t="shared" si="231"/>
        <v>113955.24206128668</v>
      </c>
      <c r="BE135" s="716">
        <f t="shared" si="232"/>
        <v>33600</v>
      </c>
      <c r="BF135" s="716">
        <f t="shared" si="233"/>
        <v>3186361.6970289317</v>
      </c>
      <c r="BG135" s="716"/>
      <c r="BH135" s="716">
        <f t="shared" si="234"/>
        <v>3186361.6970289317</v>
      </c>
      <c r="BI135" s="716"/>
      <c r="BJ135" s="716">
        <f t="shared" si="235"/>
        <v>3186361.6970289317</v>
      </c>
      <c r="BK135" s="716"/>
      <c r="BL135" s="716">
        <f t="shared" si="236"/>
        <v>3186361.6970289317</v>
      </c>
      <c r="BM135" s="716"/>
      <c r="BN135" s="716">
        <f t="shared" ref="BN135:BN198" si="371">BL135+BM135</f>
        <v>3186361.6970289317</v>
      </c>
      <c r="BO135" s="716"/>
      <c r="BP135" s="716">
        <f t="shared" si="237"/>
        <v>3186361.6970289317</v>
      </c>
      <c r="BQ135" s="716"/>
      <c r="BR135" s="716">
        <f t="shared" si="238"/>
        <v>3186361.6970289317</v>
      </c>
      <c r="BS135" s="716"/>
      <c r="BT135" s="716">
        <f t="shared" si="239"/>
        <v>3186361.6970289317</v>
      </c>
      <c r="BU135" s="716"/>
      <c r="BV135" s="716">
        <f t="shared" ref="BV135:BV198" si="372">BT135+BU135</f>
        <v>3186361.6970289317</v>
      </c>
      <c r="BW135" s="716"/>
      <c r="BX135" s="716">
        <f t="shared" si="329"/>
        <v>31400</v>
      </c>
      <c r="BY135" s="716">
        <f t="shared" si="240"/>
        <v>3217761.6970289317</v>
      </c>
      <c r="BZ135" s="716"/>
      <c r="CA135" s="716">
        <f t="shared" si="241"/>
        <v>3217761.6970289317</v>
      </c>
      <c r="CB135" s="1135">
        <f t="shared" si="242"/>
        <v>3217761.6970289317</v>
      </c>
      <c r="CC135" s="1164">
        <f t="shared" si="286"/>
        <v>3217761.6970289317</v>
      </c>
      <c r="CD135" s="1164"/>
      <c r="CE135" s="1164">
        <f t="shared" si="243"/>
        <v>0</v>
      </c>
      <c r="CF135" s="1164">
        <f t="shared" si="291"/>
        <v>0</v>
      </c>
      <c r="CG135" s="1164">
        <f t="shared" si="292"/>
        <v>0</v>
      </c>
      <c r="CH135" s="1154">
        <f t="shared" si="339"/>
        <v>3217761.6970289317</v>
      </c>
      <c r="CI135" s="935">
        <f t="shared" si="340"/>
        <v>3217761.6970289317</v>
      </c>
      <c r="CJ135" s="935">
        <f t="shared" si="244"/>
        <v>0</v>
      </c>
      <c r="CK135" s="935">
        <f t="shared" ref="CK135:CK198" si="373">CI135*CK$5</f>
        <v>329820.5739454655</v>
      </c>
      <c r="CL135" s="935">
        <f t="shared" ref="CL135:CL198" si="374">CI135*CL$5</f>
        <v>112621.65939601262</v>
      </c>
      <c r="CM135" s="1006">
        <f t="shared" si="306"/>
        <v>3660203.93037041</v>
      </c>
      <c r="CN135" s="1007">
        <f t="shared" si="307"/>
        <v>0.125</v>
      </c>
      <c r="CO135" s="935">
        <f t="shared" si="210"/>
        <v>457525.49129630125</v>
      </c>
      <c r="CP135" s="935">
        <f t="shared" si="330"/>
        <v>30000</v>
      </c>
      <c r="CQ135" s="935">
        <f t="shared" si="211"/>
        <v>427525.49129630125</v>
      </c>
      <c r="CR135" s="745">
        <f t="shared" si="308"/>
        <v>2</v>
      </c>
      <c r="CS135" s="935">
        <f t="shared" si="212"/>
        <v>213762.74564815062</v>
      </c>
      <c r="CT135" s="1007">
        <f t="shared" si="245"/>
        <v>0.875</v>
      </c>
      <c r="CU135" s="935">
        <f t="shared" si="246"/>
        <v>3202678.4390741088</v>
      </c>
      <c r="CV135" s="1008">
        <f t="shared" si="247"/>
        <v>24830.331849436756</v>
      </c>
      <c r="CW135" s="1008">
        <f t="shared" si="248"/>
        <v>28786.57923489331</v>
      </c>
      <c r="CX135" s="1008">
        <f t="shared" si="249"/>
        <v>37185.812298717152</v>
      </c>
      <c r="CY135" s="1008">
        <f t="shared" si="250"/>
        <v>63416.871633003168</v>
      </c>
      <c r="CZ135" s="1119">
        <f t="shared" si="251"/>
        <v>260163.749365161</v>
      </c>
      <c r="DA135" s="1119">
        <f t="shared" si="252"/>
        <v>102945.52829340976</v>
      </c>
      <c r="DB135" s="1119">
        <f t="shared" si="253"/>
        <v>74356.097048779266</v>
      </c>
      <c r="DC135" s="1119">
        <f t="shared" si="254"/>
        <v>56588.413032029348</v>
      </c>
      <c r="DD135" s="1028">
        <f t="shared" si="294"/>
        <v>0.44700460977409384</v>
      </c>
      <c r="DE135" s="1028">
        <f t="shared" si="341"/>
        <v>0</v>
      </c>
      <c r="DF135" s="1009" t="s">
        <v>270</v>
      </c>
      <c r="DG135" s="1009" t="s">
        <v>271</v>
      </c>
      <c r="DH135" s="966">
        <f t="shared" si="287"/>
        <v>45658</v>
      </c>
      <c r="DI135" s="912">
        <f t="shared" si="255"/>
        <v>14</v>
      </c>
      <c r="DJ135" s="939"/>
      <c r="DK135" s="913">
        <f t="shared" ref="DK135:DK198" si="375">DH135+65</f>
        <v>45723</v>
      </c>
      <c r="DL135" s="912">
        <f t="shared" si="256"/>
        <v>16</v>
      </c>
      <c r="DM135" s="750" t="s">
        <v>272</v>
      </c>
      <c r="DN135" s="750" t="s">
        <v>273</v>
      </c>
      <c r="DO135" s="751">
        <f t="shared" ref="DO135:DO198" si="376">DP135/J135</f>
        <v>45513.196631544102</v>
      </c>
      <c r="DP135" s="751">
        <f t="shared" ref="DP135:DP198" si="377">AX135</f>
        <v>1001290.3258939702</v>
      </c>
      <c r="DQ135" s="752">
        <f t="shared" si="295"/>
        <v>0.50064516294698513</v>
      </c>
      <c r="DR135" s="503"/>
      <c r="DS135" s="751">
        <f t="shared" si="296"/>
        <v>3217761.6970289317</v>
      </c>
      <c r="DT135" s="751">
        <f>'[4]INTERNAL PRICELIST'!N129</f>
        <v>2111900</v>
      </c>
      <c r="DU135" s="751">
        <f t="shared" ref="DU135:DU198" si="378">DS135-DT135</f>
        <v>1105861.6970289317</v>
      </c>
      <c r="DV135" s="503"/>
      <c r="DW135" s="951">
        <f t="shared" si="297"/>
        <v>146261.89531949689</v>
      </c>
      <c r="DX135" s="503"/>
      <c r="DZ135" s="1010" t="s">
        <v>558</v>
      </c>
      <c r="EA135" s="1052" t="b">
        <f t="shared" ref="EA135:EA198" si="379">G135=DZ135</f>
        <v>1</v>
      </c>
      <c r="EB135" s="1072" t="s">
        <v>559</v>
      </c>
      <c r="EC135" s="1072" t="s">
        <v>547</v>
      </c>
      <c r="ED135" s="503"/>
      <c r="EH135" s="930"/>
      <c r="EI135" s="930"/>
      <c r="EJ135" s="503"/>
      <c r="EK135" s="503"/>
      <c r="EL135" s="503"/>
      <c r="EM135" s="503"/>
      <c r="EN135" s="503"/>
      <c r="EO135" s="503"/>
      <c r="EP135" s="503"/>
      <c r="EQ135" s="503"/>
      <c r="ER135" s="1017" t="s">
        <v>264</v>
      </c>
      <c r="ES135" s="1391" t="s">
        <v>264</v>
      </c>
      <c r="ET135" s="1018" t="b">
        <f t="shared" si="257"/>
        <v>1</v>
      </c>
      <c r="EU135" s="940"/>
      <c r="EV135" s="941"/>
      <c r="EW135" s="940"/>
      <c r="EX135" s="1019">
        <v>3013413.1134336316</v>
      </c>
      <c r="EY135" s="1019">
        <f t="shared" si="310"/>
        <v>452011.96701504471</v>
      </c>
      <c r="EZ135" s="1019">
        <f t="shared" si="311"/>
        <v>2561401.1464185868</v>
      </c>
      <c r="FA135" s="1019">
        <f t="shared" si="312"/>
        <v>301341.3113433632</v>
      </c>
      <c r="FB135" s="1019">
        <f t="shared" si="313"/>
        <v>2712071.8020902686</v>
      </c>
      <c r="FC135" s="1019">
        <f t="shared" si="314"/>
        <v>150670.65567168174</v>
      </c>
      <c r="FD135" s="1020"/>
      <c r="FE135" s="1021"/>
      <c r="FF135" s="1022">
        <f t="shared" si="315"/>
        <v>2561401.1464185868</v>
      </c>
      <c r="FG135" s="1022">
        <f t="shared" si="316"/>
        <v>217719.09744557989</v>
      </c>
      <c r="FH135" s="1022">
        <f t="shared" si="317"/>
        <v>108859.54872278994</v>
      </c>
      <c r="FI135" s="1023">
        <f t="shared" si="318"/>
        <v>2712071.8020902686</v>
      </c>
      <c r="FJ135" s="1023">
        <f t="shared" si="319"/>
        <v>230526.10317767283</v>
      </c>
      <c r="FK135" s="1023">
        <f t="shared" si="320"/>
        <v>115263.05158883642</v>
      </c>
      <c r="FL135" s="1019">
        <f t="shared" si="321"/>
        <v>12807.005732092948</v>
      </c>
      <c r="FM135" s="1019">
        <f t="shared" si="322"/>
        <v>6403.5028660464741</v>
      </c>
      <c r="FN135" s="1019" t="str">
        <f t="shared" si="323"/>
        <v>VS</v>
      </c>
      <c r="FO135" s="1019">
        <f t="shared" si="324"/>
        <v>27537.409960060559</v>
      </c>
      <c r="FP135" s="1019">
        <f t="shared" si="325"/>
        <v>-21133.907094014085</v>
      </c>
      <c r="FQ135" s="1021"/>
      <c r="FR135" s="1021"/>
      <c r="FS135" s="1020"/>
      <c r="FT135" s="503"/>
      <c r="FU135" s="956"/>
      <c r="FV135" s="503"/>
      <c r="FW135" s="503"/>
      <c r="FX135" s="1040"/>
      <c r="FY135" s="503"/>
      <c r="FZ135" s="503"/>
      <c r="GA135" s="503"/>
      <c r="GE135" s="503"/>
      <c r="GF135" s="1059"/>
      <c r="GG135" s="956"/>
      <c r="GH135" s="945"/>
      <c r="GI135" s="1024">
        <f t="shared" si="258"/>
        <v>3660203.93037041</v>
      </c>
      <c r="GJ135" s="1025">
        <f t="shared" si="259"/>
        <v>0.125</v>
      </c>
      <c r="GK135" s="1024">
        <f t="shared" si="260"/>
        <v>457525.49129630125</v>
      </c>
      <c r="GL135" s="1024">
        <f t="shared" si="261"/>
        <v>30000</v>
      </c>
      <c r="GM135" s="1024">
        <f t="shared" si="262"/>
        <v>427525.49129630125</v>
      </c>
      <c r="GN135" s="1024">
        <f t="shared" si="263"/>
        <v>2</v>
      </c>
      <c r="GO135" s="1024">
        <f t="shared" si="264"/>
        <v>213762.74564815062</v>
      </c>
      <c r="GP135" s="1025">
        <f t="shared" si="265"/>
        <v>0.875</v>
      </c>
      <c r="GQ135" s="1024">
        <f t="shared" si="266"/>
        <v>3202678.4390741088</v>
      </c>
      <c r="GR135" s="1024">
        <f t="shared" si="267"/>
        <v>24830.331849436756</v>
      </c>
      <c r="GS135" s="1024">
        <f t="shared" si="268"/>
        <v>28786.57923489331</v>
      </c>
      <c r="GT135" s="1024">
        <f t="shared" si="269"/>
        <v>37185.812298717152</v>
      </c>
      <c r="GU135" s="1024">
        <f t="shared" si="270"/>
        <v>63416.871633003168</v>
      </c>
      <c r="GV135" s="945"/>
      <c r="GW135" s="1024">
        <f t="shared" si="271"/>
        <v>3660203.93037041</v>
      </c>
      <c r="GX135" s="1025">
        <f t="shared" si="272"/>
        <v>0.125</v>
      </c>
      <c r="GY135" s="1024">
        <f t="shared" si="273"/>
        <v>457525.49129630125</v>
      </c>
      <c r="GZ135" s="1024">
        <f t="shared" si="274"/>
        <v>30000</v>
      </c>
      <c r="HA135" s="1024">
        <f t="shared" si="275"/>
        <v>427525.49129630125</v>
      </c>
      <c r="HB135" s="1026">
        <f t="shared" si="276"/>
        <v>25</v>
      </c>
      <c r="HC135" s="1009">
        <f t="shared" si="277"/>
        <v>17101.01965185205</v>
      </c>
      <c r="HD135" s="1027">
        <f t="shared" si="278"/>
        <v>0.875</v>
      </c>
      <c r="HE135" s="1009">
        <f t="shared" si="279"/>
        <v>3202678.4390741088</v>
      </c>
      <c r="HF135" s="1008">
        <f t="shared" si="280"/>
        <v>24830.331849436756</v>
      </c>
      <c r="HG135" s="1008">
        <f t="shared" si="281"/>
        <v>28786.57923489331</v>
      </c>
      <c r="HH135" s="1008">
        <f t="shared" si="282"/>
        <v>37185.812298717152</v>
      </c>
      <c r="HI135" s="1008">
        <f t="shared" si="283"/>
        <v>63416.871633003168</v>
      </c>
      <c r="HJ135" s="945"/>
      <c r="HK135" s="1009">
        <f t="shared" si="284"/>
        <v>-196661.72599629857</v>
      </c>
      <c r="HL135" s="503"/>
      <c r="HM135" s="503"/>
      <c r="HN135" s="503"/>
      <c r="HO135" s="503"/>
      <c r="HP135" s="503"/>
      <c r="HQ135" s="503"/>
      <c r="HR135" s="956">
        <f t="shared" si="285"/>
        <v>0</v>
      </c>
      <c r="HS135" s="503"/>
      <c r="HT135" s="503"/>
      <c r="HU135" s="956"/>
      <c r="HV135" s="503"/>
      <c r="HW135" s="956"/>
      <c r="HX135" s="956"/>
      <c r="HY135" s="503"/>
      <c r="HZ135" s="503"/>
      <c r="IA135" s="503"/>
      <c r="ID135" s="1394"/>
    </row>
    <row r="136" spans="1:238" s="1051" customFormat="1" ht="14.25" hidden="1" customHeight="1">
      <c r="A136" s="1018">
        <f t="shared" si="326"/>
        <v>130</v>
      </c>
      <c r="B136" s="716" t="s">
        <v>264</v>
      </c>
      <c r="C136" s="741">
        <f t="shared" si="360"/>
        <v>10</v>
      </c>
      <c r="D136" s="716" t="s">
        <v>286</v>
      </c>
      <c r="E136" s="743" t="str">
        <f t="shared" si="352"/>
        <v>9th Floor</v>
      </c>
      <c r="F136" s="1048"/>
      <c r="G136" s="745" t="s">
        <v>560</v>
      </c>
      <c r="H136" s="745" t="s">
        <v>325</v>
      </c>
      <c r="I136" s="745" t="s">
        <v>267</v>
      </c>
      <c r="J136" s="1005">
        <v>22</v>
      </c>
      <c r="K136" s="1049"/>
      <c r="L136" s="1006" t="s">
        <v>268</v>
      </c>
      <c r="M136" s="745" t="s">
        <v>79</v>
      </c>
      <c r="N136" s="1050">
        <v>95909.091</v>
      </c>
      <c r="O136" s="934">
        <f t="shared" si="298"/>
        <v>2110000.0019999999</v>
      </c>
      <c r="P136" s="934">
        <f t="shared" si="327"/>
        <v>22400</v>
      </c>
      <c r="Q136" s="934">
        <f t="shared" si="293"/>
        <v>50000</v>
      </c>
      <c r="R136" s="934"/>
      <c r="S136" s="934"/>
      <c r="T136" s="934"/>
      <c r="U136" s="934"/>
      <c r="V136" s="934"/>
      <c r="W136" s="934"/>
      <c r="X136" s="934"/>
      <c r="Y136" s="934">
        <f t="shared" si="361"/>
        <v>100000</v>
      </c>
      <c r="Z136" s="934">
        <f t="shared" si="299"/>
        <v>75000</v>
      </c>
      <c r="AA136" s="934"/>
      <c r="AB136" s="934"/>
      <c r="AC136" s="934"/>
      <c r="AD136" s="934"/>
      <c r="AE136" s="934">
        <f t="shared" si="365"/>
        <v>247400</v>
      </c>
      <c r="AF136" s="1005">
        <f t="shared" si="366"/>
        <v>2357400.0019999999</v>
      </c>
      <c r="AG136" s="1005">
        <f t="shared" ref="AG136:AG199" si="380">AF136*$AG$5</f>
        <v>58935.000050000002</v>
      </c>
      <c r="AH136" s="1005">
        <f t="shared" ref="AH136:AH199" si="381">AF136+AG136</f>
        <v>2416335.0020499998</v>
      </c>
      <c r="AI136" s="1005">
        <f t="shared" ref="AI136:AI199" si="382">AH136*$AI$5</f>
        <v>60408.375051249997</v>
      </c>
      <c r="AJ136" s="1005">
        <f t="shared" ref="AJ136:AJ199" si="383">AH136+AI136</f>
        <v>2476743.37710125</v>
      </c>
      <c r="AK136" s="1005">
        <f t="shared" ref="AK136:AK199" si="384">AJ136*$AK$5</f>
        <v>123837.16885506251</v>
      </c>
      <c r="AL136" s="1005">
        <f t="shared" si="300"/>
        <v>2600580.5459563127</v>
      </c>
      <c r="AM136" s="934">
        <f t="shared" ref="AM136:AM199" si="385">AL136*$AM$5</f>
        <v>26005.805459563126</v>
      </c>
      <c r="AN136" s="934">
        <f t="shared" ref="AN136:AN199" si="386">$AN$5</f>
        <v>27537.409960060559</v>
      </c>
      <c r="AO136" s="934"/>
      <c r="AP136" s="934">
        <f t="shared" si="301"/>
        <v>115263.05158883642</v>
      </c>
      <c r="AQ136" s="1005">
        <f t="shared" si="367"/>
        <v>2769386.8129647728</v>
      </c>
      <c r="AR136" s="1005">
        <f t="shared" ref="AR136:AR199" si="387">AQ136*$AR$5</f>
        <v>124622.40658341478</v>
      </c>
      <c r="AS136" s="1147">
        <f t="shared" ref="AS136:AS199" si="388">AQ136+AR136</f>
        <v>2894009.2195481877</v>
      </c>
      <c r="AT136" s="1148">
        <f t="shared" si="348"/>
        <v>2000000</v>
      </c>
      <c r="AU136" s="1148">
        <f t="shared" si="358"/>
        <v>40636.782706735801</v>
      </c>
      <c r="AV136" s="1148">
        <f t="shared" si="303"/>
        <v>894009.21954818768</v>
      </c>
      <c r="AW136" s="1148">
        <f t="shared" si="368"/>
        <v>107281.10634578252</v>
      </c>
      <c r="AX136" s="1148">
        <f t="shared" si="369"/>
        <v>1001290.3258939702</v>
      </c>
      <c r="AY136" s="1147">
        <f t="shared" ref="AY136:AY199" si="389">AS136+AW136</f>
        <v>3001290.3258939702</v>
      </c>
      <c r="AZ136" s="934">
        <f t="shared" ref="AZ136:AZ199" si="390">AY136*$AZ$5</f>
        <v>37516.12907367463</v>
      </c>
      <c r="BA136" s="716" t="s">
        <v>269</v>
      </c>
      <c r="BB136" s="716">
        <f t="shared" si="370"/>
        <v>3038806.454967645</v>
      </c>
      <c r="BC136" s="716" t="s">
        <v>269</v>
      </c>
      <c r="BD136" s="716">
        <f t="shared" ref="BD136:BD199" si="391">BB136*$BD$5</f>
        <v>113955.24206128668</v>
      </c>
      <c r="BE136" s="716">
        <f t="shared" ref="BE136:BE199" si="392">$BE$5*1.12</f>
        <v>33600</v>
      </c>
      <c r="BF136" s="716">
        <f t="shared" ref="BF136:BF199" si="393">BB136+BC136+BD136+BE136</f>
        <v>3186361.6970289317</v>
      </c>
      <c r="BG136" s="716"/>
      <c r="BH136" s="716">
        <f t="shared" ref="BH136:BH199" si="394">BF136+BG136</f>
        <v>3186361.6970289317</v>
      </c>
      <c r="BI136" s="716"/>
      <c r="BJ136" s="716">
        <f t="shared" ref="BJ136:BJ199" si="395">BH136+BI136</f>
        <v>3186361.6970289317</v>
      </c>
      <c r="BK136" s="716"/>
      <c r="BL136" s="716">
        <f t="shared" ref="BL136:BL199" si="396">BJ136+BK136</f>
        <v>3186361.6970289317</v>
      </c>
      <c r="BM136" s="716"/>
      <c r="BN136" s="716">
        <f t="shared" si="371"/>
        <v>3186361.6970289317</v>
      </c>
      <c r="BO136" s="716"/>
      <c r="BP136" s="716">
        <f t="shared" ref="BP136:BP199" si="397">BN136+BO136</f>
        <v>3186361.6970289317</v>
      </c>
      <c r="BQ136" s="716"/>
      <c r="BR136" s="716">
        <f t="shared" ref="BR136:BR199" si="398">BP136+BQ136</f>
        <v>3186361.6970289317</v>
      </c>
      <c r="BS136" s="716"/>
      <c r="BT136" s="716">
        <f t="shared" ref="BT136:BT199" si="399">BR136+BS136</f>
        <v>3186361.6970289317</v>
      </c>
      <c r="BU136" s="716"/>
      <c r="BV136" s="716">
        <f t="shared" si="372"/>
        <v>3186361.6970289317</v>
      </c>
      <c r="BW136" s="716"/>
      <c r="BX136" s="716">
        <f t="shared" si="329"/>
        <v>31400</v>
      </c>
      <c r="BY136" s="716">
        <f t="shared" ref="BY136:BY199" si="400">SUM(BV136:BX136)</f>
        <v>3217761.6970289317</v>
      </c>
      <c r="BZ136" s="716"/>
      <c r="CA136" s="716">
        <f t="shared" ref="CA136:CA199" si="401">BY136+BZ136</f>
        <v>3217761.6970289317</v>
      </c>
      <c r="CB136" s="1135">
        <f t="shared" ref="CB136:CB199" si="402">BY136</f>
        <v>3217761.6970289317</v>
      </c>
      <c r="CC136" s="1164">
        <f t="shared" si="286"/>
        <v>3217761.6970289317</v>
      </c>
      <c r="CD136" s="1164"/>
      <c r="CE136" s="1164">
        <f t="shared" ref="CE136:CE199" si="403">CD136*J136</f>
        <v>0</v>
      </c>
      <c r="CF136" s="1164">
        <f t="shared" si="291"/>
        <v>0</v>
      </c>
      <c r="CG136" s="1164">
        <f t="shared" si="292"/>
        <v>0</v>
      </c>
      <c r="CH136" s="1154">
        <f t="shared" si="339"/>
        <v>3217761.6970289317</v>
      </c>
      <c r="CI136" s="935">
        <f t="shared" si="340"/>
        <v>3217761.6970289317</v>
      </c>
      <c r="CJ136" s="935">
        <f t="shared" ref="CJ136:CJ199" si="404">IF(CC136&lt;=$CC$3,0,12%*CC136)</f>
        <v>0</v>
      </c>
      <c r="CK136" s="935">
        <f t="shared" si="373"/>
        <v>329820.5739454655</v>
      </c>
      <c r="CL136" s="935">
        <f t="shared" si="374"/>
        <v>112621.65939601262</v>
      </c>
      <c r="CM136" s="1006">
        <f t="shared" si="306"/>
        <v>3660203.93037041</v>
      </c>
      <c r="CN136" s="1007">
        <f t="shared" si="307"/>
        <v>0.125</v>
      </c>
      <c r="CO136" s="935">
        <f t="shared" si="210"/>
        <v>457525.49129630125</v>
      </c>
      <c r="CP136" s="935">
        <f t="shared" si="330"/>
        <v>30000</v>
      </c>
      <c r="CQ136" s="935">
        <f t="shared" si="211"/>
        <v>427525.49129630125</v>
      </c>
      <c r="CR136" s="745">
        <f t="shared" si="308"/>
        <v>2</v>
      </c>
      <c r="CS136" s="935">
        <f t="shared" si="212"/>
        <v>213762.74564815062</v>
      </c>
      <c r="CT136" s="1007">
        <f t="shared" ref="CT136:CT199" si="405">100%-CN136</f>
        <v>0.875</v>
      </c>
      <c r="CU136" s="935">
        <f t="shared" ref="CU136:CU199" si="406">CM136*CT136</f>
        <v>3202678.4390741088</v>
      </c>
      <c r="CV136" s="1008">
        <f t="shared" ref="CV136:CV199" si="407">-PMT($CV$5/12,240,CU136,0)</f>
        <v>24830.331849436756</v>
      </c>
      <c r="CW136" s="1008">
        <f t="shared" ref="CW136:CW199" si="408">-PMT($CV$5/12,180,CU136,0)</f>
        <v>28786.57923489331</v>
      </c>
      <c r="CX136" s="1008">
        <f t="shared" ref="CX136:CX199" si="409">-PMT($CV$5/12,120,CU136,0)</f>
        <v>37185.812298717152</v>
      </c>
      <c r="CY136" s="1008">
        <f t="shared" ref="CY136:CY199" si="410">-PMT($CV$5/12,60,CU136,0)</f>
        <v>63416.871633003168</v>
      </c>
      <c r="CZ136" s="1119">
        <f t="shared" ref="CZ136:CZ199" si="411">(CM136*80%)*$CZ$5</f>
        <v>260163.749365161</v>
      </c>
      <c r="DA136" s="1119">
        <f t="shared" ref="DA136:DA199" si="412">(CM136*80%)*$DA$5</f>
        <v>102945.52829340976</v>
      </c>
      <c r="DB136" s="1119">
        <f t="shared" ref="DB136:DB199" si="413">(CM136*80%)*$DB$5</f>
        <v>74356.097048779266</v>
      </c>
      <c r="DC136" s="1119">
        <f t="shared" ref="DC136:DC199" si="414">(CM136*80%)*$DC$5</f>
        <v>56588.413032029348</v>
      </c>
      <c r="DD136" s="1028">
        <f t="shared" si="294"/>
        <v>0.44700460977409384</v>
      </c>
      <c r="DE136" s="1028">
        <f t="shared" si="341"/>
        <v>0</v>
      </c>
      <c r="DF136" s="1009" t="s">
        <v>270</v>
      </c>
      <c r="DG136" s="1009" t="s">
        <v>271</v>
      </c>
      <c r="DH136" s="966">
        <f t="shared" si="287"/>
        <v>45658</v>
      </c>
      <c r="DI136" s="912">
        <f t="shared" ref="DI136:DI199" si="415">(YEAR(DH136)-YEAR($DI$5))*12+MONTH(DH136)-MONTH($DI$5)</f>
        <v>14</v>
      </c>
      <c r="DJ136" s="939"/>
      <c r="DK136" s="913">
        <f t="shared" si="375"/>
        <v>45723</v>
      </c>
      <c r="DL136" s="912">
        <f t="shared" ref="DL136:DL199" si="416">(YEAR(DK136)-YEAR($DL$5))*12+MONTH(DK136)-MONTH($DL$5)+$DL$4+$DL$3</f>
        <v>16</v>
      </c>
      <c r="DM136" s="750" t="s">
        <v>272</v>
      </c>
      <c r="DN136" s="750" t="s">
        <v>273</v>
      </c>
      <c r="DO136" s="751">
        <f t="shared" si="376"/>
        <v>45513.196631544102</v>
      </c>
      <c r="DP136" s="751">
        <f t="shared" si="377"/>
        <v>1001290.3258939702</v>
      </c>
      <c r="DQ136" s="752">
        <f t="shared" si="295"/>
        <v>0.50064516294698513</v>
      </c>
      <c r="DR136" s="503"/>
      <c r="DS136" s="751">
        <f t="shared" si="296"/>
        <v>3217761.6970289317</v>
      </c>
      <c r="DT136" s="751">
        <f>'[4]INTERNAL PRICELIST'!N130</f>
        <v>2111900</v>
      </c>
      <c r="DU136" s="751">
        <f t="shared" si="378"/>
        <v>1105861.6970289317</v>
      </c>
      <c r="DV136" s="503"/>
      <c r="DW136" s="951">
        <f t="shared" si="297"/>
        <v>146261.89531949689</v>
      </c>
      <c r="DX136" s="503"/>
      <c r="DZ136" s="1010" t="s">
        <v>560</v>
      </c>
      <c r="EA136" s="1052" t="b">
        <f t="shared" si="379"/>
        <v>1</v>
      </c>
      <c r="EB136" s="1072" t="s">
        <v>561</v>
      </c>
      <c r="EC136" s="1072" t="s">
        <v>547</v>
      </c>
      <c r="ED136" s="503"/>
      <c r="EH136" s="930"/>
      <c r="EI136" s="930"/>
      <c r="EJ136" s="503"/>
      <c r="EK136" s="503"/>
      <c r="EL136" s="503"/>
      <c r="EM136" s="503"/>
      <c r="EN136" s="503"/>
      <c r="EO136" s="503"/>
      <c r="EP136" s="503"/>
      <c r="EQ136" s="503"/>
      <c r="ER136" s="1017" t="s">
        <v>264</v>
      </c>
      <c r="ES136" s="1391" t="s">
        <v>264</v>
      </c>
      <c r="ET136" s="1018" t="b">
        <f t="shared" ref="ET136:ET199" si="417">ER136=ES136</f>
        <v>1</v>
      </c>
      <c r="EU136" s="940"/>
      <c r="EV136" s="941"/>
      <c r="EW136" s="940"/>
      <c r="EX136" s="1019">
        <v>3013413.1134336316</v>
      </c>
      <c r="EY136" s="1019">
        <f t="shared" si="310"/>
        <v>452011.96701504471</v>
      </c>
      <c r="EZ136" s="1019">
        <f t="shared" si="311"/>
        <v>2561401.1464185868</v>
      </c>
      <c r="FA136" s="1019">
        <f t="shared" si="312"/>
        <v>301341.3113433632</v>
      </c>
      <c r="FB136" s="1019">
        <f t="shared" si="313"/>
        <v>2712071.8020902686</v>
      </c>
      <c r="FC136" s="1019">
        <f t="shared" si="314"/>
        <v>150670.65567168174</v>
      </c>
      <c r="FD136" s="1020"/>
      <c r="FE136" s="1021"/>
      <c r="FF136" s="1022">
        <f t="shared" si="315"/>
        <v>2561401.1464185868</v>
      </c>
      <c r="FG136" s="1022">
        <f t="shared" si="316"/>
        <v>217719.09744557989</v>
      </c>
      <c r="FH136" s="1022">
        <f t="shared" si="317"/>
        <v>108859.54872278994</v>
      </c>
      <c r="FI136" s="1023">
        <f t="shared" si="318"/>
        <v>2712071.8020902686</v>
      </c>
      <c r="FJ136" s="1023">
        <f t="shared" si="319"/>
        <v>230526.10317767283</v>
      </c>
      <c r="FK136" s="1023">
        <f t="shared" si="320"/>
        <v>115263.05158883642</v>
      </c>
      <c r="FL136" s="1019">
        <f t="shared" si="321"/>
        <v>12807.005732092948</v>
      </c>
      <c r="FM136" s="1019">
        <f t="shared" si="322"/>
        <v>6403.5028660464741</v>
      </c>
      <c r="FN136" s="1019" t="str">
        <f t="shared" si="323"/>
        <v>VS</v>
      </c>
      <c r="FO136" s="1019">
        <f t="shared" si="324"/>
        <v>27537.409960060559</v>
      </c>
      <c r="FP136" s="1019">
        <f t="shared" si="325"/>
        <v>-21133.907094014085</v>
      </c>
      <c r="FQ136" s="1021"/>
      <c r="FR136" s="1021"/>
      <c r="FS136" s="1020"/>
      <c r="FT136" s="503"/>
      <c r="FU136" s="956"/>
      <c r="FV136" s="503"/>
      <c r="FW136" s="503"/>
      <c r="FX136" s="1040"/>
      <c r="FY136" s="503"/>
      <c r="FZ136" s="503"/>
      <c r="GA136" s="503"/>
      <c r="GE136" s="503"/>
      <c r="GF136" s="1059"/>
      <c r="GG136" s="956"/>
      <c r="GH136" s="945"/>
      <c r="GI136" s="1024">
        <f t="shared" ref="GI136:GI199" si="418">CM136</f>
        <v>3660203.93037041</v>
      </c>
      <c r="GJ136" s="1025">
        <f t="shared" ref="GJ136:GJ199" si="419">CN136</f>
        <v>0.125</v>
      </c>
      <c r="GK136" s="1024">
        <f t="shared" ref="GK136:GK199" si="420">CO136</f>
        <v>457525.49129630125</v>
      </c>
      <c r="GL136" s="1024">
        <f t="shared" ref="GL136:GL199" si="421">CP136</f>
        <v>30000</v>
      </c>
      <c r="GM136" s="1024">
        <f t="shared" ref="GM136:GM199" si="422">CQ136</f>
        <v>427525.49129630125</v>
      </c>
      <c r="GN136" s="1024">
        <f t="shared" ref="GN136:GN199" si="423">CR136</f>
        <v>2</v>
      </c>
      <c r="GO136" s="1024">
        <f t="shared" ref="GO136:GO199" si="424">CS136</f>
        <v>213762.74564815062</v>
      </c>
      <c r="GP136" s="1025">
        <f t="shared" ref="GP136:GP199" si="425">CT136</f>
        <v>0.875</v>
      </c>
      <c r="GQ136" s="1024">
        <f t="shared" ref="GQ136:GQ199" si="426">CU136</f>
        <v>3202678.4390741088</v>
      </c>
      <c r="GR136" s="1024">
        <f t="shared" ref="GR136:GR199" si="427">CV136</f>
        <v>24830.331849436756</v>
      </c>
      <c r="GS136" s="1024">
        <f t="shared" ref="GS136:GS199" si="428">CW136</f>
        <v>28786.57923489331</v>
      </c>
      <c r="GT136" s="1024">
        <f t="shared" ref="GT136:GT199" si="429">CX136</f>
        <v>37185.812298717152</v>
      </c>
      <c r="GU136" s="1024">
        <f t="shared" ref="GU136:GU199" si="430">CY136</f>
        <v>63416.871633003168</v>
      </c>
      <c r="GV136" s="945"/>
      <c r="GW136" s="1024">
        <f t="shared" ref="GW136:GW199" si="431">GI136</f>
        <v>3660203.93037041</v>
      </c>
      <c r="GX136" s="1025">
        <f t="shared" ref="GX136:GX199" si="432">GJ136</f>
        <v>0.125</v>
      </c>
      <c r="GY136" s="1024">
        <f t="shared" ref="GY136:GY199" si="433">GK136</f>
        <v>457525.49129630125</v>
      </c>
      <c r="GZ136" s="1024">
        <f t="shared" ref="GZ136:GZ199" si="434">GL136</f>
        <v>30000</v>
      </c>
      <c r="HA136" s="1024">
        <f t="shared" ref="HA136:HA199" si="435">GM136</f>
        <v>427525.49129630125</v>
      </c>
      <c r="HB136" s="1026">
        <f t="shared" ref="HB136:HB199" si="436">$HB$5</f>
        <v>25</v>
      </c>
      <c r="HC136" s="1009">
        <f t="shared" ref="HC136:HC199" si="437">HA136/HB136</f>
        <v>17101.01965185205</v>
      </c>
      <c r="HD136" s="1027">
        <f t="shared" ref="HD136:HD199" si="438">100%-GX136</f>
        <v>0.875</v>
      </c>
      <c r="HE136" s="1009">
        <f t="shared" ref="HE136:HE199" si="439">GW136*HD136</f>
        <v>3202678.4390741088</v>
      </c>
      <c r="HF136" s="1008">
        <f t="shared" ref="HF136:HF199" si="440">-PMT(7%/12,240,HE136,0)</f>
        <v>24830.331849436756</v>
      </c>
      <c r="HG136" s="1008">
        <f t="shared" ref="HG136:HG199" si="441">-PMT(7%/12,180,HE136,0)</f>
        <v>28786.57923489331</v>
      </c>
      <c r="HH136" s="1008">
        <f t="shared" ref="HH136:HH199" si="442">-PMT(7%/12,120,HE136,0)</f>
        <v>37185.812298717152</v>
      </c>
      <c r="HI136" s="1008">
        <f t="shared" ref="HI136:HI199" si="443">-PMT(7%/12,60,HE136,0)</f>
        <v>63416.871633003168</v>
      </c>
      <c r="HJ136" s="945"/>
      <c r="HK136" s="1009">
        <f t="shared" ref="HK136:HK199" si="444">HC136-GO136</f>
        <v>-196661.72599629857</v>
      </c>
      <c r="HL136" s="503"/>
      <c r="HM136" s="503"/>
      <c r="HN136" s="503"/>
      <c r="HO136" s="503"/>
      <c r="HP136" s="503"/>
      <c r="HQ136" s="503"/>
      <c r="HR136" s="956">
        <f t="shared" ref="HR136:HR199" si="445">CB136-CH136</f>
        <v>0</v>
      </c>
      <c r="HS136" s="503"/>
      <c r="HT136" s="503"/>
      <c r="HU136" s="956"/>
      <c r="HV136" s="503"/>
      <c r="HW136" s="956"/>
      <c r="HX136" s="956"/>
      <c r="HY136" s="503"/>
      <c r="HZ136" s="503"/>
      <c r="IA136" s="503"/>
      <c r="ID136" s="1394"/>
    </row>
    <row r="137" spans="1:238" s="1051" customFormat="1" ht="14.25" hidden="1" customHeight="1">
      <c r="A137" s="1018">
        <f t="shared" si="326"/>
        <v>131</v>
      </c>
      <c r="B137" s="716" t="s">
        <v>264</v>
      </c>
      <c r="C137" s="741">
        <f t="shared" si="360"/>
        <v>11</v>
      </c>
      <c r="D137" s="716" t="s">
        <v>286</v>
      </c>
      <c r="E137" s="743" t="str">
        <f t="shared" si="352"/>
        <v>9th Floor</v>
      </c>
      <c r="F137" s="1048"/>
      <c r="G137" s="745" t="s">
        <v>562</v>
      </c>
      <c r="H137" s="745" t="s">
        <v>328</v>
      </c>
      <c r="I137" s="745" t="s">
        <v>267</v>
      </c>
      <c r="J137" s="1005">
        <v>22</v>
      </c>
      <c r="K137" s="1049"/>
      <c r="L137" s="1006" t="s">
        <v>268</v>
      </c>
      <c r="M137" s="745" t="s">
        <v>79</v>
      </c>
      <c r="N137" s="1050">
        <v>95909.091</v>
      </c>
      <c r="O137" s="934">
        <f t="shared" si="298"/>
        <v>2110000.0019999999</v>
      </c>
      <c r="P137" s="934">
        <f t="shared" si="327"/>
        <v>22400</v>
      </c>
      <c r="Q137" s="934">
        <f t="shared" si="293"/>
        <v>50000</v>
      </c>
      <c r="R137" s="934"/>
      <c r="S137" s="934"/>
      <c r="T137" s="934"/>
      <c r="U137" s="934"/>
      <c r="V137" s="749"/>
      <c r="W137" s="934"/>
      <c r="X137" s="934"/>
      <c r="Y137" s="934">
        <f t="shared" si="361"/>
        <v>100000</v>
      </c>
      <c r="Z137" s="934">
        <f t="shared" si="299"/>
        <v>75000</v>
      </c>
      <c r="AA137" s="934"/>
      <c r="AB137" s="934"/>
      <c r="AC137" s="934"/>
      <c r="AD137" s="934"/>
      <c r="AE137" s="934">
        <f t="shared" si="365"/>
        <v>247400</v>
      </c>
      <c r="AF137" s="1005">
        <f t="shared" si="366"/>
        <v>2357400.0019999999</v>
      </c>
      <c r="AG137" s="1005">
        <f t="shared" si="380"/>
        <v>58935.000050000002</v>
      </c>
      <c r="AH137" s="1005">
        <f t="shared" si="381"/>
        <v>2416335.0020499998</v>
      </c>
      <c r="AI137" s="1005">
        <f t="shared" si="382"/>
        <v>60408.375051249997</v>
      </c>
      <c r="AJ137" s="1005">
        <f t="shared" si="383"/>
        <v>2476743.37710125</v>
      </c>
      <c r="AK137" s="1005">
        <f t="shared" si="384"/>
        <v>123837.16885506251</v>
      </c>
      <c r="AL137" s="1005">
        <f t="shared" si="300"/>
        <v>2600580.5459563127</v>
      </c>
      <c r="AM137" s="934">
        <f t="shared" si="385"/>
        <v>26005.805459563126</v>
      </c>
      <c r="AN137" s="934">
        <f t="shared" si="386"/>
        <v>27537.409960060559</v>
      </c>
      <c r="AO137" s="934"/>
      <c r="AP137" s="934">
        <f t="shared" si="301"/>
        <v>115263.05158883642</v>
      </c>
      <c r="AQ137" s="1005">
        <f t="shared" si="367"/>
        <v>2769386.8129647728</v>
      </c>
      <c r="AR137" s="1005">
        <f t="shared" si="387"/>
        <v>124622.40658341478</v>
      </c>
      <c r="AS137" s="1147">
        <f t="shared" si="388"/>
        <v>2894009.2195481877</v>
      </c>
      <c r="AT137" s="1148">
        <f t="shared" si="348"/>
        <v>2000000</v>
      </c>
      <c r="AU137" s="1148">
        <f t="shared" si="358"/>
        <v>40636.782706735801</v>
      </c>
      <c r="AV137" s="1148">
        <f t="shared" si="303"/>
        <v>894009.21954818768</v>
      </c>
      <c r="AW137" s="1148">
        <f t="shared" si="368"/>
        <v>107281.10634578252</v>
      </c>
      <c r="AX137" s="1148">
        <f t="shared" si="369"/>
        <v>1001290.3258939702</v>
      </c>
      <c r="AY137" s="1147">
        <f t="shared" si="389"/>
        <v>3001290.3258939702</v>
      </c>
      <c r="AZ137" s="934">
        <f t="shared" si="390"/>
        <v>37516.12907367463</v>
      </c>
      <c r="BA137" s="716" t="s">
        <v>269</v>
      </c>
      <c r="BB137" s="716">
        <f t="shared" si="370"/>
        <v>3038806.454967645</v>
      </c>
      <c r="BC137" s="716" t="s">
        <v>269</v>
      </c>
      <c r="BD137" s="716">
        <f t="shared" si="391"/>
        <v>113955.24206128668</v>
      </c>
      <c r="BE137" s="716">
        <f t="shared" si="392"/>
        <v>33600</v>
      </c>
      <c r="BF137" s="716">
        <f t="shared" si="393"/>
        <v>3186361.6970289317</v>
      </c>
      <c r="BG137" s="716"/>
      <c r="BH137" s="716">
        <f t="shared" si="394"/>
        <v>3186361.6970289317</v>
      </c>
      <c r="BI137" s="716"/>
      <c r="BJ137" s="716">
        <f t="shared" si="395"/>
        <v>3186361.6970289317</v>
      </c>
      <c r="BK137" s="716"/>
      <c r="BL137" s="716">
        <f t="shared" si="396"/>
        <v>3186361.6970289317</v>
      </c>
      <c r="BM137" s="716"/>
      <c r="BN137" s="716">
        <f t="shared" si="371"/>
        <v>3186361.6970289317</v>
      </c>
      <c r="BO137" s="716"/>
      <c r="BP137" s="716">
        <f t="shared" si="397"/>
        <v>3186361.6970289317</v>
      </c>
      <c r="BQ137" s="716"/>
      <c r="BR137" s="716">
        <f t="shared" si="398"/>
        <v>3186361.6970289317</v>
      </c>
      <c r="BS137" s="716"/>
      <c r="BT137" s="716">
        <f t="shared" si="399"/>
        <v>3186361.6970289317</v>
      </c>
      <c r="BU137" s="716"/>
      <c r="BV137" s="716">
        <f t="shared" si="372"/>
        <v>3186361.6970289317</v>
      </c>
      <c r="BW137" s="716"/>
      <c r="BX137" s="716">
        <f t="shared" si="329"/>
        <v>31400</v>
      </c>
      <c r="BY137" s="716">
        <f t="shared" si="400"/>
        <v>3217761.6970289317</v>
      </c>
      <c r="BZ137" s="716"/>
      <c r="CA137" s="716">
        <f t="shared" si="401"/>
        <v>3217761.6970289317</v>
      </c>
      <c r="CB137" s="1135">
        <f t="shared" si="402"/>
        <v>3217761.6970289317</v>
      </c>
      <c r="CC137" s="1164">
        <f t="shared" ref="CC137:CC200" si="446">CB137-CE137-CF137</f>
        <v>3217761.6970289317</v>
      </c>
      <c r="CD137" s="1164"/>
      <c r="CE137" s="1164">
        <f t="shared" si="403"/>
        <v>0</v>
      </c>
      <c r="CF137" s="1164">
        <f t="shared" si="291"/>
        <v>0</v>
      </c>
      <c r="CG137" s="1164">
        <f t="shared" si="292"/>
        <v>0</v>
      </c>
      <c r="CH137" s="1154">
        <f t="shared" si="339"/>
        <v>3217761.6970289317</v>
      </c>
      <c r="CI137" s="935">
        <f t="shared" si="340"/>
        <v>3217761.6970289317</v>
      </c>
      <c r="CJ137" s="935">
        <f t="shared" si="404"/>
        <v>0</v>
      </c>
      <c r="CK137" s="935">
        <f t="shared" si="373"/>
        <v>329820.5739454655</v>
      </c>
      <c r="CL137" s="935">
        <f t="shared" si="374"/>
        <v>112621.65939601262</v>
      </c>
      <c r="CM137" s="1006">
        <f t="shared" si="306"/>
        <v>3660203.93037041</v>
      </c>
      <c r="CN137" s="1007">
        <f t="shared" si="307"/>
        <v>0.125</v>
      </c>
      <c r="CO137" s="935">
        <f t="shared" si="210"/>
        <v>457525.49129630125</v>
      </c>
      <c r="CP137" s="935">
        <f t="shared" si="330"/>
        <v>30000</v>
      </c>
      <c r="CQ137" s="935">
        <f t="shared" si="211"/>
        <v>427525.49129630125</v>
      </c>
      <c r="CR137" s="745">
        <f t="shared" si="308"/>
        <v>2</v>
      </c>
      <c r="CS137" s="935">
        <f t="shared" si="212"/>
        <v>213762.74564815062</v>
      </c>
      <c r="CT137" s="1007">
        <f t="shared" si="405"/>
        <v>0.875</v>
      </c>
      <c r="CU137" s="935">
        <f t="shared" si="406"/>
        <v>3202678.4390741088</v>
      </c>
      <c r="CV137" s="1008">
        <f t="shared" si="407"/>
        <v>24830.331849436756</v>
      </c>
      <c r="CW137" s="1008">
        <f t="shared" si="408"/>
        <v>28786.57923489331</v>
      </c>
      <c r="CX137" s="1008">
        <f t="shared" si="409"/>
        <v>37185.812298717152</v>
      </c>
      <c r="CY137" s="1008">
        <f t="shared" si="410"/>
        <v>63416.871633003168</v>
      </c>
      <c r="CZ137" s="1119">
        <f t="shared" si="411"/>
        <v>260163.749365161</v>
      </c>
      <c r="DA137" s="1119">
        <f t="shared" si="412"/>
        <v>102945.52829340976</v>
      </c>
      <c r="DB137" s="1119">
        <f t="shared" si="413"/>
        <v>74356.097048779266</v>
      </c>
      <c r="DC137" s="1119">
        <f t="shared" si="414"/>
        <v>56588.413032029348</v>
      </c>
      <c r="DD137" s="1028">
        <f t="shared" si="294"/>
        <v>0.44700460977409384</v>
      </c>
      <c r="DE137" s="1028">
        <f t="shared" si="341"/>
        <v>0</v>
      </c>
      <c r="DF137" s="1009" t="s">
        <v>270</v>
      </c>
      <c r="DG137" s="1009" t="s">
        <v>271</v>
      </c>
      <c r="DH137" s="966">
        <f t="shared" ref="DH137:DH200" si="447">$DH$7</f>
        <v>45658</v>
      </c>
      <c r="DI137" s="912">
        <f t="shared" si="415"/>
        <v>14</v>
      </c>
      <c r="DJ137" s="939"/>
      <c r="DK137" s="913">
        <f t="shared" si="375"/>
        <v>45723</v>
      </c>
      <c r="DL137" s="912">
        <f t="shared" si="416"/>
        <v>16</v>
      </c>
      <c r="DM137" s="750" t="s">
        <v>272</v>
      </c>
      <c r="DN137" s="750" t="s">
        <v>273</v>
      </c>
      <c r="DO137" s="751">
        <f t="shared" si="376"/>
        <v>45513.196631544102</v>
      </c>
      <c r="DP137" s="751">
        <f t="shared" si="377"/>
        <v>1001290.3258939702</v>
      </c>
      <c r="DQ137" s="752">
        <f t="shared" si="295"/>
        <v>0.50064516294698513</v>
      </c>
      <c r="DR137" s="503"/>
      <c r="DS137" s="751">
        <f t="shared" si="296"/>
        <v>3217761.6970289317</v>
      </c>
      <c r="DT137" s="751">
        <f>'[4]INTERNAL PRICELIST'!N131</f>
        <v>2113804</v>
      </c>
      <c r="DU137" s="751">
        <f t="shared" si="378"/>
        <v>1103957.6970289317</v>
      </c>
      <c r="DV137" s="503"/>
      <c r="DW137" s="951">
        <f t="shared" si="297"/>
        <v>146261.89531949689</v>
      </c>
      <c r="DX137" s="503"/>
      <c r="DZ137" s="1010" t="s">
        <v>562</v>
      </c>
      <c r="EA137" s="1052" t="b">
        <f t="shared" si="379"/>
        <v>1</v>
      </c>
      <c r="EB137" s="1072" t="s">
        <v>563</v>
      </c>
      <c r="EC137" s="1072" t="s">
        <v>547</v>
      </c>
      <c r="ED137" s="503"/>
      <c r="EH137" s="930"/>
      <c r="EI137" s="930"/>
      <c r="EJ137" s="503"/>
      <c r="EK137" s="503"/>
      <c r="EL137" s="503"/>
      <c r="EM137" s="503"/>
      <c r="EN137" s="503"/>
      <c r="EO137" s="503"/>
      <c r="EP137" s="503"/>
      <c r="EQ137" s="503"/>
      <c r="ER137" s="1017" t="s">
        <v>264</v>
      </c>
      <c r="ES137" s="1391" t="s">
        <v>264</v>
      </c>
      <c r="ET137" s="1018" t="b">
        <f t="shared" si="417"/>
        <v>1</v>
      </c>
      <c r="EU137" s="940"/>
      <c r="EV137" s="941"/>
      <c r="EW137" s="940"/>
      <c r="EX137" s="1019">
        <v>3013413.1134336316</v>
      </c>
      <c r="EY137" s="1019">
        <f t="shared" si="310"/>
        <v>452011.96701504471</v>
      </c>
      <c r="EZ137" s="1019">
        <f t="shared" si="311"/>
        <v>2561401.1464185868</v>
      </c>
      <c r="FA137" s="1019">
        <f t="shared" si="312"/>
        <v>301341.3113433632</v>
      </c>
      <c r="FB137" s="1019">
        <f t="shared" si="313"/>
        <v>2712071.8020902686</v>
      </c>
      <c r="FC137" s="1019">
        <f t="shared" si="314"/>
        <v>150670.65567168174</v>
      </c>
      <c r="FD137" s="1020"/>
      <c r="FE137" s="1021"/>
      <c r="FF137" s="1022">
        <f t="shared" si="315"/>
        <v>2561401.1464185868</v>
      </c>
      <c r="FG137" s="1022">
        <f t="shared" si="316"/>
        <v>217719.09744557989</v>
      </c>
      <c r="FH137" s="1022">
        <f t="shared" si="317"/>
        <v>108859.54872278994</v>
      </c>
      <c r="FI137" s="1023">
        <f t="shared" si="318"/>
        <v>2712071.8020902686</v>
      </c>
      <c r="FJ137" s="1023">
        <f t="shared" si="319"/>
        <v>230526.10317767283</v>
      </c>
      <c r="FK137" s="1023">
        <f t="shared" si="320"/>
        <v>115263.05158883642</v>
      </c>
      <c r="FL137" s="1019">
        <f t="shared" si="321"/>
        <v>12807.005732092948</v>
      </c>
      <c r="FM137" s="1019">
        <f t="shared" si="322"/>
        <v>6403.5028660464741</v>
      </c>
      <c r="FN137" s="1019" t="str">
        <f t="shared" si="323"/>
        <v>VS</v>
      </c>
      <c r="FO137" s="1019">
        <f t="shared" si="324"/>
        <v>27537.409960060559</v>
      </c>
      <c r="FP137" s="1019">
        <f t="shared" si="325"/>
        <v>-21133.907094014085</v>
      </c>
      <c r="FQ137" s="1021"/>
      <c r="FR137" s="1021"/>
      <c r="FS137" s="1020"/>
      <c r="FT137" s="503"/>
      <c r="FU137" s="956"/>
      <c r="FV137" s="503"/>
      <c r="FW137" s="503"/>
      <c r="FX137" s="1040"/>
      <c r="FY137" s="503"/>
      <c r="FZ137" s="503"/>
      <c r="GA137" s="503"/>
      <c r="GE137" s="503"/>
      <c r="GF137" s="1059"/>
      <c r="GG137" s="956"/>
      <c r="GH137" s="945"/>
      <c r="GI137" s="1024">
        <f t="shared" si="418"/>
        <v>3660203.93037041</v>
      </c>
      <c r="GJ137" s="1025">
        <f t="shared" si="419"/>
        <v>0.125</v>
      </c>
      <c r="GK137" s="1024">
        <f t="shared" si="420"/>
        <v>457525.49129630125</v>
      </c>
      <c r="GL137" s="1024">
        <f t="shared" si="421"/>
        <v>30000</v>
      </c>
      <c r="GM137" s="1024">
        <f t="shared" si="422"/>
        <v>427525.49129630125</v>
      </c>
      <c r="GN137" s="1024">
        <f t="shared" si="423"/>
        <v>2</v>
      </c>
      <c r="GO137" s="1024">
        <f t="shared" si="424"/>
        <v>213762.74564815062</v>
      </c>
      <c r="GP137" s="1025">
        <f t="shared" si="425"/>
        <v>0.875</v>
      </c>
      <c r="GQ137" s="1024">
        <f t="shared" si="426"/>
        <v>3202678.4390741088</v>
      </c>
      <c r="GR137" s="1024">
        <f t="shared" si="427"/>
        <v>24830.331849436756</v>
      </c>
      <c r="GS137" s="1024">
        <f t="shared" si="428"/>
        <v>28786.57923489331</v>
      </c>
      <c r="GT137" s="1024">
        <f t="shared" si="429"/>
        <v>37185.812298717152</v>
      </c>
      <c r="GU137" s="1024">
        <f t="shared" si="430"/>
        <v>63416.871633003168</v>
      </c>
      <c r="GV137" s="945"/>
      <c r="GW137" s="1024">
        <f t="shared" si="431"/>
        <v>3660203.93037041</v>
      </c>
      <c r="GX137" s="1025">
        <f t="shared" si="432"/>
        <v>0.125</v>
      </c>
      <c r="GY137" s="1024">
        <f t="shared" si="433"/>
        <v>457525.49129630125</v>
      </c>
      <c r="GZ137" s="1024">
        <f t="shared" si="434"/>
        <v>30000</v>
      </c>
      <c r="HA137" s="1024">
        <f t="shared" si="435"/>
        <v>427525.49129630125</v>
      </c>
      <c r="HB137" s="1026">
        <f t="shared" si="436"/>
        <v>25</v>
      </c>
      <c r="HC137" s="1009">
        <f t="shared" si="437"/>
        <v>17101.01965185205</v>
      </c>
      <c r="HD137" s="1027">
        <f t="shared" si="438"/>
        <v>0.875</v>
      </c>
      <c r="HE137" s="1009">
        <f t="shared" si="439"/>
        <v>3202678.4390741088</v>
      </c>
      <c r="HF137" s="1008">
        <f t="shared" si="440"/>
        <v>24830.331849436756</v>
      </c>
      <c r="HG137" s="1008">
        <f t="shared" si="441"/>
        <v>28786.57923489331</v>
      </c>
      <c r="HH137" s="1008">
        <f t="shared" si="442"/>
        <v>37185.812298717152</v>
      </c>
      <c r="HI137" s="1008">
        <f t="shared" si="443"/>
        <v>63416.871633003168</v>
      </c>
      <c r="HJ137" s="945"/>
      <c r="HK137" s="1009">
        <f t="shared" si="444"/>
        <v>-196661.72599629857</v>
      </c>
      <c r="HL137" s="503"/>
      <c r="HM137" s="503"/>
      <c r="HN137" s="503"/>
      <c r="HO137" s="503"/>
      <c r="HP137" s="503"/>
      <c r="HQ137" s="503"/>
      <c r="HR137" s="956">
        <f t="shared" si="445"/>
        <v>0</v>
      </c>
      <c r="HS137" s="503"/>
      <c r="HT137" s="503"/>
      <c r="HU137" s="956"/>
      <c r="HV137" s="503"/>
      <c r="HW137" s="956"/>
      <c r="HX137" s="956"/>
      <c r="HY137" s="503"/>
      <c r="HZ137" s="503"/>
      <c r="IA137" s="503"/>
      <c r="ID137" s="1394"/>
    </row>
    <row r="138" spans="1:238" s="1051" customFormat="1" ht="14.25" hidden="1" customHeight="1">
      <c r="A138" s="1018">
        <f t="shared" si="326"/>
        <v>132</v>
      </c>
      <c r="B138" s="716" t="s">
        <v>264</v>
      </c>
      <c r="C138" s="741">
        <f t="shared" si="360"/>
        <v>12</v>
      </c>
      <c r="D138" s="716" t="s">
        <v>286</v>
      </c>
      <c r="E138" s="743" t="str">
        <f t="shared" si="352"/>
        <v>9th Floor</v>
      </c>
      <c r="F138" s="1048"/>
      <c r="G138" s="745" t="s">
        <v>564</v>
      </c>
      <c r="H138" s="745" t="s">
        <v>331</v>
      </c>
      <c r="I138" s="745" t="s">
        <v>267</v>
      </c>
      <c r="J138" s="1005">
        <v>22</v>
      </c>
      <c r="K138" s="1049"/>
      <c r="L138" s="1006" t="s">
        <v>268</v>
      </c>
      <c r="M138" s="745" t="s">
        <v>79</v>
      </c>
      <c r="N138" s="1050">
        <v>95909.091</v>
      </c>
      <c r="O138" s="934">
        <f t="shared" si="298"/>
        <v>2110000.0019999999</v>
      </c>
      <c r="P138" s="934">
        <f t="shared" si="327"/>
        <v>22400</v>
      </c>
      <c r="Q138" s="934">
        <f t="shared" si="293"/>
        <v>50000</v>
      </c>
      <c r="R138" s="934"/>
      <c r="S138" s="934"/>
      <c r="T138" s="934"/>
      <c r="U138" s="934"/>
      <c r="V138" s="749"/>
      <c r="W138" s="934"/>
      <c r="X138" s="934"/>
      <c r="Y138" s="934">
        <f t="shared" si="361"/>
        <v>100000</v>
      </c>
      <c r="Z138" s="934">
        <f t="shared" si="299"/>
        <v>75000</v>
      </c>
      <c r="AA138" s="934"/>
      <c r="AB138" s="934"/>
      <c r="AC138" s="934"/>
      <c r="AD138" s="934"/>
      <c r="AE138" s="934">
        <f t="shared" si="365"/>
        <v>247400</v>
      </c>
      <c r="AF138" s="1005">
        <f t="shared" si="366"/>
        <v>2357400.0019999999</v>
      </c>
      <c r="AG138" s="1005">
        <f t="shared" si="380"/>
        <v>58935.000050000002</v>
      </c>
      <c r="AH138" s="1005">
        <f t="shared" si="381"/>
        <v>2416335.0020499998</v>
      </c>
      <c r="AI138" s="1005">
        <f t="shared" si="382"/>
        <v>60408.375051249997</v>
      </c>
      <c r="AJ138" s="1005">
        <f t="shared" si="383"/>
        <v>2476743.37710125</v>
      </c>
      <c r="AK138" s="1005">
        <f t="shared" si="384"/>
        <v>123837.16885506251</v>
      </c>
      <c r="AL138" s="1005">
        <f t="shared" si="300"/>
        <v>2600580.5459563127</v>
      </c>
      <c r="AM138" s="934">
        <f t="shared" si="385"/>
        <v>26005.805459563126</v>
      </c>
      <c r="AN138" s="934">
        <f t="shared" si="386"/>
        <v>27537.409960060559</v>
      </c>
      <c r="AO138" s="934"/>
      <c r="AP138" s="934">
        <f t="shared" si="301"/>
        <v>115263.05158883642</v>
      </c>
      <c r="AQ138" s="1005">
        <f t="shared" si="367"/>
        <v>2769386.8129647728</v>
      </c>
      <c r="AR138" s="1005">
        <f t="shared" si="387"/>
        <v>124622.40658341478</v>
      </c>
      <c r="AS138" s="1147">
        <f t="shared" si="388"/>
        <v>2894009.2195481877</v>
      </c>
      <c r="AT138" s="1148">
        <f t="shared" si="348"/>
        <v>2000000</v>
      </c>
      <c r="AU138" s="1148">
        <f t="shared" si="358"/>
        <v>40636.782706735801</v>
      </c>
      <c r="AV138" s="1148">
        <f t="shared" si="303"/>
        <v>894009.21954818768</v>
      </c>
      <c r="AW138" s="1148">
        <f t="shared" si="368"/>
        <v>107281.10634578252</v>
      </c>
      <c r="AX138" s="1148">
        <f t="shared" si="369"/>
        <v>1001290.3258939702</v>
      </c>
      <c r="AY138" s="1147">
        <f t="shared" si="389"/>
        <v>3001290.3258939702</v>
      </c>
      <c r="AZ138" s="934">
        <f t="shared" si="390"/>
        <v>37516.12907367463</v>
      </c>
      <c r="BA138" s="716" t="s">
        <v>269</v>
      </c>
      <c r="BB138" s="716">
        <f t="shared" si="370"/>
        <v>3038806.454967645</v>
      </c>
      <c r="BC138" s="716" t="s">
        <v>269</v>
      </c>
      <c r="BD138" s="716">
        <f t="shared" si="391"/>
        <v>113955.24206128668</v>
      </c>
      <c r="BE138" s="716">
        <f t="shared" si="392"/>
        <v>33600</v>
      </c>
      <c r="BF138" s="716">
        <f t="shared" si="393"/>
        <v>3186361.6970289317</v>
      </c>
      <c r="BG138" s="716"/>
      <c r="BH138" s="716">
        <f t="shared" si="394"/>
        <v>3186361.6970289317</v>
      </c>
      <c r="BI138" s="716"/>
      <c r="BJ138" s="716">
        <f t="shared" si="395"/>
        <v>3186361.6970289317</v>
      </c>
      <c r="BK138" s="716"/>
      <c r="BL138" s="716">
        <f t="shared" si="396"/>
        <v>3186361.6970289317</v>
      </c>
      <c r="BM138" s="716"/>
      <c r="BN138" s="716">
        <f t="shared" si="371"/>
        <v>3186361.6970289317</v>
      </c>
      <c r="BO138" s="716"/>
      <c r="BP138" s="716">
        <f t="shared" si="397"/>
        <v>3186361.6970289317</v>
      </c>
      <c r="BQ138" s="716"/>
      <c r="BR138" s="716">
        <f t="shared" si="398"/>
        <v>3186361.6970289317</v>
      </c>
      <c r="BS138" s="716"/>
      <c r="BT138" s="716">
        <f t="shared" si="399"/>
        <v>3186361.6970289317</v>
      </c>
      <c r="BU138" s="716"/>
      <c r="BV138" s="716">
        <f t="shared" si="372"/>
        <v>3186361.6970289317</v>
      </c>
      <c r="BW138" s="716"/>
      <c r="BX138" s="716">
        <f t="shared" si="329"/>
        <v>31400</v>
      </c>
      <c r="BY138" s="716">
        <f t="shared" si="400"/>
        <v>3217761.6970289317</v>
      </c>
      <c r="BZ138" s="716"/>
      <c r="CA138" s="716">
        <f t="shared" si="401"/>
        <v>3217761.6970289317</v>
      </c>
      <c r="CB138" s="1135">
        <f t="shared" si="402"/>
        <v>3217761.6970289317</v>
      </c>
      <c r="CC138" s="1164">
        <f t="shared" si="446"/>
        <v>3217761.6970289317</v>
      </c>
      <c r="CD138" s="1164"/>
      <c r="CE138" s="1164">
        <f t="shared" si="403"/>
        <v>0</v>
      </c>
      <c r="CF138" s="1164">
        <f t="shared" si="291"/>
        <v>0</v>
      </c>
      <c r="CG138" s="1164">
        <f t="shared" si="292"/>
        <v>0</v>
      </c>
      <c r="CH138" s="1154">
        <f t="shared" si="339"/>
        <v>3217761.6970289317</v>
      </c>
      <c r="CI138" s="935">
        <f t="shared" si="340"/>
        <v>3217761.6970289317</v>
      </c>
      <c r="CJ138" s="935">
        <f t="shared" si="404"/>
        <v>0</v>
      </c>
      <c r="CK138" s="935">
        <f t="shared" si="373"/>
        <v>329820.5739454655</v>
      </c>
      <c r="CL138" s="935">
        <f t="shared" si="374"/>
        <v>112621.65939601262</v>
      </c>
      <c r="CM138" s="1006">
        <f t="shared" si="306"/>
        <v>3660203.93037041</v>
      </c>
      <c r="CN138" s="1007">
        <f t="shared" si="307"/>
        <v>0.125</v>
      </c>
      <c r="CO138" s="935">
        <f t="shared" si="210"/>
        <v>457525.49129630125</v>
      </c>
      <c r="CP138" s="935">
        <f t="shared" si="330"/>
        <v>30000</v>
      </c>
      <c r="CQ138" s="935">
        <f t="shared" si="211"/>
        <v>427525.49129630125</v>
      </c>
      <c r="CR138" s="745">
        <f t="shared" si="308"/>
        <v>2</v>
      </c>
      <c r="CS138" s="935">
        <f t="shared" si="212"/>
        <v>213762.74564815062</v>
      </c>
      <c r="CT138" s="1007">
        <f t="shared" si="405"/>
        <v>0.875</v>
      </c>
      <c r="CU138" s="935">
        <f t="shared" si="406"/>
        <v>3202678.4390741088</v>
      </c>
      <c r="CV138" s="1008">
        <f t="shared" si="407"/>
        <v>24830.331849436756</v>
      </c>
      <c r="CW138" s="1008">
        <f t="shared" si="408"/>
        <v>28786.57923489331</v>
      </c>
      <c r="CX138" s="1008">
        <f t="shared" si="409"/>
        <v>37185.812298717152</v>
      </c>
      <c r="CY138" s="1008">
        <f t="shared" si="410"/>
        <v>63416.871633003168</v>
      </c>
      <c r="CZ138" s="1119">
        <f t="shared" si="411"/>
        <v>260163.749365161</v>
      </c>
      <c r="DA138" s="1119">
        <f t="shared" si="412"/>
        <v>102945.52829340976</v>
      </c>
      <c r="DB138" s="1119">
        <f t="shared" si="413"/>
        <v>74356.097048779266</v>
      </c>
      <c r="DC138" s="1119">
        <f t="shared" si="414"/>
        <v>56588.413032029348</v>
      </c>
      <c r="DD138" s="1028">
        <f t="shared" si="294"/>
        <v>0.44700460977409384</v>
      </c>
      <c r="DE138" s="1028">
        <f t="shared" si="341"/>
        <v>0</v>
      </c>
      <c r="DF138" s="1009" t="s">
        <v>270</v>
      </c>
      <c r="DG138" s="1009" t="s">
        <v>271</v>
      </c>
      <c r="DH138" s="966">
        <f t="shared" si="447"/>
        <v>45658</v>
      </c>
      <c r="DI138" s="912">
        <f t="shared" si="415"/>
        <v>14</v>
      </c>
      <c r="DJ138" s="939"/>
      <c r="DK138" s="913">
        <f t="shared" si="375"/>
        <v>45723</v>
      </c>
      <c r="DL138" s="912">
        <f t="shared" si="416"/>
        <v>16</v>
      </c>
      <c r="DM138" s="750" t="s">
        <v>272</v>
      </c>
      <c r="DN138" s="750" t="s">
        <v>273</v>
      </c>
      <c r="DO138" s="751">
        <f t="shared" si="376"/>
        <v>45513.196631544102</v>
      </c>
      <c r="DP138" s="751">
        <f t="shared" si="377"/>
        <v>1001290.3258939702</v>
      </c>
      <c r="DQ138" s="752">
        <f t="shared" si="295"/>
        <v>0.50064516294698513</v>
      </c>
      <c r="DR138" s="503"/>
      <c r="DS138" s="751">
        <f t="shared" si="296"/>
        <v>3217761.6970289317</v>
      </c>
      <c r="DT138" s="751">
        <f>'[4]INTERNAL PRICELIST'!N132</f>
        <v>2111900</v>
      </c>
      <c r="DU138" s="751">
        <f t="shared" si="378"/>
        <v>1105861.6970289317</v>
      </c>
      <c r="DV138" s="503"/>
      <c r="DW138" s="951">
        <f t="shared" si="297"/>
        <v>146261.89531949689</v>
      </c>
      <c r="DX138" s="503"/>
      <c r="DZ138" s="1010" t="s">
        <v>564</v>
      </c>
      <c r="EA138" s="1052" t="b">
        <f t="shared" si="379"/>
        <v>1</v>
      </c>
      <c r="EB138" s="1072" t="s">
        <v>565</v>
      </c>
      <c r="EC138" s="1072" t="s">
        <v>547</v>
      </c>
      <c r="ED138" s="503"/>
      <c r="EH138" s="930"/>
      <c r="EI138" s="930"/>
      <c r="EJ138" s="503"/>
      <c r="EK138" s="503"/>
      <c r="EL138" s="503"/>
      <c r="EM138" s="503"/>
      <c r="EN138" s="503"/>
      <c r="EO138" s="503"/>
      <c r="EP138" s="503"/>
      <c r="EQ138" s="503"/>
      <c r="ER138" s="1017" t="s">
        <v>264</v>
      </c>
      <c r="ES138" s="1391" t="s">
        <v>264</v>
      </c>
      <c r="ET138" s="1018" t="b">
        <f t="shared" si="417"/>
        <v>1</v>
      </c>
      <c r="EU138" s="940"/>
      <c r="EV138" s="941"/>
      <c r="EW138" s="940"/>
      <c r="EX138" s="1019">
        <v>3013413.1134336316</v>
      </c>
      <c r="EY138" s="1019">
        <f t="shared" si="310"/>
        <v>452011.96701504471</v>
      </c>
      <c r="EZ138" s="1019">
        <f t="shared" si="311"/>
        <v>2561401.1464185868</v>
      </c>
      <c r="FA138" s="1019">
        <f t="shared" si="312"/>
        <v>301341.3113433632</v>
      </c>
      <c r="FB138" s="1019">
        <f t="shared" si="313"/>
        <v>2712071.8020902686</v>
      </c>
      <c r="FC138" s="1019">
        <f t="shared" si="314"/>
        <v>150670.65567168174</v>
      </c>
      <c r="FD138" s="1020"/>
      <c r="FE138" s="1021"/>
      <c r="FF138" s="1022">
        <f t="shared" si="315"/>
        <v>2561401.1464185868</v>
      </c>
      <c r="FG138" s="1022">
        <f t="shared" si="316"/>
        <v>217719.09744557989</v>
      </c>
      <c r="FH138" s="1022">
        <f t="shared" si="317"/>
        <v>108859.54872278994</v>
      </c>
      <c r="FI138" s="1023">
        <f t="shared" si="318"/>
        <v>2712071.8020902686</v>
      </c>
      <c r="FJ138" s="1023">
        <f t="shared" si="319"/>
        <v>230526.10317767283</v>
      </c>
      <c r="FK138" s="1023">
        <f t="shared" si="320"/>
        <v>115263.05158883642</v>
      </c>
      <c r="FL138" s="1019">
        <f t="shared" si="321"/>
        <v>12807.005732092948</v>
      </c>
      <c r="FM138" s="1019">
        <f t="shared" si="322"/>
        <v>6403.5028660464741</v>
      </c>
      <c r="FN138" s="1019" t="str">
        <f t="shared" si="323"/>
        <v>VS</v>
      </c>
      <c r="FO138" s="1019">
        <f t="shared" si="324"/>
        <v>27537.409960060559</v>
      </c>
      <c r="FP138" s="1019">
        <f t="shared" si="325"/>
        <v>-21133.907094014085</v>
      </c>
      <c r="FQ138" s="1021"/>
      <c r="FR138" s="1021"/>
      <c r="FS138" s="1020"/>
      <c r="FT138" s="503"/>
      <c r="FU138" s="956"/>
      <c r="FV138" s="503"/>
      <c r="FW138" s="503"/>
      <c r="FX138" s="1040"/>
      <c r="FY138" s="503"/>
      <c r="FZ138" s="503"/>
      <c r="GA138" s="503"/>
      <c r="GE138" s="503"/>
      <c r="GF138" s="1059"/>
      <c r="GG138" s="956"/>
      <c r="GH138" s="945"/>
      <c r="GI138" s="1024">
        <f t="shared" si="418"/>
        <v>3660203.93037041</v>
      </c>
      <c r="GJ138" s="1025">
        <f t="shared" si="419"/>
        <v>0.125</v>
      </c>
      <c r="GK138" s="1024">
        <f t="shared" si="420"/>
        <v>457525.49129630125</v>
      </c>
      <c r="GL138" s="1024">
        <f t="shared" si="421"/>
        <v>30000</v>
      </c>
      <c r="GM138" s="1024">
        <f t="shared" si="422"/>
        <v>427525.49129630125</v>
      </c>
      <c r="GN138" s="1024">
        <f t="shared" si="423"/>
        <v>2</v>
      </c>
      <c r="GO138" s="1024">
        <f t="shared" si="424"/>
        <v>213762.74564815062</v>
      </c>
      <c r="GP138" s="1025">
        <f t="shared" si="425"/>
        <v>0.875</v>
      </c>
      <c r="GQ138" s="1024">
        <f t="shared" si="426"/>
        <v>3202678.4390741088</v>
      </c>
      <c r="GR138" s="1024">
        <f t="shared" si="427"/>
        <v>24830.331849436756</v>
      </c>
      <c r="GS138" s="1024">
        <f t="shared" si="428"/>
        <v>28786.57923489331</v>
      </c>
      <c r="GT138" s="1024">
        <f t="shared" si="429"/>
        <v>37185.812298717152</v>
      </c>
      <c r="GU138" s="1024">
        <f t="shared" si="430"/>
        <v>63416.871633003168</v>
      </c>
      <c r="GV138" s="945"/>
      <c r="GW138" s="1024">
        <f t="shared" si="431"/>
        <v>3660203.93037041</v>
      </c>
      <c r="GX138" s="1025">
        <f t="shared" si="432"/>
        <v>0.125</v>
      </c>
      <c r="GY138" s="1024">
        <f t="shared" si="433"/>
        <v>457525.49129630125</v>
      </c>
      <c r="GZ138" s="1024">
        <f t="shared" si="434"/>
        <v>30000</v>
      </c>
      <c r="HA138" s="1024">
        <f t="shared" si="435"/>
        <v>427525.49129630125</v>
      </c>
      <c r="HB138" s="1026">
        <f t="shared" si="436"/>
        <v>25</v>
      </c>
      <c r="HC138" s="1009">
        <f t="shared" si="437"/>
        <v>17101.01965185205</v>
      </c>
      <c r="HD138" s="1027">
        <f t="shared" si="438"/>
        <v>0.875</v>
      </c>
      <c r="HE138" s="1009">
        <f t="shared" si="439"/>
        <v>3202678.4390741088</v>
      </c>
      <c r="HF138" s="1008">
        <f t="shared" si="440"/>
        <v>24830.331849436756</v>
      </c>
      <c r="HG138" s="1008">
        <f t="shared" si="441"/>
        <v>28786.57923489331</v>
      </c>
      <c r="HH138" s="1008">
        <f t="shared" si="442"/>
        <v>37185.812298717152</v>
      </c>
      <c r="HI138" s="1008">
        <f t="shared" si="443"/>
        <v>63416.871633003168</v>
      </c>
      <c r="HJ138" s="945"/>
      <c r="HK138" s="1009">
        <f t="shared" si="444"/>
        <v>-196661.72599629857</v>
      </c>
      <c r="HL138" s="503"/>
      <c r="HM138" s="503"/>
      <c r="HN138" s="503"/>
      <c r="HO138" s="503"/>
      <c r="HP138" s="503"/>
      <c r="HQ138" s="503"/>
      <c r="HR138" s="956">
        <f t="shared" si="445"/>
        <v>0</v>
      </c>
      <c r="HS138" s="503"/>
      <c r="HT138" s="503"/>
      <c r="HU138" s="956"/>
      <c r="HV138" s="503"/>
      <c r="HW138" s="956"/>
      <c r="HX138" s="956"/>
      <c r="HY138" s="503"/>
      <c r="HZ138" s="503"/>
      <c r="IA138" s="503"/>
      <c r="ID138" s="1394"/>
    </row>
    <row r="139" spans="1:238" s="1051" customFormat="1" ht="14.25" hidden="1" customHeight="1">
      <c r="A139" s="1018">
        <f t="shared" si="326"/>
        <v>133</v>
      </c>
      <c r="B139" s="716" t="s">
        <v>264</v>
      </c>
      <c r="C139" s="741">
        <f t="shared" si="360"/>
        <v>13</v>
      </c>
      <c r="D139" s="716" t="s">
        <v>286</v>
      </c>
      <c r="E139" s="743" t="str">
        <f t="shared" si="352"/>
        <v>9th Floor</v>
      </c>
      <c r="F139" s="1048"/>
      <c r="G139" s="745" t="s">
        <v>566</v>
      </c>
      <c r="H139" s="745" t="s">
        <v>336</v>
      </c>
      <c r="I139" s="745" t="s">
        <v>267</v>
      </c>
      <c r="J139" s="1005">
        <v>22</v>
      </c>
      <c r="K139" s="1049"/>
      <c r="L139" s="1006" t="s">
        <v>268</v>
      </c>
      <c r="M139" s="745" t="s">
        <v>79</v>
      </c>
      <c r="N139" s="1050">
        <v>95909.091</v>
      </c>
      <c r="O139" s="934">
        <f t="shared" si="298"/>
        <v>2110000.0019999999</v>
      </c>
      <c r="P139" s="934">
        <f t="shared" si="327"/>
        <v>22400</v>
      </c>
      <c r="Q139" s="934">
        <f t="shared" si="293"/>
        <v>50000</v>
      </c>
      <c r="R139" s="934"/>
      <c r="S139" s="934"/>
      <c r="T139" s="934"/>
      <c r="U139" s="934"/>
      <c r="V139" s="934"/>
      <c r="W139" s="749"/>
      <c r="X139" s="934"/>
      <c r="Y139" s="934">
        <f t="shared" si="361"/>
        <v>100000</v>
      </c>
      <c r="Z139" s="934">
        <f t="shared" si="299"/>
        <v>75000</v>
      </c>
      <c r="AA139" s="934"/>
      <c r="AB139" s="934"/>
      <c r="AC139" s="934"/>
      <c r="AD139" s="934"/>
      <c r="AE139" s="934">
        <f t="shared" si="365"/>
        <v>247400</v>
      </c>
      <c r="AF139" s="1005">
        <f t="shared" si="366"/>
        <v>2357400.0019999999</v>
      </c>
      <c r="AG139" s="1005">
        <f t="shared" si="380"/>
        <v>58935.000050000002</v>
      </c>
      <c r="AH139" s="1005">
        <f t="shared" si="381"/>
        <v>2416335.0020499998</v>
      </c>
      <c r="AI139" s="1005">
        <f t="shared" si="382"/>
        <v>60408.375051249997</v>
      </c>
      <c r="AJ139" s="1005">
        <f t="shared" si="383"/>
        <v>2476743.37710125</v>
      </c>
      <c r="AK139" s="1005">
        <f t="shared" si="384"/>
        <v>123837.16885506251</v>
      </c>
      <c r="AL139" s="1005">
        <f t="shared" si="300"/>
        <v>2600580.5459563127</v>
      </c>
      <c r="AM139" s="934">
        <f t="shared" si="385"/>
        <v>26005.805459563126</v>
      </c>
      <c r="AN139" s="934">
        <f t="shared" si="386"/>
        <v>27537.409960060559</v>
      </c>
      <c r="AO139" s="934"/>
      <c r="AP139" s="934">
        <f t="shared" si="301"/>
        <v>115263.05158883642</v>
      </c>
      <c r="AQ139" s="1005">
        <f t="shared" si="367"/>
        <v>2769386.8129647728</v>
      </c>
      <c r="AR139" s="1005">
        <f t="shared" si="387"/>
        <v>124622.40658341478</v>
      </c>
      <c r="AS139" s="1147">
        <f t="shared" si="388"/>
        <v>2894009.2195481877</v>
      </c>
      <c r="AT139" s="1148">
        <f t="shared" si="348"/>
        <v>2000000</v>
      </c>
      <c r="AU139" s="1148">
        <f t="shared" si="358"/>
        <v>40636.782706735801</v>
      </c>
      <c r="AV139" s="1148">
        <f t="shared" si="303"/>
        <v>894009.21954818768</v>
      </c>
      <c r="AW139" s="1148">
        <f t="shared" si="368"/>
        <v>107281.10634578252</v>
      </c>
      <c r="AX139" s="1148">
        <f t="shared" si="369"/>
        <v>1001290.3258939702</v>
      </c>
      <c r="AY139" s="1147">
        <f t="shared" si="389"/>
        <v>3001290.3258939702</v>
      </c>
      <c r="AZ139" s="934">
        <f t="shared" si="390"/>
        <v>37516.12907367463</v>
      </c>
      <c r="BA139" s="716" t="s">
        <v>269</v>
      </c>
      <c r="BB139" s="716">
        <f t="shared" si="370"/>
        <v>3038806.454967645</v>
      </c>
      <c r="BC139" s="716" t="s">
        <v>269</v>
      </c>
      <c r="BD139" s="716">
        <f t="shared" si="391"/>
        <v>113955.24206128668</v>
      </c>
      <c r="BE139" s="716">
        <f t="shared" si="392"/>
        <v>33600</v>
      </c>
      <c r="BF139" s="716">
        <f t="shared" si="393"/>
        <v>3186361.6970289317</v>
      </c>
      <c r="BG139" s="716"/>
      <c r="BH139" s="716">
        <f t="shared" si="394"/>
        <v>3186361.6970289317</v>
      </c>
      <c r="BI139" s="716"/>
      <c r="BJ139" s="716">
        <f t="shared" si="395"/>
        <v>3186361.6970289317</v>
      </c>
      <c r="BK139" s="716"/>
      <c r="BL139" s="716">
        <f t="shared" si="396"/>
        <v>3186361.6970289317</v>
      </c>
      <c r="BM139" s="716"/>
      <c r="BN139" s="716">
        <f t="shared" si="371"/>
        <v>3186361.6970289317</v>
      </c>
      <c r="BO139" s="716"/>
      <c r="BP139" s="716">
        <f t="shared" si="397"/>
        <v>3186361.6970289317</v>
      </c>
      <c r="BQ139" s="716"/>
      <c r="BR139" s="716">
        <f t="shared" si="398"/>
        <v>3186361.6970289317</v>
      </c>
      <c r="BS139" s="716"/>
      <c r="BT139" s="716">
        <f t="shared" si="399"/>
        <v>3186361.6970289317</v>
      </c>
      <c r="BU139" s="716"/>
      <c r="BV139" s="716">
        <f t="shared" si="372"/>
        <v>3186361.6970289317</v>
      </c>
      <c r="BW139" s="716"/>
      <c r="BX139" s="716">
        <f t="shared" si="329"/>
        <v>31400</v>
      </c>
      <c r="BY139" s="716">
        <f t="shared" si="400"/>
        <v>3217761.6970289317</v>
      </c>
      <c r="BZ139" s="716"/>
      <c r="CA139" s="716">
        <f t="shared" si="401"/>
        <v>3217761.6970289317</v>
      </c>
      <c r="CB139" s="1135">
        <f t="shared" si="402"/>
        <v>3217761.6970289317</v>
      </c>
      <c r="CC139" s="1164">
        <f t="shared" si="446"/>
        <v>3217761.6970289317</v>
      </c>
      <c r="CD139" s="1164"/>
      <c r="CE139" s="1164">
        <f t="shared" si="403"/>
        <v>0</v>
      </c>
      <c r="CF139" s="1164">
        <f t="shared" ref="CF139:CF202" si="448">CE139*$AW$5</f>
        <v>0</v>
      </c>
      <c r="CG139" s="1164">
        <f t="shared" ref="CG139:CG202" si="449">CE139+CF139</f>
        <v>0</v>
      </c>
      <c r="CH139" s="1154">
        <f t="shared" si="339"/>
        <v>3217761.6970289317</v>
      </c>
      <c r="CI139" s="935">
        <f t="shared" si="340"/>
        <v>3217761.6970289317</v>
      </c>
      <c r="CJ139" s="935">
        <f t="shared" si="404"/>
        <v>0</v>
      </c>
      <c r="CK139" s="935">
        <f t="shared" si="373"/>
        <v>329820.5739454655</v>
      </c>
      <c r="CL139" s="935">
        <f t="shared" si="374"/>
        <v>112621.65939601262</v>
      </c>
      <c r="CM139" s="1006">
        <f t="shared" si="306"/>
        <v>3660203.93037041</v>
      </c>
      <c r="CN139" s="1007">
        <f t="shared" si="307"/>
        <v>0.125</v>
      </c>
      <c r="CO139" s="935">
        <f t="shared" si="210"/>
        <v>457525.49129630125</v>
      </c>
      <c r="CP139" s="935">
        <f t="shared" si="330"/>
        <v>30000</v>
      </c>
      <c r="CQ139" s="935">
        <f t="shared" si="211"/>
        <v>427525.49129630125</v>
      </c>
      <c r="CR139" s="745">
        <f t="shared" si="308"/>
        <v>2</v>
      </c>
      <c r="CS139" s="935">
        <f t="shared" si="212"/>
        <v>213762.74564815062</v>
      </c>
      <c r="CT139" s="1007">
        <f t="shared" si="405"/>
        <v>0.875</v>
      </c>
      <c r="CU139" s="935">
        <f t="shared" si="406"/>
        <v>3202678.4390741088</v>
      </c>
      <c r="CV139" s="1008">
        <f t="shared" si="407"/>
        <v>24830.331849436756</v>
      </c>
      <c r="CW139" s="1008">
        <f t="shared" si="408"/>
        <v>28786.57923489331</v>
      </c>
      <c r="CX139" s="1008">
        <f t="shared" si="409"/>
        <v>37185.812298717152</v>
      </c>
      <c r="CY139" s="1008">
        <f t="shared" si="410"/>
        <v>63416.871633003168</v>
      </c>
      <c r="CZ139" s="1119">
        <f t="shared" si="411"/>
        <v>260163.749365161</v>
      </c>
      <c r="DA139" s="1119">
        <f t="shared" si="412"/>
        <v>102945.52829340976</v>
      </c>
      <c r="DB139" s="1119">
        <f t="shared" si="413"/>
        <v>74356.097048779266</v>
      </c>
      <c r="DC139" s="1119">
        <f t="shared" si="414"/>
        <v>56588.413032029348</v>
      </c>
      <c r="DD139" s="1028">
        <f t="shared" si="294"/>
        <v>0.44700460977409384</v>
      </c>
      <c r="DE139" s="1028">
        <f t="shared" si="341"/>
        <v>0</v>
      </c>
      <c r="DF139" s="1009" t="s">
        <v>270</v>
      </c>
      <c r="DG139" s="1009" t="s">
        <v>271</v>
      </c>
      <c r="DH139" s="966">
        <f t="shared" si="447"/>
        <v>45658</v>
      </c>
      <c r="DI139" s="912">
        <f t="shared" si="415"/>
        <v>14</v>
      </c>
      <c r="DJ139" s="939"/>
      <c r="DK139" s="913">
        <f t="shared" si="375"/>
        <v>45723</v>
      </c>
      <c r="DL139" s="912">
        <f t="shared" si="416"/>
        <v>16</v>
      </c>
      <c r="DM139" s="750" t="s">
        <v>272</v>
      </c>
      <c r="DN139" s="750" t="s">
        <v>273</v>
      </c>
      <c r="DO139" s="751">
        <f t="shared" si="376"/>
        <v>45513.196631544102</v>
      </c>
      <c r="DP139" s="751">
        <f t="shared" si="377"/>
        <v>1001290.3258939702</v>
      </c>
      <c r="DQ139" s="752">
        <f t="shared" si="295"/>
        <v>0.50064516294698513</v>
      </c>
      <c r="DR139" s="503"/>
      <c r="DS139" s="751">
        <f t="shared" si="296"/>
        <v>3217761.6970289317</v>
      </c>
      <c r="DT139" s="751">
        <f>'[4]INTERNAL PRICELIST'!N133</f>
        <v>2111900</v>
      </c>
      <c r="DU139" s="751">
        <f t="shared" si="378"/>
        <v>1105861.6970289317</v>
      </c>
      <c r="DV139" s="503"/>
      <c r="DW139" s="951">
        <f t="shared" si="297"/>
        <v>146261.89531949689</v>
      </c>
      <c r="DX139" s="503"/>
      <c r="DZ139" s="1010" t="s">
        <v>566</v>
      </c>
      <c r="EA139" s="1052" t="b">
        <f t="shared" si="379"/>
        <v>1</v>
      </c>
      <c r="EB139" s="1072" t="s">
        <v>567</v>
      </c>
      <c r="EC139" s="1072" t="s">
        <v>547</v>
      </c>
      <c r="ED139" s="503"/>
      <c r="EH139" s="930"/>
      <c r="EI139" s="930"/>
      <c r="EJ139" s="503"/>
      <c r="EK139" s="503"/>
      <c r="EL139" s="503"/>
      <c r="EM139" s="503"/>
      <c r="EN139" s="503"/>
      <c r="EO139" s="503"/>
      <c r="EP139" s="503"/>
      <c r="EQ139" s="503"/>
      <c r="ER139" s="1017" t="s">
        <v>264</v>
      </c>
      <c r="ES139" s="1391" t="s">
        <v>264</v>
      </c>
      <c r="ET139" s="1018" t="b">
        <f t="shared" si="417"/>
        <v>1</v>
      </c>
      <c r="EU139" s="940"/>
      <c r="EV139" s="941"/>
      <c r="EW139" s="940"/>
      <c r="EX139" s="1019">
        <v>3013413.1134336316</v>
      </c>
      <c r="EY139" s="1019">
        <f t="shared" si="310"/>
        <v>452011.96701504471</v>
      </c>
      <c r="EZ139" s="1019">
        <f t="shared" si="311"/>
        <v>2561401.1464185868</v>
      </c>
      <c r="FA139" s="1019">
        <f t="shared" si="312"/>
        <v>301341.3113433632</v>
      </c>
      <c r="FB139" s="1019">
        <f t="shared" si="313"/>
        <v>2712071.8020902686</v>
      </c>
      <c r="FC139" s="1019">
        <f t="shared" si="314"/>
        <v>150670.65567168174</v>
      </c>
      <c r="FD139" s="1020"/>
      <c r="FE139" s="1021"/>
      <c r="FF139" s="1022">
        <f t="shared" si="315"/>
        <v>2561401.1464185868</v>
      </c>
      <c r="FG139" s="1022">
        <f t="shared" si="316"/>
        <v>217719.09744557989</v>
      </c>
      <c r="FH139" s="1022">
        <f t="shared" si="317"/>
        <v>108859.54872278994</v>
      </c>
      <c r="FI139" s="1023">
        <f t="shared" si="318"/>
        <v>2712071.8020902686</v>
      </c>
      <c r="FJ139" s="1023">
        <f t="shared" si="319"/>
        <v>230526.10317767283</v>
      </c>
      <c r="FK139" s="1023">
        <f t="shared" si="320"/>
        <v>115263.05158883642</v>
      </c>
      <c r="FL139" s="1019">
        <f t="shared" si="321"/>
        <v>12807.005732092948</v>
      </c>
      <c r="FM139" s="1019">
        <f t="shared" si="322"/>
        <v>6403.5028660464741</v>
      </c>
      <c r="FN139" s="1019" t="str">
        <f t="shared" si="323"/>
        <v>VS</v>
      </c>
      <c r="FO139" s="1019">
        <f t="shared" si="324"/>
        <v>27537.409960060559</v>
      </c>
      <c r="FP139" s="1019">
        <f t="shared" si="325"/>
        <v>-21133.907094014085</v>
      </c>
      <c r="FQ139" s="1021"/>
      <c r="FR139" s="1021"/>
      <c r="FS139" s="1020"/>
      <c r="FT139" s="503"/>
      <c r="FU139" s="956"/>
      <c r="FV139" s="503"/>
      <c r="FW139" s="503"/>
      <c r="FX139" s="1040"/>
      <c r="FY139" s="503"/>
      <c r="FZ139" s="503"/>
      <c r="GA139" s="503"/>
      <c r="GE139" s="503"/>
      <c r="GF139" s="1059"/>
      <c r="GG139" s="956"/>
      <c r="GH139" s="945"/>
      <c r="GI139" s="1024">
        <f t="shared" si="418"/>
        <v>3660203.93037041</v>
      </c>
      <c r="GJ139" s="1025">
        <f t="shared" si="419"/>
        <v>0.125</v>
      </c>
      <c r="GK139" s="1024">
        <f t="shared" si="420"/>
        <v>457525.49129630125</v>
      </c>
      <c r="GL139" s="1024">
        <f t="shared" si="421"/>
        <v>30000</v>
      </c>
      <c r="GM139" s="1024">
        <f t="shared" si="422"/>
        <v>427525.49129630125</v>
      </c>
      <c r="GN139" s="1024">
        <f t="shared" si="423"/>
        <v>2</v>
      </c>
      <c r="GO139" s="1024">
        <f t="shared" si="424"/>
        <v>213762.74564815062</v>
      </c>
      <c r="GP139" s="1025">
        <f t="shared" si="425"/>
        <v>0.875</v>
      </c>
      <c r="GQ139" s="1024">
        <f t="shared" si="426"/>
        <v>3202678.4390741088</v>
      </c>
      <c r="GR139" s="1024">
        <f t="shared" si="427"/>
        <v>24830.331849436756</v>
      </c>
      <c r="GS139" s="1024">
        <f t="shared" si="428"/>
        <v>28786.57923489331</v>
      </c>
      <c r="GT139" s="1024">
        <f t="shared" si="429"/>
        <v>37185.812298717152</v>
      </c>
      <c r="GU139" s="1024">
        <f t="shared" si="430"/>
        <v>63416.871633003168</v>
      </c>
      <c r="GV139" s="945"/>
      <c r="GW139" s="1024">
        <f t="shared" si="431"/>
        <v>3660203.93037041</v>
      </c>
      <c r="GX139" s="1025">
        <f t="shared" si="432"/>
        <v>0.125</v>
      </c>
      <c r="GY139" s="1024">
        <f t="shared" si="433"/>
        <v>457525.49129630125</v>
      </c>
      <c r="GZ139" s="1024">
        <f t="shared" si="434"/>
        <v>30000</v>
      </c>
      <c r="HA139" s="1024">
        <f t="shared" si="435"/>
        <v>427525.49129630125</v>
      </c>
      <c r="HB139" s="1026">
        <f t="shared" si="436"/>
        <v>25</v>
      </c>
      <c r="HC139" s="1009">
        <f t="shared" si="437"/>
        <v>17101.01965185205</v>
      </c>
      <c r="HD139" s="1027">
        <f t="shared" si="438"/>
        <v>0.875</v>
      </c>
      <c r="HE139" s="1009">
        <f t="shared" si="439"/>
        <v>3202678.4390741088</v>
      </c>
      <c r="HF139" s="1008">
        <f t="shared" si="440"/>
        <v>24830.331849436756</v>
      </c>
      <c r="HG139" s="1008">
        <f t="shared" si="441"/>
        <v>28786.57923489331</v>
      </c>
      <c r="HH139" s="1008">
        <f t="shared" si="442"/>
        <v>37185.812298717152</v>
      </c>
      <c r="HI139" s="1008">
        <f t="shared" si="443"/>
        <v>63416.871633003168</v>
      </c>
      <c r="HJ139" s="945"/>
      <c r="HK139" s="1009">
        <f t="shared" si="444"/>
        <v>-196661.72599629857</v>
      </c>
      <c r="HL139" s="503"/>
      <c r="HM139" s="503"/>
      <c r="HN139" s="503"/>
      <c r="HO139" s="503"/>
      <c r="HP139" s="503"/>
      <c r="HQ139" s="503"/>
      <c r="HR139" s="956">
        <f t="shared" si="445"/>
        <v>0</v>
      </c>
      <c r="HS139" s="503"/>
      <c r="HT139" s="503"/>
      <c r="HU139" s="956"/>
      <c r="HV139" s="503"/>
      <c r="HW139" s="956"/>
      <c r="HX139" s="956"/>
      <c r="HY139" s="503"/>
      <c r="HZ139" s="503"/>
      <c r="IA139" s="503"/>
      <c r="ID139" s="1394"/>
    </row>
    <row r="140" spans="1:238" s="1051" customFormat="1" ht="14.25" hidden="1" customHeight="1">
      <c r="A140" s="1018">
        <f t="shared" si="326"/>
        <v>134</v>
      </c>
      <c r="B140" s="716" t="s">
        <v>264</v>
      </c>
      <c r="C140" s="741">
        <f t="shared" si="360"/>
        <v>14</v>
      </c>
      <c r="D140" s="716" t="s">
        <v>286</v>
      </c>
      <c r="E140" s="743" t="str">
        <f t="shared" si="352"/>
        <v>9th Floor</v>
      </c>
      <c r="F140" s="1048"/>
      <c r="G140" s="745" t="s">
        <v>568</v>
      </c>
      <c r="H140" s="745" t="s">
        <v>338</v>
      </c>
      <c r="I140" s="745" t="s">
        <v>267</v>
      </c>
      <c r="J140" s="1005">
        <v>22</v>
      </c>
      <c r="K140" s="1049"/>
      <c r="L140" s="1006" t="s">
        <v>268</v>
      </c>
      <c r="M140" s="745" t="s">
        <v>79</v>
      </c>
      <c r="N140" s="1050">
        <v>95909.091</v>
      </c>
      <c r="O140" s="934">
        <f t="shared" si="298"/>
        <v>2110000.0019999999</v>
      </c>
      <c r="P140" s="934">
        <f t="shared" si="327"/>
        <v>22400</v>
      </c>
      <c r="Q140" s="934">
        <f t="shared" si="293"/>
        <v>50000</v>
      </c>
      <c r="R140" s="934"/>
      <c r="S140" s="934"/>
      <c r="T140" s="934"/>
      <c r="U140" s="934"/>
      <c r="V140" s="934"/>
      <c r="W140" s="749"/>
      <c r="X140" s="934"/>
      <c r="Y140" s="934">
        <f t="shared" si="361"/>
        <v>100000</v>
      </c>
      <c r="Z140" s="934">
        <f t="shared" si="299"/>
        <v>75000</v>
      </c>
      <c r="AA140" s="934"/>
      <c r="AB140" s="934"/>
      <c r="AC140" s="934"/>
      <c r="AD140" s="934"/>
      <c r="AE140" s="934">
        <f t="shared" si="365"/>
        <v>247400</v>
      </c>
      <c r="AF140" s="1005">
        <f t="shared" si="366"/>
        <v>2357400.0019999999</v>
      </c>
      <c r="AG140" s="1005">
        <f t="shared" si="380"/>
        <v>58935.000050000002</v>
      </c>
      <c r="AH140" s="1005">
        <f t="shared" si="381"/>
        <v>2416335.0020499998</v>
      </c>
      <c r="AI140" s="1005">
        <f t="shared" si="382"/>
        <v>60408.375051249997</v>
      </c>
      <c r="AJ140" s="1005">
        <f t="shared" si="383"/>
        <v>2476743.37710125</v>
      </c>
      <c r="AK140" s="1005">
        <f t="shared" si="384"/>
        <v>123837.16885506251</v>
      </c>
      <c r="AL140" s="1005">
        <f t="shared" si="300"/>
        <v>2600580.5459563127</v>
      </c>
      <c r="AM140" s="934">
        <f t="shared" si="385"/>
        <v>26005.805459563126</v>
      </c>
      <c r="AN140" s="934">
        <f t="shared" si="386"/>
        <v>27537.409960060559</v>
      </c>
      <c r="AO140" s="934"/>
      <c r="AP140" s="934">
        <f t="shared" si="301"/>
        <v>115263.05158883642</v>
      </c>
      <c r="AQ140" s="1005">
        <f t="shared" si="367"/>
        <v>2769386.8129647728</v>
      </c>
      <c r="AR140" s="1005">
        <f t="shared" si="387"/>
        <v>124622.40658341478</v>
      </c>
      <c r="AS140" s="1147">
        <f t="shared" si="388"/>
        <v>2894009.2195481877</v>
      </c>
      <c r="AT140" s="1148">
        <f t="shared" si="348"/>
        <v>2000000</v>
      </c>
      <c r="AU140" s="1148">
        <f t="shared" si="358"/>
        <v>40636.782706735801</v>
      </c>
      <c r="AV140" s="1148">
        <f t="shared" si="303"/>
        <v>894009.21954818768</v>
      </c>
      <c r="AW140" s="1148">
        <f t="shared" si="368"/>
        <v>107281.10634578252</v>
      </c>
      <c r="AX140" s="1148">
        <f t="shared" si="369"/>
        <v>1001290.3258939702</v>
      </c>
      <c r="AY140" s="1147">
        <f t="shared" si="389"/>
        <v>3001290.3258939702</v>
      </c>
      <c r="AZ140" s="934">
        <f t="shared" si="390"/>
        <v>37516.12907367463</v>
      </c>
      <c r="BA140" s="716" t="s">
        <v>269</v>
      </c>
      <c r="BB140" s="716">
        <f t="shared" si="370"/>
        <v>3038806.454967645</v>
      </c>
      <c r="BC140" s="716" t="s">
        <v>269</v>
      </c>
      <c r="BD140" s="716">
        <f t="shared" si="391"/>
        <v>113955.24206128668</v>
      </c>
      <c r="BE140" s="716">
        <f t="shared" si="392"/>
        <v>33600</v>
      </c>
      <c r="BF140" s="716">
        <f t="shared" si="393"/>
        <v>3186361.6970289317</v>
      </c>
      <c r="BG140" s="716"/>
      <c r="BH140" s="716">
        <f t="shared" si="394"/>
        <v>3186361.6970289317</v>
      </c>
      <c r="BI140" s="716"/>
      <c r="BJ140" s="716">
        <f t="shared" si="395"/>
        <v>3186361.6970289317</v>
      </c>
      <c r="BK140" s="716"/>
      <c r="BL140" s="716">
        <f t="shared" si="396"/>
        <v>3186361.6970289317</v>
      </c>
      <c r="BM140" s="716"/>
      <c r="BN140" s="716">
        <f t="shared" si="371"/>
        <v>3186361.6970289317</v>
      </c>
      <c r="BO140" s="716"/>
      <c r="BP140" s="716">
        <f t="shared" si="397"/>
        <v>3186361.6970289317</v>
      </c>
      <c r="BQ140" s="716"/>
      <c r="BR140" s="716">
        <f t="shared" si="398"/>
        <v>3186361.6970289317</v>
      </c>
      <c r="BS140" s="716"/>
      <c r="BT140" s="716">
        <f t="shared" si="399"/>
        <v>3186361.6970289317</v>
      </c>
      <c r="BU140" s="716"/>
      <c r="BV140" s="716">
        <f t="shared" si="372"/>
        <v>3186361.6970289317</v>
      </c>
      <c r="BW140" s="716"/>
      <c r="BX140" s="716">
        <f t="shared" si="329"/>
        <v>31400</v>
      </c>
      <c r="BY140" s="716">
        <f t="shared" si="400"/>
        <v>3217761.6970289317</v>
      </c>
      <c r="BZ140" s="716"/>
      <c r="CA140" s="716">
        <f t="shared" si="401"/>
        <v>3217761.6970289317</v>
      </c>
      <c r="CB140" s="1135">
        <f t="shared" si="402"/>
        <v>3217761.6970289317</v>
      </c>
      <c r="CC140" s="1164">
        <f t="shared" si="446"/>
        <v>3217761.6970289317</v>
      </c>
      <c r="CD140" s="1164"/>
      <c r="CE140" s="1164">
        <f t="shared" si="403"/>
        <v>0</v>
      </c>
      <c r="CF140" s="1164">
        <f t="shared" si="448"/>
        <v>0</v>
      </c>
      <c r="CG140" s="1164">
        <f t="shared" si="449"/>
        <v>0</v>
      </c>
      <c r="CH140" s="1154">
        <f t="shared" si="339"/>
        <v>3217761.6970289317</v>
      </c>
      <c r="CI140" s="935">
        <f t="shared" si="340"/>
        <v>3217761.6970289317</v>
      </c>
      <c r="CJ140" s="935">
        <f t="shared" si="404"/>
        <v>0</v>
      </c>
      <c r="CK140" s="935">
        <f t="shared" si="373"/>
        <v>329820.5739454655</v>
      </c>
      <c r="CL140" s="935">
        <f t="shared" si="374"/>
        <v>112621.65939601262</v>
      </c>
      <c r="CM140" s="1006">
        <f t="shared" si="306"/>
        <v>3660203.93037041</v>
      </c>
      <c r="CN140" s="1007">
        <f t="shared" si="307"/>
        <v>0.125</v>
      </c>
      <c r="CO140" s="935">
        <f t="shared" si="210"/>
        <v>457525.49129630125</v>
      </c>
      <c r="CP140" s="935">
        <f t="shared" si="330"/>
        <v>30000</v>
      </c>
      <c r="CQ140" s="935">
        <f t="shared" si="211"/>
        <v>427525.49129630125</v>
      </c>
      <c r="CR140" s="745">
        <f t="shared" si="308"/>
        <v>2</v>
      </c>
      <c r="CS140" s="935">
        <f t="shared" si="212"/>
        <v>213762.74564815062</v>
      </c>
      <c r="CT140" s="1007">
        <f t="shared" si="405"/>
        <v>0.875</v>
      </c>
      <c r="CU140" s="935">
        <f t="shared" si="406"/>
        <v>3202678.4390741088</v>
      </c>
      <c r="CV140" s="1008">
        <f t="shared" si="407"/>
        <v>24830.331849436756</v>
      </c>
      <c r="CW140" s="1008">
        <f t="shared" si="408"/>
        <v>28786.57923489331</v>
      </c>
      <c r="CX140" s="1008">
        <f t="shared" si="409"/>
        <v>37185.812298717152</v>
      </c>
      <c r="CY140" s="1008">
        <f t="shared" si="410"/>
        <v>63416.871633003168</v>
      </c>
      <c r="CZ140" s="1119">
        <f t="shared" si="411"/>
        <v>260163.749365161</v>
      </c>
      <c r="DA140" s="1119">
        <f t="shared" si="412"/>
        <v>102945.52829340976</v>
      </c>
      <c r="DB140" s="1119">
        <f t="shared" si="413"/>
        <v>74356.097048779266</v>
      </c>
      <c r="DC140" s="1119">
        <f t="shared" si="414"/>
        <v>56588.413032029348</v>
      </c>
      <c r="DD140" s="1028">
        <f t="shared" si="294"/>
        <v>0.44700460977409384</v>
      </c>
      <c r="DE140" s="1028">
        <f t="shared" si="341"/>
        <v>0</v>
      </c>
      <c r="DF140" s="1009" t="s">
        <v>270</v>
      </c>
      <c r="DG140" s="1009" t="s">
        <v>271</v>
      </c>
      <c r="DH140" s="966">
        <f t="shared" si="447"/>
        <v>45658</v>
      </c>
      <c r="DI140" s="912">
        <f t="shared" si="415"/>
        <v>14</v>
      </c>
      <c r="DJ140" s="939"/>
      <c r="DK140" s="913">
        <f t="shared" si="375"/>
        <v>45723</v>
      </c>
      <c r="DL140" s="912">
        <f t="shared" si="416"/>
        <v>16</v>
      </c>
      <c r="DM140" s="750" t="s">
        <v>272</v>
      </c>
      <c r="DN140" s="750" t="s">
        <v>273</v>
      </c>
      <c r="DO140" s="751">
        <f t="shared" si="376"/>
        <v>45513.196631544102</v>
      </c>
      <c r="DP140" s="751">
        <f t="shared" si="377"/>
        <v>1001290.3258939702</v>
      </c>
      <c r="DQ140" s="752">
        <f t="shared" si="295"/>
        <v>0.50064516294698513</v>
      </c>
      <c r="DR140" s="503"/>
      <c r="DS140" s="751">
        <f t="shared" si="296"/>
        <v>3217761.6970289317</v>
      </c>
      <c r="DT140" s="751">
        <f>'[4]INTERNAL PRICELIST'!N134</f>
        <v>2111900</v>
      </c>
      <c r="DU140" s="751">
        <f t="shared" si="378"/>
        <v>1105861.6970289317</v>
      </c>
      <c r="DV140" s="503"/>
      <c r="DW140" s="951">
        <f t="shared" si="297"/>
        <v>146261.89531949689</v>
      </c>
      <c r="DX140" s="503"/>
      <c r="DZ140" s="1010" t="s">
        <v>568</v>
      </c>
      <c r="EA140" s="1052" t="b">
        <f t="shared" si="379"/>
        <v>1</v>
      </c>
      <c r="EB140" s="1072" t="s">
        <v>569</v>
      </c>
      <c r="EC140" s="1072" t="s">
        <v>547</v>
      </c>
      <c r="ED140" s="503"/>
      <c r="EH140" s="930"/>
      <c r="EI140" s="930"/>
      <c r="EJ140" s="503"/>
      <c r="EK140" s="503"/>
      <c r="EL140" s="503"/>
      <c r="EM140" s="503"/>
      <c r="EN140" s="503"/>
      <c r="EO140" s="503"/>
      <c r="EP140" s="503"/>
      <c r="EQ140" s="503"/>
      <c r="ER140" s="1017" t="s">
        <v>264</v>
      </c>
      <c r="ES140" s="1391" t="s">
        <v>264</v>
      </c>
      <c r="ET140" s="1018" t="b">
        <f t="shared" si="417"/>
        <v>1</v>
      </c>
      <c r="EU140" s="940"/>
      <c r="EV140" s="941"/>
      <c r="EW140" s="940"/>
      <c r="EX140" s="1019">
        <v>3013413.1134336316</v>
      </c>
      <c r="EY140" s="1019">
        <f t="shared" si="310"/>
        <v>452011.96701504471</v>
      </c>
      <c r="EZ140" s="1019">
        <f t="shared" si="311"/>
        <v>2561401.1464185868</v>
      </c>
      <c r="FA140" s="1019">
        <f t="shared" si="312"/>
        <v>301341.3113433632</v>
      </c>
      <c r="FB140" s="1019">
        <f t="shared" si="313"/>
        <v>2712071.8020902686</v>
      </c>
      <c r="FC140" s="1019">
        <f t="shared" si="314"/>
        <v>150670.65567168174</v>
      </c>
      <c r="FD140" s="1020"/>
      <c r="FE140" s="1021"/>
      <c r="FF140" s="1022">
        <f t="shared" si="315"/>
        <v>2561401.1464185868</v>
      </c>
      <c r="FG140" s="1022">
        <f t="shared" si="316"/>
        <v>217719.09744557989</v>
      </c>
      <c r="FH140" s="1022">
        <f t="shared" si="317"/>
        <v>108859.54872278994</v>
      </c>
      <c r="FI140" s="1023">
        <f t="shared" si="318"/>
        <v>2712071.8020902686</v>
      </c>
      <c r="FJ140" s="1023">
        <f t="shared" si="319"/>
        <v>230526.10317767283</v>
      </c>
      <c r="FK140" s="1023">
        <f t="shared" si="320"/>
        <v>115263.05158883642</v>
      </c>
      <c r="FL140" s="1019">
        <f t="shared" si="321"/>
        <v>12807.005732092948</v>
      </c>
      <c r="FM140" s="1019">
        <f t="shared" si="322"/>
        <v>6403.5028660464741</v>
      </c>
      <c r="FN140" s="1019" t="str">
        <f t="shared" si="323"/>
        <v>VS</v>
      </c>
      <c r="FO140" s="1019">
        <f t="shared" si="324"/>
        <v>27537.409960060559</v>
      </c>
      <c r="FP140" s="1019">
        <f t="shared" si="325"/>
        <v>-21133.907094014085</v>
      </c>
      <c r="FQ140" s="1021"/>
      <c r="FR140" s="1021"/>
      <c r="FS140" s="1020"/>
      <c r="FT140" s="503"/>
      <c r="FU140" s="956"/>
      <c r="FV140" s="503"/>
      <c r="FW140" s="503"/>
      <c r="FX140" s="1040"/>
      <c r="FY140" s="503"/>
      <c r="FZ140" s="503"/>
      <c r="GA140" s="503"/>
      <c r="GE140" s="503"/>
      <c r="GF140" s="1059"/>
      <c r="GG140" s="956"/>
      <c r="GH140" s="945"/>
      <c r="GI140" s="1024">
        <f t="shared" si="418"/>
        <v>3660203.93037041</v>
      </c>
      <c r="GJ140" s="1025">
        <f t="shared" si="419"/>
        <v>0.125</v>
      </c>
      <c r="GK140" s="1024">
        <f t="shared" si="420"/>
        <v>457525.49129630125</v>
      </c>
      <c r="GL140" s="1024">
        <f t="shared" si="421"/>
        <v>30000</v>
      </c>
      <c r="GM140" s="1024">
        <f t="shared" si="422"/>
        <v>427525.49129630125</v>
      </c>
      <c r="GN140" s="1024">
        <f t="shared" si="423"/>
        <v>2</v>
      </c>
      <c r="GO140" s="1024">
        <f t="shared" si="424"/>
        <v>213762.74564815062</v>
      </c>
      <c r="GP140" s="1025">
        <f t="shared" si="425"/>
        <v>0.875</v>
      </c>
      <c r="GQ140" s="1024">
        <f t="shared" si="426"/>
        <v>3202678.4390741088</v>
      </c>
      <c r="GR140" s="1024">
        <f t="shared" si="427"/>
        <v>24830.331849436756</v>
      </c>
      <c r="GS140" s="1024">
        <f t="shared" si="428"/>
        <v>28786.57923489331</v>
      </c>
      <c r="GT140" s="1024">
        <f t="shared" si="429"/>
        <v>37185.812298717152</v>
      </c>
      <c r="GU140" s="1024">
        <f t="shared" si="430"/>
        <v>63416.871633003168</v>
      </c>
      <c r="GV140" s="945"/>
      <c r="GW140" s="1024">
        <f t="shared" si="431"/>
        <v>3660203.93037041</v>
      </c>
      <c r="GX140" s="1025">
        <f t="shared" si="432"/>
        <v>0.125</v>
      </c>
      <c r="GY140" s="1024">
        <f t="shared" si="433"/>
        <v>457525.49129630125</v>
      </c>
      <c r="GZ140" s="1024">
        <f t="shared" si="434"/>
        <v>30000</v>
      </c>
      <c r="HA140" s="1024">
        <f t="shared" si="435"/>
        <v>427525.49129630125</v>
      </c>
      <c r="HB140" s="1026">
        <f t="shared" si="436"/>
        <v>25</v>
      </c>
      <c r="HC140" s="1009">
        <f t="shared" si="437"/>
        <v>17101.01965185205</v>
      </c>
      <c r="HD140" s="1027">
        <f t="shared" si="438"/>
        <v>0.875</v>
      </c>
      <c r="HE140" s="1009">
        <f t="shared" si="439"/>
        <v>3202678.4390741088</v>
      </c>
      <c r="HF140" s="1008">
        <f t="shared" si="440"/>
        <v>24830.331849436756</v>
      </c>
      <c r="HG140" s="1008">
        <f t="shared" si="441"/>
        <v>28786.57923489331</v>
      </c>
      <c r="HH140" s="1008">
        <f t="shared" si="442"/>
        <v>37185.812298717152</v>
      </c>
      <c r="HI140" s="1008">
        <f t="shared" si="443"/>
        <v>63416.871633003168</v>
      </c>
      <c r="HJ140" s="945"/>
      <c r="HK140" s="1009">
        <f t="shared" si="444"/>
        <v>-196661.72599629857</v>
      </c>
      <c r="HL140" s="503"/>
      <c r="HM140" s="503"/>
      <c r="HN140" s="503"/>
      <c r="HO140" s="503"/>
      <c r="HP140" s="503"/>
      <c r="HQ140" s="503"/>
      <c r="HR140" s="956">
        <f t="shared" si="445"/>
        <v>0</v>
      </c>
      <c r="HS140" s="503"/>
      <c r="HT140" s="503"/>
      <c r="HU140" s="956"/>
      <c r="HV140" s="503"/>
      <c r="HW140" s="956"/>
      <c r="HX140" s="956"/>
      <c r="HY140" s="503"/>
      <c r="HZ140" s="503"/>
      <c r="IA140" s="503"/>
      <c r="ID140" s="1394"/>
    </row>
    <row r="141" spans="1:238" s="1051" customFormat="1" ht="14.25" hidden="1" customHeight="1">
      <c r="A141" s="1018">
        <f t="shared" si="326"/>
        <v>135</v>
      </c>
      <c r="B141" s="716" t="s">
        <v>264</v>
      </c>
      <c r="C141" s="741">
        <f t="shared" si="360"/>
        <v>15</v>
      </c>
      <c r="D141" s="716" t="s">
        <v>286</v>
      </c>
      <c r="E141" s="743" t="str">
        <f t="shared" si="352"/>
        <v>9th Floor</v>
      </c>
      <c r="F141" s="1048"/>
      <c r="G141" s="745" t="s">
        <v>570</v>
      </c>
      <c r="H141" s="745" t="s">
        <v>342</v>
      </c>
      <c r="I141" s="745" t="s">
        <v>267</v>
      </c>
      <c r="J141" s="1005">
        <v>22</v>
      </c>
      <c r="K141" s="1049"/>
      <c r="L141" s="1006" t="s">
        <v>268</v>
      </c>
      <c r="M141" s="745" t="s">
        <v>79</v>
      </c>
      <c r="N141" s="1050">
        <v>95909.091</v>
      </c>
      <c r="O141" s="934">
        <f t="shared" si="298"/>
        <v>2110000.0019999999</v>
      </c>
      <c r="P141" s="934">
        <f t="shared" si="327"/>
        <v>22400</v>
      </c>
      <c r="Q141" s="934">
        <f t="shared" ref="Q141:Q204" si="450">$Q$5</f>
        <v>50000</v>
      </c>
      <c r="R141" s="934"/>
      <c r="S141" s="934"/>
      <c r="T141" s="934"/>
      <c r="U141" s="934"/>
      <c r="V141" s="934"/>
      <c r="W141" s="749"/>
      <c r="X141" s="934"/>
      <c r="Y141" s="934">
        <f t="shared" si="361"/>
        <v>100000</v>
      </c>
      <c r="Z141" s="934">
        <f t="shared" si="299"/>
        <v>75000</v>
      </c>
      <c r="AA141" s="934"/>
      <c r="AB141" s="934"/>
      <c r="AC141" s="934"/>
      <c r="AD141" s="934"/>
      <c r="AE141" s="934">
        <f t="shared" si="365"/>
        <v>247400</v>
      </c>
      <c r="AF141" s="1005">
        <f t="shared" si="366"/>
        <v>2357400.0019999999</v>
      </c>
      <c r="AG141" s="1005">
        <f t="shared" si="380"/>
        <v>58935.000050000002</v>
      </c>
      <c r="AH141" s="1005">
        <f t="shared" si="381"/>
        <v>2416335.0020499998</v>
      </c>
      <c r="AI141" s="1005">
        <f t="shared" si="382"/>
        <v>60408.375051249997</v>
      </c>
      <c r="AJ141" s="1005">
        <f t="shared" si="383"/>
        <v>2476743.37710125</v>
      </c>
      <c r="AK141" s="1005">
        <f t="shared" si="384"/>
        <v>123837.16885506251</v>
      </c>
      <c r="AL141" s="1005">
        <f t="shared" si="300"/>
        <v>2600580.5459563127</v>
      </c>
      <c r="AM141" s="934">
        <f t="shared" si="385"/>
        <v>26005.805459563126</v>
      </c>
      <c r="AN141" s="934">
        <f t="shared" si="386"/>
        <v>27537.409960060559</v>
      </c>
      <c r="AO141" s="934"/>
      <c r="AP141" s="934">
        <f t="shared" si="301"/>
        <v>115263.05158883642</v>
      </c>
      <c r="AQ141" s="1005">
        <f t="shared" si="367"/>
        <v>2769386.8129647728</v>
      </c>
      <c r="AR141" s="1005">
        <f t="shared" si="387"/>
        <v>124622.40658341478</v>
      </c>
      <c r="AS141" s="1147">
        <f t="shared" si="388"/>
        <v>2894009.2195481877</v>
      </c>
      <c r="AT141" s="1148">
        <f t="shared" si="348"/>
        <v>2000000</v>
      </c>
      <c r="AU141" s="1148">
        <f t="shared" si="358"/>
        <v>40636.782706735801</v>
      </c>
      <c r="AV141" s="1148">
        <f t="shared" si="303"/>
        <v>894009.21954818768</v>
      </c>
      <c r="AW141" s="1148">
        <f t="shared" si="368"/>
        <v>107281.10634578252</v>
      </c>
      <c r="AX141" s="1148">
        <f t="shared" si="369"/>
        <v>1001290.3258939702</v>
      </c>
      <c r="AY141" s="1147">
        <f t="shared" si="389"/>
        <v>3001290.3258939702</v>
      </c>
      <c r="AZ141" s="934">
        <f t="shared" si="390"/>
        <v>37516.12907367463</v>
      </c>
      <c r="BA141" s="716" t="s">
        <v>269</v>
      </c>
      <c r="BB141" s="716">
        <f t="shared" si="370"/>
        <v>3038806.454967645</v>
      </c>
      <c r="BC141" s="716" t="s">
        <v>269</v>
      </c>
      <c r="BD141" s="716">
        <f t="shared" si="391"/>
        <v>113955.24206128668</v>
      </c>
      <c r="BE141" s="716">
        <f t="shared" si="392"/>
        <v>33600</v>
      </c>
      <c r="BF141" s="716">
        <f t="shared" si="393"/>
        <v>3186361.6970289317</v>
      </c>
      <c r="BG141" s="716"/>
      <c r="BH141" s="716">
        <f t="shared" si="394"/>
        <v>3186361.6970289317</v>
      </c>
      <c r="BI141" s="716"/>
      <c r="BJ141" s="716">
        <f t="shared" si="395"/>
        <v>3186361.6970289317</v>
      </c>
      <c r="BK141" s="716"/>
      <c r="BL141" s="716">
        <f t="shared" si="396"/>
        <v>3186361.6970289317</v>
      </c>
      <c r="BM141" s="716"/>
      <c r="BN141" s="716">
        <f t="shared" si="371"/>
        <v>3186361.6970289317</v>
      </c>
      <c r="BO141" s="716"/>
      <c r="BP141" s="716">
        <f t="shared" si="397"/>
        <v>3186361.6970289317</v>
      </c>
      <c r="BQ141" s="716"/>
      <c r="BR141" s="716">
        <f t="shared" si="398"/>
        <v>3186361.6970289317</v>
      </c>
      <c r="BS141" s="716"/>
      <c r="BT141" s="716">
        <f t="shared" si="399"/>
        <v>3186361.6970289317</v>
      </c>
      <c r="BU141" s="716"/>
      <c r="BV141" s="716">
        <f t="shared" si="372"/>
        <v>3186361.6970289317</v>
      </c>
      <c r="BW141" s="716"/>
      <c r="BX141" s="716">
        <f t="shared" si="329"/>
        <v>31400</v>
      </c>
      <c r="BY141" s="716">
        <f t="shared" si="400"/>
        <v>3217761.6970289317</v>
      </c>
      <c r="BZ141" s="716"/>
      <c r="CA141" s="716">
        <f t="shared" si="401"/>
        <v>3217761.6970289317</v>
      </c>
      <c r="CB141" s="1135">
        <f t="shared" si="402"/>
        <v>3217761.6970289317</v>
      </c>
      <c r="CC141" s="1164">
        <f t="shared" si="446"/>
        <v>3217761.6970289317</v>
      </c>
      <c r="CD141" s="1164"/>
      <c r="CE141" s="1164">
        <f t="shared" si="403"/>
        <v>0</v>
      </c>
      <c r="CF141" s="1164">
        <f t="shared" si="448"/>
        <v>0</v>
      </c>
      <c r="CG141" s="1164">
        <f t="shared" si="449"/>
        <v>0</v>
      </c>
      <c r="CH141" s="1154">
        <f t="shared" si="339"/>
        <v>3217761.6970289317</v>
      </c>
      <c r="CI141" s="935">
        <f t="shared" si="340"/>
        <v>3217761.6970289317</v>
      </c>
      <c r="CJ141" s="935">
        <f t="shared" si="404"/>
        <v>0</v>
      </c>
      <c r="CK141" s="935">
        <f t="shared" si="373"/>
        <v>329820.5739454655</v>
      </c>
      <c r="CL141" s="935">
        <f t="shared" si="374"/>
        <v>112621.65939601262</v>
      </c>
      <c r="CM141" s="1006">
        <f t="shared" si="306"/>
        <v>3660203.93037041</v>
      </c>
      <c r="CN141" s="1007">
        <f t="shared" si="307"/>
        <v>0.125</v>
      </c>
      <c r="CO141" s="935">
        <f t="shared" si="210"/>
        <v>457525.49129630125</v>
      </c>
      <c r="CP141" s="935">
        <f t="shared" si="330"/>
        <v>30000</v>
      </c>
      <c r="CQ141" s="935">
        <f t="shared" si="211"/>
        <v>427525.49129630125</v>
      </c>
      <c r="CR141" s="745">
        <f t="shared" si="308"/>
        <v>2</v>
      </c>
      <c r="CS141" s="935">
        <f t="shared" si="212"/>
        <v>213762.74564815062</v>
      </c>
      <c r="CT141" s="1007">
        <f t="shared" si="405"/>
        <v>0.875</v>
      </c>
      <c r="CU141" s="935">
        <f t="shared" si="406"/>
        <v>3202678.4390741088</v>
      </c>
      <c r="CV141" s="1008">
        <f t="shared" si="407"/>
        <v>24830.331849436756</v>
      </c>
      <c r="CW141" s="1008">
        <f t="shared" si="408"/>
        <v>28786.57923489331</v>
      </c>
      <c r="CX141" s="1008">
        <f t="shared" si="409"/>
        <v>37185.812298717152</v>
      </c>
      <c r="CY141" s="1008">
        <f t="shared" si="410"/>
        <v>63416.871633003168</v>
      </c>
      <c r="CZ141" s="1119">
        <f t="shared" si="411"/>
        <v>260163.749365161</v>
      </c>
      <c r="DA141" s="1119">
        <f t="shared" si="412"/>
        <v>102945.52829340976</v>
      </c>
      <c r="DB141" s="1119">
        <f t="shared" si="413"/>
        <v>74356.097048779266</v>
      </c>
      <c r="DC141" s="1119">
        <f t="shared" si="414"/>
        <v>56588.413032029348</v>
      </c>
      <c r="DD141" s="1028">
        <f t="shared" ref="DD141:DD204" si="451">AV141/AT141</f>
        <v>0.44700460977409384</v>
      </c>
      <c r="DE141" s="1028">
        <f t="shared" si="341"/>
        <v>0</v>
      </c>
      <c r="DF141" s="1009" t="s">
        <v>270</v>
      </c>
      <c r="DG141" s="1009" t="s">
        <v>271</v>
      </c>
      <c r="DH141" s="966">
        <f t="shared" si="447"/>
        <v>45658</v>
      </c>
      <c r="DI141" s="912">
        <f t="shared" si="415"/>
        <v>14</v>
      </c>
      <c r="DJ141" s="939"/>
      <c r="DK141" s="913">
        <f t="shared" si="375"/>
        <v>45723</v>
      </c>
      <c r="DL141" s="912">
        <f t="shared" si="416"/>
        <v>16</v>
      </c>
      <c r="DM141" s="750" t="s">
        <v>272</v>
      </c>
      <c r="DN141" s="750" t="s">
        <v>273</v>
      </c>
      <c r="DO141" s="751">
        <f t="shared" si="376"/>
        <v>45513.196631544102</v>
      </c>
      <c r="DP141" s="751">
        <f t="shared" si="377"/>
        <v>1001290.3258939702</v>
      </c>
      <c r="DQ141" s="752">
        <f t="shared" ref="DQ141:DQ204" si="452">AX141/AT141</f>
        <v>0.50064516294698513</v>
      </c>
      <c r="DR141" s="503"/>
      <c r="DS141" s="751">
        <f t="shared" ref="DS141:DS204" si="453">CI141</f>
        <v>3217761.6970289317</v>
      </c>
      <c r="DT141" s="751">
        <f>'[4]INTERNAL PRICELIST'!N135</f>
        <v>2111900</v>
      </c>
      <c r="DU141" s="751">
        <f t="shared" si="378"/>
        <v>1105861.6970289317</v>
      </c>
      <c r="DV141" s="503"/>
      <c r="DW141" s="951">
        <f t="shared" ref="DW141:DW204" si="454">DS141/J141</f>
        <v>146261.89531949689</v>
      </c>
      <c r="DX141" s="503"/>
      <c r="DZ141" s="1010" t="s">
        <v>570</v>
      </c>
      <c r="EA141" s="1052" t="b">
        <f t="shared" si="379"/>
        <v>1</v>
      </c>
      <c r="EB141" s="1072" t="s">
        <v>571</v>
      </c>
      <c r="EC141" s="1072" t="s">
        <v>547</v>
      </c>
      <c r="ED141" s="503"/>
      <c r="EH141" s="930"/>
      <c r="EI141" s="930"/>
      <c r="EJ141" s="503"/>
      <c r="EK141" s="503"/>
      <c r="EL141" s="503"/>
      <c r="EM141" s="503"/>
      <c r="EN141" s="503"/>
      <c r="EO141" s="503"/>
      <c r="EP141" s="503"/>
      <c r="EQ141" s="503"/>
      <c r="ER141" s="1017" t="s">
        <v>264</v>
      </c>
      <c r="ES141" s="1391" t="s">
        <v>264</v>
      </c>
      <c r="ET141" s="1018" t="b">
        <f t="shared" si="417"/>
        <v>1</v>
      </c>
      <c r="EU141" s="940"/>
      <c r="EV141" s="941"/>
      <c r="EW141" s="940"/>
      <c r="EX141" s="1019">
        <v>3013413.1134336316</v>
      </c>
      <c r="EY141" s="1019">
        <f t="shared" si="310"/>
        <v>452011.96701504471</v>
      </c>
      <c r="EZ141" s="1019">
        <f t="shared" si="311"/>
        <v>2561401.1464185868</v>
      </c>
      <c r="FA141" s="1019">
        <f t="shared" si="312"/>
        <v>301341.3113433632</v>
      </c>
      <c r="FB141" s="1019">
        <f t="shared" si="313"/>
        <v>2712071.8020902686</v>
      </c>
      <c r="FC141" s="1019">
        <f t="shared" si="314"/>
        <v>150670.65567168174</v>
      </c>
      <c r="FD141" s="1020"/>
      <c r="FE141" s="1021"/>
      <c r="FF141" s="1022">
        <f t="shared" si="315"/>
        <v>2561401.1464185868</v>
      </c>
      <c r="FG141" s="1022">
        <f t="shared" si="316"/>
        <v>217719.09744557989</v>
      </c>
      <c r="FH141" s="1022">
        <f t="shared" si="317"/>
        <v>108859.54872278994</v>
      </c>
      <c r="FI141" s="1023">
        <f t="shared" si="318"/>
        <v>2712071.8020902686</v>
      </c>
      <c r="FJ141" s="1023">
        <f t="shared" si="319"/>
        <v>230526.10317767283</v>
      </c>
      <c r="FK141" s="1023">
        <f t="shared" si="320"/>
        <v>115263.05158883642</v>
      </c>
      <c r="FL141" s="1019">
        <f t="shared" si="321"/>
        <v>12807.005732092948</v>
      </c>
      <c r="FM141" s="1019">
        <f t="shared" si="322"/>
        <v>6403.5028660464741</v>
      </c>
      <c r="FN141" s="1019" t="str">
        <f t="shared" si="323"/>
        <v>VS</v>
      </c>
      <c r="FO141" s="1019">
        <f t="shared" si="324"/>
        <v>27537.409960060559</v>
      </c>
      <c r="FP141" s="1019">
        <f t="shared" si="325"/>
        <v>-21133.907094014085</v>
      </c>
      <c r="FQ141" s="1021"/>
      <c r="FR141" s="1021"/>
      <c r="FS141" s="1020"/>
      <c r="FT141" s="503"/>
      <c r="FU141" s="956"/>
      <c r="FV141" s="503"/>
      <c r="FW141" s="503"/>
      <c r="FX141" s="1040"/>
      <c r="FY141" s="503"/>
      <c r="FZ141" s="503"/>
      <c r="GA141" s="503"/>
      <c r="GE141" s="503"/>
      <c r="GF141" s="1059"/>
      <c r="GG141" s="956"/>
      <c r="GH141" s="945"/>
      <c r="GI141" s="1024">
        <f t="shared" si="418"/>
        <v>3660203.93037041</v>
      </c>
      <c r="GJ141" s="1025">
        <f t="shared" si="419"/>
        <v>0.125</v>
      </c>
      <c r="GK141" s="1024">
        <f t="shared" si="420"/>
        <v>457525.49129630125</v>
      </c>
      <c r="GL141" s="1024">
        <f t="shared" si="421"/>
        <v>30000</v>
      </c>
      <c r="GM141" s="1024">
        <f t="shared" si="422"/>
        <v>427525.49129630125</v>
      </c>
      <c r="GN141" s="1024">
        <f t="shared" si="423"/>
        <v>2</v>
      </c>
      <c r="GO141" s="1024">
        <f t="shared" si="424"/>
        <v>213762.74564815062</v>
      </c>
      <c r="GP141" s="1025">
        <f t="shared" si="425"/>
        <v>0.875</v>
      </c>
      <c r="GQ141" s="1024">
        <f t="shared" si="426"/>
        <v>3202678.4390741088</v>
      </c>
      <c r="GR141" s="1024">
        <f t="shared" si="427"/>
        <v>24830.331849436756</v>
      </c>
      <c r="GS141" s="1024">
        <f t="shared" si="428"/>
        <v>28786.57923489331</v>
      </c>
      <c r="GT141" s="1024">
        <f t="shared" si="429"/>
        <v>37185.812298717152</v>
      </c>
      <c r="GU141" s="1024">
        <f t="shared" si="430"/>
        <v>63416.871633003168</v>
      </c>
      <c r="GV141" s="945"/>
      <c r="GW141" s="1024">
        <f t="shared" si="431"/>
        <v>3660203.93037041</v>
      </c>
      <c r="GX141" s="1025">
        <f t="shared" si="432"/>
        <v>0.125</v>
      </c>
      <c r="GY141" s="1024">
        <f t="shared" si="433"/>
        <v>457525.49129630125</v>
      </c>
      <c r="GZ141" s="1024">
        <f t="shared" si="434"/>
        <v>30000</v>
      </c>
      <c r="HA141" s="1024">
        <f t="shared" si="435"/>
        <v>427525.49129630125</v>
      </c>
      <c r="HB141" s="1026">
        <f t="shared" si="436"/>
        <v>25</v>
      </c>
      <c r="HC141" s="1009">
        <f t="shared" si="437"/>
        <v>17101.01965185205</v>
      </c>
      <c r="HD141" s="1027">
        <f t="shared" si="438"/>
        <v>0.875</v>
      </c>
      <c r="HE141" s="1009">
        <f t="shared" si="439"/>
        <v>3202678.4390741088</v>
      </c>
      <c r="HF141" s="1008">
        <f t="shared" si="440"/>
        <v>24830.331849436756</v>
      </c>
      <c r="HG141" s="1008">
        <f t="shared" si="441"/>
        <v>28786.57923489331</v>
      </c>
      <c r="HH141" s="1008">
        <f t="shared" si="442"/>
        <v>37185.812298717152</v>
      </c>
      <c r="HI141" s="1008">
        <f t="shared" si="443"/>
        <v>63416.871633003168</v>
      </c>
      <c r="HJ141" s="945"/>
      <c r="HK141" s="1009">
        <f t="shared" si="444"/>
        <v>-196661.72599629857</v>
      </c>
      <c r="HL141" s="503"/>
      <c r="HM141" s="503"/>
      <c r="HN141" s="503"/>
      <c r="HO141" s="503"/>
      <c r="HP141" s="503"/>
      <c r="HQ141" s="503"/>
      <c r="HR141" s="956">
        <f t="shared" si="445"/>
        <v>0</v>
      </c>
      <c r="HS141" s="503"/>
      <c r="HT141" s="503"/>
      <c r="HU141" s="956"/>
      <c r="HV141" s="503"/>
      <c r="HW141" s="956"/>
      <c r="HX141" s="956"/>
      <c r="HY141" s="503"/>
      <c r="HZ141" s="503"/>
      <c r="IA141" s="503"/>
      <c r="ID141" s="1394"/>
    </row>
    <row r="142" spans="1:238" s="1051" customFormat="1" ht="14.25" hidden="1" customHeight="1">
      <c r="A142" s="1018">
        <f t="shared" si="326"/>
        <v>136</v>
      </c>
      <c r="B142" s="716" t="s">
        <v>264</v>
      </c>
      <c r="C142" s="741">
        <f t="shared" si="360"/>
        <v>16</v>
      </c>
      <c r="D142" s="716" t="s">
        <v>286</v>
      </c>
      <c r="E142" s="743" t="str">
        <f t="shared" si="352"/>
        <v>9th Floor</v>
      </c>
      <c r="F142" s="1048"/>
      <c r="G142" s="745" t="s">
        <v>572</v>
      </c>
      <c r="H142" s="745" t="s">
        <v>345</v>
      </c>
      <c r="I142" s="745" t="s">
        <v>267</v>
      </c>
      <c r="J142" s="1005">
        <v>22</v>
      </c>
      <c r="K142" s="1049"/>
      <c r="L142" s="1006" t="s">
        <v>268</v>
      </c>
      <c r="M142" s="745" t="s">
        <v>79</v>
      </c>
      <c r="N142" s="1050">
        <v>95909.091</v>
      </c>
      <c r="O142" s="934">
        <f t="shared" ref="O142:O205" si="455">J142*N142</f>
        <v>2110000.0019999999</v>
      </c>
      <c r="P142" s="934">
        <f t="shared" si="327"/>
        <v>22400</v>
      </c>
      <c r="Q142" s="934">
        <f t="shared" si="450"/>
        <v>50000</v>
      </c>
      <c r="R142" s="934"/>
      <c r="S142" s="934"/>
      <c r="T142" s="934"/>
      <c r="U142" s="934"/>
      <c r="V142" s="934"/>
      <c r="W142" s="749"/>
      <c r="X142" s="934"/>
      <c r="Y142" s="934">
        <f t="shared" si="361"/>
        <v>100000</v>
      </c>
      <c r="Z142" s="934">
        <f t="shared" ref="Z142:Z205" si="456">$Z$5</f>
        <v>75000</v>
      </c>
      <c r="AA142" s="934"/>
      <c r="AB142" s="934"/>
      <c r="AC142" s="934"/>
      <c r="AD142" s="934"/>
      <c r="AE142" s="934">
        <f t="shared" si="365"/>
        <v>247400</v>
      </c>
      <c r="AF142" s="1005">
        <f t="shared" si="366"/>
        <v>2357400.0019999999</v>
      </c>
      <c r="AG142" s="1005">
        <f t="shared" si="380"/>
        <v>58935.000050000002</v>
      </c>
      <c r="AH142" s="1005">
        <f t="shared" si="381"/>
        <v>2416335.0020499998</v>
      </c>
      <c r="AI142" s="1005">
        <f t="shared" si="382"/>
        <v>60408.375051249997</v>
      </c>
      <c r="AJ142" s="1005">
        <f t="shared" si="383"/>
        <v>2476743.37710125</v>
      </c>
      <c r="AK142" s="1005">
        <f t="shared" si="384"/>
        <v>123837.16885506251</v>
      </c>
      <c r="AL142" s="1005">
        <f t="shared" ref="AL142:AL205" si="457">AJ142+AK142</f>
        <v>2600580.5459563127</v>
      </c>
      <c r="AM142" s="934">
        <f t="shared" si="385"/>
        <v>26005.805459563126</v>
      </c>
      <c r="AN142" s="934">
        <f t="shared" si="386"/>
        <v>27537.409960060559</v>
      </c>
      <c r="AO142" s="934"/>
      <c r="AP142" s="934">
        <f t="shared" ref="AP142:AP205" si="458">FK142</f>
        <v>115263.05158883642</v>
      </c>
      <c r="AQ142" s="1005">
        <f t="shared" si="367"/>
        <v>2769386.8129647728</v>
      </c>
      <c r="AR142" s="1005">
        <f t="shared" si="387"/>
        <v>124622.40658341478</v>
      </c>
      <c r="AS142" s="1147">
        <f t="shared" si="388"/>
        <v>2894009.2195481877</v>
      </c>
      <c r="AT142" s="1148">
        <f t="shared" ref="AT142:AT204" si="459">$AT$5</f>
        <v>2000000</v>
      </c>
      <c r="AU142" s="1148">
        <f t="shared" si="358"/>
        <v>40636.782706735801</v>
      </c>
      <c r="AV142" s="1148">
        <f t="shared" ref="AV142:AV204" si="460">AS142-AT142</f>
        <v>894009.21954818768</v>
      </c>
      <c r="AW142" s="1148">
        <f t="shared" si="368"/>
        <v>107281.10634578252</v>
      </c>
      <c r="AX142" s="1148">
        <f t="shared" si="369"/>
        <v>1001290.3258939702</v>
      </c>
      <c r="AY142" s="1147">
        <f t="shared" si="389"/>
        <v>3001290.3258939702</v>
      </c>
      <c r="AZ142" s="934">
        <f t="shared" si="390"/>
        <v>37516.12907367463</v>
      </c>
      <c r="BA142" s="716" t="s">
        <v>269</v>
      </c>
      <c r="BB142" s="716">
        <f t="shared" si="370"/>
        <v>3038806.454967645</v>
      </c>
      <c r="BC142" s="716" t="s">
        <v>269</v>
      </c>
      <c r="BD142" s="716">
        <f t="shared" si="391"/>
        <v>113955.24206128668</v>
      </c>
      <c r="BE142" s="716">
        <f t="shared" si="392"/>
        <v>33600</v>
      </c>
      <c r="BF142" s="716">
        <f t="shared" si="393"/>
        <v>3186361.6970289317</v>
      </c>
      <c r="BG142" s="716"/>
      <c r="BH142" s="716">
        <f t="shared" si="394"/>
        <v>3186361.6970289317</v>
      </c>
      <c r="BI142" s="716"/>
      <c r="BJ142" s="716">
        <f t="shared" si="395"/>
        <v>3186361.6970289317</v>
      </c>
      <c r="BK142" s="716"/>
      <c r="BL142" s="716">
        <f t="shared" si="396"/>
        <v>3186361.6970289317</v>
      </c>
      <c r="BM142" s="716"/>
      <c r="BN142" s="716">
        <f t="shared" si="371"/>
        <v>3186361.6970289317</v>
      </c>
      <c r="BO142" s="716"/>
      <c r="BP142" s="716">
        <f t="shared" si="397"/>
        <v>3186361.6970289317</v>
      </c>
      <c r="BQ142" s="716"/>
      <c r="BR142" s="716">
        <f t="shared" si="398"/>
        <v>3186361.6970289317</v>
      </c>
      <c r="BS142" s="716"/>
      <c r="BT142" s="716">
        <f t="shared" si="399"/>
        <v>3186361.6970289317</v>
      </c>
      <c r="BU142" s="716"/>
      <c r="BV142" s="716">
        <f t="shared" si="372"/>
        <v>3186361.6970289317</v>
      </c>
      <c r="BW142" s="716"/>
      <c r="BX142" s="716">
        <f t="shared" si="329"/>
        <v>31400</v>
      </c>
      <c r="BY142" s="716">
        <f t="shared" si="400"/>
        <v>3217761.6970289317</v>
      </c>
      <c r="BZ142" s="716"/>
      <c r="CA142" s="716">
        <f t="shared" si="401"/>
        <v>3217761.6970289317</v>
      </c>
      <c r="CB142" s="1135">
        <f t="shared" si="402"/>
        <v>3217761.6970289317</v>
      </c>
      <c r="CC142" s="1164">
        <f t="shared" si="446"/>
        <v>3217761.6970289317</v>
      </c>
      <c r="CD142" s="1164"/>
      <c r="CE142" s="1164">
        <f t="shared" si="403"/>
        <v>0</v>
      </c>
      <c r="CF142" s="1164">
        <f t="shared" si="448"/>
        <v>0</v>
      </c>
      <c r="CG142" s="1164">
        <f t="shared" si="449"/>
        <v>0</v>
      </c>
      <c r="CH142" s="1154">
        <f t="shared" si="339"/>
        <v>3217761.6970289317</v>
      </c>
      <c r="CI142" s="935">
        <f t="shared" si="340"/>
        <v>3217761.6970289317</v>
      </c>
      <c r="CJ142" s="935">
        <f t="shared" si="404"/>
        <v>0</v>
      </c>
      <c r="CK142" s="935">
        <f t="shared" si="373"/>
        <v>329820.5739454655</v>
      </c>
      <c r="CL142" s="935">
        <f t="shared" si="374"/>
        <v>112621.65939601262</v>
      </c>
      <c r="CM142" s="1006">
        <f t="shared" ref="CM142:CM205" si="461">SUM(CI142:CL142)</f>
        <v>3660203.93037041</v>
      </c>
      <c r="CN142" s="1007">
        <f t="shared" ref="CN142:CN205" si="462">$CN$5</f>
        <v>0.125</v>
      </c>
      <c r="CO142" s="935">
        <f t="shared" si="210"/>
        <v>457525.49129630125</v>
      </c>
      <c r="CP142" s="935">
        <f t="shared" si="330"/>
        <v>30000</v>
      </c>
      <c r="CQ142" s="935">
        <f t="shared" si="211"/>
        <v>427525.49129630125</v>
      </c>
      <c r="CR142" s="745">
        <f t="shared" ref="CR142:CR205" si="463">VLOOKUP(E142,$IC$6:$IE$19,3,FALSE)</f>
        <v>2</v>
      </c>
      <c r="CS142" s="935">
        <f t="shared" si="212"/>
        <v>213762.74564815062</v>
      </c>
      <c r="CT142" s="1007">
        <f t="shared" si="405"/>
        <v>0.875</v>
      </c>
      <c r="CU142" s="935">
        <f t="shared" si="406"/>
        <v>3202678.4390741088</v>
      </c>
      <c r="CV142" s="1008">
        <f t="shared" si="407"/>
        <v>24830.331849436756</v>
      </c>
      <c r="CW142" s="1008">
        <f t="shared" si="408"/>
        <v>28786.57923489331</v>
      </c>
      <c r="CX142" s="1008">
        <f t="shared" si="409"/>
        <v>37185.812298717152</v>
      </c>
      <c r="CY142" s="1008">
        <f t="shared" si="410"/>
        <v>63416.871633003168</v>
      </c>
      <c r="CZ142" s="1119">
        <f t="shared" si="411"/>
        <v>260163.749365161</v>
      </c>
      <c r="DA142" s="1119">
        <f t="shared" si="412"/>
        <v>102945.52829340976</v>
      </c>
      <c r="DB142" s="1119">
        <f t="shared" si="413"/>
        <v>74356.097048779266</v>
      </c>
      <c r="DC142" s="1119">
        <f t="shared" si="414"/>
        <v>56588.413032029348</v>
      </c>
      <c r="DD142" s="1028">
        <f t="shared" si="451"/>
        <v>0.44700460977409384</v>
      </c>
      <c r="DE142" s="1028">
        <f t="shared" si="341"/>
        <v>0</v>
      </c>
      <c r="DF142" s="1009" t="s">
        <v>270</v>
      </c>
      <c r="DG142" s="1009" t="s">
        <v>271</v>
      </c>
      <c r="DH142" s="966">
        <f t="shared" si="447"/>
        <v>45658</v>
      </c>
      <c r="DI142" s="912">
        <f t="shared" si="415"/>
        <v>14</v>
      </c>
      <c r="DJ142" s="939"/>
      <c r="DK142" s="913">
        <f t="shared" si="375"/>
        <v>45723</v>
      </c>
      <c r="DL142" s="912">
        <f t="shared" si="416"/>
        <v>16</v>
      </c>
      <c r="DM142" s="750" t="s">
        <v>272</v>
      </c>
      <c r="DN142" s="750" t="s">
        <v>273</v>
      </c>
      <c r="DO142" s="751">
        <f t="shared" si="376"/>
        <v>45513.196631544102</v>
      </c>
      <c r="DP142" s="751">
        <f t="shared" si="377"/>
        <v>1001290.3258939702</v>
      </c>
      <c r="DQ142" s="752">
        <f t="shared" si="452"/>
        <v>0.50064516294698513</v>
      </c>
      <c r="DR142" s="503"/>
      <c r="DS142" s="751">
        <f t="shared" si="453"/>
        <v>3217761.6970289317</v>
      </c>
      <c r="DT142" s="751">
        <f>'[4]INTERNAL PRICELIST'!N136</f>
        <v>2111900</v>
      </c>
      <c r="DU142" s="751">
        <f t="shared" si="378"/>
        <v>1105861.6970289317</v>
      </c>
      <c r="DV142" s="503"/>
      <c r="DW142" s="951">
        <f t="shared" si="454"/>
        <v>146261.89531949689</v>
      </c>
      <c r="DX142" s="503"/>
      <c r="DZ142" s="1010" t="s">
        <v>572</v>
      </c>
      <c r="EA142" s="1052" t="b">
        <f t="shared" si="379"/>
        <v>1</v>
      </c>
      <c r="EB142" s="1072" t="s">
        <v>573</v>
      </c>
      <c r="EC142" s="1072" t="s">
        <v>547</v>
      </c>
      <c r="ED142" s="503"/>
      <c r="EH142" s="930"/>
      <c r="EI142" s="930"/>
      <c r="EJ142" s="503"/>
      <c r="EK142" s="503"/>
      <c r="EL142" s="503"/>
      <c r="EM142" s="503"/>
      <c r="EN142" s="503"/>
      <c r="EO142" s="503"/>
      <c r="EP142" s="503"/>
      <c r="EQ142" s="503"/>
      <c r="ER142" s="1017" t="s">
        <v>264</v>
      </c>
      <c r="ES142" s="1391" t="s">
        <v>264</v>
      </c>
      <c r="ET142" s="1018" t="b">
        <f t="shared" si="417"/>
        <v>1</v>
      </c>
      <c r="EU142" s="940"/>
      <c r="EV142" s="941"/>
      <c r="EW142" s="940"/>
      <c r="EX142" s="1019">
        <v>3013413.1134336316</v>
      </c>
      <c r="EY142" s="1019">
        <f t="shared" ref="EY142:EY205" si="464">EX142*$EY$5</f>
        <v>452011.96701504471</v>
      </c>
      <c r="EZ142" s="1019">
        <f t="shared" ref="EZ142:EZ205" si="465">EX142*$EZ$5</f>
        <v>2561401.1464185868</v>
      </c>
      <c r="FA142" s="1019">
        <f t="shared" ref="FA142:FA205" si="466">EX142*$FA$5</f>
        <v>301341.3113433632</v>
      </c>
      <c r="FB142" s="1019">
        <f t="shared" ref="FB142:FB205" si="467">EX142*$FB$5</f>
        <v>2712071.8020902686</v>
      </c>
      <c r="FC142" s="1019">
        <f t="shared" ref="FC142:FC205" si="468">FB142-EZ142</f>
        <v>150670.65567168174</v>
      </c>
      <c r="FD142" s="1020"/>
      <c r="FE142" s="1021"/>
      <c r="FF142" s="1022">
        <f t="shared" ref="FF142:FF205" si="469">EZ142</f>
        <v>2561401.1464185868</v>
      </c>
      <c r="FG142" s="1022">
        <f t="shared" ref="FG142:FG205" si="470">FF142*$FG$5</f>
        <v>217719.09744557989</v>
      </c>
      <c r="FH142" s="1022">
        <f t="shared" ref="FH142:FH205" si="471">FG142*(6/12)</f>
        <v>108859.54872278994</v>
      </c>
      <c r="FI142" s="1023">
        <f t="shared" ref="FI142:FI205" si="472">FB142</f>
        <v>2712071.8020902686</v>
      </c>
      <c r="FJ142" s="1023">
        <f t="shared" ref="FJ142:FJ205" si="473">FI142*$FJ$5</f>
        <v>230526.10317767283</v>
      </c>
      <c r="FK142" s="1023">
        <f t="shared" ref="FK142:FK205" si="474">FJ142*(6/12)</f>
        <v>115263.05158883642</v>
      </c>
      <c r="FL142" s="1019">
        <f t="shared" ref="FL142:FL205" si="475">FJ142-FG142</f>
        <v>12807.005732092948</v>
      </c>
      <c r="FM142" s="1019">
        <f t="shared" ref="FM142:FM205" si="476">FK142-FH142</f>
        <v>6403.5028660464741</v>
      </c>
      <c r="FN142" s="1019" t="str">
        <f t="shared" ref="FN142:FN205" si="477">$FN$6</f>
        <v>VS</v>
      </c>
      <c r="FO142" s="1019">
        <f t="shared" ref="FO142:FO205" si="478">$FO$5</f>
        <v>27537.409960060559</v>
      </c>
      <c r="FP142" s="1019">
        <f t="shared" ref="FP142:FP205" si="479">FM142-FO142</f>
        <v>-21133.907094014085</v>
      </c>
      <c r="FQ142" s="1021"/>
      <c r="FR142" s="1021"/>
      <c r="FS142" s="1020"/>
      <c r="FT142" s="503"/>
      <c r="FU142" s="956"/>
      <c r="FV142" s="503"/>
      <c r="FW142" s="503"/>
      <c r="FX142" s="1040"/>
      <c r="FY142" s="503"/>
      <c r="FZ142" s="503"/>
      <c r="GA142" s="503"/>
      <c r="GG142" s="956"/>
      <c r="GH142" s="945"/>
      <c r="GI142" s="1024">
        <f t="shared" si="418"/>
        <v>3660203.93037041</v>
      </c>
      <c r="GJ142" s="1025">
        <f t="shared" si="419"/>
        <v>0.125</v>
      </c>
      <c r="GK142" s="1024">
        <f t="shared" si="420"/>
        <v>457525.49129630125</v>
      </c>
      <c r="GL142" s="1024">
        <f t="shared" si="421"/>
        <v>30000</v>
      </c>
      <c r="GM142" s="1024">
        <f t="shared" si="422"/>
        <v>427525.49129630125</v>
      </c>
      <c r="GN142" s="1024">
        <f t="shared" si="423"/>
        <v>2</v>
      </c>
      <c r="GO142" s="1024">
        <f t="shared" si="424"/>
        <v>213762.74564815062</v>
      </c>
      <c r="GP142" s="1025">
        <f t="shared" si="425"/>
        <v>0.875</v>
      </c>
      <c r="GQ142" s="1024">
        <f t="shared" si="426"/>
        <v>3202678.4390741088</v>
      </c>
      <c r="GR142" s="1024">
        <f t="shared" si="427"/>
        <v>24830.331849436756</v>
      </c>
      <c r="GS142" s="1024">
        <f t="shared" si="428"/>
        <v>28786.57923489331</v>
      </c>
      <c r="GT142" s="1024">
        <f t="shared" si="429"/>
        <v>37185.812298717152</v>
      </c>
      <c r="GU142" s="1024">
        <f t="shared" si="430"/>
        <v>63416.871633003168</v>
      </c>
      <c r="GV142" s="945"/>
      <c r="GW142" s="1024">
        <f t="shared" si="431"/>
        <v>3660203.93037041</v>
      </c>
      <c r="GX142" s="1025">
        <f t="shared" si="432"/>
        <v>0.125</v>
      </c>
      <c r="GY142" s="1024">
        <f t="shared" si="433"/>
        <v>457525.49129630125</v>
      </c>
      <c r="GZ142" s="1024">
        <f t="shared" si="434"/>
        <v>30000</v>
      </c>
      <c r="HA142" s="1024">
        <f t="shared" si="435"/>
        <v>427525.49129630125</v>
      </c>
      <c r="HB142" s="1026">
        <f t="shared" si="436"/>
        <v>25</v>
      </c>
      <c r="HC142" s="1009">
        <f t="shared" si="437"/>
        <v>17101.01965185205</v>
      </c>
      <c r="HD142" s="1027">
        <f t="shared" si="438"/>
        <v>0.875</v>
      </c>
      <c r="HE142" s="1009">
        <f t="shared" si="439"/>
        <v>3202678.4390741088</v>
      </c>
      <c r="HF142" s="1008">
        <f t="shared" si="440"/>
        <v>24830.331849436756</v>
      </c>
      <c r="HG142" s="1008">
        <f t="shared" si="441"/>
        <v>28786.57923489331</v>
      </c>
      <c r="HH142" s="1008">
        <f t="shared" si="442"/>
        <v>37185.812298717152</v>
      </c>
      <c r="HI142" s="1008">
        <f t="shared" si="443"/>
        <v>63416.871633003168</v>
      </c>
      <c r="HJ142" s="945"/>
      <c r="HK142" s="1009">
        <f t="shared" si="444"/>
        <v>-196661.72599629857</v>
      </c>
      <c r="HL142" s="503"/>
      <c r="HM142" s="503"/>
      <c r="HN142" s="503"/>
      <c r="HO142" s="503"/>
      <c r="HP142" s="503"/>
      <c r="HQ142" s="503"/>
      <c r="HR142" s="956">
        <f t="shared" si="445"/>
        <v>0</v>
      </c>
      <c r="HS142" s="503"/>
      <c r="HT142" s="503"/>
      <c r="HU142" s="956"/>
      <c r="HV142" s="503"/>
      <c r="HW142" s="956"/>
      <c r="HX142" s="956"/>
      <c r="HY142" s="503"/>
      <c r="HZ142" s="503"/>
      <c r="IA142" s="503"/>
      <c r="ID142" s="1394"/>
    </row>
    <row r="143" spans="1:238" s="1051" customFormat="1" ht="14.25" hidden="1" customHeight="1">
      <c r="A143" s="1018">
        <f t="shared" ref="A143:A206" si="480">A142+1</f>
        <v>137</v>
      </c>
      <c r="B143" s="716" t="s">
        <v>264</v>
      </c>
      <c r="C143" s="741">
        <f t="shared" si="360"/>
        <v>17</v>
      </c>
      <c r="D143" s="716" t="s">
        <v>286</v>
      </c>
      <c r="E143" s="743" t="str">
        <f t="shared" si="352"/>
        <v>9th Floor</v>
      </c>
      <c r="F143" s="1048"/>
      <c r="G143" s="745" t="s">
        <v>574</v>
      </c>
      <c r="H143" s="745" t="s">
        <v>349</v>
      </c>
      <c r="I143" s="745" t="s">
        <v>267</v>
      </c>
      <c r="J143" s="1005">
        <v>22</v>
      </c>
      <c r="K143" s="1049"/>
      <c r="L143" s="1006" t="s">
        <v>268</v>
      </c>
      <c r="M143" s="745" t="s">
        <v>79</v>
      </c>
      <c r="N143" s="1050">
        <v>95909.091</v>
      </c>
      <c r="O143" s="934">
        <f t="shared" si="455"/>
        <v>2110000.0019999999</v>
      </c>
      <c r="P143" s="934">
        <f t="shared" ref="P143:P206" si="481">$P$13</f>
        <v>22400</v>
      </c>
      <c r="Q143" s="934">
        <f t="shared" si="450"/>
        <v>50000</v>
      </c>
      <c r="R143" s="934"/>
      <c r="S143" s="934"/>
      <c r="T143" s="934"/>
      <c r="U143" s="934"/>
      <c r="V143" s="934"/>
      <c r="W143" s="934"/>
      <c r="X143" s="934"/>
      <c r="Y143" s="934">
        <f t="shared" si="361"/>
        <v>100000</v>
      </c>
      <c r="Z143" s="934">
        <f t="shared" si="456"/>
        <v>75000</v>
      </c>
      <c r="AA143" s="934"/>
      <c r="AB143" s="934"/>
      <c r="AC143" s="934"/>
      <c r="AD143" s="934"/>
      <c r="AE143" s="934">
        <f t="shared" si="365"/>
        <v>247400</v>
      </c>
      <c r="AF143" s="1005">
        <f t="shared" si="366"/>
        <v>2357400.0019999999</v>
      </c>
      <c r="AG143" s="1005">
        <f t="shared" si="380"/>
        <v>58935.000050000002</v>
      </c>
      <c r="AH143" s="1005">
        <f t="shared" si="381"/>
        <v>2416335.0020499998</v>
      </c>
      <c r="AI143" s="1005">
        <f t="shared" si="382"/>
        <v>60408.375051249997</v>
      </c>
      <c r="AJ143" s="1005">
        <f t="shared" si="383"/>
        <v>2476743.37710125</v>
      </c>
      <c r="AK143" s="1005">
        <f t="shared" si="384"/>
        <v>123837.16885506251</v>
      </c>
      <c r="AL143" s="1005">
        <f t="shared" si="457"/>
        <v>2600580.5459563127</v>
      </c>
      <c r="AM143" s="934">
        <f t="shared" si="385"/>
        <v>26005.805459563126</v>
      </c>
      <c r="AN143" s="934">
        <f t="shared" si="386"/>
        <v>27537.409960060559</v>
      </c>
      <c r="AO143" s="934"/>
      <c r="AP143" s="934">
        <f t="shared" si="458"/>
        <v>115263.05158883642</v>
      </c>
      <c r="AQ143" s="1005">
        <f t="shared" si="367"/>
        <v>2769386.8129647728</v>
      </c>
      <c r="AR143" s="1005">
        <f t="shared" si="387"/>
        <v>124622.40658341478</v>
      </c>
      <c r="AS143" s="1147">
        <f t="shared" si="388"/>
        <v>2894009.2195481877</v>
      </c>
      <c r="AT143" s="1148">
        <f t="shared" si="459"/>
        <v>2000000</v>
      </c>
      <c r="AU143" s="1148">
        <f t="shared" si="358"/>
        <v>40636.782706735801</v>
      </c>
      <c r="AV143" s="1148">
        <f t="shared" si="460"/>
        <v>894009.21954818768</v>
      </c>
      <c r="AW143" s="1148">
        <f t="shared" si="368"/>
        <v>107281.10634578252</v>
      </c>
      <c r="AX143" s="1148">
        <f t="shared" si="369"/>
        <v>1001290.3258939702</v>
      </c>
      <c r="AY143" s="1147">
        <f t="shared" si="389"/>
        <v>3001290.3258939702</v>
      </c>
      <c r="AZ143" s="934">
        <f t="shared" si="390"/>
        <v>37516.12907367463</v>
      </c>
      <c r="BA143" s="716" t="s">
        <v>269</v>
      </c>
      <c r="BB143" s="716">
        <f t="shared" si="370"/>
        <v>3038806.454967645</v>
      </c>
      <c r="BC143" s="716" t="s">
        <v>269</v>
      </c>
      <c r="BD143" s="716">
        <f t="shared" si="391"/>
        <v>113955.24206128668</v>
      </c>
      <c r="BE143" s="716">
        <f t="shared" si="392"/>
        <v>33600</v>
      </c>
      <c r="BF143" s="716">
        <f t="shared" si="393"/>
        <v>3186361.6970289317</v>
      </c>
      <c r="BG143" s="716"/>
      <c r="BH143" s="716">
        <f t="shared" si="394"/>
        <v>3186361.6970289317</v>
      </c>
      <c r="BI143" s="716"/>
      <c r="BJ143" s="716">
        <f t="shared" si="395"/>
        <v>3186361.6970289317</v>
      </c>
      <c r="BK143" s="716"/>
      <c r="BL143" s="716">
        <f t="shared" si="396"/>
        <v>3186361.6970289317</v>
      </c>
      <c r="BM143" s="716"/>
      <c r="BN143" s="716">
        <f t="shared" si="371"/>
        <v>3186361.6970289317</v>
      </c>
      <c r="BO143" s="716"/>
      <c r="BP143" s="716">
        <f t="shared" si="397"/>
        <v>3186361.6970289317</v>
      </c>
      <c r="BQ143" s="716"/>
      <c r="BR143" s="716">
        <f t="shared" si="398"/>
        <v>3186361.6970289317</v>
      </c>
      <c r="BS143" s="716"/>
      <c r="BT143" s="716">
        <f t="shared" si="399"/>
        <v>3186361.6970289317</v>
      </c>
      <c r="BU143" s="716"/>
      <c r="BV143" s="716">
        <f t="shared" si="372"/>
        <v>3186361.6970289317</v>
      </c>
      <c r="BW143" s="716"/>
      <c r="BX143" s="716">
        <f t="shared" si="329"/>
        <v>31400</v>
      </c>
      <c r="BY143" s="716">
        <f t="shared" si="400"/>
        <v>3217761.6970289317</v>
      </c>
      <c r="BZ143" s="716"/>
      <c r="CA143" s="716">
        <f t="shared" si="401"/>
        <v>3217761.6970289317</v>
      </c>
      <c r="CB143" s="1135">
        <f t="shared" si="402"/>
        <v>3217761.6970289317</v>
      </c>
      <c r="CC143" s="1164">
        <f t="shared" si="446"/>
        <v>3217761.6970289317</v>
      </c>
      <c r="CD143" s="1164"/>
      <c r="CE143" s="1164">
        <f t="shared" si="403"/>
        <v>0</v>
      </c>
      <c r="CF143" s="1164">
        <f t="shared" si="448"/>
        <v>0</v>
      </c>
      <c r="CG143" s="1164">
        <f t="shared" si="449"/>
        <v>0</v>
      </c>
      <c r="CH143" s="1154">
        <f t="shared" si="339"/>
        <v>3217761.6970289317</v>
      </c>
      <c r="CI143" s="935">
        <f t="shared" si="340"/>
        <v>3217761.6970289317</v>
      </c>
      <c r="CJ143" s="935">
        <f t="shared" si="404"/>
        <v>0</v>
      </c>
      <c r="CK143" s="935">
        <f t="shared" si="373"/>
        <v>329820.5739454655</v>
      </c>
      <c r="CL143" s="935">
        <f t="shared" si="374"/>
        <v>112621.65939601262</v>
      </c>
      <c r="CM143" s="1006">
        <f t="shared" si="461"/>
        <v>3660203.93037041</v>
      </c>
      <c r="CN143" s="1007">
        <f t="shared" si="462"/>
        <v>0.125</v>
      </c>
      <c r="CO143" s="935">
        <f t="shared" si="210"/>
        <v>457525.49129630125</v>
      </c>
      <c r="CP143" s="935">
        <f t="shared" si="330"/>
        <v>30000</v>
      </c>
      <c r="CQ143" s="935">
        <f t="shared" si="211"/>
        <v>427525.49129630125</v>
      </c>
      <c r="CR143" s="745">
        <f t="shared" si="463"/>
        <v>2</v>
      </c>
      <c r="CS143" s="935">
        <f t="shared" si="212"/>
        <v>213762.74564815062</v>
      </c>
      <c r="CT143" s="1007">
        <f t="shared" si="405"/>
        <v>0.875</v>
      </c>
      <c r="CU143" s="935">
        <f t="shared" si="406"/>
        <v>3202678.4390741088</v>
      </c>
      <c r="CV143" s="1008">
        <f t="shared" si="407"/>
        <v>24830.331849436756</v>
      </c>
      <c r="CW143" s="1008">
        <f t="shared" si="408"/>
        <v>28786.57923489331</v>
      </c>
      <c r="CX143" s="1008">
        <f t="shared" si="409"/>
        <v>37185.812298717152</v>
      </c>
      <c r="CY143" s="1008">
        <f t="shared" si="410"/>
        <v>63416.871633003168</v>
      </c>
      <c r="CZ143" s="1119">
        <f t="shared" si="411"/>
        <v>260163.749365161</v>
      </c>
      <c r="DA143" s="1119">
        <f t="shared" si="412"/>
        <v>102945.52829340976</v>
      </c>
      <c r="DB143" s="1119">
        <f t="shared" si="413"/>
        <v>74356.097048779266</v>
      </c>
      <c r="DC143" s="1119">
        <f t="shared" si="414"/>
        <v>56588.413032029348</v>
      </c>
      <c r="DD143" s="1028">
        <f t="shared" si="451"/>
        <v>0.44700460977409384</v>
      </c>
      <c r="DE143" s="1028">
        <f t="shared" si="341"/>
        <v>0</v>
      </c>
      <c r="DF143" s="1009" t="s">
        <v>270</v>
      </c>
      <c r="DG143" s="1009" t="s">
        <v>271</v>
      </c>
      <c r="DH143" s="966">
        <f t="shared" si="447"/>
        <v>45658</v>
      </c>
      <c r="DI143" s="912">
        <f t="shared" si="415"/>
        <v>14</v>
      </c>
      <c r="DJ143" s="939"/>
      <c r="DK143" s="913">
        <f t="shared" si="375"/>
        <v>45723</v>
      </c>
      <c r="DL143" s="912">
        <f t="shared" si="416"/>
        <v>16</v>
      </c>
      <c r="DM143" s="750" t="s">
        <v>272</v>
      </c>
      <c r="DN143" s="750" t="s">
        <v>273</v>
      </c>
      <c r="DO143" s="751">
        <f t="shared" si="376"/>
        <v>45513.196631544102</v>
      </c>
      <c r="DP143" s="751">
        <f t="shared" si="377"/>
        <v>1001290.3258939702</v>
      </c>
      <c r="DQ143" s="752">
        <f t="shared" si="452"/>
        <v>0.50064516294698513</v>
      </c>
      <c r="DR143" s="503"/>
      <c r="DS143" s="751">
        <f t="shared" si="453"/>
        <v>3217761.6970289317</v>
      </c>
      <c r="DT143" s="751">
        <f>'[4]INTERNAL PRICELIST'!N137</f>
        <v>2111900</v>
      </c>
      <c r="DU143" s="751">
        <f t="shared" si="378"/>
        <v>1105861.6970289317</v>
      </c>
      <c r="DV143" s="503"/>
      <c r="DW143" s="951">
        <f t="shared" si="454"/>
        <v>146261.89531949689</v>
      </c>
      <c r="DX143" s="503"/>
      <c r="DZ143" s="1010" t="s">
        <v>574</v>
      </c>
      <c r="EA143" s="1052" t="b">
        <f t="shared" si="379"/>
        <v>1</v>
      </c>
      <c r="EB143" s="1072" t="s">
        <v>575</v>
      </c>
      <c r="EC143" s="1072" t="s">
        <v>547</v>
      </c>
      <c r="ED143" s="503"/>
      <c r="EH143" s="930"/>
      <c r="EI143" s="930"/>
      <c r="EJ143" s="503"/>
      <c r="EK143" s="503"/>
      <c r="EL143" s="503"/>
      <c r="EM143" s="503"/>
      <c r="EN143" s="503"/>
      <c r="EO143" s="503"/>
      <c r="EP143" s="503"/>
      <c r="EQ143" s="503"/>
      <c r="ER143" s="1017" t="s">
        <v>264</v>
      </c>
      <c r="ES143" s="1391" t="s">
        <v>264</v>
      </c>
      <c r="ET143" s="1018" t="b">
        <f t="shared" si="417"/>
        <v>1</v>
      </c>
      <c r="EU143" s="940"/>
      <c r="EV143" s="941"/>
      <c r="EW143" s="940"/>
      <c r="EX143" s="1019">
        <v>3013413.1134336316</v>
      </c>
      <c r="EY143" s="1019">
        <f t="shared" si="464"/>
        <v>452011.96701504471</v>
      </c>
      <c r="EZ143" s="1019">
        <f t="shared" si="465"/>
        <v>2561401.1464185868</v>
      </c>
      <c r="FA143" s="1019">
        <f t="shared" si="466"/>
        <v>301341.3113433632</v>
      </c>
      <c r="FB143" s="1019">
        <f t="shared" si="467"/>
        <v>2712071.8020902686</v>
      </c>
      <c r="FC143" s="1019">
        <f t="shared" si="468"/>
        <v>150670.65567168174</v>
      </c>
      <c r="FD143" s="1020"/>
      <c r="FE143" s="1021"/>
      <c r="FF143" s="1022">
        <f t="shared" si="469"/>
        <v>2561401.1464185868</v>
      </c>
      <c r="FG143" s="1022">
        <f t="shared" si="470"/>
        <v>217719.09744557989</v>
      </c>
      <c r="FH143" s="1022">
        <f t="shared" si="471"/>
        <v>108859.54872278994</v>
      </c>
      <c r="FI143" s="1023">
        <f t="shared" si="472"/>
        <v>2712071.8020902686</v>
      </c>
      <c r="FJ143" s="1023">
        <f t="shared" si="473"/>
        <v>230526.10317767283</v>
      </c>
      <c r="FK143" s="1023">
        <f t="shared" si="474"/>
        <v>115263.05158883642</v>
      </c>
      <c r="FL143" s="1019">
        <f t="shared" si="475"/>
        <v>12807.005732092948</v>
      </c>
      <c r="FM143" s="1019">
        <f t="shared" si="476"/>
        <v>6403.5028660464741</v>
      </c>
      <c r="FN143" s="1019" t="str">
        <f t="shared" si="477"/>
        <v>VS</v>
      </c>
      <c r="FO143" s="1019">
        <f t="shared" si="478"/>
        <v>27537.409960060559</v>
      </c>
      <c r="FP143" s="1019">
        <f t="shared" si="479"/>
        <v>-21133.907094014085</v>
      </c>
      <c r="FQ143" s="1021"/>
      <c r="FR143" s="1021"/>
      <c r="FS143" s="1020"/>
      <c r="FT143" s="503"/>
      <c r="FU143" s="956"/>
      <c r="FV143" s="503"/>
      <c r="FW143" s="503"/>
      <c r="FX143" s="1040"/>
      <c r="FY143" s="503"/>
      <c r="FZ143" s="503"/>
      <c r="GA143" s="503"/>
      <c r="GG143" s="956"/>
      <c r="GH143" s="945"/>
      <c r="GI143" s="1024">
        <f t="shared" si="418"/>
        <v>3660203.93037041</v>
      </c>
      <c r="GJ143" s="1025">
        <f t="shared" si="419"/>
        <v>0.125</v>
      </c>
      <c r="GK143" s="1024">
        <f t="shared" si="420"/>
        <v>457525.49129630125</v>
      </c>
      <c r="GL143" s="1024">
        <f t="shared" si="421"/>
        <v>30000</v>
      </c>
      <c r="GM143" s="1024">
        <f t="shared" si="422"/>
        <v>427525.49129630125</v>
      </c>
      <c r="GN143" s="1024">
        <f t="shared" si="423"/>
        <v>2</v>
      </c>
      <c r="GO143" s="1024">
        <f t="shared" si="424"/>
        <v>213762.74564815062</v>
      </c>
      <c r="GP143" s="1025">
        <f t="shared" si="425"/>
        <v>0.875</v>
      </c>
      <c r="GQ143" s="1024">
        <f t="shared" si="426"/>
        <v>3202678.4390741088</v>
      </c>
      <c r="GR143" s="1024">
        <f t="shared" si="427"/>
        <v>24830.331849436756</v>
      </c>
      <c r="GS143" s="1024">
        <f t="shared" si="428"/>
        <v>28786.57923489331</v>
      </c>
      <c r="GT143" s="1024">
        <f t="shared" si="429"/>
        <v>37185.812298717152</v>
      </c>
      <c r="GU143" s="1024">
        <f t="shared" si="430"/>
        <v>63416.871633003168</v>
      </c>
      <c r="GV143" s="945"/>
      <c r="GW143" s="1024">
        <f t="shared" si="431"/>
        <v>3660203.93037041</v>
      </c>
      <c r="GX143" s="1025">
        <f t="shared" si="432"/>
        <v>0.125</v>
      </c>
      <c r="GY143" s="1024">
        <f t="shared" si="433"/>
        <v>457525.49129630125</v>
      </c>
      <c r="GZ143" s="1024">
        <f t="shared" si="434"/>
        <v>30000</v>
      </c>
      <c r="HA143" s="1024">
        <f t="shared" si="435"/>
        <v>427525.49129630125</v>
      </c>
      <c r="HB143" s="1026">
        <f t="shared" si="436"/>
        <v>25</v>
      </c>
      <c r="HC143" s="1009">
        <f t="shared" si="437"/>
        <v>17101.01965185205</v>
      </c>
      <c r="HD143" s="1027">
        <f t="shared" si="438"/>
        <v>0.875</v>
      </c>
      <c r="HE143" s="1009">
        <f t="shared" si="439"/>
        <v>3202678.4390741088</v>
      </c>
      <c r="HF143" s="1008">
        <f t="shared" si="440"/>
        <v>24830.331849436756</v>
      </c>
      <c r="HG143" s="1008">
        <f t="shared" si="441"/>
        <v>28786.57923489331</v>
      </c>
      <c r="HH143" s="1008">
        <f t="shared" si="442"/>
        <v>37185.812298717152</v>
      </c>
      <c r="HI143" s="1008">
        <f t="shared" si="443"/>
        <v>63416.871633003168</v>
      </c>
      <c r="HJ143" s="945"/>
      <c r="HK143" s="1009">
        <f t="shared" si="444"/>
        <v>-196661.72599629857</v>
      </c>
      <c r="HL143" s="503"/>
      <c r="HM143" s="503"/>
      <c r="HN143" s="503"/>
      <c r="HO143" s="503"/>
      <c r="HP143" s="503"/>
      <c r="HQ143" s="503"/>
      <c r="HR143" s="956">
        <f t="shared" si="445"/>
        <v>0</v>
      </c>
      <c r="HS143" s="503"/>
      <c r="HT143" s="503"/>
      <c r="HU143" s="956"/>
      <c r="HV143" s="503"/>
      <c r="HW143" s="956"/>
      <c r="HX143" s="956"/>
      <c r="HY143" s="503"/>
      <c r="HZ143" s="503"/>
      <c r="IA143" s="503"/>
      <c r="ID143" s="1394"/>
    </row>
    <row r="144" spans="1:238" s="1051" customFormat="1" ht="14.25" hidden="1" customHeight="1">
      <c r="A144" s="1018">
        <f t="shared" si="480"/>
        <v>138</v>
      </c>
      <c r="B144" s="716" t="s">
        <v>264</v>
      </c>
      <c r="C144" s="741">
        <f t="shared" si="360"/>
        <v>18</v>
      </c>
      <c r="D144" s="716" t="s">
        <v>286</v>
      </c>
      <c r="E144" s="743" t="str">
        <f t="shared" si="352"/>
        <v>9th Floor</v>
      </c>
      <c r="F144" s="1048"/>
      <c r="G144" s="745" t="s">
        <v>576</v>
      </c>
      <c r="H144" s="745" t="s">
        <v>353</v>
      </c>
      <c r="I144" s="745" t="s">
        <v>267</v>
      </c>
      <c r="J144" s="1005">
        <v>22</v>
      </c>
      <c r="K144" s="1049"/>
      <c r="L144" s="1006" t="s">
        <v>268</v>
      </c>
      <c r="M144" s="745" t="s">
        <v>65</v>
      </c>
      <c r="N144" s="1050">
        <v>95909.091</v>
      </c>
      <c r="O144" s="934">
        <f t="shared" si="455"/>
        <v>2110000.0019999999</v>
      </c>
      <c r="P144" s="934">
        <f t="shared" si="481"/>
        <v>22400</v>
      </c>
      <c r="Q144" s="934">
        <f t="shared" si="450"/>
        <v>50000</v>
      </c>
      <c r="R144" s="934"/>
      <c r="S144" s="934"/>
      <c r="T144" s="934"/>
      <c r="U144" s="934"/>
      <c r="V144" s="749">
        <f t="shared" ref="V144:V145" si="482">J144*$V$5</f>
        <v>55000</v>
      </c>
      <c r="W144" s="749"/>
      <c r="X144" s="934"/>
      <c r="Y144" s="934">
        <f t="shared" si="361"/>
        <v>100000</v>
      </c>
      <c r="Z144" s="934">
        <f t="shared" si="456"/>
        <v>75000</v>
      </c>
      <c r="AA144" s="934"/>
      <c r="AB144" s="934"/>
      <c r="AC144" s="934"/>
      <c r="AD144" s="934"/>
      <c r="AE144" s="934">
        <f t="shared" si="365"/>
        <v>302400</v>
      </c>
      <c r="AF144" s="1005">
        <f t="shared" si="366"/>
        <v>2412400.0019999999</v>
      </c>
      <c r="AG144" s="1005">
        <f t="shared" si="380"/>
        <v>60310.000050000002</v>
      </c>
      <c r="AH144" s="1005">
        <f t="shared" si="381"/>
        <v>2472710.0020499998</v>
      </c>
      <c r="AI144" s="1005">
        <f t="shared" si="382"/>
        <v>61817.750051249997</v>
      </c>
      <c r="AJ144" s="1005">
        <f t="shared" si="383"/>
        <v>2534527.75210125</v>
      </c>
      <c r="AK144" s="1005">
        <f t="shared" si="384"/>
        <v>126726.38760506251</v>
      </c>
      <c r="AL144" s="1005">
        <f t="shared" si="457"/>
        <v>2661254.1397063127</v>
      </c>
      <c r="AM144" s="934">
        <f t="shared" si="385"/>
        <v>26612.541397063127</v>
      </c>
      <c r="AN144" s="934">
        <f t="shared" si="386"/>
        <v>27537.409960060559</v>
      </c>
      <c r="AO144" s="934"/>
      <c r="AP144" s="934">
        <f t="shared" si="458"/>
        <v>120396.06974051513</v>
      </c>
      <c r="AQ144" s="1005">
        <f t="shared" si="367"/>
        <v>2835800.1608039513</v>
      </c>
      <c r="AR144" s="1005">
        <f t="shared" si="387"/>
        <v>127611.0072361778</v>
      </c>
      <c r="AS144" s="1147">
        <f t="shared" si="388"/>
        <v>2963411.1680401294</v>
      </c>
      <c r="AT144" s="1148">
        <f t="shared" si="459"/>
        <v>2000000</v>
      </c>
      <c r="AU144" s="1148">
        <f t="shared" si="358"/>
        <v>43791.416729096789</v>
      </c>
      <c r="AV144" s="1148">
        <f t="shared" ref="AV144:AV145" si="483">AS144-AT144</f>
        <v>963411.16804012936</v>
      </c>
      <c r="AW144" s="1148">
        <f t="shared" ref="AW144:AW145" si="484">AV144*$AW$5</f>
        <v>115609.34016481551</v>
      </c>
      <c r="AX144" s="1148">
        <f t="shared" ref="AX144:AX145" si="485">AV144+AW144</f>
        <v>1079020.5082049449</v>
      </c>
      <c r="AY144" s="1147">
        <f t="shared" si="389"/>
        <v>3079020.5082049449</v>
      </c>
      <c r="AZ144" s="934">
        <f t="shared" si="390"/>
        <v>38487.75635256181</v>
      </c>
      <c r="BA144" s="716" t="s">
        <v>269</v>
      </c>
      <c r="BB144" s="716">
        <f t="shared" si="370"/>
        <v>3117508.2645575069</v>
      </c>
      <c r="BC144" s="716" t="s">
        <v>269</v>
      </c>
      <c r="BD144" s="716">
        <f t="shared" si="391"/>
        <v>116906.55992090651</v>
      </c>
      <c r="BE144" s="716">
        <f t="shared" si="392"/>
        <v>33600</v>
      </c>
      <c r="BF144" s="716">
        <f t="shared" si="393"/>
        <v>3268014.8244784134</v>
      </c>
      <c r="BG144" s="716"/>
      <c r="BH144" s="716">
        <f t="shared" si="394"/>
        <v>3268014.8244784134</v>
      </c>
      <c r="BI144" s="716"/>
      <c r="BJ144" s="716">
        <f t="shared" si="395"/>
        <v>3268014.8244784134</v>
      </c>
      <c r="BK144" s="716"/>
      <c r="BL144" s="716">
        <f t="shared" si="396"/>
        <v>3268014.8244784134</v>
      </c>
      <c r="BM144" s="716"/>
      <c r="BN144" s="716">
        <f t="shared" si="371"/>
        <v>3268014.8244784134</v>
      </c>
      <c r="BO144" s="716"/>
      <c r="BP144" s="716">
        <f t="shared" si="397"/>
        <v>3268014.8244784134</v>
      </c>
      <c r="BQ144" s="716"/>
      <c r="BR144" s="716">
        <f t="shared" si="398"/>
        <v>3268014.8244784134</v>
      </c>
      <c r="BS144" s="716"/>
      <c r="BT144" s="716">
        <f t="shared" si="399"/>
        <v>3268014.8244784134</v>
      </c>
      <c r="BU144" s="716"/>
      <c r="BV144" s="716">
        <f t="shared" si="372"/>
        <v>3268014.8244784134</v>
      </c>
      <c r="BW144" s="716"/>
      <c r="BX144" s="716">
        <f t="shared" si="329"/>
        <v>31400</v>
      </c>
      <c r="BY144" s="716">
        <f t="shared" si="400"/>
        <v>3299414.8244784134</v>
      </c>
      <c r="BZ144" s="716"/>
      <c r="CA144" s="716">
        <f t="shared" si="401"/>
        <v>3299414.8244784134</v>
      </c>
      <c r="CB144" s="1135">
        <f t="shared" si="402"/>
        <v>3299414.8244784134</v>
      </c>
      <c r="CC144" s="1164">
        <f t="shared" si="446"/>
        <v>3299414.8244784134</v>
      </c>
      <c r="CD144" s="1164"/>
      <c r="CE144" s="1164">
        <f t="shared" si="403"/>
        <v>0</v>
      </c>
      <c r="CF144" s="1164">
        <f t="shared" si="448"/>
        <v>0</v>
      </c>
      <c r="CG144" s="1164">
        <f t="shared" si="449"/>
        <v>0</v>
      </c>
      <c r="CH144" s="1154">
        <f t="shared" si="339"/>
        <v>3299414.8244784134</v>
      </c>
      <c r="CI144" s="935">
        <f t="shared" si="340"/>
        <v>3299414.8244784134</v>
      </c>
      <c r="CJ144" s="935">
        <f t="shared" si="404"/>
        <v>0</v>
      </c>
      <c r="CK144" s="935">
        <f t="shared" si="373"/>
        <v>338190.01950903737</v>
      </c>
      <c r="CL144" s="935">
        <f t="shared" si="374"/>
        <v>115479.51885674449</v>
      </c>
      <c r="CM144" s="1006">
        <f t="shared" si="461"/>
        <v>3753084.3628441952</v>
      </c>
      <c r="CN144" s="1007">
        <f t="shared" si="462"/>
        <v>0.125</v>
      </c>
      <c r="CO144" s="935">
        <f t="shared" si="210"/>
        <v>469135.5453555244</v>
      </c>
      <c r="CP144" s="935">
        <f t="shared" si="330"/>
        <v>30000</v>
      </c>
      <c r="CQ144" s="935">
        <f t="shared" si="211"/>
        <v>439135.5453555244</v>
      </c>
      <c r="CR144" s="745">
        <f t="shared" si="463"/>
        <v>2</v>
      </c>
      <c r="CS144" s="935">
        <f t="shared" si="212"/>
        <v>219567.7726777622</v>
      </c>
      <c r="CT144" s="1007">
        <f t="shared" si="405"/>
        <v>0.875</v>
      </c>
      <c r="CU144" s="935">
        <f t="shared" si="406"/>
        <v>3283948.8174886708</v>
      </c>
      <c r="CV144" s="1008">
        <f t="shared" si="407"/>
        <v>25460.420228258285</v>
      </c>
      <c r="CW144" s="1008">
        <f t="shared" si="408"/>
        <v>29517.060371912146</v>
      </c>
      <c r="CX144" s="1008">
        <f t="shared" si="409"/>
        <v>38129.430303040841</v>
      </c>
      <c r="CY144" s="1008">
        <f t="shared" si="410"/>
        <v>65026.12253143925</v>
      </c>
      <c r="CZ144" s="1119">
        <f t="shared" si="411"/>
        <v>266765.60052283469</v>
      </c>
      <c r="DA144" s="1119">
        <f t="shared" si="412"/>
        <v>105557.84863703788</v>
      </c>
      <c r="DB144" s="1119">
        <f t="shared" si="413"/>
        <v>76242.939034180468</v>
      </c>
      <c r="DC144" s="1119">
        <f t="shared" si="414"/>
        <v>58024.386648638247</v>
      </c>
      <c r="DD144" s="1028">
        <f t="shared" si="451"/>
        <v>0.48170558402006469</v>
      </c>
      <c r="DE144" s="1028">
        <f t="shared" si="341"/>
        <v>0</v>
      </c>
      <c r="DF144" s="1009" t="s">
        <v>270</v>
      </c>
      <c r="DG144" s="1009" t="s">
        <v>271</v>
      </c>
      <c r="DH144" s="966">
        <f t="shared" si="447"/>
        <v>45658</v>
      </c>
      <c r="DI144" s="912">
        <f t="shared" si="415"/>
        <v>14</v>
      </c>
      <c r="DJ144" s="939"/>
      <c r="DK144" s="913">
        <f t="shared" si="375"/>
        <v>45723</v>
      </c>
      <c r="DL144" s="912">
        <f t="shared" si="416"/>
        <v>16</v>
      </c>
      <c r="DM144" s="750" t="s">
        <v>272</v>
      </c>
      <c r="DN144" s="750" t="s">
        <v>273</v>
      </c>
      <c r="DO144" s="751">
        <f t="shared" si="376"/>
        <v>49046.386736588407</v>
      </c>
      <c r="DP144" s="751">
        <f t="shared" si="377"/>
        <v>1079020.5082049449</v>
      </c>
      <c r="DQ144" s="752">
        <f t="shared" si="452"/>
        <v>0.53951025410247244</v>
      </c>
      <c r="DR144" s="503"/>
      <c r="DS144" s="751">
        <f t="shared" si="453"/>
        <v>3299414.8244784134</v>
      </c>
      <c r="DT144" s="751">
        <f>'[4]INTERNAL PRICELIST'!N138</f>
        <v>2111900</v>
      </c>
      <c r="DU144" s="751">
        <f t="shared" si="378"/>
        <v>1187514.8244784134</v>
      </c>
      <c r="DV144" s="503"/>
      <c r="DW144" s="951">
        <f t="shared" si="454"/>
        <v>149973.40111265515</v>
      </c>
      <c r="DX144" s="503"/>
      <c r="DZ144" s="1010" t="s">
        <v>576</v>
      </c>
      <c r="EA144" s="1052" t="b">
        <f t="shared" si="379"/>
        <v>1</v>
      </c>
      <c r="EB144" s="1072" t="s">
        <v>577</v>
      </c>
      <c r="EC144" s="1072" t="s">
        <v>547</v>
      </c>
      <c r="ED144" s="503"/>
      <c r="EH144" s="930"/>
      <c r="EI144" s="930"/>
      <c r="EJ144" s="503"/>
      <c r="EK144" s="503"/>
      <c r="EL144" s="503"/>
      <c r="EM144" s="503"/>
      <c r="EN144" s="503"/>
      <c r="EO144" s="503"/>
      <c r="EP144" s="503"/>
      <c r="EQ144" s="503"/>
      <c r="ER144" s="1017" t="s">
        <v>264</v>
      </c>
      <c r="ES144" s="1391" t="s">
        <v>264</v>
      </c>
      <c r="ET144" s="1018" t="b">
        <f t="shared" si="417"/>
        <v>1</v>
      </c>
      <c r="EU144" s="940"/>
      <c r="EV144" s="941"/>
      <c r="EW144" s="940"/>
      <c r="EX144" s="1019">
        <v>3147609.6664186958</v>
      </c>
      <c r="EY144" s="1019">
        <f t="shared" si="464"/>
        <v>472141.44996280433</v>
      </c>
      <c r="EZ144" s="1019">
        <f t="shared" si="465"/>
        <v>2675468.2164558913</v>
      </c>
      <c r="FA144" s="1019">
        <f t="shared" si="466"/>
        <v>314760.96664186963</v>
      </c>
      <c r="FB144" s="1019">
        <f t="shared" si="467"/>
        <v>2832848.6997768264</v>
      </c>
      <c r="FC144" s="1019">
        <f t="shared" si="468"/>
        <v>157380.48332093516</v>
      </c>
      <c r="FD144" s="1020"/>
      <c r="FE144" s="1021"/>
      <c r="FF144" s="1022">
        <f t="shared" si="469"/>
        <v>2675468.2164558913</v>
      </c>
      <c r="FG144" s="1022">
        <f t="shared" si="470"/>
        <v>227414.79839875078</v>
      </c>
      <c r="FH144" s="1022">
        <f t="shared" si="471"/>
        <v>113707.39919937539</v>
      </c>
      <c r="FI144" s="1023">
        <f t="shared" si="472"/>
        <v>2832848.6997768264</v>
      </c>
      <c r="FJ144" s="1023">
        <f t="shared" si="473"/>
        <v>240792.13948103026</v>
      </c>
      <c r="FK144" s="1023">
        <f t="shared" si="474"/>
        <v>120396.06974051513</v>
      </c>
      <c r="FL144" s="1019">
        <f t="shared" si="475"/>
        <v>13377.341082279483</v>
      </c>
      <c r="FM144" s="1019">
        <f t="shared" si="476"/>
        <v>6688.6705411397415</v>
      </c>
      <c r="FN144" s="1019" t="str">
        <f t="shared" si="477"/>
        <v>VS</v>
      </c>
      <c r="FO144" s="1019">
        <f t="shared" si="478"/>
        <v>27537.409960060559</v>
      </c>
      <c r="FP144" s="1019">
        <f t="shared" si="479"/>
        <v>-20848.739418920817</v>
      </c>
      <c r="FQ144" s="1021"/>
      <c r="FR144" s="1021"/>
      <c r="FS144" s="1020"/>
      <c r="FT144" s="503"/>
      <c r="FU144" s="956"/>
      <c r="FV144" s="503"/>
      <c r="FW144" s="503"/>
      <c r="FX144" s="1040"/>
      <c r="FY144" s="503"/>
      <c r="FZ144" s="503"/>
      <c r="GA144" s="503"/>
      <c r="GG144" s="956"/>
      <c r="GH144" s="945"/>
      <c r="GI144" s="1024">
        <f t="shared" si="418"/>
        <v>3753084.3628441952</v>
      </c>
      <c r="GJ144" s="1025">
        <f t="shared" si="419"/>
        <v>0.125</v>
      </c>
      <c r="GK144" s="1024">
        <f t="shared" si="420"/>
        <v>469135.5453555244</v>
      </c>
      <c r="GL144" s="1024">
        <f t="shared" si="421"/>
        <v>30000</v>
      </c>
      <c r="GM144" s="1024">
        <f t="shared" si="422"/>
        <v>439135.5453555244</v>
      </c>
      <c r="GN144" s="1024">
        <f t="shared" si="423"/>
        <v>2</v>
      </c>
      <c r="GO144" s="1024">
        <f t="shared" si="424"/>
        <v>219567.7726777622</v>
      </c>
      <c r="GP144" s="1025">
        <f t="shared" si="425"/>
        <v>0.875</v>
      </c>
      <c r="GQ144" s="1024">
        <f t="shared" si="426"/>
        <v>3283948.8174886708</v>
      </c>
      <c r="GR144" s="1024">
        <f t="shared" si="427"/>
        <v>25460.420228258285</v>
      </c>
      <c r="GS144" s="1024">
        <f t="shared" si="428"/>
        <v>29517.060371912146</v>
      </c>
      <c r="GT144" s="1024">
        <f t="shared" si="429"/>
        <v>38129.430303040841</v>
      </c>
      <c r="GU144" s="1024">
        <f t="shared" si="430"/>
        <v>65026.12253143925</v>
      </c>
      <c r="GV144" s="945"/>
      <c r="GW144" s="1024">
        <f t="shared" si="431"/>
        <v>3753084.3628441952</v>
      </c>
      <c r="GX144" s="1025">
        <f t="shared" si="432"/>
        <v>0.125</v>
      </c>
      <c r="GY144" s="1024">
        <f t="shared" si="433"/>
        <v>469135.5453555244</v>
      </c>
      <c r="GZ144" s="1024">
        <f t="shared" si="434"/>
        <v>30000</v>
      </c>
      <c r="HA144" s="1024">
        <f t="shared" si="435"/>
        <v>439135.5453555244</v>
      </c>
      <c r="HB144" s="1026">
        <f t="shared" si="436"/>
        <v>25</v>
      </c>
      <c r="HC144" s="1009">
        <f t="shared" si="437"/>
        <v>17565.421814220976</v>
      </c>
      <c r="HD144" s="1027">
        <f t="shared" si="438"/>
        <v>0.875</v>
      </c>
      <c r="HE144" s="1009">
        <f t="shared" si="439"/>
        <v>3283948.8174886708</v>
      </c>
      <c r="HF144" s="1008">
        <f t="shared" si="440"/>
        <v>25460.420228258285</v>
      </c>
      <c r="HG144" s="1008">
        <f t="shared" si="441"/>
        <v>29517.060371912146</v>
      </c>
      <c r="HH144" s="1008">
        <f t="shared" si="442"/>
        <v>38129.430303040841</v>
      </c>
      <c r="HI144" s="1008">
        <f t="shared" si="443"/>
        <v>65026.12253143925</v>
      </c>
      <c r="HJ144" s="945"/>
      <c r="HK144" s="1009">
        <f t="shared" si="444"/>
        <v>-202002.35086354121</v>
      </c>
      <c r="HL144" s="503"/>
      <c r="HM144" s="503"/>
      <c r="HN144" s="503"/>
      <c r="HO144" s="503"/>
      <c r="HP144" s="503"/>
      <c r="HQ144" s="503"/>
      <c r="HR144" s="956">
        <f t="shared" si="445"/>
        <v>0</v>
      </c>
      <c r="HS144" s="503"/>
      <c r="HT144" s="503"/>
      <c r="HU144" s="956"/>
      <c r="HV144" s="503"/>
      <c r="HW144" s="956"/>
      <c r="HX144" s="956"/>
      <c r="HY144" s="503"/>
      <c r="HZ144" s="503"/>
      <c r="IA144" s="503"/>
      <c r="ID144" s="1394"/>
    </row>
    <row r="145" spans="1:238" s="1051" customFormat="1" ht="14.25" hidden="1" customHeight="1">
      <c r="A145" s="1018">
        <f t="shared" si="480"/>
        <v>139</v>
      </c>
      <c r="B145" s="716" t="s">
        <v>264</v>
      </c>
      <c r="C145" s="741">
        <v>1</v>
      </c>
      <c r="D145" s="716" t="s">
        <v>290</v>
      </c>
      <c r="E145" s="743" t="str">
        <f t="shared" si="352"/>
        <v>10th Floor</v>
      </c>
      <c r="F145" s="1048"/>
      <c r="G145" s="745" t="s">
        <v>578</v>
      </c>
      <c r="H145" s="745" t="s">
        <v>266</v>
      </c>
      <c r="I145" s="745" t="s">
        <v>267</v>
      </c>
      <c r="J145" s="1005">
        <v>22</v>
      </c>
      <c r="K145" s="1049"/>
      <c r="L145" s="1006" t="s">
        <v>73</v>
      </c>
      <c r="M145" s="745" t="s">
        <v>65</v>
      </c>
      <c r="N145" s="1050">
        <v>95909.091</v>
      </c>
      <c r="O145" s="934">
        <f t="shared" si="455"/>
        <v>2110000.0019999999</v>
      </c>
      <c r="P145" s="934">
        <f t="shared" si="481"/>
        <v>22400</v>
      </c>
      <c r="Q145" s="934">
        <f t="shared" si="450"/>
        <v>50000</v>
      </c>
      <c r="R145" s="934"/>
      <c r="S145" s="934"/>
      <c r="T145" s="934"/>
      <c r="U145" s="934"/>
      <c r="V145" s="749">
        <f t="shared" si="482"/>
        <v>55000</v>
      </c>
      <c r="W145" s="749"/>
      <c r="X145" s="934"/>
      <c r="Y145" s="934">
        <f>Y144+Y5</f>
        <v>120000</v>
      </c>
      <c r="Z145" s="934">
        <f t="shared" si="456"/>
        <v>75000</v>
      </c>
      <c r="AA145" s="934"/>
      <c r="AB145" s="934"/>
      <c r="AC145" s="934"/>
      <c r="AD145" s="934"/>
      <c r="AE145" s="934">
        <f t="shared" si="365"/>
        <v>322400</v>
      </c>
      <c r="AF145" s="1005">
        <f t="shared" si="366"/>
        <v>2432400.0019999999</v>
      </c>
      <c r="AG145" s="1005">
        <f t="shared" si="380"/>
        <v>60810.000050000002</v>
      </c>
      <c r="AH145" s="1005">
        <f t="shared" si="381"/>
        <v>2493210.0020499998</v>
      </c>
      <c r="AI145" s="1005">
        <f t="shared" si="382"/>
        <v>62330.250051249997</v>
      </c>
      <c r="AJ145" s="1005">
        <f t="shared" si="383"/>
        <v>2555540.25210125</v>
      </c>
      <c r="AK145" s="1005">
        <f t="shared" si="384"/>
        <v>127777.01260506251</v>
      </c>
      <c r="AL145" s="1005">
        <f t="shared" si="457"/>
        <v>2683317.2647063127</v>
      </c>
      <c r="AM145" s="934">
        <f t="shared" si="385"/>
        <v>26833.172647063126</v>
      </c>
      <c r="AN145" s="934">
        <f t="shared" si="386"/>
        <v>27537.409960060559</v>
      </c>
      <c r="AO145" s="934"/>
      <c r="AP145" s="934">
        <f t="shared" si="458"/>
        <v>121461.76501057763</v>
      </c>
      <c r="AQ145" s="1005">
        <f t="shared" si="367"/>
        <v>2859149.6123240138</v>
      </c>
      <c r="AR145" s="1005">
        <f t="shared" si="387"/>
        <v>128661.73255458062</v>
      </c>
      <c r="AS145" s="1147">
        <f t="shared" si="388"/>
        <v>2987811.3448785944</v>
      </c>
      <c r="AT145" s="1148">
        <f t="shared" si="459"/>
        <v>2000000</v>
      </c>
      <c r="AU145" s="1148">
        <f t="shared" si="358"/>
        <v>44900.515676299743</v>
      </c>
      <c r="AV145" s="1148">
        <f t="shared" si="483"/>
        <v>987811.34487859439</v>
      </c>
      <c r="AW145" s="1148">
        <f t="shared" si="484"/>
        <v>118537.36138543132</v>
      </c>
      <c r="AX145" s="1148">
        <f t="shared" si="485"/>
        <v>1106348.7062640258</v>
      </c>
      <c r="AY145" s="1147">
        <f t="shared" si="389"/>
        <v>3106348.7062640255</v>
      </c>
      <c r="AZ145" s="934">
        <f t="shared" si="390"/>
        <v>38829.358828300319</v>
      </c>
      <c r="BA145" s="716" t="s">
        <v>269</v>
      </c>
      <c r="BB145" s="716">
        <f t="shared" si="370"/>
        <v>3145178.0650923257</v>
      </c>
      <c r="BC145" s="716" t="s">
        <v>269</v>
      </c>
      <c r="BD145" s="716">
        <f t="shared" si="391"/>
        <v>117944.1774409622</v>
      </c>
      <c r="BE145" s="716">
        <f t="shared" si="392"/>
        <v>33600</v>
      </c>
      <c r="BF145" s="716">
        <f t="shared" si="393"/>
        <v>3296722.242533288</v>
      </c>
      <c r="BG145" s="716"/>
      <c r="BH145" s="716">
        <f t="shared" si="394"/>
        <v>3296722.242533288</v>
      </c>
      <c r="BI145" s="716"/>
      <c r="BJ145" s="716">
        <f t="shared" si="395"/>
        <v>3296722.242533288</v>
      </c>
      <c r="BK145" s="716"/>
      <c r="BL145" s="716">
        <f t="shared" si="396"/>
        <v>3296722.242533288</v>
      </c>
      <c r="BM145" s="716"/>
      <c r="BN145" s="716">
        <f t="shared" si="371"/>
        <v>3296722.242533288</v>
      </c>
      <c r="BO145" s="716"/>
      <c r="BP145" s="716">
        <f t="shared" si="397"/>
        <v>3296722.242533288</v>
      </c>
      <c r="BQ145" s="716"/>
      <c r="BR145" s="716">
        <f t="shared" si="398"/>
        <v>3296722.242533288</v>
      </c>
      <c r="BS145" s="716"/>
      <c r="BT145" s="716">
        <f t="shared" si="399"/>
        <v>3296722.242533288</v>
      </c>
      <c r="BU145" s="716"/>
      <c r="BV145" s="716">
        <f t="shared" si="372"/>
        <v>3296722.242533288</v>
      </c>
      <c r="BW145" s="716"/>
      <c r="BX145" s="716">
        <f t="shared" si="329"/>
        <v>31400</v>
      </c>
      <c r="BY145" s="716">
        <f t="shared" si="400"/>
        <v>3328122.242533288</v>
      </c>
      <c r="BZ145" s="716"/>
      <c r="CA145" s="716">
        <f t="shared" si="401"/>
        <v>3328122.242533288</v>
      </c>
      <c r="CB145" s="1135">
        <f t="shared" si="402"/>
        <v>3328122.242533288</v>
      </c>
      <c r="CC145" s="1164">
        <f t="shared" si="446"/>
        <v>3328122.242533288</v>
      </c>
      <c r="CD145" s="1164"/>
      <c r="CE145" s="1164">
        <f t="shared" si="403"/>
        <v>0</v>
      </c>
      <c r="CF145" s="1164">
        <f t="shared" si="448"/>
        <v>0</v>
      </c>
      <c r="CG145" s="1164">
        <f t="shared" si="449"/>
        <v>0</v>
      </c>
      <c r="CH145" s="1154">
        <f t="shared" si="339"/>
        <v>3328122.242533288</v>
      </c>
      <c r="CI145" s="935">
        <f t="shared" si="340"/>
        <v>3328122.242533288</v>
      </c>
      <c r="CJ145" s="935">
        <f t="shared" si="404"/>
        <v>0</v>
      </c>
      <c r="CK145" s="935">
        <f t="shared" si="373"/>
        <v>341132.529859662</v>
      </c>
      <c r="CL145" s="935">
        <f t="shared" si="374"/>
        <v>116484.27848866509</v>
      </c>
      <c r="CM145" s="1006">
        <f t="shared" si="461"/>
        <v>3785739.0508816149</v>
      </c>
      <c r="CN145" s="1007">
        <f t="shared" si="462"/>
        <v>0.125</v>
      </c>
      <c r="CO145" s="935">
        <f>CM145*CN145</f>
        <v>473217.38136020186</v>
      </c>
      <c r="CP145" s="935">
        <f t="shared" si="330"/>
        <v>30000</v>
      </c>
      <c r="CQ145" s="935">
        <f t="shared" si="211"/>
        <v>443217.38136020186</v>
      </c>
      <c r="CR145" s="745">
        <f t="shared" si="463"/>
        <v>2</v>
      </c>
      <c r="CS145" s="935">
        <f t="shared" si="212"/>
        <v>221608.69068010093</v>
      </c>
      <c r="CT145" s="1007">
        <f t="shared" si="405"/>
        <v>0.875</v>
      </c>
      <c r="CU145" s="935">
        <f t="shared" si="406"/>
        <v>3312521.6695214128</v>
      </c>
      <c r="CV145" s="1008">
        <f t="shared" si="407"/>
        <v>25681.945245944087</v>
      </c>
      <c r="CW145" s="1008">
        <f t="shared" si="408"/>
        <v>29773.881243771262</v>
      </c>
      <c r="CX145" s="1008">
        <f t="shared" si="409"/>
        <v>38461.185342686884</v>
      </c>
      <c r="CY145" s="1008">
        <f t="shared" si="410"/>
        <v>65591.899247403606</v>
      </c>
      <c r="CZ145" s="1119">
        <f t="shared" si="411"/>
        <v>269086.66411267273</v>
      </c>
      <c r="DA145" s="1119">
        <f t="shared" si="412"/>
        <v>106476.2821929869</v>
      </c>
      <c r="DB145" s="1119">
        <f t="shared" si="413"/>
        <v>76906.310583689265</v>
      </c>
      <c r="DC145" s="1119">
        <f t="shared" si="414"/>
        <v>58529.242937863244</v>
      </c>
      <c r="DD145" s="1028">
        <f t="shared" si="451"/>
        <v>0.49390567243929717</v>
      </c>
      <c r="DE145" s="1028">
        <f t="shared" si="341"/>
        <v>0</v>
      </c>
      <c r="DF145" s="1009" t="s">
        <v>270</v>
      </c>
      <c r="DG145" s="1009" t="s">
        <v>271</v>
      </c>
      <c r="DH145" s="966">
        <f t="shared" si="447"/>
        <v>45658</v>
      </c>
      <c r="DI145" s="912">
        <f t="shared" si="415"/>
        <v>14</v>
      </c>
      <c r="DJ145" s="939"/>
      <c r="DK145" s="913">
        <f t="shared" si="375"/>
        <v>45723</v>
      </c>
      <c r="DL145" s="912">
        <f t="shared" si="416"/>
        <v>16</v>
      </c>
      <c r="DM145" s="750" t="s">
        <v>272</v>
      </c>
      <c r="DN145" s="750" t="s">
        <v>273</v>
      </c>
      <c r="DO145" s="751">
        <f t="shared" si="376"/>
        <v>50288.577557455719</v>
      </c>
      <c r="DP145" s="751">
        <f t="shared" si="377"/>
        <v>1106348.7062640258</v>
      </c>
      <c r="DQ145" s="752">
        <f t="shared" si="452"/>
        <v>0.55317435313201291</v>
      </c>
      <c r="DR145" s="503"/>
      <c r="DS145" s="751">
        <f t="shared" si="453"/>
        <v>3328122.242533288</v>
      </c>
      <c r="DT145" s="751">
        <f>'[4]INTERNAL PRICELIST'!N139</f>
        <v>2113804</v>
      </c>
      <c r="DU145" s="751">
        <f t="shared" si="378"/>
        <v>1214318.242533288</v>
      </c>
      <c r="DV145" s="503"/>
      <c r="DW145" s="951">
        <f t="shared" si="454"/>
        <v>151278.28375151308</v>
      </c>
      <c r="DX145" s="503"/>
      <c r="DZ145" s="1010" t="s">
        <v>578</v>
      </c>
      <c r="EA145" s="1052" t="b">
        <f t="shared" si="379"/>
        <v>1</v>
      </c>
      <c r="EB145" s="1072" t="s">
        <v>579</v>
      </c>
      <c r="EC145" s="1072" t="s">
        <v>580</v>
      </c>
      <c r="ED145" s="503"/>
      <c r="EE145" s="503"/>
      <c r="EF145" s="503"/>
      <c r="EG145" s="503"/>
      <c r="EH145" s="930"/>
      <c r="EI145" s="930"/>
      <c r="EJ145" s="503"/>
      <c r="EK145" s="503"/>
      <c r="EL145" s="503"/>
      <c r="EM145" s="503"/>
      <c r="EN145" s="503"/>
      <c r="EO145" s="503"/>
      <c r="EP145" s="503"/>
      <c r="EQ145" s="503"/>
      <c r="ER145" s="1017" t="s">
        <v>264</v>
      </c>
      <c r="ES145" s="1391" t="s">
        <v>264</v>
      </c>
      <c r="ET145" s="1018" t="b">
        <f t="shared" si="417"/>
        <v>1</v>
      </c>
      <c r="EU145" s="940"/>
      <c r="EV145" s="941"/>
      <c r="EW145" s="940"/>
      <c r="EX145" s="1019">
        <v>3175470.9806686961</v>
      </c>
      <c r="EY145" s="1019">
        <f t="shared" si="464"/>
        <v>476320.64710030437</v>
      </c>
      <c r="EZ145" s="1019">
        <f t="shared" si="465"/>
        <v>2699150.3335683914</v>
      </c>
      <c r="FA145" s="1019">
        <f t="shared" si="466"/>
        <v>317547.09806686966</v>
      </c>
      <c r="FB145" s="1019">
        <f t="shared" si="467"/>
        <v>2857923.8826018265</v>
      </c>
      <c r="FC145" s="1019">
        <f t="shared" si="468"/>
        <v>158773.54903343506</v>
      </c>
      <c r="FD145" s="1020"/>
      <c r="FE145" s="1021"/>
      <c r="FF145" s="1022">
        <f t="shared" si="469"/>
        <v>2699150.3335683914</v>
      </c>
      <c r="FG145" s="1022">
        <f t="shared" si="470"/>
        <v>229427.77835331328</v>
      </c>
      <c r="FH145" s="1022">
        <f t="shared" si="471"/>
        <v>114713.88917665664</v>
      </c>
      <c r="FI145" s="1023">
        <f t="shared" si="472"/>
        <v>2857923.8826018265</v>
      </c>
      <c r="FJ145" s="1023">
        <f t="shared" si="473"/>
        <v>242923.53002115525</v>
      </c>
      <c r="FK145" s="1023">
        <f t="shared" si="474"/>
        <v>121461.76501057763</v>
      </c>
      <c r="FL145" s="1019">
        <f t="shared" si="475"/>
        <v>13495.751667841978</v>
      </c>
      <c r="FM145" s="1019">
        <f t="shared" si="476"/>
        <v>6747.875833920989</v>
      </c>
      <c r="FN145" s="1019" t="str">
        <f t="shared" si="477"/>
        <v>VS</v>
      </c>
      <c r="FO145" s="1019">
        <f t="shared" si="478"/>
        <v>27537.409960060559</v>
      </c>
      <c r="FP145" s="1019">
        <f t="shared" si="479"/>
        <v>-20789.53412613957</v>
      </c>
      <c r="FQ145" s="1021"/>
      <c r="FR145" s="1021"/>
      <c r="FS145" s="1020"/>
      <c r="FT145" s="1055">
        <f>FB145</f>
        <v>2857923.8826018265</v>
      </c>
      <c r="FU145" s="1056"/>
      <c r="FV145" s="1056"/>
      <c r="FW145" s="503"/>
      <c r="FX145" s="1040"/>
      <c r="FY145" s="503"/>
      <c r="FZ145" s="503"/>
      <c r="GA145" s="503"/>
      <c r="GG145" s="956"/>
      <c r="GH145" s="1058"/>
      <c r="GI145" s="1024">
        <f t="shared" si="418"/>
        <v>3785739.0508816149</v>
      </c>
      <c r="GJ145" s="1025">
        <f t="shared" si="419"/>
        <v>0.125</v>
      </c>
      <c r="GK145" s="1024">
        <f t="shared" si="420"/>
        <v>473217.38136020186</v>
      </c>
      <c r="GL145" s="1024">
        <f t="shared" si="421"/>
        <v>30000</v>
      </c>
      <c r="GM145" s="1024">
        <f t="shared" si="422"/>
        <v>443217.38136020186</v>
      </c>
      <c r="GN145" s="1024">
        <f t="shared" si="423"/>
        <v>2</v>
      </c>
      <c r="GO145" s="1024">
        <f t="shared" si="424"/>
        <v>221608.69068010093</v>
      </c>
      <c r="GP145" s="1025">
        <f t="shared" si="425"/>
        <v>0.875</v>
      </c>
      <c r="GQ145" s="1024">
        <f t="shared" si="426"/>
        <v>3312521.6695214128</v>
      </c>
      <c r="GR145" s="1024">
        <f t="shared" si="427"/>
        <v>25681.945245944087</v>
      </c>
      <c r="GS145" s="1024">
        <f t="shared" si="428"/>
        <v>29773.881243771262</v>
      </c>
      <c r="GT145" s="1024">
        <f t="shared" si="429"/>
        <v>38461.185342686884</v>
      </c>
      <c r="GU145" s="1024">
        <f t="shared" si="430"/>
        <v>65591.899247403606</v>
      </c>
      <c r="GV145" s="945"/>
      <c r="GW145" s="1024">
        <f t="shared" si="431"/>
        <v>3785739.0508816149</v>
      </c>
      <c r="GX145" s="1025">
        <f t="shared" si="432"/>
        <v>0.125</v>
      </c>
      <c r="GY145" s="1024">
        <f t="shared" si="433"/>
        <v>473217.38136020186</v>
      </c>
      <c r="GZ145" s="1024">
        <f t="shared" si="434"/>
        <v>30000</v>
      </c>
      <c r="HA145" s="1024">
        <f t="shared" si="435"/>
        <v>443217.38136020186</v>
      </c>
      <c r="HB145" s="1026">
        <f t="shared" si="436"/>
        <v>25</v>
      </c>
      <c r="HC145" s="1009">
        <f t="shared" si="437"/>
        <v>17728.695254408074</v>
      </c>
      <c r="HD145" s="1027">
        <f t="shared" si="438"/>
        <v>0.875</v>
      </c>
      <c r="HE145" s="1009">
        <f t="shared" si="439"/>
        <v>3312521.6695214128</v>
      </c>
      <c r="HF145" s="1008">
        <f t="shared" si="440"/>
        <v>25681.945245944087</v>
      </c>
      <c r="HG145" s="1008">
        <f t="shared" si="441"/>
        <v>29773.881243771262</v>
      </c>
      <c r="HH145" s="1008">
        <f t="shared" si="442"/>
        <v>38461.185342686884</v>
      </c>
      <c r="HI145" s="1008">
        <f t="shared" si="443"/>
        <v>65591.899247403606</v>
      </c>
      <c r="HJ145" s="945"/>
      <c r="HK145" s="1009">
        <f t="shared" si="444"/>
        <v>-203879.99542569285</v>
      </c>
      <c r="HL145" s="503"/>
      <c r="HM145" s="503"/>
      <c r="HN145" s="503"/>
      <c r="HO145" s="503"/>
      <c r="HP145" s="503"/>
      <c r="HQ145" s="503"/>
      <c r="HR145" s="956">
        <f t="shared" si="445"/>
        <v>0</v>
      </c>
      <c r="HS145" s="503"/>
      <c r="HT145" s="503"/>
      <c r="HU145" s="956"/>
      <c r="HV145" s="503"/>
      <c r="HW145" s="956"/>
      <c r="HX145" s="956"/>
      <c r="HY145" s="503"/>
      <c r="HZ145" s="503"/>
      <c r="IA145" s="503"/>
      <c r="ID145" s="1394"/>
    </row>
    <row r="146" spans="1:238" s="1051" customFormat="1" ht="14.25" customHeight="1">
      <c r="A146" s="1018">
        <f t="shared" si="480"/>
        <v>140</v>
      </c>
      <c r="B146" s="716" t="s">
        <v>264</v>
      </c>
      <c r="C146" s="741">
        <f>C145+1</f>
        <v>2</v>
      </c>
      <c r="D146" s="716" t="s">
        <v>290</v>
      </c>
      <c r="E146" s="743" t="str">
        <f t="shared" si="352"/>
        <v>10th Floor</v>
      </c>
      <c r="F146" s="1048"/>
      <c r="G146" s="745" t="s">
        <v>581</v>
      </c>
      <c r="H146" s="745" t="s">
        <v>278</v>
      </c>
      <c r="I146" s="745" t="s">
        <v>267</v>
      </c>
      <c r="J146" s="1005">
        <v>22</v>
      </c>
      <c r="K146" s="1049"/>
      <c r="L146" s="1006" t="s">
        <v>73</v>
      </c>
      <c r="M146" s="745" t="s">
        <v>240</v>
      </c>
      <c r="N146" s="1050">
        <v>95909.091</v>
      </c>
      <c r="O146" s="934">
        <f t="shared" si="455"/>
        <v>2110000.0019999999</v>
      </c>
      <c r="P146" s="934">
        <f t="shared" si="481"/>
        <v>22400</v>
      </c>
      <c r="Q146" s="934">
        <f t="shared" si="450"/>
        <v>50000</v>
      </c>
      <c r="R146" s="934"/>
      <c r="S146" s="934"/>
      <c r="T146" s="934"/>
      <c r="U146" s="934"/>
      <c r="V146" s="934"/>
      <c r="W146" s="749">
        <f t="shared" ref="W146:W149" si="486">J146*$W$5</f>
        <v>22000</v>
      </c>
      <c r="X146" s="934"/>
      <c r="Y146" s="934">
        <f>$Y$145</f>
        <v>120000</v>
      </c>
      <c r="Z146" s="934">
        <f t="shared" si="456"/>
        <v>75000</v>
      </c>
      <c r="AA146" s="934"/>
      <c r="AB146" s="934"/>
      <c r="AC146" s="934"/>
      <c r="AD146" s="934"/>
      <c r="AE146" s="934">
        <f t="shared" si="365"/>
        <v>289400</v>
      </c>
      <c r="AF146" s="1005">
        <f t="shared" si="366"/>
        <v>2399400.0019999999</v>
      </c>
      <c r="AG146" s="1005">
        <f t="shared" si="380"/>
        <v>59985.000050000002</v>
      </c>
      <c r="AH146" s="1005">
        <f t="shared" si="381"/>
        <v>2459385.0020499998</v>
      </c>
      <c r="AI146" s="1005">
        <f t="shared" si="382"/>
        <v>61484.625051249997</v>
      </c>
      <c r="AJ146" s="1005">
        <f t="shared" si="383"/>
        <v>2520869.62710125</v>
      </c>
      <c r="AK146" s="1005">
        <f t="shared" si="384"/>
        <v>126043.48135506251</v>
      </c>
      <c r="AL146" s="1005">
        <f t="shared" si="457"/>
        <v>2646913.1084563127</v>
      </c>
      <c r="AM146" s="934">
        <f t="shared" si="385"/>
        <v>26469.131084563127</v>
      </c>
      <c r="AN146" s="934">
        <f t="shared" si="386"/>
        <v>27537.409960060559</v>
      </c>
      <c r="AO146" s="934"/>
      <c r="AP146" s="934">
        <f t="shared" si="458"/>
        <v>117501.01165596765</v>
      </c>
      <c r="AQ146" s="1005">
        <f t="shared" si="367"/>
        <v>2818420.661156904</v>
      </c>
      <c r="AR146" s="1005">
        <f t="shared" si="387"/>
        <v>126828.92975206068</v>
      </c>
      <c r="AS146" s="1147">
        <f t="shared" si="388"/>
        <v>2945249.5909089646</v>
      </c>
      <c r="AT146" s="1148">
        <f t="shared" si="459"/>
        <v>2000000</v>
      </c>
      <c r="AU146" s="1148">
        <f t="shared" si="358"/>
        <v>42965.890495862026</v>
      </c>
      <c r="AV146" s="1148">
        <f t="shared" si="460"/>
        <v>945249.59090896463</v>
      </c>
      <c r="AW146" s="1148">
        <f t="shared" si="368"/>
        <v>113429.95090907575</v>
      </c>
      <c r="AX146" s="1148">
        <f t="shared" si="369"/>
        <v>1058679.5418180404</v>
      </c>
      <c r="AY146" s="1147">
        <f t="shared" si="389"/>
        <v>3058679.5418180404</v>
      </c>
      <c r="AZ146" s="934">
        <f t="shared" si="390"/>
        <v>38233.494272725504</v>
      </c>
      <c r="BA146" s="716" t="s">
        <v>269</v>
      </c>
      <c r="BB146" s="716">
        <f t="shared" si="370"/>
        <v>3096913.0360907661</v>
      </c>
      <c r="BC146" s="716" t="s">
        <v>269</v>
      </c>
      <c r="BD146" s="716">
        <f t="shared" si="391"/>
        <v>116134.23885340373</v>
      </c>
      <c r="BE146" s="716">
        <f t="shared" si="392"/>
        <v>33600</v>
      </c>
      <c r="BF146" s="716">
        <f t="shared" si="393"/>
        <v>3246647.2749441699</v>
      </c>
      <c r="BG146" s="716"/>
      <c r="BH146" s="716">
        <f t="shared" si="394"/>
        <v>3246647.2749441699</v>
      </c>
      <c r="BI146" s="716"/>
      <c r="BJ146" s="716">
        <f t="shared" si="395"/>
        <v>3246647.2749441699</v>
      </c>
      <c r="BK146" s="716"/>
      <c r="BL146" s="716">
        <f t="shared" si="396"/>
        <v>3246647.2749441699</v>
      </c>
      <c r="BM146" s="716"/>
      <c r="BN146" s="716">
        <f t="shared" si="371"/>
        <v>3246647.2749441699</v>
      </c>
      <c r="BO146" s="716"/>
      <c r="BP146" s="716">
        <f t="shared" si="397"/>
        <v>3246647.2749441699</v>
      </c>
      <c r="BQ146" s="716"/>
      <c r="BR146" s="716">
        <f t="shared" si="398"/>
        <v>3246647.2749441699</v>
      </c>
      <c r="BS146" s="716"/>
      <c r="BT146" s="716">
        <f t="shared" si="399"/>
        <v>3246647.2749441699</v>
      </c>
      <c r="BU146" s="716">
        <f>$BU$5/24</f>
        <v>546.00000000000011</v>
      </c>
      <c r="BV146" s="716">
        <f t="shared" si="372"/>
        <v>3247193.2749441699</v>
      </c>
      <c r="BW146" s="716"/>
      <c r="BX146" s="716">
        <f t="shared" si="329"/>
        <v>31400</v>
      </c>
      <c r="BY146" s="716">
        <f t="shared" si="400"/>
        <v>3278593.2749441699</v>
      </c>
      <c r="BZ146" s="716">
        <f>$BZ$5/20</f>
        <v>33654.337039807535</v>
      </c>
      <c r="CA146" s="716">
        <f t="shared" si="401"/>
        <v>3312247.6119839773</v>
      </c>
      <c r="CB146" s="1135">
        <f>CA146</f>
        <v>3312247.6119839773</v>
      </c>
      <c r="CC146" s="1164">
        <f t="shared" si="446"/>
        <v>3312247.6119839773</v>
      </c>
      <c r="CD146" s="1164"/>
      <c r="CE146" s="1164">
        <f t="shared" si="403"/>
        <v>0</v>
      </c>
      <c r="CF146" s="1164">
        <f t="shared" si="448"/>
        <v>0</v>
      </c>
      <c r="CG146" s="1164">
        <f t="shared" si="449"/>
        <v>0</v>
      </c>
      <c r="CH146" s="1154">
        <f t="shared" si="339"/>
        <v>3312247.6119839773</v>
      </c>
      <c r="CI146" s="935">
        <f t="shared" si="340"/>
        <v>3312247.6119839773</v>
      </c>
      <c r="CJ146" s="935">
        <f t="shared" si="404"/>
        <v>0</v>
      </c>
      <c r="CK146" s="935">
        <f t="shared" si="373"/>
        <v>339505.38022835762</v>
      </c>
      <c r="CL146" s="935">
        <f t="shared" si="374"/>
        <v>115928.66641943922</v>
      </c>
      <c r="CM146" s="1006">
        <f t="shared" si="461"/>
        <v>3767681.6586317737</v>
      </c>
      <c r="CN146" s="1007">
        <f t="shared" si="462"/>
        <v>0.125</v>
      </c>
      <c r="CO146" s="935">
        <f t="shared" si="210"/>
        <v>470960.20732897171</v>
      </c>
      <c r="CP146" s="935">
        <f t="shared" si="330"/>
        <v>30000</v>
      </c>
      <c r="CQ146" s="935">
        <f t="shared" si="211"/>
        <v>440960.20732897171</v>
      </c>
      <c r="CR146" s="745">
        <v>1</v>
      </c>
      <c r="CS146" s="935">
        <f t="shared" si="212"/>
        <v>440960.20732897171</v>
      </c>
      <c r="CT146" s="1007">
        <f t="shared" si="405"/>
        <v>0.875</v>
      </c>
      <c r="CU146" s="935">
        <f t="shared" si="406"/>
        <v>3296721.4513028022</v>
      </c>
      <c r="CV146" s="1008">
        <f t="shared" si="407"/>
        <v>25559.446322269741</v>
      </c>
      <c r="CW146" s="1008">
        <f t="shared" si="408"/>
        <v>29631.864415566011</v>
      </c>
      <c r="CX146" s="1008">
        <f t="shared" si="409"/>
        <v>38277.731411818357</v>
      </c>
      <c r="CY146" s="1008">
        <f t="shared" si="410"/>
        <v>65279.035989476048</v>
      </c>
      <c r="CZ146" s="1119">
        <f t="shared" si="411"/>
        <v>267803.16216555558</v>
      </c>
      <c r="DA146" s="1119">
        <f t="shared" si="412"/>
        <v>105968.4067248096</v>
      </c>
      <c r="DB146" s="1119">
        <f t="shared" si="413"/>
        <v>76539.479326163899</v>
      </c>
      <c r="DC146" s="1119">
        <f t="shared" si="414"/>
        <v>58250.067462847575</v>
      </c>
      <c r="DD146" s="1028">
        <f t="shared" si="451"/>
        <v>0.47262479545448233</v>
      </c>
      <c r="DE146" s="1028">
        <f t="shared" si="341"/>
        <v>0</v>
      </c>
      <c r="DF146" s="1009" t="s">
        <v>270</v>
      </c>
      <c r="DG146" s="1009" t="s">
        <v>271</v>
      </c>
      <c r="DH146" s="966">
        <f t="shared" si="447"/>
        <v>45658</v>
      </c>
      <c r="DI146" s="912">
        <f t="shared" si="415"/>
        <v>14</v>
      </c>
      <c r="DJ146" s="939"/>
      <c r="DK146" s="913">
        <f t="shared" si="375"/>
        <v>45723</v>
      </c>
      <c r="DL146" s="912">
        <f t="shared" si="416"/>
        <v>16</v>
      </c>
      <c r="DM146" s="750" t="s">
        <v>272</v>
      </c>
      <c r="DN146" s="750" t="s">
        <v>273</v>
      </c>
      <c r="DO146" s="751">
        <f t="shared" si="376"/>
        <v>48121.797355365474</v>
      </c>
      <c r="DP146" s="751">
        <f t="shared" si="377"/>
        <v>1058679.5418180404</v>
      </c>
      <c r="DQ146" s="752">
        <f t="shared" si="452"/>
        <v>0.52933977090902018</v>
      </c>
      <c r="DR146" s="503"/>
      <c r="DS146" s="751">
        <f t="shared" si="453"/>
        <v>3312247.6119839773</v>
      </c>
      <c r="DT146" s="751">
        <f>'[4]INTERNAL PRICELIST'!N140</f>
        <v>2111900</v>
      </c>
      <c r="DU146" s="751">
        <f t="shared" si="378"/>
        <v>1200347.6119839773</v>
      </c>
      <c r="DV146" s="503"/>
      <c r="DW146" s="951">
        <f t="shared" si="454"/>
        <v>150556.70963563534</v>
      </c>
      <c r="DX146" s="503"/>
      <c r="DZ146" s="1010" t="s">
        <v>581</v>
      </c>
      <c r="EA146" s="1052" t="b">
        <f t="shared" si="379"/>
        <v>1</v>
      </c>
      <c r="EB146" s="1072" t="s">
        <v>582</v>
      </c>
      <c r="EC146" s="1072" t="s">
        <v>580</v>
      </c>
      <c r="ED146" s="503"/>
      <c r="EH146" s="930"/>
      <c r="EI146" s="930"/>
      <c r="EJ146" s="503"/>
      <c r="EK146" s="503"/>
      <c r="EL146" s="503"/>
      <c r="EM146" s="503"/>
      <c r="EN146" s="503"/>
      <c r="EO146" s="503"/>
      <c r="EP146" s="503"/>
      <c r="EQ146" s="503"/>
      <c r="ER146" s="1017" t="s">
        <v>243</v>
      </c>
      <c r="ES146" s="1391" t="s">
        <v>243</v>
      </c>
      <c r="ET146" s="1018" t="b">
        <f t="shared" si="417"/>
        <v>1</v>
      </c>
      <c r="EU146" s="940"/>
      <c r="EV146" s="941"/>
      <c r="EW146" s="940"/>
      <c r="EX146" s="1019">
        <v>3071921.8733586315</v>
      </c>
      <c r="EY146" s="1019">
        <f t="shared" si="464"/>
        <v>460788.28100379469</v>
      </c>
      <c r="EZ146" s="1019">
        <f t="shared" si="465"/>
        <v>2611133.5923548369</v>
      </c>
      <c r="FA146" s="1019">
        <f t="shared" si="466"/>
        <v>307192.18733586319</v>
      </c>
      <c r="FB146" s="1019">
        <f t="shared" si="467"/>
        <v>2764729.6860227683</v>
      </c>
      <c r="FC146" s="1019">
        <f t="shared" si="468"/>
        <v>153596.09366793139</v>
      </c>
      <c r="FD146" s="1020"/>
      <c r="FE146" s="1021"/>
      <c r="FF146" s="1022">
        <f t="shared" si="469"/>
        <v>2611133.5923548369</v>
      </c>
      <c r="FG146" s="1022">
        <f t="shared" si="470"/>
        <v>221946.35535016115</v>
      </c>
      <c r="FH146" s="1022">
        <f t="shared" si="471"/>
        <v>110973.17767508057</v>
      </c>
      <c r="FI146" s="1023">
        <f t="shared" si="472"/>
        <v>2764729.6860227683</v>
      </c>
      <c r="FJ146" s="1023">
        <f t="shared" si="473"/>
        <v>235002.02331193531</v>
      </c>
      <c r="FK146" s="1023">
        <f t="shared" si="474"/>
        <v>117501.01165596765</v>
      </c>
      <c r="FL146" s="1019">
        <f t="shared" si="475"/>
        <v>13055.667961774161</v>
      </c>
      <c r="FM146" s="1019">
        <f t="shared" si="476"/>
        <v>6527.8339808870805</v>
      </c>
      <c r="FN146" s="1019" t="str">
        <f t="shared" si="477"/>
        <v>VS</v>
      </c>
      <c r="FO146" s="1019">
        <f t="shared" si="478"/>
        <v>27537.409960060559</v>
      </c>
      <c r="FP146" s="1019">
        <f t="shared" si="479"/>
        <v>-21009.575979173478</v>
      </c>
      <c r="FQ146" s="1021"/>
      <c r="FR146" s="1021"/>
      <c r="FS146" s="1020"/>
      <c r="FT146" s="503"/>
      <c r="FU146" s="956"/>
      <c r="FV146" s="503"/>
      <c r="FW146" s="503"/>
      <c r="FX146" s="1040"/>
      <c r="FY146" s="503"/>
      <c r="FZ146" s="503"/>
      <c r="GA146" s="503"/>
      <c r="GG146" s="956"/>
      <c r="GH146" s="945"/>
      <c r="GI146" s="1024">
        <f t="shared" si="418"/>
        <v>3767681.6586317737</v>
      </c>
      <c r="GJ146" s="1025">
        <f t="shared" si="419"/>
        <v>0.125</v>
      </c>
      <c r="GK146" s="1024">
        <f t="shared" si="420"/>
        <v>470960.20732897171</v>
      </c>
      <c r="GL146" s="1024">
        <f t="shared" si="421"/>
        <v>30000</v>
      </c>
      <c r="GM146" s="1024">
        <f t="shared" si="422"/>
        <v>440960.20732897171</v>
      </c>
      <c r="GN146" s="1024">
        <f t="shared" si="423"/>
        <v>1</v>
      </c>
      <c r="GO146" s="1024">
        <f t="shared" si="424"/>
        <v>440960.20732897171</v>
      </c>
      <c r="GP146" s="1025">
        <f t="shared" si="425"/>
        <v>0.875</v>
      </c>
      <c r="GQ146" s="1024">
        <f t="shared" si="426"/>
        <v>3296721.4513028022</v>
      </c>
      <c r="GR146" s="1024">
        <f t="shared" si="427"/>
        <v>25559.446322269741</v>
      </c>
      <c r="GS146" s="1024">
        <f t="shared" si="428"/>
        <v>29631.864415566011</v>
      </c>
      <c r="GT146" s="1024">
        <f t="shared" si="429"/>
        <v>38277.731411818357</v>
      </c>
      <c r="GU146" s="1024">
        <f t="shared" si="430"/>
        <v>65279.035989476048</v>
      </c>
      <c r="GV146" s="945"/>
      <c r="GW146" s="1024">
        <f t="shared" si="431"/>
        <v>3767681.6586317737</v>
      </c>
      <c r="GX146" s="1025">
        <f t="shared" si="432"/>
        <v>0.125</v>
      </c>
      <c r="GY146" s="1024">
        <f t="shared" si="433"/>
        <v>470960.20732897171</v>
      </c>
      <c r="GZ146" s="1024">
        <f t="shared" si="434"/>
        <v>30000</v>
      </c>
      <c r="HA146" s="1024">
        <f t="shared" si="435"/>
        <v>440960.20732897171</v>
      </c>
      <c r="HB146" s="1026">
        <f t="shared" si="436"/>
        <v>25</v>
      </c>
      <c r="HC146" s="1009">
        <f t="shared" si="437"/>
        <v>17638.408293158867</v>
      </c>
      <c r="HD146" s="1027">
        <f t="shared" si="438"/>
        <v>0.875</v>
      </c>
      <c r="HE146" s="1009">
        <f t="shared" si="439"/>
        <v>3296721.4513028022</v>
      </c>
      <c r="HF146" s="1008">
        <f t="shared" si="440"/>
        <v>25559.446322269741</v>
      </c>
      <c r="HG146" s="1008">
        <f t="shared" si="441"/>
        <v>29631.864415566011</v>
      </c>
      <c r="HH146" s="1008">
        <f t="shared" si="442"/>
        <v>38277.731411818357</v>
      </c>
      <c r="HI146" s="1008">
        <f t="shared" si="443"/>
        <v>65279.035989476048</v>
      </c>
      <c r="HJ146" s="945"/>
      <c r="HK146" s="1009">
        <f t="shared" si="444"/>
        <v>-423321.79903581284</v>
      </c>
      <c r="HL146" s="503"/>
      <c r="HM146" s="503"/>
      <c r="HN146" s="503"/>
      <c r="HO146" s="503"/>
      <c r="HP146" s="503"/>
      <c r="HQ146" s="503"/>
      <c r="HR146" s="956">
        <f t="shared" si="445"/>
        <v>0</v>
      </c>
      <c r="HS146" s="503"/>
      <c r="HT146" s="503"/>
      <c r="HU146" s="956"/>
      <c r="HV146" s="503"/>
      <c r="HW146" s="956"/>
      <c r="HX146" s="956"/>
      <c r="HY146" s="503"/>
      <c r="HZ146" s="503"/>
      <c r="IA146" s="503"/>
      <c r="ID146" s="1394"/>
    </row>
    <row r="147" spans="1:238" s="1051" customFormat="1" ht="14.25" hidden="1" customHeight="1">
      <c r="A147" s="1018">
        <f t="shared" si="480"/>
        <v>141</v>
      </c>
      <c r="B147" s="716" t="s">
        <v>264</v>
      </c>
      <c r="C147" s="741">
        <f t="shared" ref="C147:C162" si="487">C146+1</f>
        <v>3</v>
      </c>
      <c r="D147" s="716" t="s">
        <v>290</v>
      </c>
      <c r="E147" s="743" t="str">
        <f t="shared" si="352"/>
        <v>10th Floor</v>
      </c>
      <c r="F147" s="1048"/>
      <c r="G147" s="745" t="s">
        <v>583</v>
      </c>
      <c r="H147" s="745" t="s">
        <v>283</v>
      </c>
      <c r="I147" s="745" t="s">
        <v>267</v>
      </c>
      <c r="J147" s="1005">
        <v>22</v>
      </c>
      <c r="K147" s="1049"/>
      <c r="L147" s="1006" t="s">
        <v>73</v>
      </c>
      <c r="M147" s="745" t="s">
        <v>240</v>
      </c>
      <c r="N147" s="1050">
        <v>95909.091</v>
      </c>
      <c r="O147" s="934">
        <f t="shared" si="455"/>
        <v>2110000.0019999999</v>
      </c>
      <c r="P147" s="934">
        <f t="shared" si="481"/>
        <v>22400</v>
      </c>
      <c r="Q147" s="934">
        <f t="shared" si="450"/>
        <v>50000</v>
      </c>
      <c r="R147" s="934"/>
      <c r="S147" s="934"/>
      <c r="T147" s="934"/>
      <c r="U147" s="934"/>
      <c r="V147" s="934"/>
      <c r="W147" s="749">
        <f t="shared" si="486"/>
        <v>22000</v>
      </c>
      <c r="X147" s="934"/>
      <c r="Y147" s="934">
        <f t="shared" ref="Y147:Y162" si="488">$Y$145</f>
        <v>120000</v>
      </c>
      <c r="Z147" s="934">
        <f t="shared" si="456"/>
        <v>75000</v>
      </c>
      <c r="AA147" s="934"/>
      <c r="AB147" s="934"/>
      <c r="AC147" s="934"/>
      <c r="AD147" s="934"/>
      <c r="AE147" s="934">
        <f t="shared" si="365"/>
        <v>289400</v>
      </c>
      <c r="AF147" s="1005">
        <f t="shared" si="366"/>
        <v>2399400.0019999999</v>
      </c>
      <c r="AG147" s="1005">
        <f t="shared" si="380"/>
        <v>59985.000050000002</v>
      </c>
      <c r="AH147" s="1005">
        <f t="shared" si="381"/>
        <v>2459385.0020499998</v>
      </c>
      <c r="AI147" s="1005">
        <f t="shared" si="382"/>
        <v>61484.625051249997</v>
      </c>
      <c r="AJ147" s="1005">
        <f t="shared" si="383"/>
        <v>2520869.62710125</v>
      </c>
      <c r="AK147" s="1005">
        <f t="shared" si="384"/>
        <v>126043.48135506251</v>
      </c>
      <c r="AL147" s="1005">
        <f t="shared" si="457"/>
        <v>2646913.1084563127</v>
      </c>
      <c r="AM147" s="934">
        <f t="shared" si="385"/>
        <v>26469.131084563127</v>
      </c>
      <c r="AN147" s="934">
        <f t="shared" si="386"/>
        <v>27537.409960060559</v>
      </c>
      <c r="AO147" s="934"/>
      <c r="AP147" s="934">
        <f t="shared" si="458"/>
        <v>117501.01165596765</v>
      </c>
      <c r="AQ147" s="1005">
        <f t="shared" si="367"/>
        <v>2818420.661156904</v>
      </c>
      <c r="AR147" s="1005">
        <f t="shared" si="387"/>
        <v>126828.92975206068</v>
      </c>
      <c r="AS147" s="1147">
        <f t="shared" si="388"/>
        <v>2945249.5909089646</v>
      </c>
      <c r="AT147" s="1148">
        <f t="shared" si="459"/>
        <v>2000000</v>
      </c>
      <c r="AU147" s="1148">
        <f t="shared" si="358"/>
        <v>42965.890495862026</v>
      </c>
      <c r="AV147" s="1148">
        <f t="shared" si="460"/>
        <v>945249.59090896463</v>
      </c>
      <c r="AW147" s="1148">
        <f t="shared" si="368"/>
        <v>113429.95090907575</v>
      </c>
      <c r="AX147" s="1148">
        <f t="shared" si="369"/>
        <v>1058679.5418180404</v>
      </c>
      <c r="AY147" s="1147">
        <f t="shared" si="389"/>
        <v>3058679.5418180404</v>
      </c>
      <c r="AZ147" s="934">
        <f t="shared" si="390"/>
        <v>38233.494272725504</v>
      </c>
      <c r="BA147" s="716" t="s">
        <v>269</v>
      </c>
      <c r="BB147" s="716">
        <f t="shared" si="370"/>
        <v>3096913.0360907661</v>
      </c>
      <c r="BC147" s="716" t="s">
        <v>269</v>
      </c>
      <c r="BD147" s="716">
        <f t="shared" si="391"/>
        <v>116134.23885340373</v>
      </c>
      <c r="BE147" s="716">
        <f t="shared" si="392"/>
        <v>33600</v>
      </c>
      <c r="BF147" s="716">
        <f t="shared" si="393"/>
        <v>3246647.2749441699</v>
      </c>
      <c r="BG147" s="716"/>
      <c r="BH147" s="716">
        <f t="shared" si="394"/>
        <v>3246647.2749441699</v>
      </c>
      <c r="BI147" s="716"/>
      <c r="BJ147" s="716">
        <f t="shared" si="395"/>
        <v>3246647.2749441699</v>
      </c>
      <c r="BK147" s="716"/>
      <c r="BL147" s="716">
        <f t="shared" si="396"/>
        <v>3246647.2749441699</v>
      </c>
      <c r="BM147" s="716"/>
      <c r="BN147" s="716">
        <f t="shared" si="371"/>
        <v>3246647.2749441699</v>
      </c>
      <c r="BO147" s="716"/>
      <c r="BP147" s="716">
        <f t="shared" si="397"/>
        <v>3246647.2749441699</v>
      </c>
      <c r="BQ147" s="716"/>
      <c r="BR147" s="716">
        <f t="shared" si="398"/>
        <v>3246647.2749441699</v>
      </c>
      <c r="BS147" s="716"/>
      <c r="BT147" s="716">
        <f t="shared" si="399"/>
        <v>3246647.2749441699</v>
      </c>
      <c r="BU147" s="716"/>
      <c r="BV147" s="716">
        <f t="shared" si="372"/>
        <v>3246647.2749441699</v>
      </c>
      <c r="BW147" s="716"/>
      <c r="BX147" s="716">
        <f t="shared" ref="BX147:BX210" si="489">$BX$2+$BX$3-BE147</f>
        <v>31400</v>
      </c>
      <c r="BY147" s="716">
        <f t="shared" si="400"/>
        <v>3278047.2749441699</v>
      </c>
      <c r="BZ147" s="716"/>
      <c r="CA147" s="716">
        <f t="shared" si="401"/>
        <v>3278047.2749441699</v>
      </c>
      <c r="CB147" s="1135">
        <f t="shared" si="402"/>
        <v>3278047.2749441699</v>
      </c>
      <c r="CC147" s="1164">
        <f t="shared" si="446"/>
        <v>3278047.2749441699</v>
      </c>
      <c r="CD147" s="1164"/>
      <c r="CE147" s="1164">
        <f t="shared" si="403"/>
        <v>0</v>
      </c>
      <c r="CF147" s="1164">
        <f t="shared" si="448"/>
        <v>0</v>
      </c>
      <c r="CG147" s="1164">
        <f t="shared" si="449"/>
        <v>0</v>
      </c>
      <c r="CH147" s="1154">
        <f t="shared" si="339"/>
        <v>3278047.2749441699</v>
      </c>
      <c r="CI147" s="935">
        <f t="shared" si="340"/>
        <v>3278047.2749441699</v>
      </c>
      <c r="CJ147" s="935">
        <f t="shared" si="404"/>
        <v>0</v>
      </c>
      <c r="CK147" s="935">
        <f t="shared" si="373"/>
        <v>335999.8456817774</v>
      </c>
      <c r="CL147" s="935">
        <f t="shared" si="374"/>
        <v>114731.65462304596</v>
      </c>
      <c r="CM147" s="1006">
        <f t="shared" si="461"/>
        <v>3728778.7752489932</v>
      </c>
      <c r="CN147" s="1007">
        <f t="shared" si="462"/>
        <v>0.125</v>
      </c>
      <c r="CO147" s="935">
        <f t="shared" si="210"/>
        <v>466097.34690612415</v>
      </c>
      <c r="CP147" s="935">
        <f t="shared" si="330"/>
        <v>30000</v>
      </c>
      <c r="CQ147" s="935">
        <f t="shared" si="211"/>
        <v>436097.34690612415</v>
      </c>
      <c r="CR147" s="745">
        <f t="shared" si="463"/>
        <v>2</v>
      </c>
      <c r="CS147" s="935">
        <f t="shared" si="212"/>
        <v>218048.67345306207</v>
      </c>
      <c r="CT147" s="1007">
        <f t="shared" si="405"/>
        <v>0.875</v>
      </c>
      <c r="CU147" s="935">
        <f t="shared" si="406"/>
        <v>3262681.428342869</v>
      </c>
      <c r="CV147" s="1008">
        <f t="shared" si="407"/>
        <v>25295.534386576957</v>
      </c>
      <c r="CW147" s="1008">
        <f t="shared" si="408"/>
        <v>29325.903065797476</v>
      </c>
      <c r="CX147" s="1008">
        <f t="shared" si="409"/>
        <v>37882.497881973868</v>
      </c>
      <c r="CY147" s="1008">
        <f t="shared" si="410"/>
        <v>64605.002736528353</v>
      </c>
      <c r="CZ147" s="1119">
        <f t="shared" si="411"/>
        <v>265037.98290382099</v>
      </c>
      <c r="DA147" s="1119">
        <f t="shared" si="412"/>
        <v>104874.23876090274</v>
      </c>
      <c r="DB147" s="1119">
        <f t="shared" si="413"/>
        <v>75749.177302747776</v>
      </c>
      <c r="DC147" s="1119">
        <f t="shared" si="414"/>
        <v>57648.611239401886</v>
      </c>
      <c r="DD147" s="1028">
        <f t="shared" si="451"/>
        <v>0.47262479545448233</v>
      </c>
      <c r="DE147" s="1028">
        <f t="shared" si="341"/>
        <v>0</v>
      </c>
      <c r="DF147" s="1009" t="s">
        <v>270</v>
      </c>
      <c r="DG147" s="1009" t="s">
        <v>271</v>
      </c>
      <c r="DH147" s="966">
        <f t="shared" si="447"/>
        <v>45658</v>
      </c>
      <c r="DI147" s="912">
        <f t="shared" si="415"/>
        <v>14</v>
      </c>
      <c r="DJ147" s="939"/>
      <c r="DK147" s="913">
        <f t="shared" si="375"/>
        <v>45723</v>
      </c>
      <c r="DL147" s="912">
        <f t="shared" si="416"/>
        <v>16</v>
      </c>
      <c r="DM147" s="750" t="s">
        <v>272</v>
      </c>
      <c r="DN147" s="750" t="s">
        <v>273</v>
      </c>
      <c r="DO147" s="751">
        <f t="shared" si="376"/>
        <v>48121.797355365474</v>
      </c>
      <c r="DP147" s="751">
        <f t="shared" si="377"/>
        <v>1058679.5418180404</v>
      </c>
      <c r="DQ147" s="752">
        <f t="shared" si="452"/>
        <v>0.52933977090902018</v>
      </c>
      <c r="DR147" s="503"/>
      <c r="DS147" s="751">
        <f t="shared" si="453"/>
        <v>3278047.2749441699</v>
      </c>
      <c r="DT147" s="751">
        <f>'[4]INTERNAL PRICELIST'!N141</f>
        <v>2111900</v>
      </c>
      <c r="DU147" s="751">
        <f t="shared" si="378"/>
        <v>1166147.2749441699</v>
      </c>
      <c r="DV147" s="503"/>
      <c r="DW147" s="951">
        <f t="shared" si="454"/>
        <v>149002.14886109863</v>
      </c>
      <c r="DX147" s="503"/>
      <c r="DZ147" s="1010" t="s">
        <v>583</v>
      </c>
      <c r="EA147" s="1052" t="b">
        <f t="shared" si="379"/>
        <v>1</v>
      </c>
      <c r="EB147" s="1072" t="s">
        <v>584</v>
      </c>
      <c r="EC147" s="1072" t="s">
        <v>580</v>
      </c>
      <c r="ED147" s="503"/>
      <c r="EH147" s="930"/>
      <c r="EI147" s="930"/>
      <c r="EJ147" s="503"/>
      <c r="EK147" s="503"/>
      <c r="EL147" s="503"/>
      <c r="EM147" s="503"/>
      <c r="EN147" s="503"/>
      <c r="EO147" s="503"/>
      <c r="EP147" s="503"/>
      <c r="EQ147" s="503"/>
      <c r="ER147" s="1017" t="s">
        <v>264</v>
      </c>
      <c r="ES147" s="1391" t="s">
        <v>264</v>
      </c>
      <c r="ET147" s="1018" t="b">
        <f t="shared" si="417"/>
        <v>1</v>
      </c>
      <c r="EU147" s="940"/>
      <c r="EV147" s="941"/>
      <c r="EW147" s="940"/>
      <c r="EX147" s="1019">
        <v>3071921.8733586315</v>
      </c>
      <c r="EY147" s="1019">
        <f t="shared" si="464"/>
        <v>460788.28100379469</v>
      </c>
      <c r="EZ147" s="1019">
        <f t="shared" si="465"/>
        <v>2611133.5923548369</v>
      </c>
      <c r="FA147" s="1019">
        <f t="shared" si="466"/>
        <v>307192.18733586319</v>
      </c>
      <c r="FB147" s="1019">
        <f t="shared" si="467"/>
        <v>2764729.6860227683</v>
      </c>
      <c r="FC147" s="1019">
        <f t="shared" si="468"/>
        <v>153596.09366793139</v>
      </c>
      <c r="FD147" s="1020"/>
      <c r="FE147" s="1021"/>
      <c r="FF147" s="1022">
        <f t="shared" si="469"/>
        <v>2611133.5923548369</v>
      </c>
      <c r="FG147" s="1022">
        <f t="shared" si="470"/>
        <v>221946.35535016115</v>
      </c>
      <c r="FH147" s="1022">
        <f t="shared" si="471"/>
        <v>110973.17767508057</v>
      </c>
      <c r="FI147" s="1023">
        <f t="shared" si="472"/>
        <v>2764729.6860227683</v>
      </c>
      <c r="FJ147" s="1023">
        <f t="shared" si="473"/>
        <v>235002.02331193531</v>
      </c>
      <c r="FK147" s="1023">
        <f t="shared" si="474"/>
        <v>117501.01165596765</v>
      </c>
      <c r="FL147" s="1019">
        <f t="shared" si="475"/>
        <v>13055.667961774161</v>
      </c>
      <c r="FM147" s="1019">
        <f t="shared" si="476"/>
        <v>6527.8339808870805</v>
      </c>
      <c r="FN147" s="1019" t="str">
        <f t="shared" si="477"/>
        <v>VS</v>
      </c>
      <c r="FO147" s="1019">
        <f t="shared" si="478"/>
        <v>27537.409960060559</v>
      </c>
      <c r="FP147" s="1019">
        <f t="shared" si="479"/>
        <v>-21009.575979173478</v>
      </c>
      <c r="FQ147" s="1021"/>
      <c r="FR147" s="1021"/>
      <c r="FS147" s="1020"/>
      <c r="FT147" s="503"/>
      <c r="FU147" s="956"/>
      <c r="FV147" s="503"/>
      <c r="FW147" s="503"/>
      <c r="FX147" s="1040"/>
      <c r="FY147" s="503"/>
      <c r="FZ147" s="503"/>
      <c r="GA147" s="503"/>
      <c r="GG147" s="956"/>
      <c r="GH147" s="945"/>
      <c r="GI147" s="1024">
        <f t="shared" si="418"/>
        <v>3728778.7752489932</v>
      </c>
      <c r="GJ147" s="1025">
        <f t="shared" si="419"/>
        <v>0.125</v>
      </c>
      <c r="GK147" s="1024">
        <f t="shared" si="420"/>
        <v>466097.34690612415</v>
      </c>
      <c r="GL147" s="1024">
        <f t="shared" si="421"/>
        <v>30000</v>
      </c>
      <c r="GM147" s="1024">
        <f t="shared" si="422"/>
        <v>436097.34690612415</v>
      </c>
      <c r="GN147" s="1024">
        <f t="shared" si="423"/>
        <v>2</v>
      </c>
      <c r="GO147" s="1024">
        <f t="shared" si="424"/>
        <v>218048.67345306207</v>
      </c>
      <c r="GP147" s="1025">
        <f t="shared" si="425"/>
        <v>0.875</v>
      </c>
      <c r="GQ147" s="1024">
        <f t="shared" si="426"/>
        <v>3262681.428342869</v>
      </c>
      <c r="GR147" s="1024">
        <f t="shared" si="427"/>
        <v>25295.534386576957</v>
      </c>
      <c r="GS147" s="1024">
        <f t="shared" si="428"/>
        <v>29325.903065797476</v>
      </c>
      <c r="GT147" s="1024">
        <f t="shared" si="429"/>
        <v>37882.497881973868</v>
      </c>
      <c r="GU147" s="1024">
        <f t="shared" si="430"/>
        <v>64605.002736528353</v>
      </c>
      <c r="GV147" s="945"/>
      <c r="GW147" s="1024">
        <f t="shared" si="431"/>
        <v>3728778.7752489932</v>
      </c>
      <c r="GX147" s="1025">
        <f t="shared" si="432"/>
        <v>0.125</v>
      </c>
      <c r="GY147" s="1024">
        <f t="shared" si="433"/>
        <v>466097.34690612415</v>
      </c>
      <c r="GZ147" s="1024">
        <f t="shared" si="434"/>
        <v>30000</v>
      </c>
      <c r="HA147" s="1024">
        <f t="shared" si="435"/>
        <v>436097.34690612415</v>
      </c>
      <c r="HB147" s="1026">
        <f t="shared" si="436"/>
        <v>25</v>
      </c>
      <c r="HC147" s="1009">
        <f t="shared" si="437"/>
        <v>17443.893876244965</v>
      </c>
      <c r="HD147" s="1027">
        <f t="shared" si="438"/>
        <v>0.875</v>
      </c>
      <c r="HE147" s="1009">
        <f t="shared" si="439"/>
        <v>3262681.428342869</v>
      </c>
      <c r="HF147" s="1008">
        <f t="shared" si="440"/>
        <v>25295.534386576957</v>
      </c>
      <c r="HG147" s="1008">
        <f t="shared" si="441"/>
        <v>29325.903065797476</v>
      </c>
      <c r="HH147" s="1008">
        <f t="shared" si="442"/>
        <v>37882.497881973868</v>
      </c>
      <c r="HI147" s="1008">
        <f t="shared" si="443"/>
        <v>64605.002736528353</v>
      </c>
      <c r="HJ147" s="945"/>
      <c r="HK147" s="1009">
        <f t="shared" si="444"/>
        <v>-200604.77957681712</v>
      </c>
      <c r="HL147" s="503"/>
      <c r="HM147" s="503"/>
      <c r="HN147" s="503"/>
      <c r="HO147" s="503"/>
      <c r="HP147" s="503"/>
      <c r="HQ147" s="503"/>
      <c r="HR147" s="956">
        <f t="shared" si="445"/>
        <v>0</v>
      </c>
      <c r="HS147" s="503"/>
      <c r="HT147" s="503"/>
      <c r="HU147" s="956"/>
      <c r="HV147" s="503"/>
      <c r="HW147" s="956"/>
      <c r="HX147" s="956"/>
      <c r="HY147" s="503"/>
      <c r="HZ147" s="503"/>
      <c r="IA147" s="503"/>
      <c r="ID147" s="1394"/>
    </row>
    <row r="148" spans="1:238" s="1051" customFormat="1" ht="14.25" hidden="1" customHeight="1">
      <c r="A148" s="1018">
        <f t="shared" si="480"/>
        <v>142</v>
      </c>
      <c r="B148" s="716" t="s">
        <v>264</v>
      </c>
      <c r="C148" s="741">
        <f t="shared" si="487"/>
        <v>4</v>
      </c>
      <c r="D148" s="716" t="s">
        <v>290</v>
      </c>
      <c r="E148" s="743" t="str">
        <f t="shared" si="352"/>
        <v>10th Floor</v>
      </c>
      <c r="F148" s="1048"/>
      <c r="G148" s="745" t="s">
        <v>585</v>
      </c>
      <c r="H148" s="745" t="s">
        <v>288</v>
      </c>
      <c r="I148" s="745" t="s">
        <v>267</v>
      </c>
      <c r="J148" s="1005">
        <v>22</v>
      </c>
      <c r="K148" s="1049"/>
      <c r="L148" s="1006" t="s">
        <v>73</v>
      </c>
      <c r="M148" s="745" t="s">
        <v>240</v>
      </c>
      <c r="N148" s="1050">
        <v>95909.091</v>
      </c>
      <c r="O148" s="934">
        <f t="shared" si="455"/>
        <v>2110000.0019999999</v>
      </c>
      <c r="P148" s="934">
        <f t="shared" si="481"/>
        <v>22400</v>
      </c>
      <c r="Q148" s="934">
        <f t="shared" si="450"/>
        <v>50000</v>
      </c>
      <c r="R148" s="934"/>
      <c r="S148" s="934"/>
      <c r="T148" s="934"/>
      <c r="U148" s="934"/>
      <c r="V148" s="934"/>
      <c r="W148" s="749">
        <f t="shared" si="486"/>
        <v>22000</v>
      </c>
      <c r="X148" s="934"/>
      <c r="Y148" s="934">
        <f t="shared" si="488"/>
        <v>120000</v>
      </c>
      <c r="Z148" s="934">
        <f t="shared" si="456"/>
        <v>75000</v>
      </c>
      <c r="AA148" s="934"/>
      <c r="AB148" s="934"/>
      <c r="AC148" s="934"/>
      <c r="AD148" s="934"/>
      <c r="AE148" s="934">
        <f t="shared" si="365"/>
        <v>289400</v>
      </c>
      <c r="AF148" s="1005">
        <f t="shared" si="366"/>
        <v>2399400.0019999999</v>
      </c>
      <c r="AG148" s="1005">
        <f t="shared" si="380"/>
        <v>59985.000050000002</v>
      </c>
      <c r="AH148" s="1005">
        <f t="shared" si="381"/>
        <v>2459385.0020499998</v>
      </c>
      <c r="AI148" s="1005">
        <f t="shared" si="382"/>
        <v>61484.625051249997</v>
      </c>
      <c r="AJ148" s="1005">
        <f t="shared" si="383"/>
        <v>2520869.62710125</v>
      </c>
      <c r="AK148" s="1005">
        <f t="shared" si="384"/>
        <v>126043.48135506251</v>
      </c>
      <c r="AL148" s="1005">
        <f t="shared" si="457"/>
        <v>2646913.1084563127</v>
      </c>
      <c r="AM148" s="934">
        <f t="shared" si="385"/>
        <v>26469.131084563127</v>
      </c>
      <c r="AN148" s="934">
        <f t="shared" si="386"/>
        <v>27537.409960060559</v>
      </c>
      <c r="AO148" s="934"/>
      <c r="AP148" s="934">
        <f t="shared" si="458"/>
        <v>117501.01165596765</v>
      </c>
      <c r="AQ148" s="1005">
        <f t="shared" si="367"/>
        <v>2818420.661156904</v>
      </c>
      <c r="AR148" s="1005">
        <f t="shared" si="387"/>
        <v>126828.92975206068</v>
      </c>
      <c r="AS148" s="1147">
        <f t="shared" si="388"/>
        <v>2945249.5909089646</v>
      </c>
      <c r="AT148" s="1148">
        <f t="shared" si="459"/>
        <v>2000000</v>
      </c>
      <c r="AU148" s="1148">
        <f t="shared" si="358"/>
        <v>42965.890495862026</v>
      </c>
      <c r="AV148" s="1148">
        <f t="shared" si="460"/>
        <v>945249.59090896463</v>
      </c>
      <c r="AW148" s="1148">
        <f t="shared" si="368"/>
        <v>113429.95090907575</v>
      </c>
      <c r="AX148" s="1148">
        <f t="shared" si="369"/>
        <v>1058679.5418180404</v>
      </c>
      <c r="AY148" s="1147">
        <f t="shared" si="389"/>
        <v>3058679.5418180404</v>
      </c>
      <c r="AZ148" s="934">
        <f t="shared" si="390"/>
        <v>38233.494272725504</v>
      </c>
      <c r="BA148" s="716" t="s">
        <v>269</v>
      </c>
      <c r="BB148" s="716">
        <f t="shared" si="370"/>
        <v>3096913.0360907661</v>
      </c>
      <c r="BC148" s="716" t="s">
        <v>269</v>
      </c>
      <c r="BD148" s="716">
        <f t="shared" si="391"/>
        <v>116134.23885340373</v>
      </c>
      <c r="BE148" s="716">
        <f t="shared" si="392"/>
        <v>33600</v>
      </c>
      <c r="BF148" s="716">
        <f t="shared" si="393"/>
        <v>3246647.2749441699</v>
      </c>
      <c r="BG148" s="716"/>
      <c r="BH148" s="716">
        <f t="shared" si="394"/>
        <v>3246647.2749441699</v>
      </c>
      <c r="BI148" s="716"/>
      <c r="BJ148" s="716">
        <f t="shared" si="395"/>
        <v>3246647.2749441699</v>
      </c>
      <c r="BK148" s="716"/>
      <c r="BL148" s="716">
        <f t="shared" si="396"/>
        <v>3246647.2749441699</v>
      </c>
      <c r="BM148" s="716"/>
      <c r="BN148" s="716">
        <f t="shared" si="371"/>
        <v>3246647.2749441699</v>
      </c>
      <c r="BO148" s="716"/>
      <c r="BP148" s="716">
        <f t="shared" si="397"/>
        <v>3246647.2749441699</v>
      </c>
      <c r="BQ148" s="716"/>
      <c r="BR148" s="716">
        <f t="shared" si="398"/>
        <v>3246647.2749441699</v>
      </c>
      <c r="BS148" s="716"/>
      <c r="BT148" s="716">
        <f t="shared" si="399"/>
        <v>3246647.2749441699</v>
      </c>
      <c r="BU148" s="716"/>
      <c r="BV148" s="716">
        <f t="shared" si="372"/>
        <v>3246647.2749441699</v>
      </c>
      <c r="BW148" s="716"/>
      <c r="BX148" s="716">
        <f t="shared" si="489"/>
        <v>31400</v>
      </c>
      <c r="BY148" s="716">
        <f t="shared" si="400"/>
        <v>3278047.2749441699</v>
      </c>
      <c r="BZ148" s="716"/>
      <c r="CA148" s="716">
        <f t="shared" si="401"/>
        <v>3278047.2749441699</v>
      </c>
      <c r="CB148" s="1135">
        <f t="shared" si="402"/>
        <v>3278047.2749441699</v>
      </c>
      <c r="CC148" s="1164">
        <f t="shared" si="446"/>
        <v>3278047.2749441699</v>
      </c>
      <c r="CD148" s="1164"/>
      <c r="CE148" s="1164">
        <f t="shared" si="403"/>
        <v>0</v>
      </c>
      <c r="CF148" s="1164">
        <f t="shared" si="448"/>
        <v>0</v>
      </c>
      <c r="CG148" s="1164">
        <f t="shared" si="449"/>
        <v>0</v>
      </c>
      <c r="CH148" s="1154">
        <f t="shared" si="339"/>
        <v>3278047.2749441699</v>
      </c>
      <c r="CI148" s="935">
        <f t="shared" si="340"/>
        <v>3278047.2749441699</v>
      </c>
      <c r="CJ148" s="935">
        <f t="shared" si="404"/>
        <v>0</v>
      </c>
      <c r="CK148" s="935">
        <f t="shared" si="373"/>
        <v>335999.8456817774</v>
      </c>
      <c r="CL148" s="935">
        <f t="shared" si="374"/>
        <v>114731.65462304596</v>
      </c>
      <c r="CM148" s="1006">
        <f t="shared" si="461"/>
        <v>3728778.7752489932</v>
      </c>
      <c r="CN148" s="1007">
        <f t="shared" si="462"/>
        <v>0.125</v>
      </c>
      <c r="CO148" s="935">
        <f t="shared" si="210"/>
        <v>466097.34690612415</v>
      </c>
      <c r="CP148" s="935">
        <f t="shared" ref="CP148:CP211" si="490">$CP$5</f>
        <v>30000</v>
      </c>
      <c r="CQ148" s="935">
        <f t="shared" si="211"/>
        <v>436097.34690612415</v>
      </c>
      <c r="CR148" s="745">
        <f t="shared" si="463"/>
        <v>2</v>
      </c>
      <c r="CS148" s="935">
        <f t="shared" si="212"/>
        <v>218048.67345306207</v>
      </c>
      <c r="CT148" s="1007">
        <f t="shared" si="405"/>
        <v>0.875</v>
      </c>
      <c r="CU148" s="935">
        <f t="shared" si="406"/>
        <v>3262681.428342869</v>
      </c>
      <c r="CV148" s="1008">
        <f t="shared" si="407"/>
        <v>25295.534386576957</v>
      </c>
      <c r="CW148" s="1008">
        <f t="shared" si="408"/>
        <v>29325.903065797476</v>
      </c>
      <c r="CX148" s="1008">
        <f t="shared" si="409"/>
        <v>37882.497881973868</v>
      </c>
      <c r="CY148" s="1008">
        <f t="shared" si="410"/>
        <v>64605.002736528353</v>
      </c>
      <c r="CZ148" s="1119">
        <f t="shared" si="411"/>
        <v>265037.98290382099</v>
      </c>
      <c r="DA148" s="1119">
        <f t="shared" si="412"/>
        <v>104874.23876090274</v>
      </c>
      <c r="DB148" s="1119">
        <f t="shared" si="413"/>
        <v>75749.177302747776</v>
      </c>
      <c r="DC148" s="1119">
        <f t="shared" si="414"/>
        <v>57648.611239401886</v>
      </c>
      <c r="DD148" s="1028">
        <f t="shared" si="451"/>
        <v>0.47262479545448233</v>
      </c>
      <c r="DE148" s="1028">
        <f t="shared" si="341"/>
        <v>0</v>
      </c>
      <c r="DF148" s="1009" t="s">
        <v>270</v>
      </c>
      <c r="DG148" s="1009" t="s">
        <v>271</v>
      </c>
      <c r="DH148" s="966">
        <f t="shared" si="447"/>
        <v>45658</v>
      </c>
      <c r="DI148" s="912">
        <f t="shared" si="415"/>
        <v>14</v>
      </c>
      <c r="DJ148" s="939"/>
      <c r="DK148" s="913">
        <f t="shared" si="375"/>
        <v>45723</v>
      </c>
      <c r="DL148" s="912">
        <f t="shared" si="416"/>
        <v>16</v>
      </c>
      <c r="DM148" s="750" t="s">
        <v>272</v>
      </c>
      <c r="DN148" s="750" t="s">
        <v>273</v>
      </c>
      <c r="DO148" s="751">
        <f t="shared" si="376"/>
        <v>48121.797355365474</v>
      </c>
      <c r="DP148" s="751">
        <f t="shared" si="377"/>
        <v>1058679.5418180404</v>
      </c>
      <c r="DQ148" s="752">
        <f t="shared" si="452"/>
        <v>0.52933977090902018</v>
      </c>
      <c r="DR148" s="503"/>
      <c r="DS148" s="751">
        <f t="shared" si="453"/>
        <v>3278047.2749441699</v>
      </c>
      <c r="DT148" s="751">
        <f>'[4]INTERNAL PRICELIST'!N142</f>
        <v>2111900</v>
      </c>
      <c r="DU148" s="751">
        <f t="shared" si="378"/>
        <v>1166147.2749441699</v>
      </c>
      <c r="DV148" s="503"/>
      <c r="DW148" s="951">
        <f t="shared" si="454"/>
        <v>149002.14886109863</v>
      </c>
      <c r="DX148" s="503"/>
      <c r="DZ148" s="1010" t="s">
        <v>585</v>
      </c>
      <c r="EA148" s="1052" t="b">
        <f t="shared" si="379"/>
        <v>1</v>
      </c>
      <c r="EB148" s="1072" t="s">
        <v>586</v>
      </c>
      <c r="EC148" s="1072" t="s">
        <v>580</v>
      </c>
      <c r="ED148" s="503"/>
      <c r="EE148" s="503"/>
      <c r="EF148" s="503"/>
      <c r="EG148" s="503"/>
      <c r="EH148" s="930"/>
      <c r="EI148" s="930"/>
      <c r="EJ148" s="503"/>
      <c r="EK148" s="503"/>
      <c r="EL148" s="503"/>
      <c r="EM148" s="503"/>
      <c r="EN148" s="503"/>
      <c r="EO148" s="503"/>
      <c r="EP148" s="503"/>
      <c r="EQ148" s="503"/>
      <c r="ER148" s="1017" t="s">
        <v>264</v>
      </c>
      <c r="ES148" s="1391" t="s">
        <v>264</v>
      </c>
      <c r="ET148" s="1018" t="b">
        <f t="shared" si="417"/>
        <v>1</v>
      </c>
      <c r="EU148" s="940"/>
      <c r="EV148" s="941"/>
      <c r="EW148" s="940"/>
      <c r="EX148" s="1019">
        <v>3071921.8733586315</v>
      </c>
      <c r="EY148" s="1019">
        <f t="shared" si="464"/>
        <v>460788.28100379469</v>
      </c>
      <c r="EZ148" s="1019">
        <f t="shared" si="465"/>
        <v>2611133.5923548369</v>
      </c>
      <c r="FA148" s="1019">
        <f t="shared" si="466"/>
        <v>307192.18733586319</v>
      </c>
      <c r="FB148" s="1019">
        <f t="shared" si="467"/>
        <v>2764729.6860227683</v>
      </c>
      <c r="FC148" s="1019">
        <f t="shared" si="468"/>
        <v>153596.09366793139</v>
      </c>
      <c r="FD148" s="1020"/>
      <c r="FE148" s="1021"/>
      <c r="FF148" s="1022">
        <f t="shared" si="469"/>
        <v>2611133.5923548369</v>
      </c>
      <c r="FG148" s="1022">
        <f t="shared" si="470"/>
        <v>221946.35535016115</v>
      </c>
      <c r="FH148" s="1022">
        <f t="shared" si="471"/>
        <v>110973.17767508057</v>
      </c>
      <c r="FI148" s="1023">
        <f t="shared" si="472"/>
        <v>2764729.6860227683</v>
      </c>
      <c r="FJ148" s="1023">
        <f t="shared" si="473"/>
        <v>235002.02331193531</v>
      </c>
      <c r="FK148" s="1023">
        <f t="shared" si="474"/>
        <v>117501.01165596765</v>
      </c>
      <c r="FL148" s="1019">
        <f t="shared" si="475"/>
        <v>13055.667961774161</v>
      </c>
      <c r="FM148" s="1019">
        <f t="shared" si="476"/>
        <v>6527.8339808870805</v>
      </c>
      <c r="FN148" s="1019" t="str">
        <f t="shared" si="477"/>
        <v>VS</v>
      </c>
      <c r="FO148" s="1019">
        <f t="shared" si="478"/>
        <v>27537.409960060559</v>
      </c>
      <c r="FP148" s="1019">
        <f t="shared" si="479"/>
        <v>-21009.575979173478</v>
      </c>
      <c r="FQ148" s="1021"/>
      <c r="FR148" s="1021"/>
      <c r="FS148" s="1020"/>
      <c r="FT148" s="1055">
        <f t="shared" ref="FT148:FT152" si="491">FB148</f>
        <v>2764729.6860227683</v>
      </c>
      <c r="FU148" s="1056"/>
      <c r="FV148" s="1056"/>
      <c r="FW148" s="503"/>
      <c r="FX148" s="1040"/>
      <c r="FY148" s="503"/>
      <c r="FZ148" s="503"/>
      <c r="GA148" s="503"/>
      <c r="GG148" s="956"/>
      <c r="GH148" s="1058"/>
      <c r="GI148" s="1024">
        <f t="shared" si="418"/>
        <v>3728778.7752489932</v>
      </c>
      <c r="GJ148" s="1025">
        <f t="shared" si="419"/>
        <v>0.125</v>
      </c>
      <c r="GK148" s="1024">
        <f t="shared" si="420"/>
        <v>466097.34690612415</v>
      </c>
      <c r="GL148" s="1024">
        <f t="shared" si="421"/>
        <v>30000</v>
      </c>
      <c r="GM148" s="1024">
        <f t="shared" si="422"/>
        <v>436097.34690612415</v>
      </c>
      <c r="GN148" s="1024">
        <f t="shared" si="423"/>
        <v>2</v>
      </c>
      <c r="GO148" s="1024">
        <f t="shared" si="424"/>
        <v>218048.67345306207</v>
      </c>
      <c r="GP148" s="1025">
        <f t="shared" si="425"/>
        <v>0.875</v>
      </c>
      <c r="GQ148" s="1024">
        <f t="shared" si="426"/>
        <v>3262681.428342869</v>
      </c>
      <c r="GR148" s="1024">
        <f t="shared" si="427"/>
        <v>25295.534386576957</v>
      </c>
      <c r="GS148" s="1024">
        <f t="shared" si="428"/>
        <v>29325.903065797476</v>
      </c>
      <c r="GT148" s="1024">
        <f t="shared" si="429"/>
        <v>37882.497881973868</v>
      </c>
      <c r="GU148" s="1024">
        <f t="shared" si="430"/>
        <v>64605.002736528353</v>
      </c>
      <c r="GV148" s="945"/>
      <c r="GW148" s="1024">
        <f t="shared" si="431"/>
        <v>3728778.7752489932</v>
      </c>
      <c r="GX148" s="1025">
        <f t="shared" si="432"/>
        <v>0.125</v>
      </c>
      <c r="GY148" s="1024">
        <f t="shared" si="433"/>
        <v>466097.34690612415</v>
      </c>
      <c r="GZ148" s="1024">
        <f t="shared" si="434"/>
        <v>30000</v>
      </c>
      <c r="HA148" s="1024">
        <f t="shared" si="435"/>
        <v>436097.34690612415</v>
      </c>
      <c r="HB148" s="1026">
        <f t="shared" si="436"/>
        <v>25</v>
      </c>
      <c r="HC148" s="1009">
        <f t="shared" si="437"/>
        <v>17443.893876244965</v>
      </c>
      <c r="HD148" s="1027">
        <f t="shared" si="438"/>
        <v>0.875</v>
      </c>
      <c r="HE148" s="1009">
        <f t="shared" si="439"/>
        <v>3262681.428342869</v>
      </c>
      <c r="HF148" s="1008">
        <f t="shared" si="440"/>
        <v>25295.534386576957</v>
      </c>
      <c r="HG148" s="1008">
        <f t="shared" si="441"/>
        <v>29325.903065797476</v>
      </c>
      <c r="HH148" s="1008">
        <f t="shared" si="442"/>
        <v>37882.497881973868</v>
      </c>
      <c r="HI148" s="1008">
        <f t="shared" si="443"/>
        <v>64605.002736528353</v>
      </c>
      <c r="HJ148" s="945"/>
      <c r="HK148" s="1009">
        <f t="shared" si="444"/>
        <v>-200604.77957681712</v>
      </c>
      <c r="HL148" s="503"/>
      <c r="HM148" s="503"/>
      <c r="HN148" s="503"/>
      <c r="HO148" s="503"/>
      <c r="HP148" s="503"/>
      <c r="HQ148" s="503"/>
      <c r="HR148" s="956">
        <f t="shared" si="445"/>
        <v>0</v>
      </c>
      <c r="HS148" s="503"/>
      <c r="HT148" s="503"/>
      <c r="HU148" s="956"/>
      <c r="HV148" s="503"/>
      <c r="HW148" s="956"/>
      <c r="HX148" s="956"/>
      <c r="HY148" s="503"/>
      <c r="HZ148" s="503"/>
      <c r="IA148" s="503"/>
      <c r="ID148" s="1394"/>
    </row>
    <row r="149" spans="1:238" s="1051" customFormat="1" ht="14.25" customHeight="1">
      <c r="A149" s="1018">
        <f t="shared" si="480"/>
        <v>143</v>
      </c>
      <c r="B149" s="716" t="s">
        <v>264</v>
      </c>
      <c r="C149" s="741">
        <f t="shared" si="487"/>
        <v>5</v>
      </c>
      <c r="D149" s="716" t="s">
        <v>290</v>
      </c>
      <c r="E149" s="743" t="str">
        <f t="shared" si="352"/>
        <v>10th Floor</v>
      </c>
      <c r="F149" s="1048"/>
      <c r="G149" s="745" t="s">
        <v>587</v>
      </c>
      <c r="H149" s="745" t="s">
        <v>292</v>
      </c>
      <c r="I149" s="745" t="s">
        <v>267</v>
      </c>
      <c r="J149" s="1005">
        <v>22</v>
      </c>
      <c r="K149" s="1049"/>
      <c r="L149" s="1006" t="s">
        <v>73</v>
      </c>
      <c r="M149" s="745" t="s">
        <v>240</v>
      </c>
      <c r="N149" s="1050">
        <v>95909.091</v>
      </c>
      <c r="O149" s="934">
        <f t="shared" si="455"/>
        <v>2110000.0019999999</v>
      </c>
      <c r="P149" s="934">
        <f t="shared" si="481"/>
        <v>22400</v>
      </c>
      <c r="Q149" s="934">
        <f t="shared" si="450"/>
        <v>50000</v>
      </c>
      <c r="R149" s="934"/>
      <c r="S149" s="934"/>
      <c r="T149" s="934"/>
      <c r="U149" s="934"/>
      <c r="V149" s="934"/>
      <c r="W149" s="749">
        <f t="shared" si="486"/>
        <v>22000</v>
      </c>
      <c r="X149" s="934"/>
      <c r="Y149" s="934">
        <f t="shared" si="488"/>
        <v>120000</v>
      </c>
      <c r="Z149" s="934">
        <f t="shared" si="456"/>
        <v>75000</v>
      </c>
      <c r="AA149" s="934"/>
      <c r="AB149" s="934"/>
      <c r="AC149" s="934"/>
      <c r="AD149" s="934"/>
      <c r="AE149" s="934">
        <f t="shared" si="365"/>
        <v>289400</v>
      </c>
      <c r="AF149" s="1005">
        <f t="shared" si="366"/>
        <v>2399400.0019999999</v>
      </c>
      <c r="AG149" s="1005">
        <f t="shared" si="380"/>
        <v>59985.000050000002</v>
      </c>
      <c r="AH149" s="1005">
        <f t="shared" si="381"/>
        <v>2459385.0020499998</v>
      </c>
      <c r="AI149" s="1005">
        <f t="shared" si="382"/>
        <v>61484.625051249997</v>
      </c>
      <c r="AJ149" s="1005">
        <f t="shared" si="383"/>
        <v>2520869.62710125</v>
      </c>
      <c r="AK149" s="1005">
        <f t="shared" si="384"/>
        <v>126043.48135506251</v>
      </c>
      <c r="AL149" s="1005">
        <f t="shared" si="457"/>
        <v>2646913.1084563127</v>
      </c>
      <c r="AM149" s="934">
        <f t="shared" si="385"/>
        <v>26469.131084563127</v>
      </c>
      <c r="AN149" s="934">
        <f t="shared" si="386"/>
        <v>27537.409960060559</v>
      </c>
      <c r="AO149" s="934"/>
      <c r="AP149" s="934">
        <f t="shared" si="458"/>
        <v>117501.01165596765</v>
      </c>
      <c r="AQ149" s="1005">
        <f t="shared" si="367"/>
        <v>2818420.661156904</v>
      </c>
      <c r="AR149" s="1005">
        <f t="shared" si="387"/>
        <v>126828.92975206068</v>
      </c>
      <c r="AS149" s="1147">
        <f t="shared" si="388"/>
        <v>2945249.5909089646</v>
      </c>
      <c r="AT149" s="1148">
        <f t="shared" si="459"/>
        <v>2000000</v>
      </c>
      <c r="AU149" s="1148">
        <f t="shared" si="358"/>
        <v>42965.890495862026</v>
      </c>
      <c r="AV149" s="1148">
        <f t="shared" si="460"/>
        <v>945249.59090896463</v>
      </c>
      <c r="AW149" s="1148">
        <f t="shared" si="368"/>
        <v>113429.95090907575</v>
      </c>
      <c r="AX149" s="1148">
        <f t="shared" si="369"/>
        <v>1058679.5418180404</v>
      </c>
      <c r="AY149" s="1147">
        <f t="shared" si="389"/>
        <v>3058679.5418180404</v>
      </c>
      <c r="AZ149" s="934">
        <f t="shared" si="390"/>
        <v>38233.494272725504</v>
      </c>
      <c r="BA149" s="716" t="s">
        <v>269</v>
      </c>
      <c r="BB149" s="716">
        <f t="shared" si="370"/>
        <v>3096913.0360907661</v>
      </c>
      <c r="BC149" s="716" t="s">
        <v>269</v>
      </c>
      <c r="BD149" s="716">
        <f t="shared" si="391"/>
        <v>116134.23885340373</v>
      </c>
      <c r="BE149" s="716">
        <f t="shared" si="392"/>
        <v>33600</v>
      </c>
      <c r="BF149" s="716">
        <f t="shared" si="393"/>
        <v>3246647.2749441699</v>
      </c>
      <c r="BG149" s="716"/>
      <c r="BH149" s="716">
        <f t="shared" si="394"/>
        <v>3246647.2749441699</v>
      </c>
      <c r="BI149" s="716"/>
      <c r="BJ149" s="716">
        <f t="shared" si="395"/>
        <v>3246647.2749441699</v>
      </c>
      <c r="BK149" s="716"/>
      <c r="BL149" s="716">
        <f t="shared" si="396"/>
        <v>3246647.2749441699</v>
      </c>
      <c r="BM149" s="716"/>
      <c r="BN149" s="716">
        <f t="shared" si="371"/>
        <v>3246647.2749441699</v>
      </c>
      <c r="BO149" s="716"/>
      <c r="BP149" s="716">
        <f t="shared" si="397"/>
        <v>3246647.2749441699</v>
      </c>
      <c r="BQ149" s="716"/>
      <c r="BR149" s="716">
        <f t="shared" si="398"/>
        <v>3246647.2749441699</v>
      </c>
      <c r="BS149" s="716"/>
      <c r="BT149" s="716">
        <f t="shared" si="399"/>
        <v>3246647.2749441699</v>
      </c>
      <c r="BU149" s="716">
        <f t="shared" ref="BU149:BU151" si="492">$BU$5/24</f>
        <v>546.00000000000011</v>
      </c>
      <c r="BV149" s="716">
        <f t="shared" si="372"/>
        <v>3247193.2749441699</v>
      </c>
      <c r="BW149" s="716"/>
      <c r="BX149" s="716">
        <f t="shared" si="489"/>
        <v>31400</v>
      </c>
      <c r="BY149" s="716">
        <f t="shared" si="400"/>
        <v>3278593.2749441699</v>
      </c>
      <c r="BZ149" s="716">
        <f t="shared" ref="BZ149:BZ151" si="493">$BZ$5/20</f>
        <v>33654.337039807535</v>
      </c>
      <c r="CA149" s="716">
        <f t="shared" si="401"/>
        <v>3312247.6119839773</v>
      </c>
      <c r="CB149" s="1135">
        <f t="shared" ref="CB149:CB151" si="494">CA149</f>
        <v>3312247.6119839773</v>
      </c>
      <c r="CC149" s="1164">
        <f t="shared" si="446"/>
        <v>3312247.6119839773</v>
      </c>
      <c r="CD149" s="1164"/>
      <c r="CE149" s="1164">
        <f t="shared" si="403"/>
        <v>0</v>
      </c>
      <c r="CF149" s="1164">
        <f t="shared" si="448"/>
        <v>0</v>
      </c>
      <c r="CG149" s="1164">
        <f t="shared" si="449"/>
        <v>0</v>
      </c>
      <c r="CH149" s="1154">
        <f t="shared" si="339"/>
        <v>3312247.6119839773</v>
      </c>
      <c r="CI149" s="935">
        <f t="shared" si="340"/>
        <v>3312247.6119839773</v>
      </c>
      <c r="CJ149" s="935">
        <f t="shared" si="404"/>
        <v>0</v>
      </c>
      <c r="CK149" s="935">
        <f t="shared" si="373"/>
        <v>339505.38022835762</v>
      </c>
      <c r="CL149" s="935">
        <f t="shared" si="374"/>
        <v>115928.66641943922</v>
      </c>
      <c r="CM149" s="1006">
        <f t="shared" si="461"/>
        <v>3767681.6586317737</v>
      </c>
      <c r="CN149" s="1007">
        <f t="shared" si="462"/>
        <v>0.125</v>
      </c>
      <c r="CO149" s="935">
        <f t="shared" si="210"/>
        <v>470960.20732897171</v>
      </c>
      <c r="CP149" s="935">
        <f t="shared" si="490"/>
        <v>30000</v>
      </c>
      <c r="CQ149" s="935">
        <f t="shared" si="211"/>
        <v>440960.20732897171</v>
      </c>
      <c r="CR149" s="745">
        <v>1</v>
      </c>
      <c r="CS149" s="935">
        <f t="shared" si="212"/>
        <v>440960.20732897171</v>
      </c>
      <c r="CT149" s="1007">
        <f t="shared" si="405"/>
        <v>0.875</v>
      </c>
      <c r="CU149" s="935">
        <f t="shared" si="406"/>
        <v>3296721.4513028022</v>
      </c>
      <c r="CV149" s="1008">
        <f t="shared" si="407"/>
        <v>25559.446322269741</v>
      </c>
      <c r="CW149" s="1008">
        <f t="shared" si="408"/>
        <v>29631.864415566011</v>
      </c>
      <c r="CX149" s="1008">
        <f t="shared" si="409"/>
        <v>38277.731411818357</v>
      </c>
      <c r="CY149" s="1008">
        <f t="shared" si="410"/>
        <v>65279.035989476048</v>
      </c>
      <c r="CZ149" s="1119">
        <f t="shared" si="411"/>
        <v>267803.16216555558</v>
      </c>
      <c r="DA149" s="1119">
        <f t="shared" si="412"/>
        <v>105968.4067248096</v>
      </c>
      <c r="DB149" s="1119">
        <f t="shared" si="413"/>
        <v>76539.479326163899</v>
      </c>
      <c r="DC149" s="1119">
        <f t="shared" si="414"/>
        <v>58250.067462847575</v>
      </c>
      <c r="DD149" s="1028">
        <f t="shared" si="451"/>
        <v>0.47262479545448233</v>
      </c>
      <c r="DE149" s="1028">
        <f t="shared" si="341"/>
        <v>0</v>
      </c>
      <c r="DF149" s="1009" t="s">
        <v>270</v>
      </c>
      <c r="DG149" s="1009" t="s">
        <v>271</v>
      </c>
      <c r="DH149" s="966">
        <f t="shared" si="447"/>
        <v>45658</v>
      </c>
      <c r="DI149" s="912">
        <f t="shared" si="415"/>
        <v>14</v>
      </c>
      <c r="DJ149" s="939"/>
      <c r="DK149" s="913">
        <f t="shared" si="375"/>
        <v>45723</v>
      </c>
      <c r="DL149" s="912">
        <f t="shared" si="416"/>
        <v>16</v>
      </c>
      <c r="DM149" s="750" t="s">
        <v>272</v>
      </c>
      <c r="DN149" s="750" t="s">
        <v>273</v>
      </c>
      <c r="DO149" s="751">
        <f t="shared" si="376"/>
        <v>48121.797355365474</v>
      </c>
      <c r="DP149" s="751">
        <f t="shared" si="377"/>
        <v>1058679.5418180404</v>
      </c>
      <c r="DQ149" s="752">
        <f t="shared" si="452"/>
        <v>0.52933977090902018</v>
      </c>
      <c r="DR149" s="503"/>
      <c r="DS149" s="751">
        <f t="shared" si="453"/>
        <v>3312247.6119839773</v>
      </c>
      <c r="DT149" s="751">
        <f>'[4]INTERNAL PRICELIST'!N143</f>
        <v>2111900</v>
      </c>
      <c r="DU149" s="751">
        <f t="shared" si="378"/>
        <v>1200347.6119839773</v>
      </c>
      <c r="DV149" s="503"/>
      <c r="DW149" s="951">
        <f t="shared" si="454"/>
        <v>150556.70963563534</v>
      </c>
      <c r="DX149" s="503"/>
      <c r="DZ149" s="1010" t="s">
        <v>587</v>
      </c>
      <c r="EA149" s="1052" t="b">
        <f t="shared" si="379"/>
        <v>1</v>
      </c>
      <c r="EB149" s="1072" t="s">
        <v>588</v>
      </c>
      <c r="EC149" s="1072" t="s">
        <v>580</v>
      </c>
      <c r="ED149" s="503"/>
      <c r="EE149" s="503"/>
      <c r="EF149" s="503"/>
      <c r="EG149" s="503"/>
      <c r="EH149" s="930"/>
      <c r="EI149" s="930"/>
      <c r="EJ149" s="503"/>
      <c r="EK149" s="503"/>
      <c r="EL149" s="503"/>
      <c r="EM149" s="503"/>
      <c r="EN149" s="503"/>
      <c r="EO149" s="503"/>
      <c r="EP149" s="503"/>
      <c r="EQ149" s="503"/>
      <c r="ER149" s="1017" t="s">
        <v>243</v>
      </c>
      <c r="ES149" s="1391" t="s">
        <v>243</v>
      </c>
      <c r="ET149" s="1018" t="b">
        <f t="shared" si="417"/>
        <v>1</v>
      </c>
      <c r="EU149" s="940"/>
      <c r="EV149" s="941"/>
      <c r="EW149" s="940"/>
      <c r="EX149" s="1019">
        <v>3071921.8733586315</v>
      </c>
      <c r="EY149" s="1019">
        <f t="shared" si="464"/>
        <v>460788.28100379469</v>
      </c>
      <c r="EZ149" s="1019">
        <f t="shared" si="465"/>
        <v>2611133.5923548369</v>
      </c>
      <c r="FA149" s="1019">
        <f t="shared" si="466"/>
        <v>307192.18733586319</v>
      </c>
      <c r="FB149" s="1019">
        <f t="shared" si="467"/>
        <v>2764729.6860227683</v>
      </c>
      <c r="FC149" s="1019">
        <f t="shared" si="468"/>
        <v>153596.09366793139</v>
      </c>
      <c r="FD149" s="1020"/>
      <c r="FE149" s="1021"/>
      <c r="FF149" s="1022">
        <f t="shared" si="469"/>
        <v>2611133.5923548369</v>
      </c>
      <c r="FG149" s="1022">
        <f t="shared" si="470"/>
        <v>221946.35535016115</v>
      </c>
      <c r="FH149" s="1022">
        <f t="shared" si="471"/>
        <v>110973.17767508057</v>
      </c>
      <c r="FI149" s="1023">
        <f t="shared" si="472"/>
        <v>2764729.6860227683</v>
      </c>
      <c r="FJ149" s="1023">
        <f t="shared" si="473"/>
        <v>235002.02331193531</v>
      </c>
      <c r="FK149" s="1023">
        <f t="shared" si="474"/>
        <v>117501.01165596765</v>
      </c>
      <c r="FL149" s="1019">
        <f t="shared" si="475"/>
        <v>13055.667961774161</v>
      </c>
      <c r="FM149" s="1019">
        <f t="shared" si="476"/>
        <v>6527.8339808870805</v>
      </c>
      <c r="FN149" s="1019" t="str">
        <f t="shared" si="477"/>
        <v>VS</v>
      </c>
      <c r="FO149" s="1019">
        <f t="shared" si="478"/>
        <v>27537.409960060559</v>
      </c>
      <c r="FP149" s="1019">
        <f t="shared" si="479"/>
        <v>-21009.575979173478</v>
      </c>
      <c r="FQ149" s="1021"/>
      <c r="FR149" s="1021"/>
      <c r="FS149" s="1020"/>
      <c r="FT149" s="1055">
        <f t="shared" si="491"/>
        <v>2764729.6860227683</v>
      </c>
      <c r="FU149" s="1056"/>
      <c r="FV149" s="1056"/>
      <c r="FW149" s="503"/>
      <c r="FX149" s="1040"/>
      <c r="FY149" s="503"/>
      <c r="FZ149" s="503"/>
      <c r="GA149" s="503"/>
      <c r="GG149" s="956"/>
      <c r="GH149" s="1058"/>
      <c r="GI149" s="1024">
        <f t="shared" si="418"/>
        <v>3767681.6586317737</v>
      </c>
      <c r="GJ149" s="1025">
        <f t="shared" si="419"/>
        <v>0.125</v>
      </c>
      <c r="GK149" s="1024">
        <f t="shared" si="420"/>
        <v>470960.20732897171</v>
      </c>
      <c r="GL149" s="1024">
        <f t="shared" si="421"/>
        <v>30000</v>
      </c>
      <c r="GM149" s="1024">
        <f t="shared" si="422"/>
        <v>440960.20732897171</v>
      </c>
      <c r="GN149" s="1024">
        <f t="shared" si="423"/>
        <v>1</v>
      </c>
      <c r="GO149" s="1024">
        <f t="shared" si="424"/>
        <v>440960.20732897171</v>
      </c>
      <c r="GP149" s="1025">
        <f t="shared" si="425"/>
        <v>0.875</v>
      </c>
      <c r="GQ149" s="1024">
        <f t="shared" si="426"/>
        <v>3296721.4513028022</v>
      </c>
      <c r="GR149" s="1024">
        <f t="shared" si="427"/>
        <v>25559.446322269741</v>
      </c>
      <c r="GS149" s="1024">
        <f t="shared" si="428"/>
        <v>29631.864415566011</v>
      </c>
      <c r="GT149" s="1024">
        <f t="shared" si="429"/>
        <v>38277.731411818357</v>
      </c>
      <c r="GU149" s="1024">
        <f t="shared" si="430"/>
        <v>65279.035989476048</v>
      </c>
      <c r="GV149" s="945"/>
      <c r="GW149" s="1024">
        <f t="shared" si="431"/>
        <v>3767681.6586317737</v>
      </c>
      <c r="GX149" s="1025">
        <f t="shared" si="432"/>
        <v>0.125</v>
      </c>
      <c r="GY149" s="1024">
        <f t="shared" si="433"/>
        <v>470960.20732897171</v>
      </c>
      <c r="GZ149" s="1024">
        <f t="shared" si="434"/>
        <v>30000</v>
      </c>
      <c r="HA149" s="1024">
        <f t="shared" si="435"/>
        <v>440960.20732897171</v>
      </c>
      <c r="HB149" s="1026">
        <f t="shared" si="436"/>
        <v>25</v>
      </c>
      <c r="HC149" s="1009">
        <f t="shared" si="437"/>
        <v>17638.408293158867</v>
      </c>
      <c r="HD149" s="1027">
        <f t="shared" si="438"/>
        <v>0.875</v>
      </c>
      <c r="HE149" s="1009">
        <f t="shared" si="439"/>
        <v>3296721.4513028022</v>
      </c>
      <c r="HF149" s="1008">
        <f t="shared" si="440"/>
        <v>25559.446322269741</v>
      </c>
      <c r="HG149" s="1008">
        <f t="shared" si="441"/>
        <v>29631.864415566011</v>
      </c>
      <c r="HH149" s="1008">
        <f t="shared" si="442"/>
        <v>38277.731411818357</v>
      </c>
      <c r="HI149" s="1008">
        <f t="shared" si="443"/>
        <v>65279.035989476048</v>
      </c>
      <c r="HJ149" s="945"/>
      <c r="HK149" s="1009">
        <f t="shared" si="444"/>
        <v>-423321.79903581284</v>
      </c>
      <c r="HL149" s="503"/>
      <c r="HM149" s="503"/>
      <c r="HN149" s="503"/>
      <c r="HO149" s="503"/>
      <c r="HP149" s="503"/>
      <c r="HQ149" s="503"/>
      <c r="HR149" s="956">
        <f t="shared" si="445"/>
        <v>0</v>
      </c>
      <c r="HS149" s="503"/>
      <c r="HT149" s="503"/>
      <c r="HU149" s="956"/>
      <c r="HV149" s="503"/>
      <c r="HW149" s="956"/>
      <c r="HX149" s="956"/>
      <c r="HY149" s="503"/>
      <c r="HZ149" s="503"/>
      <c r="IA149" s="503"/>
      <c r="ID149" s="1394"/>
    </row>
    <row r="150" spans="1:238" s="1051" customFormat="1" ht="14.25" customHeight="1">
      <c r="A150" s="1018">
        <f t="shared" si="480"/>
        <v>144</v>
      </c>
      <c r="B150" s="716" t="s">
        <v>264</v>
      </c>
      <c r="C150" s="741">
        <f t="shared" si="487"/>
        <v>6</v>
      </c>
      <c r="D150" s="716" t="s">
        <v>290</v>
      </c>
      <c r="E150" s="743" t="str">
        <f t="shared" si="352"/>
        <v>10th Floor</v>
      </c>
      <c r="F150" s="1048"/>
      <c r="G150" s="745" t="s">
        <v>589</v>
      </c>
      <c r="H150" s="745" t="s">
        <v>296</v>
      </c>
      <c r="I150" s="745" t="s">
        <v>267</v>
      </c>
      <c r="J150" s="1005">
        <v>22</v>
      </c>
      <c r="K150" s="1049"/>
      <c r="L150" s="1006" t="s">
        <v>73</v>
      </c>
      <c r="M150" s="745" t="s">
        <v>79</v>
      </c>
      <c r="N150" s="1050">
        <v>95909.091</v>
      </c>
      <c r="O150" s="934">
        <f t="shared" si="455"/>
        <v>2110000.0019999999</v>
      </c>
      <c r="P150" s="934">
        <f t="shared" si="481"/>
        <v>22400</v>
      </c>
      <c r="Q150" s="934">
        <f t="shared" si="450"/>
        <v>50000</v>
      </c>
      <c r="R150" s="934"/>
      <c r="S150" s="934"/>
      <c r="T150" s="934"/>
      <c r="U150" s="934"/>
      <c r="V150" s="934"/>
      <c r="W150" s="934"/>
      <c r="X150" s="934"/>
      <c r="Y150" s="934">
        <f t="shared" si="488"/>
        <v>120000</v>
      </c>
      <c r="Z150" s="934">
        <f t="shared" si="456"/>
        <v>75000</v>
      </c>
      <c r="AA150" s="934"/>
      <c r="AB150" s="934"/>
      <c r="AC150" s="934"/>
      <c r="AD150" s="934"/>
      <c r="AE150" s="934">
        <f t="shared" si="365"/>
        <v>267400</v>
      </c>
      <c r="AF150" s="1005">
        <f t="shared" si="366"/>
        <v>2377400.0019999999</v>
      </c>
      <c r="AG150" s="1005">
        <f t="shared" si="380"/>
        <v>59435.000050000002</v>
      </c>
      <c r="AH150" s="1005">
        <f t="shared" si="381"/>
        <v>2436835.0020499998</v>
      </c>
      <c r="AI150" s="1005">
        <f t="shared" si="382"/>
        <v>60920.875051249997</v>
      </c>
      <c r="AJ150" s="1005">
        <f t="shared" si="383"/>
        <v>2497755.87710125</v>
      </c>
      <c r="AK150" s="1005">
        <f t="shared" si="384"/>
        <v>124887.79385506251</v>
      </c>
      <c r="AL150" s="1005">
        <f t="shared" si="457"/>
        <v>2622643.6709563127</v>
      </c>
      <c r="AM150" s="934">
        <f t="shared" si="385"/>
        <v>26226.436709563128</v>
      </c>
      <c r="AN150" s="934">
        <f t="shared" si="386"/>
        <v>27537.409960060559</v>
      </c>
      <c r="AO150" s="934"/>
      <c r="AP150" s="934">
        <f t="shared" si="458"/>
        <v>116328.7468588989</v>
      </c>
      <c r="AQ150" s="1005">
        <f t="shared" si="367"/>
        <v>2792736.2644848353</v>
      </c>
      <c r="AR150" s="1005">
        <f t="shared" si="387"/>
        <v>125673.13190181759</v>
      </c>
      <c r="AS150" s="1147">
        <f t="shared" si="388"/>
        <v>2918409.3963866527</v>
      </c>
      <c r="AT150" s="1148">
        <f t="shared" si="459"/>
        <v>2000000</v>
      </c>
      <c r="AU150" s="1148">
        <f t="shared" si="358"/>
        <v>41745.881653938763</v>
      </c>
      <c r="AV150" s="1148">
        <f t="shared" si="460"/>
        <v>918409.39638665272</v>
      </c>
      <c r="AW150" s="1148">
        <f t="shared" si="368"/>
        <v>110209.12756639833</v>
      </c>
      <c r="AX150" s="1148">
        <f t="shared" si="369"/>
        <v>1028618.5239530511</v>
      </c>
      <c r="AY150" s="1147">
        <f t="shared" si="389"/>
        <v>3028618.5239530508</v>
      </c>
      <c r="AZ150" s="934">
        <f t="shared" si="390"/>
        <v>37857.73154941314</v>
      </c>
      <c r="BA150" s="716" t="s">
        <v>269</v>
      </c>
      <c r="BB150" s="716">
        <f t="shared" si="370"/>
        <v>3066476.2555024638</v>
      </c>
      <c r="BC150" s="716">
        <v>2710.4000000000005</v>
      </c>
      <c r="BD150" s="716">
        <f t="shared" si="391"/>
        <v>114992.85958134239</v>
      </c>
      <c r="BE150" s="716">
        <f t="shared" si="392"/>
        <v>33600</v>
      </c>
      <c r="BF150" s="716">
        <f t="shared" si="393"/>
        <v>3217779.5150838061</v>
      </c>
      <c r="BG150" s="716">
        <v>5248.8000000000011</v>
      </c>
      <c r="BH150" s="716">
        <f t="shared" si="394"/>
        <v>3223028.3150838059</v>
      </c>
      <c r="BI150" s="716"/>
      <c r="BJ150" s="716">
        <f t="shared" si="395"/>
        <v>3223028.3150838059</v>
      </c>
      <c r="BK150" s="716">
        <v>5092.7923200000005</v>
      </c>
      <c r="BL150" s="716">
        <f t="shared" si="396"/>
        <v>3228121.1074038059</v>
      </c>
      <c r="BM150" s="716"/>
      <c r="BN150" s="716">
        <f t="shared" si="371"/>
        <v>3228121.1074038059</v>
      </c>
      <c r="BO150" s="716"/>
      <c r="BP150" s="716">
        <f t="shared" si="397"/>
        <v>3228121.1074038059</v>
      </c>
      <c r="BQ150" s="716"/>
      <c r="BR150" s="716">
        <f t="shared" si="398"/>
        <v>3228121.1074038059</v>
      </c>
      <c r="BS150" s="716"/>
      <c r="BT150" s="716">
        <f t="shared" si="399"/>
        <v>3228121.1074038059</v>
      </c>
      <c r="BU150" s="716">
        <f t="shared" si="492"/>
        <v>546.00000000000011</v>
      </c>
      <c r="BV150" s="716">
        <f t="shared" si="372"/>
        <v>3228667.1074038059</v>
      </c>
      <c r="BW150" s="716"/>
      <c r="BX150" s="716">
        <f t="shared" si="489"/>
        <v>31400</v>
      </c>
      <c r="BY150" s="716">
        <f t="shared" si="400"/>
        <v>3260067.1074038059</v>
      </c>
      <c r="BZ150" s="716">
        <f t="shared" si="493"/>
        <v>33654.337039807535</v>
      </c>
      <c r="CA150" s="716">
        <f t="shared" si="401"/>
        <v>3293721.4444436133</v>
      </c>
      <c r="CB150" s="1135">
        <f t="shared" si="494"/>
        <v>3293721.4444436133</v>
      </c>
      <c r="CC150" s="1164">
        <f t="shared" si="446"/>
        <v>3293721.4444436133</v>
      </c>
      <c r="CD150" s="1164"/>
      <c r="CE150" s="1164">
        <f t="shared" si="403"/>
        <v>0</v>
      </c>
      <c r="CF150" s="1164">
        <f t="shared" si="448"/>
        <v>0</v>
      </c>
      <c r="CG150" s="1164">
        <f t="shared" si="449"/>
        <v>0</v>
      </c>
      <c r="CH150" s="1154">
        <f t="shared" si="339"/>
        <v>3293721.4444436133</v>
      </c>
      <c r="CI150" s="935">
        <f t="shared" si="340"/>
        <v>3293721.4444436133</v>
      </c>
      <c r="CJ150" s="935">
        <f t="shared" si="404"/>
        <v>0</v>
      </c>
      <c r="CK150" s="935">
        <f t="shared" si="373"/>
        <v>337606.44805547036</v>
      </c>
      <c r="CL150" s="935">
        <f t="shared" si="374"/>
        <v>115280.25055552648</v>
      </c>
      <c r="CM150" s="1006">
        <f t="shared" si="461"/>
        <v>3746608.1430546101</v>
      </c>
      <c r="CN150" s="1007">
        <f t="shared" si="462"/>
        <v>0.125</v>
      </c>
      <c r="CO150" s="935">
        <f t="shared" si="210"/>
        <v>468326.01788182626</v>
      </c>
      <c r="CP150" s="935">
        <f t="shared" si="490"/>
        <v>30000</v>
      </c>
      <c r="CQ150" s="935">
        <f t="shared" si="211"/>
        <v>438326.01788182626</v>
      </c>
      <c r="CR150" s="745">
        <v>1</v>
      </c>
      <c r="CS150" s="935">
        <f t="shared" si="212"/>
        <v>438326.01788182626</v>
      </c>
      <c r="CT150" s="1007">
        <f t="shared" si="405"/>
        <v>0.875</v>
      </c>
      <c r="CU150" s="935">
        <f t="shared" si="406"/>
        <v>3278282.1251727836</v>
      </c>
      <c r="CV150" s="1008">
        <f t="shared" si="407"/>
        <v>25416.486423048413</v>
      </c>
      <c r="CW150" s="1008">
        <f t="shared" si="408"/>
        <v>29466.126539354729</v>
      </c>
      <c r="CX150" s="1008">
        <f t="shared" si="409"/>
        <v>38063.635200341087</v>
      </c>
      <c r="CY150" s="1008">
        <f t="shared" si="410"/>
        <v>64913.915231825296</v>
      </c>
      <c r="CZ150" s="1119">
        <f t="shared" si="411"/>
        <v>266305.2770943527</v>
      </c>
      <c r="DA150" s="1119">
        <f t="shared" si="412"/>
        <v>105375.7008987517</v>
      </c>
      <c r="DB150" s="1119">
        <f t="shared" si="413"/>
        <v>76111.376302610239</v>
      </c>
      <c r="DC150" s="1119">
        <f t="shared" si="414"/>
        <v>57924.261353077956</v>
      </c>
      <c r="DD150" s="1028">
        <f t="shared" si="451"/>
        <v>0.45920469819332638</v>
      </c>
      <c r="DE150" s="1028">
        <f t="shared" si="341"/>
        <v>0</v>
      </c>
      <c r="DF150" s="1009" t="s">
        <v>270</v>
      </c>
      <c r="DG150" s="1009" t="s">
        <v>271</v>
      </c>
      <c r="DH150" s="966">
        <f t="shared" si="447"/>
        <v>45658</v>
      </c>
      <c r="DI150" s="912">
        <f t="shared" si="415"/>
        <v>14</v>
      </c>
      <c r="DJ150" s="939"/>
      <c r="DK150" s="913">
        <f t="shared" si="375"/>
        <v>45723</v>
      </c>
      <c r="DL150" s="912">
        <f t="shared" si="416"/>
        <v>16</v>
      </c>
      <c r="DM150" s="750" t="s">
        <v>272</v>
      </c>
      <c r="DN150" s="750" t="s">
        <v>273</v>
      </c>
      <c r="DO150" s="751">
        <f t="shared" si="376"/>
        <v>46755.387452411414</v>
      </c>
      <c r="DP150" s="751">
        <f t="shared" si="377"/>
        <v>1028618.5239530511</v>
      </c>
      <c r="DQ150" s="752">
        <f t="shared" si="452"/>
        <v>0.51430926197652549</v>
      </c>
      <c r="DR150" s="503"/>
      <c r="DS150" s="751">
        <f t="shared" si="453"/>
        <v>3293721.4444436133</v>
      </c>
      <c r="DT150" s="751">
        <f>'[4]INTERNAL PRICELIST'!N144</f>
        <v>2111900</v>
      </c>
      <c r="DU150" s="751">
        <f t="shared" si="378"/>
        <v>1181821.4444436133</v>
      </c>
      <c r="DV150" s="503"/>
      <c r="DW150" s="951">
        <f t="shared" si="454"/>
        <v>149714.61111107332</v>
      </c>
      <c r="DX150" s="503"/>
      <c r="DZ150" s="1010" t="s">
        <v>589</v>
      </c>
      <c r="EA150" s="1052" t="b">
        <f t="shared" si="379"/>
        <v>1</v>
      </c>
      <c r="EB150" s="1072" t="s">
        <v>590</v>
      </c>
      <c r="EC150" s="1072" t="s">
        <v>580</v>
      </c>
      <c r="ED150" s="503"/>
      <c r="EE150" s="503"/>
      <c r="EF150" s="503"/>
      <c r="EG150" s="503"/>
      <c r="EH150" s="930"/>
      <c r="EI150" s="930"/>
      <c r="EJ150" s="503"/>
      <c r="EK150" s="503"/>
      <c r="EL150" s="503"/>
      <c r="EM150" s="503"/>
      <c r="EN150" s="503"/>
      <c r="EO150" s="503"/>
      <c r="EP150" s="503"/>
      <c r="EQ150" s="503"/>
      <c r="ER150" s="1017" t="s">
        <v>243</v>
      </c>
      <c r="ES150" s="1391" t="s">
        <v>243</v>
      </c>
      <c r="ET150" s="1018" t="b">
        <f t="shared" si="417"/>
        <v>1</v>
      </c>
      <c r="EU150" s="940"/>
      <c r="EV150" s="941"/>
      <c r="EW150" s="940"/>
      <c r="EX150" s="1019">
        <v>3041274.4276836314</v>
      </c>
      <c r="EY150" s="1019">
        <f t="shared" si="464"/>
        <v>456191.16415254469</v>
      </c>
      <c r="EZ150" s="1019">
        <f t="shared" si="465"/>
        <v>2585083.2635310865</v>
      </c>
      <c r="FA150" s="1019">
        <f t="shared" si="466"/>
        <v>304127.44276836317</v>
      </c>
      <c r="FB150" s="1019">
        <f t="shared" si="467"/>
        <v>2737146.9849152681</v>
      </c>
      <c r="FC150" s="1019">
        <f t="shared" si="468"/>
        <v>152063.72138418164</v>
      </c>
      <c r="FD150" s="1020"/>
      <c r="FE150" s="1021"/>
      <c r="FF150" s="1022">
        <f t="shared" si="469"/>
        <v>2585083.2635310865</v>
      </c>
      <c r="FG150" s="1022">
        <f t="shared" si="470"/>
        <v>219732.07740014236</v>
      </c>
      <c r="FH150" s="1022">
        <f t="shared" si="471"/>
        <v>109866.03870007118</v>
      </c>
      <c r="FI150" s="1023">
        <f t="shared" si="472"/>
        <v>2737146.9849152681</v>
      </c>
      <c r="FJ150" s="1023">
        <f t="shared" si="473"/>
        <v>232657.4937177978</v>
      </c>
      <c r="FK150" s="1023">
        <f t="shared" si="474"/>
        <v>116328.7468588989</v>
      </c>
      <c r="FL150" s="1019">
        <f t="shared" si="475"/>
        <v>12925.416317655443</v>
      </c>
      <c r="FM150" s="1019">
        <f t="shared" si="476"/>
        <v>6462.7081588277215</v>
      </c>
      <c r="FN150" s="1019" t="str">
        <f t="shared" si="477"/>
        <v>VS</v>
      </c>
      <c r="FO150" s="1019">
        <f t="shared" si="478"/>
        <v>27537.409960060559</v>
      </c>
      <c r="FP150" s="1019">
        <f t="shared" si="479"/>
        <v>-21074.701801232837</v>
      </c>
      <c r="FQ150" s="1021"/>
      <c r="FR150" s="1021"/>
      <c r="FS150" s="1020"/>
      <c r="FT150" s="1055">
        <f t="shared" si="491"/>
        <v>2737146.9849152681</v>
      </c>
      <c r="FU150" s="1056"/>
      <c r="FV150" s="1056"/>
      <c r="FW150" s="503"/>
      <c r="FX150" s="1040"/>
      <c r="FY150" s="503"/>
      <c r="FZ150" s="503"/>
      <c r="GA150" s="503"/>
      <c r="GG150" s="956"/>
      <c r="GH150" s="1058"/>
      <c r="GI150" s="1024">
        <f t="shared" si="418"/>
        <v>3746608.1430546101</v>
      </c>
      <c r="GJ150" s="1025">
        <f t="shared" si="419"/>
        <v>0.125</v>
      </c>
      <c r="GK150" s="1024">
        <f t="shared" si="420"/>
        <v>468326.01788182626</v>
      </c>
      <c r="GL150" s="1024">
        <f t="shared" si="421"/>
        <v>30000</v>
      </c>
      <c r="GM150" s="1024">
        <f t="shared" si="422"/>
        <v>438326.01788182626</v>
      </c>
      <c r="GN150" s="1024">
        <f t="shared" si="423"/>
        <v>1</v>
      </c>
      <c r="GO150" s="1024">
        <f t="shared" si="424"/>
        <v>438326.01788182626</v>
      </c>
      <c r="GP150" s="1025">
        <f t="shared" si="425"/>
        <v>0.875</v>
      </c>
      <c r="GQ150" s="1024">
        <f t="shared" si="426"/>
        <v>3278282.1251727836</v>
      </c>
      <c r="GR150" s="1024">
        <f t="shared" si="427"/>
        <v>25416.486423048413</v>
      </c>
      <c r="GS150" s="1024">
        <f t="shared" si="428"/>
        <v>29466.126539354729</v>
      </c>
      <c r="GT150" s="1024">
        <f t="shared" si="429"/>
        <v>38063.635200341087</v>
      </c>
      <c r="GU150" s="1024">
        <f t="shared" si="430"/>
        <v>64913.915231825296</v>
      </c>
      <c r="GV150" s="945"/>
      <c r="GW150" s="1024">
        <f t="shared" si="431"/>
        <v>3746608.1430546101</v>
      </c>
      <c r="GX150" s="1025">
        <f t="shared" si="432"/>
        <v>0.125</v>
      </c>
      <c r="GY150" s="1024">
        <f t="shared" si="433"/>
        <v>468326.01788182626</v>
      </c>
      <c r="GZ150" s="1024">
        <f t="shared" si="434"/>
        <v>30000</v>
      </c>
      <c r="HA150" s="1024">
        <f t="shared" si="435"/>
        <v>438326.01788182626</v>
      </c>
      <c r="HB150" s="1026">
        <f t="shared" si="436"/>
        <v>25</v>
      </c>
      <c r="HC150" s="1009">
        <f t="shared" si="437"/>
        <v>17533.040715273051</v>
      </c>
      <c r="HD150" s="1027">
        <f t="shared" si="438"/>
        <v>0.875</v>
      </c>
      <c r="HE150" s="1009">
        <f t="shared" si="439"/>
        <v>3278282.1251727836</v>
      </c>
      <c r="HF150" s="1008">
        <f t="shared" si="440"/>
        <v>25416.486423048413</v>
      </c>
      <c r="HG150" s="1008">
        <f t="shared" si="441"/>
        <v>29466.126539354729</v>
      </c>
      <c r="HH150" s="1008">
        <f t="shared" si="442"/>
        <v>38063.635200341087</v>
      </c>
      <c r="HI150" s="1008">
        <f t="shared" si="443"/>
        <v>64913.915231825296</v>
      </c>
      <c r="HJ150" s="945"/>
      <c r="HK150" s="1009">
        <f t="shared" si="444"/>
        <v>-420792.9771665532</v>
      </c>
      <c r="HL150" s="503"/>
      <c r="HM150" s="503"/>
      <c r="HN150" s="503"/>
      <c r="HO150" s="503"/>
      <c r="HP150" s="503"/>
      <c r="HQ150" s="503"/>
      <c r="HR150" s="956">
        <f t="shared" si="445"/>
        <v>0</v>
      </c>
      <c r="HS150" s="503"/>
      <c r="HT150" s="503"/>
      <c r="HU150" s="956"/>
      <c r="HV150" s="503"/>
      <c r="HW150" s="956"/>
      <c r="HX150" s="956"/>
      <c r="HY150" s="503"/>
      <c r="HZ150" s="503"/>
      <c r="IA150" s="503"/>
      <c r="ID150" s="1394"/>
    </row>
    <row r="151" spans="1:238" s="1051" customFormat="1" ht="14.25" customHeight="1">
      <c r="A151" s="1018">
        <f t="shared" si="480"/>
        <v>145</v>
      </c>
      <c r="B151" s="716" t="s">
        <v>264</v>
      </c>
      <c r="C151" s="741">
        <f t="shared" si="487"/>
        <v>7</v>
      </c>
      <c r="D151" s="716" t="s">
        <v>290</v>
      </c>
      <c r="E151" s="743" t="str">
        <f t="shared" si="352"/>
        <v>10th Floor</v>
      </c>
      <c r="F151" s="1048"/>
      <c r="G151" s="745" t="s">
        <v>591</v>
      </c>
      <c r="H151" s="745" t="s">
        <v>310</v>
      </c>
      <c r="I151" s="745" t="s">
        <v>267</v>
      </c>
      <c r="J151" s="1005">
        <v>22</v>
      </c>
      <c r="K151" s="1049"/>
      <c r="L151" s="1006" t="s">
        <v>73</v>
      </c>
      <c r="M151" s="745" t="s">
        <v>240</v>
      </c>
      <c r="N151" s="1050">
        <v>95909.091</v>
      </c>
      <c r="O151" s="934">
        <f t="shared" si="455"/>
        <v>2110000.0019999999</v>
      </c>
      <c r="P151" s="934">
        <f t="shared" si="481"/>
        <v>22400</v>
      </c>
      <c r="Q151" s="934">
        <f t="shared" si="450"/>
        <v>50000</v>
      </c>
      <c r="R151" s="934"/>
      <c r="S151" s="934"/>
      <c r="T151" s="934"/>
      <c r="U151" s="934"/>
      <c r="V151" s="934"/>
      <c r="W151" s="749">
        <f>J151*$W$5</f>
        <v>22000</v>
      </c>
      <c r="X151" s="934"/>
      <c r="Y151" s="934">
        <f t="shared" si="488"/>
        <v>120000</v>
      </c>
      <c r="Z151" s="934">
        <f t="shared" si="456"/>
        <v>75000</v>
      </c>
      <c r="AA151" s="934"/>
      <c r="AB151" s="934"/>
      <c r="AC151" s="934"/>
      <c r="AD151" s="934"/>
      <c r="AE151" s="934">
        <f t="shared" si="365"/>
        <v>289400</v>
      </c>
      <c r="AF151" s="1005">
        <f t="shared" si="366"/>
        <v>2399400.0019999999</v>
      </c>
      <c r="AG151" s="1005">
        <f t="shared" si="380"/>
        <v>59985.000050000002</v>
      </c>
      <c r="AH151" s="1005">
        <f t="shared" si="381"/>
        <v>2459385.0020499998</v>
      </c>
      <c r="AI151" s="1005">
        <f t="shared" si="382"/>
        <v>61484.625051249997</v>
      </c>
      <c r="AJ151" s="1005">
        <f t="shared" si="383"/>
        <v>2520869.62710125</v>
      </c>
      <c r="AK151" s="1005">
        <f t="shared" si="384"/>
        <v>126043.48135506251</v>
      </c>
      <c r="AL151" s="1005">
        <f t="shared" si="457"/>
        <v>2646913.1084563127</v>
      </c>
      <c r="AM151" s="934">
        <f t="shared" si="385"/>
        <v>26469.131084563127</v>
      </c>
      <c r="AN151" s="934">
        <f t="shared" si="386"/>
        <v>27537.409960060559</v>
      </c>
      <c r="AO151" s="934"/>
      <c r="AP151" s="934">
        <f t="shared" si="458"/>
        <v>117501.01165596765</v>
      </c>
      <c r="AQ151" s="1005">
        <f t="shared" si="367"/>
        <v>2818420.661156904</v>
      </c>
      <c r="AR151" s="1005">
        <f t="shared" si="387"/>
        <v>126828.92975206068</v>
      </c>
      <c r="AS151" s="1147">
        <f t="shared" si="388"/>
        <v>2945249.5909089646</v>
      </c>
      <c r="AT151" s="1148">
        <f t="shared" si="459"/>
        <v>2000000</v>
      </c>
      <c r="AU151" s="1148">
        <f t="shared" si="358"/>
        <v>42965.890495862026</v>
      </c>
      <c r="AV151" s="1148">
        <f t="shared" si="460"/>
        <v>945249.59090896463</v>
      </c>
      <c r="AW151" s="1148">
        <f t="shared" si="368"/>
        <v>113429.95090907575</v>
      </c>
      <c r="AX151" s="1148">
        <f t="shared" si="369"/>
        <v>1058679.5418180404</v>
      </c>
      <c r="AY151" s="1147">
        <f t="shared" si="389"/>
        <v>3058679.5418180404</v>
      </c>
      <c r="AZ151" s="934">
        <f t="shared" si="390"/>
        <v>38233.494272725504</v>
      </c>
      <c r="BA151" s="716" t="s">
        <v>269</v>
      </c>
      <c r="BB151" s="716">
        <f t="shared" si="370"/>
        <v>3096913.0360907661</v>
      </c>
      <c r="BC151" s="716">
        <v>2710.4000000000005</v>
      </c>
      <c r="BD151" s="716">
        <f t="shared" si="391"/>
        <v>116134.23885340373</v>
      </c>
      <c r="BE151" s="716">
        <f t="shared" si="392"/>
        <v>33600</v>
      </c>
      <c r="BF151" s="716">
        <f t="shared" si="393"/>
        <v>3249357.6749441698</v>
      </c>
      <c r="BG151" s="716">
        <v>5248.8000000000011</v>
      </c>
      <c r="BH151" s="716">
        <f t="shared" si="394"/>
        <v>3254606.4749441696</v>
      </c>
      <c r="BI151" s="716"/>
      <c r="BJ151" s="716">
        <f t="shared" si="395"/>
        <v>3254606.4749441696</v>
      </c>
      <c r="BK151" s="716">
        <v>5092.7923200000005</v>
      </c>
      <c r="BL151" s="716">
        <f t="shared" si="396"/>
        <v>3259699.2672641696</v>
      </c>
      <c r="BM151" s="716"/>
      <c r="BN151" s="716">
        <f t="shared" si="371"/>
        <v>3259699.2672641696</v>
      </c>
      <c r="BO151" s="716"/>
      <c r="BP151" s="716">
        <f t="shared" si="397"/>
        <v>3259699.2672641696</v>
      </c>
      <c r="BQ151" s="716"/>
      <c r="BR151" s="716">
        <f t="shared" si="398"/>
        <v>3259699.2672641696</v>
      </c>
      <c r="BS151" s="716"/>
      <c r="BT151" s="716">
        <f t="shared" si="399"/>
        <v>3259699.2672641696</v>
      </c>
      <c r="BU151" s="716">
        <f t="shared" si="492"/>
        <v>546.00000000000011</v>
      </c>
      <c r="BV151" s="716">
        <f t="shared" si="372"/>
        <v>3260245.2672641696</v>
      </c>
      <c r="BW151" s="716"/>
      <c r="BX151" s="716">
        <f t="shared" si="489"/>
        <v>31400</v>
      </c>
      <c r="BY151" s="716">
        <f t="shared" si="400"/>
        <v>3291645.2672641696</v>
      </c>
      <c r="BZ151" s="716">
        <f t="shared" si="493"/>
        <v>33654.337039807535</v>
      </c>
      <c r="CA151" s="716">
        <f t="shared" si="401"/>
        <v>3325299.604303977</v>
      </c>
      <c r="CB151" s="1135">
        <f t="shared" si="494"/>
        <v>3325299.604303977</v>
      </c>
      <c r="CC151" s="1164">
        <f t="shared" si="446"/>
        <v>3325299.604303977</v>
      </c>
      <c r="CD151" s="1164"/>
      <c r="CE151" s="1164">
        <f t="shared" si="403"/>
        <v>0</v>
      </c>
      <c r="CF151" s="1164">
        <f t="shared" si="448"/>
        <v>0</v>
      </c>
      <c r="CG151" s="1164">
        <f t="shared" si="449"/>
        <v>0</v>
      </c>
      <c r="CH151" s="1154">
        <f t="shared" si="339"/>
        <v>3325299.604303977</v>
      </c>
      <c r="CI151" s="935">
        <f t="shared" si="340"/>
        <v>3325299.604303977</v>
      </c>
      <c r="CJ151" s="935">
        <f t="shared" si="404"/>
        <v>0</v>
      </c>
      <c r="CK151" s="935">
        <f t="shared" si="373"/>
        <v>340843.20944115764</v>
      </c>
      <c r="CL151" s="935">
        <f t="shared" si="374"/>
        <v>116385.4861506392</v>
      </c>
      <c r="CM151" s="1006">
        <f t="shared" si="461"/>
        <v>3782528.2998957736</v>
      </c>
      <c r="CN151" s="1007">
        <f t="shared" si="462"/>
        <v>0.125</v>
      </c>
      <c r="CO151" s="935">
        <f t="shared" si="210"/>
        <v>472816.03748697171</v>
      </c>
      <c r="CP151" s="935">
        <f t="shared" si="490"/>
        <v>30000</v>
      </c>
      <c r="CQ151" s="935">
        <f t="shared" si="211"/>
        <v>442816.03748697171</v>
      </c>
      <c r="CR151" s="745">
        <v>1</v>
      </c>
      <c r="CS151" s="935">
        <f t="shared" si="212"/>
        <v>442816.03748697171</v>
      </c>
      <c r="CT151" s="1007">
        <f t="shared" si="405"/>
        <v>0.875</v>
      </c>
      <c r="CU151" s="935">
        <f t="shared" si="406"/>
        <v>3309712.2624088018</v>
      </c>
      <c r="CV151" s="1008">
        <f t="shared" si="407"/>
        <v>25660.163942502815</v>
      </c>
      <c r="CW151" s="1008">
        <f t="shared" si="408"/>
        <v>29748.629498399776</v>
      </c>
      <c r="CX151" s="1008">
        <f t="shared" si="409"/>
        <v>38428.56574395176</v>
      </c>
      <c r="CY151" s="1008">
        <f t="shared" si="410"/>
        <v>65536.269619386119</v>
      </c>
      <c r="CZ151" s="1119">
        <f t="shared" si="411"/>
        <v>268858.4470431747</v>
      </c>
      <c r="DA151" s="1119">
        <f t="shared" si="412"/>
        <v>106385.97781029569</v>
      </c>
      <c r="DB151" s="1119">
        <f t="shared" si="413"/>
        <v>76841.085007069953</v>
      </c>
      <c r="DC151" s="1119">
        <f t="shared" si="414"/>
        <v>58479.603271225496</v>
      </c>
      <c r="DD151" s="1028">
        <f t="shared" si="451"/>
        <v>0.47262479545448233</v>
      </c>
      <c r="DE151" s="1028">
        <f t="shared" si="341"/>
        <v>0</v>
      </c>
      <c r="DF151" s="1009" t="s">
        <v>270</v>
      </c>
      <c r="DG151" s="1009" t="s">
        <v>271</v>
      </c>
      <c r="DH151" s="966">
        <f t="shared" si="447"/>
        <v>45658</v>
      </c>
      <c r="DI151" s="912">
        <f t="shared" si="415"/>
        <v>14</v>
      </c>
      <c r="DJ151" s="939"/>
      <c r="DK151" s="913">
        <f t="shared" si="375"/>
        <v>45723</v>
      </c>
      <c r="DL151" s="912">
        <f t="shared" si="416"/>
        <v>16</v>
      </c>
      <c r="DM151" s="750" t="s">
        <v>272</v>
      </c>
      <c r="DN151" s="750" t="s">
        <v>273</v>
      </c>
      <c r="DO151" s="751">
        <f t="shared" si="376"/>
        <v>48121.797355365474</v>
      </c>
      <c r="DP151" s="751">
        <f t="shared" si="377"/>
        <v>1058679.5418180404</v>
      </c>
      <c r="DQ151" s="752">
        <f t="shared" si="452"/>
        <v>0.52933977090902018</v>
      </c>
      <c r="DR151" s="503"/>
      <c r="DS151" s="751">
        <f t="shared" si="453"/>
        <v>3325299.604303977</v>
      </c>
      <c r="DT151" s="751">
        <f>'[4]INTERNAL PRICELIST'!N145</f>
        <v>2111900</v>
      </c>
      <c r="DU151" s="751">
        <f t="shared" si="378"/>
        <v>1213399.604303977</v>
      </c>
      <c r="DV151" s="503"/>
      <c r="DW151" s="951">
        <f t="shared" si="454"/>
        <v>151149.98201381715</v>
      </c>
      <c r="DX151" s="503"/>
      <c r="DZ151" s="1010" t="s">
        <v>591</v>
      </c>
      <c r="EA151" s="1052" t="b">
        <f t="shared" si="379"/>
        <v>1</v>
      </c>
      <c r="EB151" s="1072" t="s">
        <v>590</v>
      </c>
      <c r="EC151" s="1072" t="s">
        <v>580</v>
      </c>
      <c r="ED151" s="503"/>
      <c r="EE151" s="503"/>
      <c r="EF151" s="503"/>
      <c r="EG151" s="503"/>
      <c r="EH151" s="930"/>
      <c r="EI151" s="930"/>
      <c r="EJ151" s="503"/>
      <c r="EK151" s="503"/>
      <c r="EL151" s="503"/>
      <c r="EM151" s="503"/>
      <c r="EN151" s="503"/>
      <c r="EO151" s="503"/>
      <c r="EP151" s="503"/>
      <c r="EQ151" s="503"/>
      <c r="ER151" s="1017" t="s">
        <v>243</v>
      </c>
      <c r="ES151" s="1391" t="s">
        <v>243</v>
      </c>
      <c r="ET151" s="1018" t="b">
        <f t="shared" si="417"/>
        <v>1</v>
      </c>
      <c r="EU151" s="940"/>
      <c r="EV151" s="941"/>
      <c r="EW151" s="940"/>
      <c r="EX151" s="1019">
        <v>3071921.8733586315</v>
      </c>
      <c r="EY151" s="1019">
        <f t="shared" si="464"/>
        <v>460788.28100379469</v>
      </c>
      <c r="EZ151" s="1019">
        <f t="shared" si="465"/>
        <v>2611133.5923548369</v>
      </c>
      <c r="FA151" s="1019">
        <f t="shared" si="466"/>
        <v>307192.18733586319</v>
      </c>
      <c r="FB151" s="1019">
        <f t="shared" si="467"/>
        <v>2764729.6860227683</v>
      </c>
      <c r="FC151" s="1019">
        <f t="shared" si="468"/>
        <v>153596.09366793139</v>
      </c>
      <c r="FD151" s="1020"/>
      <c r="FE151" s="1021"/>
      <c r="FF151" s="1022">
        <f t="shared" si="469"/>
        <v>2611133.5923548369</v>
      </c>
      <c r="FG151" s="1022">
        <f t="shared" si="470"/>
        <v>221946.35535016115</v>
      </c>
      <c r="FH151" s="1022">
        <f t="shared" si="471"/>
        <v>110973.17767508057</v>
      </c>
      <c r="FI151" s="1023">
        <f t="shared" si="472"/>
        <v>2764729.6860227683</v>
      </c>
      <c r="FJ151" s="1023">
        <f t="shared" si="473"/>
        <v>235002.02331193531</v>
      </c>
      <c r="FK151" s="1023">
        <f t="shared" si="474"/>
        <v>117501.01165596765</v>
      </c>
      <c r="FL151" s="1019">
        <f t="shared" si="475"/>
        <v>13055.667961774161</v>
      </c>
      <c r="FM151" s="1019">
        <f t="shared" si="476"/>
        <v>6527.8339808870805</v>
      </c>
      <c r="FN151" s="1019" t="str">
        <f t="shared" si="477"/>
        <v>VS</v>
      </c>
      <c r="FO151" s="1019">
        <f t="shared" si="478"/>
        <v>27537.409960060559</v>
      </c>
      <c r="FP151" s="1019">
        <f t="shared" si="479"/>
        <v>-21009.575979173478</v>
      </c>
      <c r="FQ151" s="1021"/>
      <c r="FR151" s="1021"/>
      <c r="FS151" s="1020"/>
      <c r="FT151" s="1055">
        <f t="shared" si="491"/>
        <v>2764729.6860227683</v>
      </c>
      <c r="FU151" s="1056"/>
      <c r="FV151" s="1056"/>
      <c r="FW151" s="503"/>
      <c r="FX151" s="1040"/>
      <c r="FY151" s="503"/>
      <c r="FZ151" s="503"/>
      <c r="GA151" s="503"/>
      <c r="GG151" s="956"/>
      <c r="GH151" s="1058"/>
      <c r="GI151" s="1024">
        <f t="shared" si="418"/>
        <v>3782528.2998957736</v>
      </c>
      <c r="GJ151" s="1025">
        <f t="shared" si="419"/>
        <v>0.125</v>
      </c>
      <c r="GK151" s="1024">
        <f t="shared" si="420"/>
        <v>472816.03748697171</v>
      </c>
      <c r="GL151" s="1024">
        <f t="shared" si="421"/>
        <v>30000</v>
      </c>
      <c r="GM151" s="1024">
        <f t="shared" si="422"/>
        <v>442816.03748697171</v>
      </c>
      <c r="GN151" s="1024">
        <f t="shared" si="423"/>
        <v>1</v>
      </c>
      <c r="GO151" s="1024">
        <f t="shared" si="424"/>
        <v>442816.03748697171</v>
      </c>
      <c r="GP151" s="1025">
        <f t="shared" si="425"/>
        <v>0.875</v>
      </c>
      <c r="GQ151" s="1024">
        <f t="shared" si="426"/>
        <v>3309712.2624088018</v>
      </c>
      <c r="GR151" s="1024">
        <f t="shared" si="427"/>
        <v>25660.163942502815</v>
      </c>
      <c r="GS151" s="1024">
        <f t="shared" si="428"/>
        <v>29748.629498399776</v>
      </c>
      <c r="GT151" s="1024">
        <f t="shared" si="429"/>
        <v>38428.56574395176</v>
      </c>
      <c r="GU151" s="1024">
        <f t="shared" si="430"/>
        <v>65536.269619386119</v>
      </c>
      <c r="GV151" s="945"/>
      <c r="GW151" s="1024">
        <f t="shared" si="431"/>
        <v>3782528.2998957736</v>
      </c>
      <c r="GX151" s="1025">
        <f t="shared" si="432"/>
        <v>0.125</v>
      </c>
      <c r="GY151" s="1024">
        <f t="shared" si="433"/>
        <v>472816.03748697171</v>
      </c>
      <c r="GZ151" s="1024">
        <f t="shared" si="434"/>
        <v>30000</v>
      </c>
      <c r="HA151" s="1024">
        <f t="shared" si="435"/>
        <v>442816.03748697171</v>
      </c>
      <c r="HB151" s="1026">
        <f t="shared" si="436"/>
        <v>25</v>
      </c>
      <c r="HC151" s="1009">
        <f t="shared" si="437"/>
        <v>17712.641499478868</v>
      </c>
      <c r="HD151" s="1027">
        <f t="shared" si="438"/>
        <v>0.875</v>
      </c>
      <c r="HE151" s="1009">
        <f t="shared" si="439"/>
        <v>3309712.2624088018</v>
      </c>
      <c r="HF151" s="1008">
        <f t="shared" si="440"/>
        <v>25660.163942502815</v>
      </c>
      <c r="HG151" s="1008">
        <f t="shared" si="441"/>
        <v>29748.629498399776</v>
      </c>
      <c r="HH151" s="1008">
        <f t="shared" si="442"/>
        <v>38428.56574395176</v>
      </c>
      <c r="HI151" s="1008">
        <f t="shared" si="443"/>
        <v>65536.269619386119</v>
      </c>
      <c r="HJ151" s="945"/>
      <c r="HK151" s="1009">
        <f t="shared" si="444"/>
        <v>-425103.39598749281</v>
      </c>
      <c r="HL151" s="503"/>
      <c r="HM151" s="503"/>
      <c r="HN151" s="503"/>
      <c r="HO151" s="503"/>
      <c r="HP151" s="503"/>
      <c r="HQ151" s="503"/>
      <c r="HR151" s="956">
        <f t="shared" si="445"/>
        <v>0</v>
      </c>
      <c r="HS151" s="503"/>
      <c r="HT151" s="503"/>
      <c r="HU151" s="956"/>
      <c r="HV151" s="503"/>
      <c r="HW151" s="956"/>
      <c r="HX151" s="956"/>
      <c r="HY151" s="503"/>
      <c r="HZ151" s="503"/>
      <c r="IA151" s="503"/>
      <c r="ID151" s="1394"/>
    </row>
    <row r="152" spans="1:238" s="1051" customFormat="1" ht="14.25" hidden="1" customHeight="1">
      <c r="A152" s="1018">
        <f t="shared" si="480"/>
        <v>146</v>
      </c>
      <c r="B152" s="716" t="s">
        <v>264</v>
      </c>
      <c r="C152" s="741">
        <f t="shared" si="487"/>
        <v>8</v>
      </c>
      <c r="D152" s="716" t="s">
        <v>290</v>
      </c>
      <c r="E152" s="743" t="str">
        <f t="shared" si="352"/>
        <v>10th Floor</v>
      </c>
      <c r="F152" s="1048"/>
      <c r="G152" s="745" t="s">
        <v>592</v>
      </c>
      <c r="H152" s="745" t="s">
        <v>316</v>
      </c>
      <c r="I152" s="745" t="s">
        <v>267</v>
      </c>
      <c r="J152" s="1005">
        <v>22</v>
      </c>
      <c r="K152" s="1049"/>
      <c r="L152" s="1006" t="s">
        <v>268</v>
      </c>
      <c r="M152" s="745" t="s">
        <v>65</v>
      </c>
      <c r="N152" s="1050">
        <v>95909.091</v>
      </c>
      <c r="O152" s="934">
        <f t="shared" si="455"/>
        <v>2110000.0019999999</v>
      </c>
      <c r="P152" s="934">
        <f t="shared" si="481"/>
        <v>22400</v>
      </c>
      <c r="Q152" s="934">
        <f t="shared" si="450"/>
        <v>50000</v>
      </c>
      <c r="R152" s="934"/>
      <c r="S152" s="934"/>
      <c r="T152" s="934"/>
      <c r="U152" s="934"/>
      <c r="V152" s="749">
        <f>J152*$V$5</f>
        <v>55000</v>
      </c>
      <c r="W152" s="934"/>
      <c r="X152" s="934"/>
      <c r="Y152" s="934">
        <f t="shared" si="488"/>
        <v>120000</v>
      </c>
      <c r="Z152" s="934">
        <f t="shared" si="456"/>
        <v>75000</v>
      </c>
      <c r="AA152" s="934"/>
      <c r="AB152" s="934"/>
      <c r="AC152" s="934"/>
      <c r="AD152" s="934"/>
      <c r="AE152" s="934">
        <f t="shared" si="365"/>
        <v>322400</v>
      </c>
      <c r="AF152" s="1005">
        <f t="shared" si="366"/>
        <v>2432400.0019999999</v>
      </c>
      <c r="AG152" s="1005">
        <f t="shared" si="380"/>
        <v>60810.000050000002</v>
      </c>
      <c r="AH152" s="1005">
        <f t="shared" si="381"/>
        <v>2493210.0020499998</v>
      </c>
      <c r="AI152" s="1005">
        <f t="shared" si="382"/>
        <v>62330.250051249997</v>
      </c>
      <c r="AJ152" s="1005">
        <f t="shared" si="383"/>
        <v>2555540.25210125</v>
      </c>
      <c r="AK152" s="1005">
        <f t="shared" si="384"/>
        <v>127777.01260506251</v>
      </c>
      <c r="AL152" s="1005">
        <f t="shared" si="457"/>
        <v>2683317.2647063127</v>
      </c>
      <c r="AM152" s="934">
        <f t="shared" si="385"/>
        <v>26833.172647063126</v>
      </c>
      <c r="AN152" s="934">
        <f t="shared" si="386"/>
        <v>27537.409960060559</v>
      </c>
      <c r="AO152" s="934"/>
      <c r="AP152" s="934">
        <f t="shared" si="458"/>
        <v>121461.76501057763</v>
      </c>
      <c r="AQ152" s="1005">
        <f t="shared" si="367"/>
        <v>2859149.6123240138</v>
      </c>
      <c r="AR152" s="1005">
        <f t="shared" si="387"/>
        <v>128661.73255458062</v>
      </c>
      <c r="AS152" s="1147">
        <f t="shared" si="388"/>
        <v>2987811.3448785944</v>
      </c>
      <c r="AT152" s="1148">
        <f t="shared" si="459"/>
        <v>2000000</v>
      </c>
      <c r="AU152" s="1148">
        <f t="shared" si="358"/>
        <v>44900.515676299743</v>
      </c>
      <c r="AV152" s="1148">
        <f t="shared" ref="AV152" si="495">AS152-AT152</f>
        <v>987811.34487859439</v>
      </c>
      <c r="AW152" s="1148">
        <f t="shared" ref="AW152" si="496">AV152*$AW$5</f>
        <v>118537.36138543132</v>
      </c>
      <c r="AX152" s="1148">
        <f t="shared" ref="AX152" si="497">AV152+AW152</f>
        <v>1106348.7062640258</v>
      </c>
      <c r="AY152" s="1147">
        <f t="shared" si="389"/>
        <v>3106348.7062640255</v>
      </c>
      <c r="AZ152" s="934">
        <f t="shared" si="390"/>
        <v>38829.358828300319</v>
      </c>
      <c r="BA152" s="716" t="s">
        <v>269</v>
      </c>
      <c r="BB152" s="716">
        <f t="shared" si="370"/>
        <v>3145178.0650923257</v>
      </c>
      <c r="BC152" s="716" t="s">
        <v>269</v>
      </c>
      <c r="BD152" s="716">
        <f t="shared" si="391"/>
        <v>117944.1774409622</v>
      </c>
      <c r="BE152" s="716">
        <f t="shared" si="392"/>
        <v>33600</v>
      </c>
      <c r="BF152" s="716">
        <f t="shared" si="393"/>
        <v>3296722.242533288</v>
      </c>
      <c r="BG152" s="716"/>
      <c r="BH152" s="716">
        <f t="shared" si="394"/>
        <v>3296722.242533288</v>
      </c>
      <c r="BI152" s="716"/>
      <c r="BJ152" s="716">
        <f t="shared" si="395"/>
        <v>3296722.242533288</v>
      </c>
      <c r="BK152" s="716"/>
      <c r="BL152" s="716">
        <f t="shared" si="396"/>
        <v>3296722.242533288</v>
      </c>
      <c r="BM152" s="716"/>
      <c r="BN152" s="716">
        <f t="shared" si="371"/>
        <v>3296722.242533288</v>
      </c>
      <c r="BO152" s="716"/>
      <c r="BP152" s="716">
        <f t="shared" si="397"/>
        <v>3296722.242533288</v>
      </c>
      <c r="BQ152" s="716"/>
      <c r="BR152" s="716">
        <f t="shared" si="398"/>
        <v>3296722.242533288</v>
      </c>
      <c r="BS152" s="716"/>
      <c r="BT152" s="716">
        <f t="shared" si="399"/>
        <v>3296722.242533288</v>
      </c>
      <c r="BU152" s="716"/>
      <c r="BV152" s="716">
        <f t="shared" si="372"/>
        <v>3296722.242533288</v>
      </c>
      <c r="BW152" s="716"/>
      <c r="BX152" s="716">
        <f t="shared" si="489"/>
        <v>31400</v>
      </c>
      <c r="BY152" s="716">
        <f t="shared" si="400"/>
        <v>3328122.242533288</v>
      </c>
      <c r="BZ152" s="716"/>
      <c r="CA152" s="716">
        <f t="shared" si="401"/>
        <v>3328122.242533288</v>
      </c>
      <c r="CB152" s="1135">
        <f t="shared" si="402"/>
        <v>3328122.242533288</v>
      </c>
      <c r="CC152" s="1164">
        <f t="shared" si="446"/>
        <v>3328122.242533288</v>
      </c>
      <c r="CD152" s="1164"/>
      <c r="CE152" s="1164">
        <f t="shared" si="403"/>
        <v>0</v>
      </c>
      <c r="CF152" s="1164">
        <f t="shared" si="448"/>
        <v>0</v>
      </c>
      <c r="CG152" s="1164">
        <f t="shared" si="449"/>
        <v>0</v>
      </c>
      <c r="CH152" s="1154">
        <f t="shared" si="339"/>
        <v>3328122.242533288</v>
      </c>
      <c r="CI152" s="935">
        <f t="shared" si="340"/>
        <v>3328122.242533288</v>
      </c>
      <c r="CJ152" s="935">
        <f t="shared" si="404"/>
        <v>0</v>
      </c>
      <c r="CK152" s="935">
        <f t="shared" si="373"/>
        <v>341132.529859662</v>
      </c>
      <c r="CL152" s="935">
        <f t="shared" si="374"/>
        <v>116484.27848866509</v>
      </c>
      <c r="CM152" s="1006">
        <f t="shared" si="461"/>
        <v>3785739.0508816149</v>
      </c>
      <c r="CN152" s="1007">
        <f t="shared" si="462"/>
        <v>0.125</v>
      </c>
      <c r="CO152" s="935">
        <f t="shared" si="210"/>
        <v>473217.38136020186</v>
      </c>
      <c r="CP152" s="935">
        <f t="shared" si="490"/>
        <v>30000</v>
      </c>
      <c r="CQ152" s="935">
        <f t="shared" si="211"/>
        <v>443217.38136020186</v>
      </c>
      <c r="CR152" s="745">
        <f t="shared" si="463"/>
        <v>2</v>
      </c>
      <c r="CS152" s="935">
        <f t="shared" si="212"/>
        <v>221608.69068010093</v>
      </c>
      <c r="CT152" s="1007">
        <f t="shared" si="405"/>
        <v>0.875</v>
      </c>
      <c r="CU152" s="935">
        <f t="shared" si="406"/>
        <v>3312521.6695214128</v>
      </c>
      <c r="CV152" s="1008">
        <f t="shared" si="407"/>
        <v>25681.945245944087</v>
      </c>
      <c r="CW152" s="1008">
        <f t="shared" si="408"/>
        <v>29773.881243771262</v>
      </c>
      <c r="CX152" s="1008">
        <f t="shared" si="409"/>
        <v>38461.185342686884</v>
      </c>
      <c r="CY152" s="1008">
        <f t="shared" si="410"/>
        <v>65591.899247403606</v>
      </c>
      <c r="CZ152" s="1119">
        <f t="shared" si="411"/>
        <v>269086.66411267273</v>
      </c>
      <c r="DA152" s="1119">
        <f t="shared" si="412"/>
        <v>106476.2821929869</v>
      </c>
      <c r="DB152" s="1119">
        <f t="shared" si="413"/>
        <v>76906.310583689265</v>
      </c>
      <c r="DC152" s="1119">
        <f t="shared" si="414"/>
        <v>58529.242937863244</v>
      </c>
      <c r="DD152" s="1028">
        <f t="shared" si="451"/>
        <v>0.49390567243929717</v>
      </c>
      <c r="DE152" s="1028">
        <f t="shared" si="341"/>
        <v>0</v>
      </c>
      <c r="DF152" s="1009" t="s">
        <v>270</v>
      </c>
      <c r="DG152" s="1009" t="s">
        <v>271</v>
      </c>
      <c r="DH152" s="966">
        <f t="shared" si="447"/>
        <v>45658</v>
      </c>
      <c r="DI152" s="912">
        <f t="shared" si="415"/>
        <v>14</v>
      </c>
      <c r="DJ152" s="939"/>
      <c r="DK152" s="913">
        <f t="shared" si="375"/>
        <v>45723</v>
      </c>
      <c r="DL152" s="912">
        <f t="shared" si="416"/>
        <v>16</v>
      </c>
      <c r="DM152" s="750" t="s">
        <v>272</v>
      </c>
      <c r="DN152" s="750" t="s">
        <v>273</v>
      </c>
      <c r="DO152" s="751">
        <f t="shared" si="376"/>
        <v>50288.577557455719</v>
      </c>
      <c r="DP152" s="751">
        <f t="shared" si="377"/>
        <v>1106348.7062640258</v>
      </c>
      <c r="DQ152" s="752">
        <f t="shared" si="452"/>
        <v>0.55317435313201291</v>
      </c>
      <c r="DR152" s="503"/>
      <c r="DS152" s="751">
        <f t="shared" si="453"/>
        <v>3328122.242533288</v>
      </c>
      <c r="DT152" s="751">
        <f>'[4]INTERNAL PRICELIST'!N146</f>
        <v>2111900</v>
      </c>
      <c r="DU152" s="751">
        <f t="shared" si="378"/>
        <v>1216222.242533288</v>
      </c>
      <c r="DV152" s="503"/>
      <c r="DW152" s="951">
        <f t="shared" si="454"/>
        <v>151278.28375151308</v>
      </c>
      <c r="DX152" s="503"/>
      <c r="DZ152" s="1010" t="s">
        <v>592</v>
      </c>
      <c r="EA152" s="1052" t="b">
        <f t="shared" si="379"/>
        <v>1</v>
      </c>
      <c r="EB152" s="1072" t="s">
        <v>593</v>
      </c>
      <c r="EC152" s="1072" t="s">
        <v>580</v>
      </c>
      <c r="ED152" s="503"/>
      <c r="EE152" s="503"/>
      <c r="EF152" s="503"/>
      <c r="EG152" s="503"/>
      <c r="EH152" s="930"/>
      <c r="EI152" s="930"/>
      <c r="EJ152" s="503"/>
      <c r="EK152" s="503"/>
      <c r="EL152" s="503"/>
      <c r="EM152" s="503"/>
      <c r="EN152" s="503"/>
      <c r="EO152" s="503"/>
      <c r="EP152" s="503"/>
      <c r="EQ152" s="503"/>
      <c r="ER152" s="1017" t="s">
        <v>264</v>
      </c>
      <c r="ES152" s="1391" t="s">
        <v>264</v>
      </c>
      <c r="ET152" s="1018" t="b">
        <f t="shared" si="417"/>
        <v>1</v>
      </c>
      <c r="EU152" s="940"/>
      <c r="EV152" s="941"/>
      <c r="EW152" s="940"/>
      <c r="EX152" s="1019">
        <v>3175470.9806686961</v>
      </c>
      <c r="EY152" s="1019">
        <f t="shared" si="464"/>
        <v>476320.64710030437</v>
      </c>
      <c r="EZ152" s="1019">
        <f t="shared" si="465"/>
        <v>2699150.3335683914</v>
      </c>
      <c r="FA152" s="1019">
        <f t="shared" si="466"/>
        <v>317547.09806686966</v>
      </c>
      <c r="FB152" s="1019">
        <f t="shared" si="467"/>
        <v>2857923.8826018265</v>
      </c>
      <c r="FC152" s="1019">
        <f t="shared" si="468"/>
        <v>158773.54903343506</v>
      </c>
      <c r="FD152" s="1020"/>
      <c r="FE152" s="1021"/>
      <c r="FF152" s="1022">
        <f t="shared" si="469"/>
        <v>2699150.3335683914</v>
      </c>
      <c r="FG152" s="1022">
        <f t="shared" si="470"/>
        <v>229427.77835331328</v>
      </c>
      <c r="FH152" s="1022">
        <f t="shared" si="471"/>
        <v>114713.88917665664</v>
      </c>
      <c r="FI152" s="1023">
        <f t="shared" si="472"/>
        <v>2857923.8826018265</v>
      </c>
      <c r="FJ152" s="1023">
        <f t="shared" si="473"/>
        <v>242923.53002115525</v>
      </c>
      <c r="FK152" s="1023">
        <f t="shared" si="474"/>
        <v>121461.76501057763</v>
      </c>
      <c r="FL152" s="1019">
        <f t="shared" si="475"/>
        <v>13495.751667841978</v>
      </c>
      <c r="FM152" s="1019">
        <f t="shared" si="476"/>
        <v>6747.875833920989</v>
      </c>
      <c r="FN152" s="1019" t="str">
        <f t="shared" si="477"/>
        <v>VS</v>
      </c>
      <c r="FO152" s="1019">
        <f t="shared" si="478"/>
        <v>27537.409960060559</v>
      </c>
      <c r="FP152" s="1019">
        <f t="shared" si="479"/>
        <v>-20789.53412613957</v>
      </c>
      <c r="FQ152" s="1021"/>
      <c r="FR152" s="1021"/>
      <c r="FS152" s="1020"/>
      <c r="FT152" s="1055">
        <f t="shared" si="491"/>
        <v>2857923.8826018265</v>
      </c>
      <c r="FU152" s="1056"/>
      <c r="FV152" s="1056"/>
      <c r="FW152" s="503"/>
      <c r="FX152" s="1040"/>
      <c r="FY152" s="503"/>
      <c r="FZ152" s="503"/>
      <c r="GA152" s="503"/>
      <c r="GG152" s="956"/>
      <c r="GH152" s="1058"/>
      <c r="GI152" s="1024">
        <f t="shared" si="418"/>
        <v>3785739.0508816149</v>
      </c>
      <c r="GJ152" s="1025">
        <f t="shared" si="419"/>
        <v>0.125</v>
      </c>
      <c r="GK152" s="1024">
        <f t="shared" si="420"/>
        <v>473217.38136020186</v>
      </c>
      <c r="GL152" s="1024">
        <f t="shared" si="421"/>
        <v>30000</v>
      </c>
      <c r="GM152" s="1024">
        <f t="shared" si="422"/>
        <v>443217.38136020186</v>
      </c>
      <c r="GN152" s="1024">
        <f t="shared" si="423"/>
        <v>2</v>
      </c>
      <c r="GO152" s="1024">
        <f t="shared" si="424"/>
        <v>221608.69068010093</v>
      </c>
      <c r="GP152" s="1025">
        <f t="shared" si="425"/>
        <v>0.875</v>
      </c>
      <c r="GQ152" s="1024">
        <f t="shared" si="426"/>
        <v>3312521.6695214128</v>
      </c>
      <c r="GR152" s="1024">
        <f t="shared" si="427"/>
        <v>25681.945245944087</v>
      </c>
      <c r="GS152" s="1024">
        <f t="shared" si="428"/>
        <v>29773.881243771262</v>
      </c>
      <c r="GT152" s="1024">
        <f t="shared" si="429"/>
        <v>38461.185342686884</v>
      </c>
      <c r="GU152" s="1024">
        <f t="shared" si="430"/>
        <v>65591.899247403606</v>
      </c>
      <c r="GV152" s="945"/>
      <c r="GW152" s="1024">
        <f t="shared" si="431"/>
        <v>3785739.0508816149</v>
      </c>
      <c r="GX152" s="1025">
        <f t="shared" si="432"/>
        <v>0.125</v>
      </c>
      <c r="GY152" s="1024">
        <f t="shared" si="433"/>
        <v>473217.38136020186</v>
      </c>
      <c r="GZ152" s="1024">
        <f t="shared" si="434"/>
        <v>30000</v>
      </c>
      <c r="HA152" s="1024">
        <f t="shared" si="435"/>
        <v>443217.38136020186</v>
      </c>
      <c r="HB152" s="1026">
        <f t="shared" si="436"/>
        <v>25</v>
      </c>
      <c r="HC152" s="1009">
        <f t="shared" si="437"/>
        <v>17728.695254408074</v>
      </c>
      <c r="HD152" s="1027">
        <f t="shared" si="438"/>
        <v>0.875</v>
      </c>
      <c r="HE152" s="1009">
        <f t="shared" si="439"/>
        <v>3312521.6695214128</v>
      </c>
      <c r="HF152" s="1008">
        <f t="shared" si="440"/>
        <v>25681.945245944087</v>
      </c>
      <c r="HG152" s="1008">
        <f t="shared" si="441"/>
        <v>29773.881243771262</v>
      </c>
      <c r="HH152" s="1008">
        <f t="shared" si="442"/>
        <v>38461.185342686884</v>
      </c>
      <c r="HI152" s="1008">
        <f t="shared" si="443"/>
        <v>65591.899247403606</v>
      </c>
      <c r="HJ152" s="945"/>
      <c r="HK152" s="1009">
        <f t="shared" si="444"/>
        <v>-203879.99542569285</v>
      </c>
      <c r="HL152" s="503"/>
      <c r="HM152" s="503"/>
      <c r="HN152" s="503"/>
      <c r="HO152" s="503"/>
      <c r="HP152" s="503"/>
      <c r="HQ152" s="503"/>
      <c r="HR152" s="956">
        <f t="shared" si="445"/>
        <v>0</v>
      </c>
      <c r="HS152" s="503"/>
      <c r="HT152" s="503"/>
      <c r="HU152" s="956"/>
      <c r="HV152" s="503"/>
      <c r="HW152" s="956"/>
      <c r="HX152" s="956"/>
      <c r="HY152" s="503"/>
      <c r="HZ152" s="503"/>
      <c r="IA152" s="503"/>
      <c r="ID152" s="1394"/>
    </row>
    <row r="153" spans="1:238" s="1051" customFormat="1" ht="14.25" hidden="1" customHeight="1">
      <c r="A153" s="1018">
        <f t="shared" si="480"/>
        <v>147</v>
      </c>
      <c r="B153" s="716" t="s">
        <v>264</v>
      </c>
      <c r="C153" s="741">
        <f t="shared" si="487"/>
        <v>9</v>
      </c>
      <c r="D153" s="716" t="s">
        <v>290</v>
      </c>
      <c r="E153" s="743" t="str">
        <f t="shared" si="352"/>
        <v>10th Floor</v>
      </c>
      <c r="F153" s="1048"/>
      <c r="G153" s="745" t="s">
        <v>594</v>
      </c>
      <c r="H153" s="745" t="s">
        <v>321</v>
      </c>
      <c r="I153" s="745" t="s">
        <v>267</v>
      </c>
      <c r="J153" s="1005">
        <v>22</v>
      </c>
      <c r="K153" s="1049"/>
      <c r="L153" s="1006" t="s">
        <v>268</v>
      </c>
      <c r="M153" s="745" t="s">
        <v>79</v>
      </c>
      <c r="N153" s="1050">
        <v>95909.091</v>
      </c>
      <c r="O153" s="934">
        <f t="shared" si="455"/>
        <v>2110000.0019999999</v>
      </c>
      <c r="P153" s="934">
        <f t="shared" si="481"/>
        <v>22400</v>
      </c>
      <c r="Q153" s="934">
        <f t="shared" si="450"/>
        <v>50000</v>
      </c>
      <c r="R153" s="934"/>
      <c r="S153" s="934"/>
      <c r="T153" s="934"/>
      <c r="U153" s="934"/>
      <c r="V153" s="934"/>
      <c r="W153" s="934"/>
      <c r="X153" s="934"/>
      <c r="Y153" s="934">
        <f t="shared" si="488"/>
        <v>120000</v>
      </c>
      <c r="Z153" s="934">
        <f t="shared" si="456"/>
        <v>75000</v>
      </c>
      <c r="AA153" s="934"/>
      <c r="AB153" s="934"/>
      <c r="AC153" s="934"/>
      <c r="AD153" s="934"/>
      <c r="AE153" s="934">
        <f t="shared" si="365"/>
        <v>267400</v>
      </c>
      <c r="AF153" s="1005">
        <f t="shared" si="366"/>
        <v>2377400.0019999999</v>
      </c>
      <c r="AG153" s="1005">
        <f t="shared" si="380"/>
        <v>59435.000050000002</v>
      </c>
      <c r="AH153" s="1005">
        <f t="shared" si="381"/>
        <v>2436835.0020499998</v>
      </c>
      <c r="AI153" s="1005">
        <f t="shared" si="382"/>
        <v>60920.875051249997</v>
      </c>
      <c r="AJ153" s="1005">
        <f t="shared" si="383"/>
        <v>2497755.87710125</v>
      </c>
      <c r="AK153" s="1005">
        <f t="shared" si="384"/>
        <v>124887.79385506251</v>
      </c>
      <c r="AL153" s="1005">
        <f t="shared" si="457"/>
        <v>2622643.6709563127</v>
      </c>
      <c r="AM153" s="934">
        <f t="shared" si="385"/>
        <v>26226.436709563128</v>
      </c>
      <c r="AN153" s="934">
        <f t="shared" si="386"/>
        <v>27537.409960060559</v>
      </c>
      <c r="AO153" s="934"/>
      <c r="AP153" s="934">
        <f t="shared" si="458"/>
        <v>116328.7468588989</v>
      </c>
      <c r="AQ153" s="1005">
        <f t="shared" si="367"/>
        <v>2792736.2644848353</v>
      </c>
      <c r="AR153" s="1005">
        <f t="shared" si="387"/>
        <v>125673.13190181759</v>
      </c>
      <c r="AS153" s="1147">
        <f t="shared" si="388"/>
        <v>2918409.3963866527</v>
      </c>
      <c r="AT153" s="1148">
        <f t="shared" si="459"/>
        <v>2000000</v>
      </c>
      <c r="AU153" s="1148">
        <f t="shared" si="358"/>
        <v>41745.881653938763</v>
      </c>
      <c r="AV153" s="1148">
        <f t="shared" si="460"/>
        <v>918409.39638665272</v>
      </c>
      <c r="AW153" s="1148">
        <f t="shared" si="368"/>
        <v>110209.12756639833</v>
      </c>
      <c r="AX153" s="1148">
        <f t="shared" si="369"/>
        <v>1028618.5239530511</v>
      </c>
      <c r="AY153" s="1147">
        <f t="shared" si="389"/>
        <v>3028618.5239530508</v>
      </c>
      <c r="AZ153" s="934">
        <f t="shared" si="390"/>
        <v>37857.73154941314</v>
      </c>
      <c r="BA153" s="716" t="s">
        <v>269</v>
      </c>
      <c r="BB153" s="716">
        <f t="shared" si="370"/>
        <v>3066476.2555024638</v>
      </c>
      <c r="BC153" s="716" t="s">
        <v>269</v>
      </c>
      <c r="BD153" s="716">
        <f t="shared" si="391"/>
        <v>114992.85958134239</v>
      </c>
      <c r="BE153" s="716">
        <f t="shared" si="392"/>
        <v>33600</v>
      </c>
      <c r="BF153" s="716">
        <f t="shared" si="393"/>
        <v>3215069.1150838062</v>
      </c>
      <c r="BG153" s="716"/>
      <c r="BH153" s="716">
        <f t="shared" si="394"/>
        <v>3215069.1150838062</v>
      </c>
      <c r="BI153" s="716"/>
      <c r="BJ153" s="716">
        <f t="shared" si="395"/>
        <v>3215069.1150838062</v>
      </c>
      <c r="BK153" s="716"/>
      <c r="BL153" s="716">
        <f t="shared" si="396"/>
        <v>3215069.1150838062</v>
      </c>
      <c r="BM153" s="716"/>
      <c r="BN153" s="716">
        <f t="shared" si="371"/>
        <v>3215069.1150838062</v>
      </c>
      <c r="BO153" s="716"/>
      <c r="BP153" s="716">
        <f t="shared" si="397"/>
        <v>3215069.1150838062</v>
      </c>
      <c r="BQ153" s="716"/>
      <c r="BR153" s="716">
        <f t="shared" si="398"/>
        <v>3215069.1150838062</v>
      </c>
      <c r="BS153" s="716"/>
      <c r="BT153" s="716">
        <f t="shared" si="399"/>
        <v>3215069.1150838062</v>
      </c>
      <c r="BU153" s="716"/>
      <c r="BV153" s="716">
        <f t="shared" si="372"/>
        <v>3215069.1150838062</v>
      </c>
      <c r="BW153" s="716"/>
      <c r="BX153" s="716">
        <f t="shared" si="489"/>
        <v>31400</v>
      </c>
      <c r="BY153" s="716">
        <f t="shared" si="400"/>
        <v>3246469.1150838062</v>
      </c>
      <c r="BZ153" s="716"/>
      <c r="CA153" s="716">
        <f t="shared" si="401"/>
        <v>3246469.1150838062</v>
      </c>
      <c r="CB153" s="1135">
        <f t="shared" si="402"/>
        <v>3246469.1150838062</v>
      </c>
      <c r="CC153" s="1164">
        <f t="shared" si="446"/>
        <v>3246469.1150838062</v>
      </c>
      <c r="CD153" s="1164"/>
      <c r="CE153" s="1164">
        <f t="shared" si="403"/>
        <v>0</v>
      </c>
      <c r="CF153" s="1164">
        <f t="shared" si="448"/>
        <v>0</v>
      </c>
      <c r="CG153" s="1164">
        <f t="shared" si="449"/>
        <v>0</v>
      </c>
      <c r="CH153" s="1154">
        <f t="shared" si="339"/>
        <v>3246469.1150838062</v>
      </c>
      <c r="CI153" s="935">
        <f t="shared" si="340"/>
        <v>3246469.1150838062</v>
      </c>
      <c r="CJ153" s="935">
        <f t="shared" si="404"/>
        <v>0</v>
      </c>
      <c r="CK153" s="935">
        <f t="shared" si="373"/>
        <v>332763.08429609012</v>
      </c>
      <c r="CL153" s="935">
        <f t="shared" si="374"/>
        <v>113626.41902793323</v>
      </c>
      <c r="CM153" s="1006">
        <f t="shared" si="461"/>
        <v>3692858.6184078297</v>
      </c>
      <c r="CN153" s="1007">
        <f t="shared" si="462"/>
        <v>0.125</v>
      </c>
      <c r="CO153" s="935">
        <f t="shared" si="210"/>
        <v>461607.32730097871</v>
      </c>
      <c r="CP153" s="935">
        <f t="shared" si="490"/>
        <v>30000</v>
      </c>
      <c r="CQ153" s="935">
        <f t="shared" si="211"/>
        <v>431607.32730097871</v>
      </c>
      <c r="CR153" s="745">
        <f t="shared" si="463"/>
        <v>2</v>
      </c>
      <c r="CS153" s="935">
        <f t="shared" si="212"/>
        <v>215803.66365048935</v>
      </c>
      <c r="CT153" s="1007">
        <f t="shared" si="405"/>
        <v>0.875</v>
      </c>
      <c r="CU153" s="935">
        <f t="shared" si="406"/>
        <v>3231251.2911068508</v>
      </c>
      <c r="CV153" s="1008">
        <f t="shared" si="407"/>
        <v>25051.856867122558</v>
      </c>
      <c r="CW153" s="1008">
        <f t="shared" si="408"/>
        <v>29043.40010675243</v>
      </c>
      <c r="CX153" s="1008">
        <f t="shared" si="409"/>
        <v>37517.567338363195</v>
      </c>
      <c r="CY153" s="1008">
        <f t="shared" si="410"/>
        <v>63982.64834896753</v>
      </c>
      <c r="CZ153" s="1119">
        <f t="shared" si="411"/>
        <v>262484.81295499904</v>
      </c>
      <c r="DA153" s="1119">
        <f t="shared" si="412"/>
        <v>103863.96184935878</v>
      </c>
      <c r="DB153" s="1119">
        <f t="shared" si="413"/>
        <v>75019.468598288062</v>
      </c>
      <c r="DC153" s="1119">
        <f t="shared" si="414"/>
        <v>57093.269321254353</v>
      </c>
      <c r="DD153" s="1028">
        <f t="shared" si="451"/>
        <v>0.45920469819332638</v>
      </c>
      <c r="DE153" s="1028">
        <f t="shared" si="341"/>
        <v>0</v>
      </c>
      <c r="DF153" s="1009" t="s">
        <v>270</v>
      </c>
      <c r="DG153" s="1009" t="s">
        <v>271</v>
      </c>
      <c r="DH153" s="966">
        <f t="shared" si="447"/>
        <v>45658</v>
      </c>
      <c r="DI153" s="912">
        <f t="shared" si="415"/>
        <v>14</v>
      </c>
      <c r="DJ153" s="939"/>
      <c r="DK153" s="913">
        <f t="shared" si="375"/>
        <v>45723</v>
      </c>
      <c r="DL153" s="912">
        <f t="shared" si="416"/>
        <v>16</v>
      </c>
      <c r="DM153" s="750" t="s">
        <v>272</v>
      </c>
      <c r="DN153" s="750" t="s">
        <v>273</v>
      </c>
      <c r="DO153" s="751">
        <f t="shared" si="376"/>
        <v>46755.387452411414</v>
      </c>
      <c r="DP153" s="751">
        <f t="shared" si="377"/>
        <v>1028618.5239530511</v>
      </c>
      <c r="DQ153" s="752">
        <f t="shared" si="452"/>
        <v>0.51430926197652549</v>
      </c>
      <c r="DR153" s="503"/>
      <c r="DS153" s="751">
        <f t="shared" si="453"/>
        <v>3246469.1150838062</v>
      </c>
      <c r="DT153" s="751">
        <f>'[4]INTERNAL PRICELIST'!N147</f>
        <v>2111900</v>
      </c>
      <c r="DU153" s="751">
        <f t="shared" si="378"/>
        <v>1134569.1150838062</v>
      </c>
      <c r="DV153" s="503"/>
      <c r="DW153" s="951">
        <f t="shared" si="454"/>
        <v>147566.77795835483</v>
      </c>
      <c r="DX153" s="503"/>
      <c r="DZ153" s="1010" t="s">
        <v>594</v>
      </c>
      <c r="EA153" s="1052" t="b">
        <f t="shared" si="379"/>
        <v>1</v>
      </c>
      <c r="EB153" s="1072" t="s">
        <v>595</v>
      </c>
      <c r="EC153" s="1072" t="s">
        <v>580</v>
      </c>
      <c r="ED153" s="503"/>
      <c r="EH153" s="930"/>
      <c r="EI153" s="930"/>
      <c r="EJ153" s="503"/>
      <c r="EK153" s="503"/>
      <c r="EL153" s="503"/>
      <c r="EM153" s="503"/>
      <c r="EN153" s="503"/>
      <c r="EO153" s="503"/>
      <c r="EP153" s="503"/>
      <c r="EQ153" s="503"/>
      <c r="ER153" s="1017" t="s">
        <v>264</v>
      </c>
      <c r="ES153" s="1391" t="s">
        <v>264</v>
      </c>
      <c r="ET153" s="1018" t="b">
        <f t="shared" si="417"/>
        <v>1</v>
      </c>
      <c r="EU153" s="940"/>
      <c r="EV153" s="941"/>
      <c r="EW153" s="940"/>
      <c r="EX153" s="1019">
        <v>3041274.4276836314</v>
      </c>
      <c r="EY153" s="1019">
        <f t="shared" si="464"/>
        <v>456191.16415254469</v>
      </c>
      <c r="EZ153" s="1019">
        <f t="shared" si="465"/>
        <v>2585083.2635310865</v>
      </c>
      <c r="FA153" s="1019">
        <f t="shared" si="466"/>
        <v>304127.44276836317</v>
      </c>
      <c r="FB153" s="1019">
        <f t="shared" si="467"/>
        <v>2737146.9849152681</v>
      </c>
      <c r="FC153" s="1019">
        <f t="shared" si="468"/>
        <v>152063.72138418164</v>
      </c>
      <c r="FD153" s="1020"/>
      <c r="FE153" s="1021"/>
      <c r="FF153" s="1022">
        <f t="shared" si="469"/>
        <v>2585083.2635310865</v>
      </c>
      <c r="FG153" s="1022">
        <f t="shared" si="470"/>
        <v>219732.07740014236</v>
      </c>
      <c r="FH153" s="1022">
        <f t="shared" si="471"/>
        <v>109866.03870007118</v>
      </c>
      <c r="FI153" s="1023">
        <f t="shared" si="472"/>
        <v>2737146.9849152681</v>
      </c>
      <c r="FJ153" s="1023">
        <f t="shared" si="473"/>
        <v>232657.4937177978</v>
      </c>
      <c r="FK153" s="1023">
        <f t="shared" si="474"/>
        <v>116328.7468588989</v>
      </c>
      <c r="FL153" s="1019">
        <f t="shared" si="475"/>
        <v>12925.416317655443</v>
      </c>
      <c r="FM153" s="1019">
        <f t="shared" si="476"/>
        <v>6462.7081588277215</v>
      </c>
      <c r="FN153" s="1019" t="str">
        <f t="shared" si="477"/>
        <v>VS</v>
      </c>
      <c r="FO153" s="1019">
        <f t="shared" si="478"/>
        <v>27537.409960060559</v>
      </c>
      <c r="FP153" s="1019">
        <f t="shared" si="479"/>
        <v>-21074.701801232837</v>
      </c>
      <c r="FQ153" s="1021"/>
      <c r="FR153" s="1021"/>
      <c r="FS153" s="1020"/>
      <c r="FT153" s="503"/>
      <c r="FU153" s="956"/>
      <c r="FV153" s="503"/>
      <c r="FW153" s="503"/>
      <c r="FX153" s="1040"/>
      <c r="FY153" s="503"/>
      <c r="FZ153" s="503"/>
      <c r="GA153" s="503"/>
      <c r="GG153" s="956"/>
      <c r="GH153" s="945"/>
      <c r="GI153" s="1024">
        <f t="shared" si="418"/>
        <v>3692858.6184078297</v>
      </c>
      <c r="GJ153" s="1025">
        <f t="shared" si="419"/>
        <v>0.125</v>
      </c>
      <c r="GK153" s="1024">
        <f t="shared" si="420"/>
        <v>461607.32730097871</v>
      </c>
      <c r="GL153" s="1024">
        <f t="shared" si="421"/>
        <v>30000</v>
      </c>
      <c r="GM153" s="1024">
        <f t="shared" si="422"/>
        <v>431607.32730097871</v>
      </c>
      <c r="GN153" s="1024">
        <f t="shared" si="423"/>
        <v>2</v>
      </c>
      <c r="GO153" s="1024">
        <f t="shared" si="424"/>
        <v>215803.66365048935</v>
      </c>
      <c r="GP153" s="1025">
        <f t="shared" si="425"/>
        <v>0.875</v>
      </c>
      <c r="GQ153" s="1024">
        <f t="shared" si="426"/>
        <v>3231251.2911068508</v>
      </c>
      <c r="GR153" s="1024">
        <f t="shared" si="427"/>
        <v>25051.856867122558</v>
      </c>
      <c r="GS153" s="1024">
        <f t="shared" si="428"/>
        <v>29043.40010675243</v>
      </c>
      <c r="GT153" s="1024">
        <f t="shared" si="429"/>
        <v>37517.567338363195</v>
      </c>
      <c r="GU153" s="1024">
        <f t="shared" si="430"/>
        <v>63982.64834896753</v>
      </c>
      <c r="GV153" s="945"/>
      <c r="GW153" s="1024">
        <f t="shared" si="431"/>
        <v>3692858.6184078297</v>
      </c>
      <c r="GX153" s="1025">
        <f t="shared" si="432"/>
        <v>0.125</v>
      </c>
      <c r="GY153" s="1024">
        <f t="shared" si="433"/>
        <v>461607.32730097871</v>
      </c>
      <c r="GZ153" s="1024">
        <f t="shared" si="434"/>
        <v>30000</v>
      </c>
      <c r="HA153" s="1024">
        <f t="shared" si="435"/>
        <v>431607.32730097871</v>
      </c>
      <c r="HB153" s="1026">
        <f t="shared" si="436"/>
        <v>25</v>
      </c>
      <c r="HC153" s="1009">
        <f t="shared" si="437"/>
        <v>17264.293092039148</v>
      </c>
      <c r="HD153" s="1027">
        <f t="shared" si="438"/>
        <v>0.875</v>
      </c>
      <c r="HE153" s="1009">
        <f t="shared" si="439"/>
        <v>3231251.2911068508</v>
      </c>
      <c r="HF153" s="1008">
        <f t="shared" si="440"/>
        <v>25051.856867122558</v>
      </c>
      <c r="HG153" s="1008">
        <f t="shared" si="441"/>
        <v>29043.40010675243</v>
      </c>
      <c r="HH153" s="1008">
        <f t="shared" si="442"/>
        <v>37517.567338363195</v>
      </c>
      <c r="HI153" s="1008">
        <f t="shared" si="443"/>
        <v>63982.64834896753</v>
      </c>
      <c r="HJ153" s="945"/>
      <c r="HK153" s="1009">
        <f t="shared" si="444"/>
        <v>-198539.3705584502</v>
      </c>
      <c r="HL153" s="503"/>
      <c r="HM153" s="503"/>
      <c r="HN153" s="503"/>
      <c r="HO153" s="503"/>
      <c r="HP153" s="503"/>
      <c r="HQ153" s="503"/>
      <c r="HR153" s="956">
        <f t="shared" si="445"/>
        <v>0</v>
      </c>
      <c r="HS153" s="503"/>
      <c r="HT153" s="503"/>
      <c r="HU153" s="956"/>
      <c r="HV153" s="503"/>
      <c r="HW153" s="956"/>
      <c r="HX153" s="956"/>
      <c r="HY153" s="503"/>
      <c r="HZ153" s="503"/>
      <c r="IA153" s="503"/>
      <c r="ID153" s="1394"/>
    </row>
    <row r="154" spans="1:238" s="1051" customFormat="1" ht="14.25" hidden="1" customHeight="1">
      <c r="A154" s="1018">
        <f t="shared" si="480"/>
        <v>148</v>
      </c>
      <c r="B154" s="716" t="s">
        <v>264</v>
      </c>
      <c r="C154" s="741">
        <f t="shared" si="487"/>
        <v>10</v>
      </c>
      <c r="D154" s="716" t="s">
        <v>290</v>
      </c>
      <c r="E154" s="743" t="str">
        <f t="shared" si="352"/>
        <v>10th Floor</v>
      </c>
      <c r="F154" s="1048"/>
      <c r="G154" s="745" t="s">
        <v>596</v>
      </c>
      <c r="H154" s="745" t="s">
        <v>325</v>
      </c>
      <c r="I154" s="745" t="s">
        <v>267</v>
      </c>
      <c r="J154" s="1005">
        <v>22</v>
      </c>
      <c r="K154" s="1049"/>
      <c r="L154" s="1006" t="s">
        <v>268</v>
      </c>
      <c r="M154" s="745" t="s">
        <v>79</v>
      </c>
      <c r="N154" s="1050">
        <v>95909.091</v>
      </c>
      <c r="O154" s="934">
        <f t="shared" si="455"/>
        <v>2110000.0019999999</v>
      </c>
      <c r="P154" s="934">
        <f t="shared" si="481"/>
        <v>22400</v>
      </c>
      <c r="Q154" s="934">
        <f t="shared" si="450"/>
        <v>50000</v>
      </c>
      <c r="R154" s="934"/>
      <c r="S154" s="934"/>
      <c r="T154" s="934"/>
      <c r="U154" s="934"/>
      <c r="V154" s="934"/>
      <c r="W154" s="934"/>
      <c r="X154" s="934"/>
      <c r="Y154" s="934">
        <f t="shared" si="488"/>
        <v>120000</v>
      </c>
      <c r="Z154" s="934">
        <f t="shared" si="456"/>
        <v>75000</v>
      </c>
      <c r="AA154" s="934"/>
      <c r="AB154" s="934"/>
      <c r="AC154" s="934"/>
      <c r="AD154" s="934"/>
      <c r="AE154" s="934">
        <f t="shared" si="365"/>
        <v>267400</v>
      </c>
      <c r="AF154" s="1005">
        <f t="shared" si="366"/>
        <v>2377400.0019999999</v>
      </c>
      <c r="AG154" s="1005">
        <f t="shared" si="380"/>
        <v>59435.000050000002</v>
      </c>
      <c r="AH154" s="1005">
        <f t="shared" si="381"/>
        <v>2436835.0020499998</v>
      </c>
      <c r="AI154" s="1005">
        <f t="shared" si="382"/>
        <v>60920.875051249997</v>
      </c>
      <c r="AJ154" s="1005">
        <f t="shared" si="383"/>
        <v>2497755.87710125</v>
      </c>
      <c r="AK154" s="1005">
        <f t="shared" si="384"/>
        <v>124887.79385506251</v>
      </c>
      <c r="AL154" s="1005">
        <f t="shared" si="457"/>
        <v>2622643.6709563127</v>
      </c>
      <c r="AM154" s="934">
        <f t="shared" si="385"/>
        <v>26226.436709563128</v>
      </c>
      <c r="AN154" s="934">
        <f t="shared" si="386"/>
        <v>27537.409960060559</v>
      </c>
      <c r="AO154" s="934"/>
      <c r="AP154" s="934">
        <f t="shared" si="458"/>
        <v>116328.7468588989</v>
      </c>
      <c r="AQ154" s="1005">
        <f t="shared" si="367"/>
        <v>2792736.2644848353</v>
      </c>
      <c r="AR154" s="1005">
        <f t="shared" si="387"/>
        <v>125673.13190181759</v>
      </c>
      <c r="AS154" s="1147">
        <f t="shared" si="388"/>
        <v>2918409.3963866527</v>
      </c>
      <c r="AT154" s="1148">
        <f t="shared" si="459"/>
        <v>2000000</v>
      </c>
      <c r="AU154" s="1148">
        <f t="shared" si="358"/>
        <v>41745.881653938763</v>
      </c>
      <c r="AV154" s="1148">
        <f t="shared" si="460"/>
        <v>918409.39638665272</v>
      </c>
      <c r="AW154" s="1148">
        <f t="shared" si="368"/>
        <v>110209.12756639833</v>
      </c>
      <c r="AX154" s="1148">
        <f t="shared" si="369"/>
        <v>1028618.5239530511</v>
      </c>
      <c r="AY154" s="1147">
        <f t="shared" si="389"/>
        <v>3028618.5239530508</v>
      </c>
      <c r="AZ154" s="934">
        <f t="shared" si="390"/>
        <v>37857.73154941314</v>
      </c>
      <c r="BA154" s="716" t="s">
        <v>269</v>
      </c>
      <c r="BB154" s="716">
        <f t="shared" si="370"/>
        <v>3066476.2555024638</v>
      </c>
      <c r="BC154" s="716" t="s">
        <v>269</v>
      </c>
      <c r="BD154" s="716">
        <f t="shared" si="391"/>
        <v>114992.85958134239</v>
      </c>
      <c r="BE154" s="716">
        <f t="shared" si="392"/>
        <v>33600</v>
      </c>
      <c r="BF154" s="716">
        <f t="shared" si="393"/>
        <v>3215069.1150838062</v>
      </c>
      <c r="BG154" s="716"/>
      <c r="BH154" s="716">
        <f t="shared" si="394"/>
        <v>3215069.1150838062</v>
      </c>
      <c r="BI154" s="716"/>
      <c r="BJ154" s="716">
        <f t="shared" si="395"/>
        <v>3215069.1150838062</v>
      </c>
      <c r="BK154" s="716"/>
      <c r="BL154" s="716">
        <f t="shared" si="396"/>
        <v>3215069.1150838062</v>
      </c>
      <c r="BM154" s="716"/>
      <c r="BN154" s="716">
        <f t="shared" si="371"/>
        <v>3215069.1150838062</v>
      </c>
      <c r="BO154" s="716"/>
      <c r="BP154" s="716">
        <f t="shared" si="397"/>
        <v>3215069.1150838062</v>
      </c>
      <c r="BQ154" s="716"/>
      <c r="BR154" s="716">
        <f t="shared" si="398"/>
        <v>3215069.1150838062</v>
      </c>
      <c r="BS154" s="716"/>
      <c r="BT154" s="716">
        <f t="shared" si="399"/>
        <v>3215069.1150838062</v>
      </c>
      <c r="BU154" s="716"/>
      <c r="BV154" s="716">
        <f t="shared" si="372"/>
        <v>3215069.1150838062</v>
      </c>
      <c r="BW154" s="716"/>
      <c r="BX154" s="716">
        <f t="shared" si="489"/>
        <v>31400</v>
      </c>
      <c r="BY154" s="716">
        <f t="shared" si="400"/>
        <v>3246469.1150838062</v>
      </c>
      <c r="BZ154" s="716"/>
      <c r="CA154" s="716">
        <f t="shared" si="401"/>
        <v>3246469.1150838062</v>
      </c>
      <c r="CB154" s="1135">
        <f t="shared" si="402"/>
        <v>3246469.1150838062</v>
      </c>
      <c r="CC154" s="1164">
        <f t="shared" si="446"/>
        <v>3246469.1150838062</v>
      </c>
      <c r="CD154" s="1164"/>
      <c r="CE154" s="1164">
        <f t="shared" si="403"/>
        <v>0</v>
      </c>
      <c r="CF154" s="1164">
        <f t="shared" si="448"/>
        <v>0</v>
      </c>
      <c r="CG154" s="1164">
        <f t="shared" si="449"/>
        <v>0</v>
      </c>
      <c r="CH154" s="1154">
        <f t="shared" si="339"/>
        <v>3246469.1150838062</v>
      </c>
      <c r="CI154" s="935">
        <f t="shared" si="340"/>
        <v>3246469.1150838062</v>
      </c>
      <c r="CJ154" s="935">
        <f t="shared" si="404"/>
        <v>0</v>
      </c>
      <c r="CK154" s="935">
        <f t="shared" si="373"/>
        <v>332763.08429609012</v>
      </c>
      <c r="CL154" s="935">
        <f t="shared" si="374"/>
        <v>113626.41902793323</v>
      </c>
      <c r="CM154" s="1006">
        <f t="shared" si="461"/>
        <v>3692858.6184078297</v>
      </c>
      <c r="CN154" s="1007">
        <f t="shared" si="462"/>
        <v>0.125</v>
      </c>
      <c r="CO154" s="935">
        <f t="shared" si="210"/>
        <v>461607.32730097871</v>
      </c>
      <c r="CP154" s="935">
        <f t="shared" si="490"/>
        <v>30000</v>
      </c>
      <c r="CQ154" s="935">
        <f t="shared" si="211"/>
        <v>431607.32730097871</v>
      </c>
      <c r="CR154" s="745">
        <f t="shared" si="463"/>
        <v>2</v>
      </c>
      <c r="CS154" s="935">
        <f t="shared" si="212"/>
        <v>215803.66365048935</v>
      </c>
      <c r="CT154" s="1007">
        <f t="shared" si="405"/>
        <v>0.875</v>
      </c>
      <c r="CU154" s="935">
        <f t="shared" si="406"/>
        <v>3231251.2911068508</v>
      </c>
      <c r="CV154" s="1008">
        <f t="shared" si="407"/>
        <v>25051.856867122558</v>
      </c>
      <c r="CW154" s="1008">
        <f t="shared" si="408"/>
        <v>29043.40010675243</v>
      </c>
      <c r="CX154" s="1008">
        <f t="shared" si="409"/>
        <v>37517.567338363195</v>
      </c>
      <c r="CY154" s="1008">
        <f t="shared" si="410"/>
        <v>63982.64834896753</v>
      </c>
      <c r="CZ154" s="1119">
        <f t="shared" si="411"/>
        <v>262484.81295499904</v>
      </c>
      <c r="DA154" s="1119">
        <f t="shared" si="412"/>
        <v>103863.96184935878</v>
      </c>
      <c r="DB154" s="1119">
        <f t="shared" si="413"/>
        <v>75019.468598288062</v>
      </c>
      <c r="DC154" s="1119">
        <f t="shared" si="414"/>
        <v>57093.269321254353</v>
      </c>
      <c r="DD154" s="1028">
        <f t="shared" si="451"/>
        <v>0.45920469819332638</v>
      </c>
      <c r="DE154" s="1028">
        <f t="shared" si="341"/>
        <v>0</v>
      </c>
      <c r="DF154" s="1009" t="s">
        <v>270</v>
      </c>
      <c r="DG154" s="1009" t="s">
        <v>271</v>
      </c>
      <c r="DH154" s="966">
        <f t="shared" si="447"/>
        <v>45658</v>
      </c>
      <c r="DI154" s="912">
        <f t="shared" si="415"/>
        <v>14</v>
      </c>
      <c r="DJ154" s="939"/>
      <c r="DK154" s="913">
        <f t="shared" si="375"/>
        <v>45723</v>
      </c>
      <c r="DL154" s="912">
        <f t="shared" si="416"/>
        <v>16</v>
      </c>
      <c r="DM154" s="750" t="s">
        <v>272</v>
      </c>
      <c r="DN154" s="750" t="s">
        <v>273</v>
      </c>
      <c r="DO154" s="751">
        <f t="shared" si="376"/>
        <v>46755.387452411414</v>
      </c>
      <c r="DP154" s="751">
        <f t="shared" si="377"/>
        <v>1028618.5239530511</v>
      </c>
      <c r="DQ154" s="752">
        <f t="shared" si="452"/>
        <v>0.51430926197652549</v>
      </c>
      <c r="DR154" s="503"/>
      <c r="DS154" s="751">
        <f t="shared" si="453"/>
        <v>3246469.1150838062</v>
      </c>
      <c r="DT154" s="751">
        <f>'[4]INTERNAL PRICELIST'!N148</f>
        <v>2111900</v>
      </c>
      <c r="DU154" s="751">
        <f t="shared" si="378"/>
        <v>1134569.1150838062</v>
      </c>
      <c r="DV154" s="503"/>
      <c r="DW154" s="951">
        <f t="shared" si="454"/>
        <v>147566.77795835483</v>
      </c>
      <c r="DX154" s="503"/>
      <c r="DZ154" s="1010" t="s">
        <v>596</v>
      </c>
      <c r="EA154" s="1052" t="b">
        <f t="shared" si="379"/>
        <v>1</v>
      </c>
      <c r="EB154" s="1072" t="s">
        <v>597</v>
      </c>
      <c r="EC154" s="1072" t="s">
        <v>580</v>
      </c>
      <c r="ED154" s="503"/>
      <c r="EE154" s="503"/>
      <c r="EF154" s="503"/>
      <c r="EG154" s="503"/>
      <c r="EH154" s="930"/>
      <c r="EI154" s="930"/>
      <c r="EJ154" s="503"/>
      <c r="EK154" s="503"/>
      <c r="EL154" s="503"/>
      <c r="EM154" s="503"/>
      <c r="EN154" s="503"/>
      <c r="EO154" s="503"/>
      <c r="EP154" s="503"/>
      <c r="EQ154" s="503"/>
      <c r="ER154" s="1017" t="s">
        <v>264</v>
      </c>
      <c r="ES154" s="1391" t="s">
        <v>264</v>
      </c>
      <c r="ET154" s="1018" t="b">
        <f t="shared" si="417"/>
        <v>1</v>
      </c>
      <c r="EU154" s="940"/>
      <c r="EV154" s="941"/>
      <c r="EW154" s="940"/>
      <c r="EX154" s="1019">
        <v>3041274.4276836314</v>
      </c>
      <c r="EY154" s="1019">
        <f t="shared" si="464"/>
        <v>456191.16415254469</v>
      </c>
      <c r="EZ154" s="1019">
        <f t="shared" si="465"/>
        <v>2585083.2635310865</v>
      </c>
      <c r="FA154" s="1019">
        <f t="shared" si="466"/>
        <v>304127.44276836317</v>
      </c>
      <c r="FB154" s="1019">
        <f t="shared" si="467"/>
        <v>2737146.9849152681</v>
      </c>
      <c r="FC154" s="1019">
        <f t="shared" si="468"/>
        <v>152063.72138418164</v>
      </c>
      <c r="FD154" s="1020"/>
      <c r="FE154" s="1021"/>
      <c r="FF154" s="1022">
        <f t="shared" si="469"/>
        <v>2585083.2635310865</v>
      </c>
      <c r="FG154" s="1022">
        <f t="shared" si="470"/>
        <v>219732.07740014236</v>
      </c>
      <c r="FH154" s="1022">
        <f t="shared" si="471"/>
        <v>109866.03870007118</v>
      </c>
      <c r="FI154" s="1023">
        <f t="shared" si="472"/>
        <v>2737146.9849152681</v>
      </c>
      <c r="FJ154" s="1023">
        <f t="shared" si="473"/>
        <v>232657.4937177978</v>
      </c>
      <c r="FK154" s="1023">
        <f t="shared" si="474"/>
        <v>116328.7468588989</v>
      </c>
      <c r="FL154" s="1019">
        <f t="shared" si="475"/>
        <v>12925.416317655443</v>
      </c>
      <c r="FM154" s="1019">
        <f t="shared" si="476"/>
        <v>6462.7081588277215</v>
      </c>
      <c r="FN154" s="1019" t="str">
        <f t="shared" si="477"/>
        <v>VS</v>
      </c>
      <c r="FO154" s="1019">
        <f t="shared" si="478"/>
        <v>27537.409960060559</v>
      </c>
      <c r="FP154" s="1019">
        <f t="shared" si="479"/>
        <v>-21074.701801232837</v>
      </c>
      <c r="FQ154" s="1021"/>
      <c r="FR154" s="1021"/>
      <c r="FS154" s="1020"/>
      <c r="FT154" s="503"/>
      <c r="FU154" s="956"/>
      <c r="FV154" s="503"/>
      <c r="FW154" s="503"/>
      <c r="FX154" s="1040"/>
      <c r="FY154" s="503"/>
      <c r="FZ154" s="503"/>
      <c r="GA154" s="503"/>
      <c r="GG154" s="956"/>
      <c r="GH154" s="945"/>
      <c r="GI154" s="1024">
        <f t="shared" si="418"/>
        <v>3692858.6184078297</v>
      </c>
      <c r="GJ154" s="1025">
        <f t="shared" si="419"/>
        <v>0.125</v>
      </c>
      <c r="GK154" s="1024">
        <f t="shared" si="420"/>
        <v>461607.32730097871</v>
      </c>
      <c r="GL154" s="1024">
        <f t="shared" si="421"/>
        <v>30000</v>
      </c>
      <c r="GM154" s="1024">
        <f t="shared" si="422"/>
        <v>431607.32730097871</v>
      </c>
      <c r="GN154" s="1024">
        <f t="shared" si="423"/>
        <v>2</v>
      </c>
      <c r="GO154" s="1024">
        <f t="shared" si="424"/>
        <v>215803.66365048935</v>
      </c>
      <c r="GP154" s="1025">
        <f t="shared" si="425"/>
        <v>0.875</v>
      </c>
      <c r="GQ154" s="1024">
        <f t="shared" si="426"/>
        <v>3231251.2911068508</v>
      </c>
      <c r="GR154" s="1024">
        <f t="shared" si="427"/>
        <v>25051.856867122558</v>
      </c>
      <c r="GS154" s="1024">
        <f t="shared" si="428"/>
        <v>29043.40010675243</v>
      </c>
      <c r="GT154" s="1024">
        <f t="shared" si="429"/>
        <v>37517.567338363195</v>
      </c>
      <c r="GU154" s="1024">
        <f t="shared" si="430"/>
        <v>63982.64834896753</v>
      </c>
      <c r="GV154" s="945"/>
      <c r="GW154" s="1024">
        <f t="shared" si="431"/>
        <v>3692858.6184078297</v>
      </c>
      <c r="GX154" s="1025">
        <f t="shared" si="432"/>
        <v>0.125</v>
      </c>
      <c r="GY154" s="1024">
        <f t="shared" si="433"/>
        <v>461607.32730097871</v>
      </c>
      <c r="GZ154" s="1024">
        <f t="shared" si="434"/>
        <v>30000</v>
      </c>
      <c r="HA154" s="1024">
        <f t="shared" si="435"/>
        <v>431607.32730097871</v>
      </c>
      <c r="HB154" s="1026">
        <f t="shared" si="436"/>
        <v>25</v>
      </c>
      <c r="HC154" s="1009">
        <f t="shared" si="437"/>
        <v>17264.293092039148</v>
      </c>
      <c r="HD154" s="1027">
        <f t="shared" si="438"/>
        <v>0.875</v>
      </c>
      <c r="HE154" s="1009">
        <f t="shared" si="439"/>
        <v>3231251.2911068508</v>
      </c>
      <c r="HF154" s="1008">
        <f t="shared" si="440"/>
        <v>25051.856867122558</v>
      </c>
      <c r="HG154" s="1008">
        <f t="shared" si="441"/>
        <v>29043.40010675243</v>
      </c>
      <c r="HH154" s="1008">
        <f t="shared" si="442"/>
        <v>37517.567338363195</v>
      </c>
      <c r="HI154" s="1008">
        <f t="shared" si="443"/>
        <v>63982.64834896753</v>
      </c>
      <c r="HJ154" s="945"/>
      <c r="HK154" s="1009">
        <f t="shared" si="444"/>
        <v>-198539.3705584502</v>
      </c>
      <c r="HL154" s="503"/>
      <c r="HM154" s="503"/>
      <c r="HN154" s="503"/>
      <c r="HO154" s="503"/>
      <c r="HP154" s="503"/>
      <c r="HQ154" s="503"/>
      <c r="HR154" s="956">
        <f t="shared" si="445"/>
        <v>0</v>
      </c>
      <c r="HS154" s="503"/>
      <c r="HT154" s="503"/>
      <c r="HU154" s="956"/>
      <c r="HV154" s="503"/>
      <c r="HW154" s="956"/>
      <c r="HX154" s="956"/>
      <c r="HY154" s="503"/>
      <c r="HZ154" s="503"/>
      <c r="IA154" s="503"/>
      <c r="ID154" s="1394"/>
    </row>
    <row r="155" spans="1:238" ht="14.25" hidden="1" customHeight="1">
      <c r="A155" s="1018">
        <f t="shared" si="480"/>
        <v>149</v>
      </c>
      <c r="B155" s="716"/>
      <c r="C155" s="741">
        <f t="shared" si="487"/>
        <v>11</v>
      </c>
      <c r="D155" s="716" t="s">
        <v>290</v>
      </c>
      <c r="E155" s="743" t="str">
        <f t="shared" si="352"/>
        <v>10th Floor</v>
      </c>
      <c r="F155" s="1048"/>
      <c r="G155" s="745" t="s">
        <v>598</v>
      </c>
      <c r="H155" s="745" t="s">
        <v>328</v>
      </c>
      <c r="I155" s="745" t="s">
        <v>267</v>
      </c>
      <c r="J155" s="1005">
        <v>22</v>
      </c>
      <c r="K155" s="1049"/>
      <c r="L155" s="1006" t="s">
        <v>268</v>
      </c>
      <c r="M155" s="745" t="s">
        <v>79</v>
      </c>
      <c r="N155" s="1050">
        <v>95909.091</v>
      </c>
      <c r="O155" s="934">
        <f t="shared" si="455"/>
        <v>2110000.0019999999</v>
      </c>
      <c r="P155" s="934">
        <f t="shared" si="481"/>
        <v>22400</v>
      </c>
      <c r="Q155" s="934">
        <f t="shared" si="450"/>
        <v>50000</v>
      </c>
      <c r="R155" s="934"/>
      <c r="S155" s="934"/>
      <c r="T155" s="934"/>
      <c r="U155" s="934"/>
      <c r="V155" s="749"/>
      <c r="W155" s="934"/>
      <c r="X155" s="934"/>
      <c r="Y155" s="934">
        <f t="shared" si="488"/>
        <v>120000</v>
      </c>
      <c r="Z155" s="934">
        <f t="shared" si="456"/>
        <v>75000</v>
      </c>
      <c r="AA155" s="934"/>
      <c r="AB155" s="934"/>
      <c r="AC155" s="934"/>
      <c r="AD155" s="934"/>
      <c r="AE155" s="934">
        <f t="shared" si="365"/>
        <v>267400</v>
      </c>
      <c r="AF155" s="1005">
        <f t="shared" si="366"/>
        <v>2377400.0019999999</v>
      </c>
      <c r="AG155" s="1005">
        <f t="shared" si="380"/>
        <v>59435.000050000002</v>
      </c>
      <c r="AH155" s="1005">
        <f t="shared" si="381"/>
        <v>2436835.0020499998</v>
      </c>
      <c r="AI155" s="1005">
        <f t="shared" si="382"/>
        <v>60920.875051249997</v>
      </c>
      <c r="AJ155" s="1005">
        <f t="shared" si="383"/>
        <v>2497755.87710125</v>
      </c>
      <c r="AK155" s="1005">
        <f t="shared" si="384"/>
        <v>124887.79385506251</v>
      </c>
      <c r="AL155" s="1005">
        <f t="shared" si="457"/>
        <v>2622643.6709563127</v>
      </c>
      <c r="AM155" s="934">
        <f t="shared" si="385"/>
        <v>26226.436709563128</v>
      </c>
      <c r="AN155" s="934">
        <f t="shared" si="386"/>
        <v>27537.409960060559</v>
      </c>
      <c r="AO155" s="934"/>
      <c r="AP155" s="934">
        <f t="shared" si="458"/>
        <v>116328.7468588989</v>
      </c>
      <c r="AQ155" s="1005">
        <f t="shared" si="367"/>
        <v>2792736.2644848353</v>
      </c>
      <c r="AR155" s="1005">
        <f t="shared" si="387"/>
        <v>125673.13190181759</v>
      </c>
      <c r="AS155" s="1147">
        <f t="shared" si="388"/>
        <v>2918409.3963866527</v>
      </c>
      <c r="AT155" s="1148">
        <f t="shared" si="459"/>
        <v>2000000</v>
      </c>
      <c r="AU155" s="1148">
        <f t="shared" si="358"/>
        <v>41745.881653938763</v>
      </c>
      <c r="AV155" s="1148">
        <f t="shared" si="460"/>
        <v>918409.39638665272</v>
      </c>
      <c r="AW155" s="1148">
        <f t="shared" si="368"/>
        <v>110209.12756639833</v>
      </c>
      <c r="AX155" s="1148">
        <f t="shared" si="369"/>
        <v>1028618.5239530511</v>
      </c>
      <c r="AY155" s="1147">
        <f t="shared" si="389"/>
        <v>3028618.5239530508</v>
      </c>
      <c r="AZ155" s="934">
        <f t="shared" si="390"/>
        <v>37857.73154941314</v>
      </c>
      <c r="BA155" s="716" t="s">
        <v>269</v>
      </c>
      <c r="BB155" s="716">
        <f t="shared" si="370"/>
        <v>3066476.2555024638</v>
      </c>
      <c r="BC155" s="716" t="s">
        <v>269</v>
      </c>
      <c r="BD155" s="716">
        <f t="shared" si="391"/>
        <v>114992.85958134239</v>
      </c>
      <c r="BE155" s="716">
        <f t="shared" si="392"/>
        <v>33600</v>
      </c>
      <c r="BF155" s="716">
        <f t="shared" si="393"/>
        <v>3215069.1150838062</v>
      </c>
      <c r="BG155" s="716"/>
      <c r="BH155" s="716">
        <f t="shared" si="394"/>
        <v>3215069.1150838062</v>
      </c>
      <c r="BI155" s="716"/>
      <c r="BJ155" s="716">
        <f t="shared" si="395"/>
        <v>3215069.1150838062</v>
      </c>
      <c r="BK155" s="716"/>
      <c r="BL155" s="716">
        <f t="shared" si="396"/>
        <v>3215069.1150838062</v>
      </c>
      <c r="BM155" s="716"/>
      <c r="BN155" s="716">
        <f t="shared" si="371"/>
        <v>3215069.1150838062</v>
      </c>
      <c r="BO155" s="716"/>
      <c r="BP155" s="716">
        <f t="shared" si="397"/>
        <v>3215069.1150838062</v>
      </c>
      <c r="BQ155" s="716"/>
      <c r="BR155" s="716">
        <f t="shared" si="398"/>
        <v>3215069.1150838062</v>
      </c>
      <c r="BS155" s="716"/>
      <c r="BT155" s="716">
        <f t="shared" si="399"/>
        <v>3215069.1150838062</v>
      </c>
      <c r="BU155" s="716"/>
      <c r="BV155" s="716">
        <f t="shared" si="372"/>
        <v>3215069.1150838062</v>
      </c>
      <c r="BW155" s="716"/>
      <c r="BX155" s="716">
        <f t="shared" si="489"/>
        <v>31400</v>
      </c>
      <c r="BY155" s="716">
        <f t="shared" si="400"/>
        <v>3246469.1150838062</v>
      </c>
      <c r="BZ155" s="716"/>
      <c r="CA155" s="716">
        <f t="shared" si="401"/>
        <v>3246469.1150838062</v>
      </c>
      <c r="CB155" s="1135">
        <f t="shared" si="402"/>
        <v>3246469.1150838062</v>
      </c>
      <c r="CC155" s="1164">
        <f t="shared" si="446"/>
        <v>3246469.1150838062</v>
      </c>
      <c r="CD155" s="1164"/>
      <c r="CE155" s="1164">
        <f t="shared" si="403"/>
        <v>0</v>
      </c>
      <c r="CF155" s="1164">
        <f t="shared" si="448"/>
        <v>0</v>
      </c>
      <c r="CG155" s="1164">
        <f t="shared" si="449"/>
        <v>0</v>
      </c>
      <c r="CH155" s="1154">
        <f t="shared" si="339"/>
        <v>3246469.1150838062</v>
      </c>
      <c r="CI155" s="935">
        <f t="shared" si="340"/>
        <v>3246469.1150838062</v>
      </c>
      <c r="CJ155" s="935">
        <f t="shared" si="404"/>
        <v>0</v>
      </c>
      <c r="CK155" s="935">
        <f t="shared" si="373"/>
        <v>332763.08429609012</v>
      </c>
      <c r="CL155" s="935">
        <f t="shared" si="374"/>
        <v>113626.41902793323</v>
      </c>
      <c r="CM155" s="1006">
        <f t="shared" si="461"/>
        <v>3692858.6184078297</v>
      </c>
      <c r="CN155" s="1007">
        <f t="shared" si="462"/>
        <v>0.125</v>
      </c>
      <c r="CO155" s="935">
        <f t="shared" si="210"/>
        <v>461607.32730097871</v>
      </c>
      <c r="CP155" s="935">
        <f t="shared" si="490"/>
        <v>30000</v>
      </c>
      <c r="CQ155" s="935">
        <f t="shared" si="211"/>
        <v>431607.32730097871</v>
      </c>
      <c r="CR155" s="745">
        <f t="shared" si="463"/>
        <v>2</v>
      </c>
      <c r="CS155" s="935">
        <f t="shared" si="212"/>
        <v>215803.66365048935</v>
      </c>
      <c r="CT155" s="1007">
        <f t="shared" si="405"/>
        <v>0.875</v>
      </c>
      <c r="CU155" s="935">
        <f t="shared" si="406"/>
        <v>3231251.2911068508</v>
      </c>
      <c r="CV155" s="1008">
        <f t="shared" si="407"/>
        <v>25051.856867122558</v>
      </c>
      <c r="CW155" s="1008">
        <f t="shared" si="408"/>
        <v>29043.40010675243</v>
      </c>
      <c r="CX155" s="1008">
        <f t="shared" si="409"/>
        <v>37517.567338363195</v>
      </c>
      <c r="CY155" s="1008">
        <f t="shared" si="410"/>
        <v>63982.64834896753</v>
      </c>
      <c r="CZ155" s="1119">
        <f t="shared" si="411"/>
        <v>262484.81295499904</v>
      </c>
      <c r="DA155" s="1119">
        <f t="shared" si="412"/>
        <v>103863.96184935878</v>
      </c>
      <c r="DB155" s="1119">
        <f t="shared" si="413"/>
        <v>75019.468598288062</v>
      </c>
      <c r="DC155" s="1119">
        <f t="shared" si="414"/>
        <v>57093.269321254353</v>
      </c>
      <c r="DD155" s="1028">
        <f t="shared" si="451"/>
        <v>0.45920469819332638</v>
      </c>
      <c r="DE155" s="1028">
        <f t="shared" si="341"/>
        <v>0</v>
      </c>
      <c r="DF155" s="1009" t="s">
        <v>270</v>
      </c>
      <c r="DG155" s="1009" t="s">
        <v>271</v>
      </c>
      <c r="DH155" s="966">
        <f t="shared" si="447"/>
        <v>45658</v>
      </c>
      <c r="DI155" s="912">
        <f t="shared" si="415"/>
        <v>14</v>
      </c>
      <c r="DK155" s="913">
        <f t="shared" si="375"/>
        <v>45723</v>
      </c>
      <c r="DL155" s="912">
        <f t="shared" si="416"/>
        <v>16</v>
      </c>
      <c r="DM155" s="750" t="s">
        <v>272</v>
      </c>
      <c r="DN155" s="750" t="s">
        <v>273</v>
      </c>
      <c r="DO155" s="751">
        <f t="shared" si="376"/>
        <v>46755.387452411414</v>
      </c>
      <c r="DP155" s="751">
        <f t="shared" si="377"/>
        <v>1028618.5239530511</v>
      </c>
      <c r="DQ155" s="752">
        <f t="shared" si="452"/>
        <v>0.51430926197652549</v>
      </c>
      <c r="DS155" s="751">
        <f t="shared" si="453"/>
        <v>3246469.1150838062</v>
      </c>
      <c r="DT155" s="751">
        <f>'[4]INTERNAL PRICELIST'!N149</f>
        <v>2113804</v>
      </c>
      <c r="DU155" s="751">
        <f t="shared" si="378"/>
        <v>1132665.1150838062</v>
      </c>
      <c r="DW155" s="951">
        <f t="shared" si="454"/>
        <v>147566.77795835483</v>
      </c>
      <c r="DZ155" s="1010" t="s">
        <v>598</v>
      </c>
      <c r="EA155" s="1011" t="b">
        <f t="shared" si="379"/>
        <v>1</v>
      </c>
      <c r="EB155" s="1011"/>
      <c r="EC155" s="1011"/>
      <c r="ER155" s="1017" t="s">
        <v>264</v>
      </c>
      <c r="ES155" s="1391" t="s">
        <v>264</v>
      </c>
      <c r="ET155" s="1018" t="b">
        <f t="shared" si="417"/>
        <v>1</v>
      </c>
      <c r="EX155" s="1019">
        <v>3041274.4276836314</v>
      </c>
      <c r="EY155" s="1019">
        <f t="shared" si="464"/>
        <v>456191.16415254469</v>
      </c>
      <c r="EZ155" s="1019">
        <f t="shared" si="465"/>
        <v>2585083.2635310865</v>
      </c>
      <c r="FA155" s="1019">
        <f t="shared" si="466"/>
        <v>304127.44276836317</v>
      </c>
      <c r="FB155" s="1019">
        <f t="shared" si="467"/>
        <v>2737146.9849152681</v>
      </c>
      <c r="FC155" s="1019">
        <f t="shared" si="468"/>
        <v>152063.72138418164</v>
      </c>
      <c r="FD155" s="1020"/>
      <c r="FE155" s="1021"/>
      <c r="FF155" s="1022">
        <f t="shared" si="469"/>
        <v>2585083.2635310865</v>
      </c>
      <c r="FG155" s="1022">
        <f t="shared" si="470"/>
        <v>219732.07740014236</v>
      </c>
      <c r="FH155" s="1022">
        <f t="shared" si="471"/>
        <v>109866.03870007118</v>
      </c>
      <c r="FI155" s="1023">
        <f t="shared" si="472"/>
        <v>2737146.9849152681</v>
      </c>
      <c r="FJ155" s="1023">
        <f t="shared" si="473"/>
        <v>232657.4937177978</v>
      </c>
      <c r="FK155" s="1023">
        <f t="shared" si="474"/>
        <v>116328.7468588989</v>
      </c>
      <c r="FL155" s="1019">
        <f t="shared" si="475"/>
        <v>12925.416317655443</v>
      </c>
      <c r="FM155" s="1019">
        <f t="shared" si="476"/>
        <v>6462.7081588277215</v>
      </c>
      <c r="FN155" s="1019" t="str">
        <f t="shared" si="477"/>
        <v>VS</v>
      </c>
      <c r="FO155" s="1019">
        <f t="shared" si="478"/>
        <v>27537.409960060559</v>
      </c>
      <c r="FP155" s="1019">
        <f t="shared" si="479"/>
        <v>-21074.701801232837</v>
      </c>
      <c r="FQ155" s="1021"/>
      <c r="FR155" s="1021"/>
      <c r="FS155" s="1020"/>
      <c r="FT155" s="503"/>
      <c r="FU155" s="956"/>
      <c r="FV155" s="503"/>
      <c r="FX155" s="1040"/>
      <c r="GG155" s="956"/>
      <c r="GI155" s="1024">
        <f t="shared" si="418"/>
        <v>3692858.6184078297</v>
      </c>
      <c r="GJ155" s="1025">
        <f t="shared" si="419"/>
        <v>0.125</v>
      </c>
      <c r="GK155" s="1024">
        <f t="shared" si="420"/>
        <v>461607.32730097871</v>
      </c>
      <c r="GL155" s="1024">
        <f t="shared" si="421"/>
        <v>30000</v>
      </c>
      <c r="GM155" s="1024">
        <f t="shared" si="422"/>
        <v>431607.32730097871</v>
      </c>
      <c r="GN155" s="1024">
        <f t="shared" si="423"/>
        <v>2</v>
      </c>
      <c r="GO155" s="1024">
        <f t="shared" si="424"/>
        <v>215803.66365048935</v>
      </c>
      <c r="GP155" s="1025">
        <f t="shared" si="425"/>
        <v>0.875</v>
      </c>
      <c r="GQ155" s="1024">
        <f t="shared" si="426"/>
        <v>3231251.2911068508</v>
      </c>
      <c r="GR155" s="1024">
        <f t="shared" si="427"/>
        <v>25051.856867122558</v>
      </c>
      <c r="GS155" s="1024">
        <f t="shared" si="428"/>
        <v>29043.40010675243</v>
      </c>
      <c r="GT155" s="1024">
        <f t="shared" si="429"/>
        <v>37517.567338363195</v>
      </c>
      <c r="GU155" s="1024">
        <f t="shared" si="430"/>
        <v>63982.64834896753</v>
      </c>
      <c r="GW155" s="1024">
        <f t="shared" si="431"/>
        <v>3692858.6184078297</v>
      </c>
      <c r="GX155" s="1025">
        <f t="shared" si="432"/>
        <v>0.125</v>
      </c>
      <c r="GY155" s="1024">
        <f t="shared" si="433"/>
        <v>461607.32730097871</v>
      </c>
      <c r="GZ155" s="1024">
        <f t="shared" si="434"/>
        <v>30000</v>
      </c>
      <c r="HA155" s="1024">
        <f t="shared" si="435"/>
        <v>431607.32730097871</v>
      </c>
      <c r="HB155" s="1026">
        <f t="shared" si="436"/>
        <v>25</v>
      </c>
      <c r="HC155" s="1009">
        <f t="shared" si="437"/>
        <v>17264.293092039148</v>
      </c>
      <c r="HD155" s="1027">
        <f t="shared" si="438"/>
        <v>0.875</v>
      </c>
      <c r="HE155" s="1009">
        <f t="shared" si="439"/>
        <v>3231251.2911068508</v>
      </c>
      <c r="HF155" s="1008">
        <f t="shared" si="440"/>
        <v>25051.856867122558</v>
      </c>
      <c r="HG155" s="1008">
        <f t="shared" si="441"/>
        <v>29043.40010675243</v>
      </c>
      <c r="HH155" s="1008">
        <f t="shared" si="442"/>
        <v>37517.567338363195</v>
      </c>
      <c r="HI155" s="1008">
        <f t="shared" si="443"/>
        <v>63982.64834896753</v>
      </c>
      <c r="HK155" s="1009">
        <f t="shared" si="444"/>
        <v>-198539.3705584502</v>
      </c>
      <c r="HR155" s="956">
        <f t="shared" si="445"/>
        <v>0</v>
      </c>
      <c r="HU155" s="956"/>
      <c r="HW155" s="956"/>
      <c r="HX155" s="956"/>
    </row>
    <row r="156" spans="1:238" s="1051" customFormat="1" ht="14.25" hidden="1" customHeight="1">
      <c r="A156" s="1018">
        <f t="shared" si="480"/>
        <v>150</v>
      </c>
      <c r="B156" s="716" t="s">
        <v>264</v>
      </c>
      <c r="C156" s="741">
        <f t="shared" si="487"/>
        <v>12</v>
      </c>
      <c r="D156" s="716" t="s">
        <v>290</v>
      </c>
      <c r="E156" s="743" t="str">
        <f t="shared" si="352"/>
        <v>10th Floor</v>
      </c>
      <c r="F156" s="1048"/>
      <c r="G156" s="745" t="s">
        <v>599</v>
      </c>
      <c r="H156" s="745" t="s">
        <v>331</v>
      </c>
      <c r="I156" s="745" t="s">
        <v>267</v>
      </c>
      <c r="J156" s="1005">
        <v>22</v>
      </c>
      <c r="K156" s="1049"/>
      <c r="L156" s="1006" t="s">
        <v>268</v>
      </c>
      <c r="M156" s="745" t="s">
        <v>79</v>
      </c>
      <c r="N156" s="1050">
        <v>95909.091</v>
      </c>
      <c r="O156" s="934">
        <f t="shared" si="455"/>
        <v>2110000.0019999999</v>
      </c>
      <c r="P156" s="934">
        <f t="shared" si="481"/>
        <v>22400</v>
      </c>
      <c r="Q156" s="934">
        <f t="shared" si="450"/>
        <v>50000</v>
      </c>
      <c r="R156" s="934"/>
      <c r="S156" s="934"/>
      <c r="T156" s="934"/>
      <c r="U156" s="934"/>
      <c r="V156" s="749"/>
      <c r="W156" s="934"/>
      <c r="X156" s="934"/>
      <c r="Y156" s="934">
        <f t="shared" si="488"/>
        <v>120000</v>
      </c>
      <c r="Z156" s="934">
        <f t="shared" si="456"/>
        <v>75000</v>
      </c>
      <c r="AA156" s="934"/>
      <c r="AB156" s="934"/>
      <c r="AC156" s="934"/>
      <c r="AD156" s="934"/>
      <c r="AE156" s="934">
        <f t="shared" si="365"/>
        <v>267400</v>
      </c>
      <c r="AF156" s="1005">
        <f t="shared" si="366"/>
        <v>2377400.0019999999</v>
      </c>
      <c r="AG156" s="1005">
        <f t="shared" si="380"/>
        <v>59435.000050000002</v>
      </c>
      <c r="AH156" s="1005">
        <f t="shared" si="381"/>
        <v>2436835.0020499998</v>
      </c>
      <c r="AI156" s="1005">
        <f t="shared" si="382"/>
        <v>60920.875051249997</v>
      </c>
      <c r="AJ156" s="1005">
        <f t="shared" si="383"/>
        <v>2497755.87710125</v>
      </c>
      <c r="AK156" s="1005">
        <f t="shared" si="384"/>
        <v>124887.79385506251</v>
      </c>
      <c r="AL156" s="1005">
        <f t="shared" si="457"/>
        <v>2622643.6709563127</v>
      </c>
      <c r="AM156" s="934">
        <f t="shared" si="385"/>
        <v>26226.436709563128</v>
      </c>
      <c r="AN156" s="934">
        <f t="shared" si="386"/>
        <v>27537.409960060559</v>
      </c>
      <c r="AO156" s="934"/>
      <c r="AP156" s="934">
        <f t="shared" si="458"/>
        <v>116328.7468588989</v>
      </c>
      <c r="AQ156" s="1005">
        <f t="shared" si="367"/>
        <v>2792736.2644848353</v>
      </c>
      <c r="AR156" s="1005">
        <f t="shared" si="387"/>
        <v>125673.13190181759</v>
      </c>
      <c r="AS156" s="1147">
        <f t="shared" si="388"/>
        <v>2918409.3963866527</v>
      </c>
      <c r="AT156" s="1148">
        <f t="shared" si="459"/>
        <v>2000000</v>
      </c>
      <c r="AU156" s="1148">
        <f t="shared" si="358"/>
        <v>41745.881653938763</v>
      </c>
      <c r="AV156" s="1148">
        <f t="shared" si="460"/>
        <v>918409.39638665272</v>
      </c>
      <c r="AW156" s="1148">
        <f t="shared" si="368"/>
        <v>110209.12756639833</v>
      </c>
      <c r="AX156" s="1148">
        <f t="shared" si="369"/>
        <v>1028618.5239530511</v>
      </c>
      <c r="AY156" s="1147">
        <f t="shared" si="389"/>
        <v>3028618.5239530508</v>
      </c>
      <c r="AZ156" s="934">
        <f t="shared" si="390"/>
        <v>37857.73154941314</v>
      </c>
      <c r="BA156" s="716" t="s">
        <v>269</v>
      </c>
      <c r="BB156" s="716">
        <f t="shared" si="370"/>
        <v>3066476.2555024638</v>
      </c>
      <c r="BC156" s="716" t="s">
        <v>269</v>
      </c>
      <c r="BD156" s="716">
        <f t="shared" si="391"/>
        <v>114992.85958134239</v>
      </c>
      <c r="BE156" s="716">
        <f t="shared" si="392"/>
        <v>33600</v>
      </c>
      <c r="BF156" s="716">
        <f t="shared" si="393"/>
        <v>3215069.1150838062</v>
      </c>
      <c r="BG156" s="716"/>
      <c r="BH156" s="716">
        <f t="shared" si="394"/>
        <v>3215069.1150838062</v>
      </c>
      <c r="BI156" s="716"/>
      <c r="BJ156" s="716">
        <f t="shared" si="395"/>
        <v>3215069.1150838062</v>
      </c>
      <c r="BK156" s="716"/>
      <c r="BL156" s="716">
        <f t="shared" si="396"/>
        <v>3215069.1150838062</v>
      </c>
      <c r="BM156" s="716"/>
      <c r="BN156" s="716">
        <f t="shared" si="371"/>
        <v>3215069.1150838062</v>
      </c>
      <c r="BO156" s="716"/>
      <c r="BP156" s="716">
        <f t="shared" si="397"/>
        <v>3215069.1150838062</v>
      </c>
      <c r="BQ156" s="716"/>
      <c r="BR156" s="716">
        <f t="shared" si="398"/>
        <v>3215069.1150838062</v>
      </c>
      <c r="BS156" s="716"/>
      <c r="BT156" s="716">
        <f t="shared" si="399"/>
        <v>3215069.1150838062</v>
      </c>
      <c r="BU156" s="716"/>
      <c r="BV156" s="716">
        <f t="shared" si="372"/>
        <v>3215069.1150838062</v>
      </c>
      <c r="BW156" s="716"/>
      <c r="BX156" s="716">
        <f t="shared" si="489"/>
        <v>31400</v>
      </c>
      <c r="BY156" s="716">
        <f t="shared" si="400"/>
        <v>3246469.1150838062</v>
      </c>
      <c r="BZ156" s="716"/>
      <c r="CA156" s="716">
        <f t="shared" si="401"/>
        <v>3246469.1150838062</v>
      </c>
      <c r="CB156" s="1135">
        <f t="shared" si="402"/>
        <v>3246469.1150838062</v>
      </c>
      <c r="CC156" s="1164">
        <f t="shared" si="446"/>
        <v>3246469.1150838062</v>
      </c>
      <c r="CD156" s="1164"/>
      <c r="CE156" s="1164">
        <f t="shared" si="403"/>
        <v>0</v>
      </c>
      <c r="CF156" s="1164">
        <f t="shared" si="448"/>
        <v>0</v>
      </c>
      <c r="CG156" s="1164">
        <f t="shared" si="449"/>
        <v>0</v>
      </c>
      <c r="CH156" s="1154">
        <f t="shared" si="339"/>
        <v>3246469.1150838062</v>
      </c>
      <c r="CI156" s="935">
        <f t="shared" si="340"/>
        <v>3246469.1150838062</v>
      </c>
      <c r="CJ156" s="935">
        <f t="shared" si="404"/>
        <v>0</v>
      </c>
      <c r="CK156" s="935">
        <f t="shared" si="373"/>
        <v>332763.08429609012</v>
      </c>
      <c r="CL156" s="935">
        <f t="shared" si="374"/>
        <v>113626.41902793323</v>
      </c>
      <c r="CM156" s="1006">
        <f t="shared" si="461"/>
        <v>3692858.6184078297</v>
      </c>
      <c r="CN156" s="1007">
        <f t="shared" si="462"/>
        <v>0.125</v>
      </c>
      <c r="CO156" s="935">
        <f t="shared" ref="CO156:CO216" si="498">CM156*CN156</f>
        <v>461607.32730097871</v>
      </c>
      <c r="CP156" s="935">
        <f t="shared" si="490"/>
        <v>30000</v>
      </c>
      <c r="CQ156" s="935">
        <f t="shared" ref="CQ156:CQ216" si="499">CO156-CP156</f>
        <v>431607.32730097871</v>
      </c>
      <c r="CR156" s="745">
        <f t="shared" si="463"/>
        <v>2</v>
      </c>
      <c r="CS156" s="935">
        <f t="shared" ref="CS156:CS216" si="500">CQ156/CR156</f>
        <v>215803.66365048935</v>
      </c>
      <c r="CT156" s="1007">
        <f t="shared" si="405"/>
        <v>0.875</v>
      </c>
      <c r="CU156" s="935">
        <f t="shared" si="406"/>
        <v>3231251.2911068508</v>
      </c>
      <c r="CV156" s="1008">
        <f t="shared" si="407"/>
        <v>25051.856867122558</v>
      </c>
      <c r="CW156" s="1008">
        <f t="shared" si="408"/>
        <v>29043.40010675243</v>
      </c>
      <c r="CX156" s="1008">
        <f t="shared" si="409"/>
        <v>37517.567338363195</v>
      </c>
      <c r="CY156" s="1008">
        <f t="shared" si="410"/>
        <v>63982.64834896753</v>
      </c>
      <c r="CZ156" s="1119">
        <f t="shared" si="411"/>
        <v>262484.81295499904</v>
      </c>
      <c r="DA156" s="1119">
        <f t="shared" si="412"/>
        <v>103863.96184935878</v>
      </c>
      <c r="DB156" s="1119">
        <f t="shared" si="413"/>
        <v>75019.468598288062</v>
      </c>
      <c r="DC156" s="1119">
        <f t="shared" si="414"/>
        <v>57093.269321254353</v>
      </c>
      <c r="DD156" s="1028">
        <f t="shared" si="451"/>
        <v>0.45920469819332638</v>
      </c>
      <c r="DE156" s="1028">
        <f t="shared" si="341"/>
        <v>0</v>
      </c>
      <c r="DF156" s="1009" t="s">
        <v>270</v>
      </c>
      <c r="DG156" s="1009" t="s">
        <v>271</v>
      </c>
      <c r="DH156" s="966">
        <f t="shared" si="447"/>
        <v>45658</v>
      </c>
      <c r="DI156" s="912">
        <f t="shared" si="415"/>
        <v>14</v>
      </c>
      <c r="DJ156" s="939"/>
      <c r="DK156" s="913">
        <f t="shared" si="375"/>
        <v>45723</v>
      </c>
      <c r="DL156" s="912">
        <f t="shared" si="416"/>
        <v>16</v>
      </c>
      <c r="DM156" s="750" t="s">
        <v>272</v>
      </c>
      <c r="DN156" s="750" t="s">
        <v>273</v>
      </c>
      <c r="DO156" s="751">
        <f t="shared" si="376"/>
        <v>46755.387452411414</v>
      </c>
      <c r="DP156" s="751">
        <f t="shared" si="377"/>
        <v>1028618.5239530511</v>
      </c>
      <c r="DQ156" s="752">
        <f t="shared" si="452"/>
        <v>0.51430926197652549</v>
      </c>
      <c r="DR156" s="503"/>
      <c r="DS156" s="751">
        <f t="shared" si="453"/>
        <v>3246469.1150838062</v>
      </c>
      <c r="DT156" s="751">
        <f>'[4]INTERNAL PRICELIST'!N150</f>
        <v>0</v>
      </c>
      <c r="DU156" s="751">
        <f t="shared" si="378"/>
        <v>3246469.1150838062</v>
      </c>
      <c r="DV156" s="503"/>
      <c r="DW156" s="951">
        <f t="shared" si="454"/>
        <v>147566.77795835483</v>
      </c>
      <c r="DX156" s="503"/>
      <c r="DZ156" s="1010" t="s">
        <v>599</v>
      </c>
      <c r="EA156" s="1052" t="b">
        <f t="shared" si="379"/>
        <v>1</v>
      </c>
      <c r="EB156" s="1072" t="s">
        <v>600</v>
      </c>
      <c r="EC156" s="1072" t="s">
        <v>580</v>
      </c>
      <c r="ED156" s="503"/>
      <c r="EH156" s="930"/>
      <c r="EI156" s="930"/>
      <c r="EJ156" s="503"/>
      <c r="EK156" s="503"/>
      <c r="EL156" s="503"/>
      <c r="EM156" s="503"/>
      <c r="EN156" s="503"/>
      <c r="EO156" s="503"/>
      <c r="EP156" s="503"/>
      <c r="EQ156" s="503"/>
      <c r="ER156" s="1017" t="s">
        <v>264</v>
      </c>
      <c r="ES156" s="1391" t="s">
        <v>264</v>
      </c>
      <c r="ET156" s="1018" t="b">
        <f t="shared" si="417"/>
        <v>1</v>
      </c>
      <c r="EU156" s="940"/>
      <c r="EV156" s="941"/>
      <c r="EW156" s="940"/>
      <c r="EX156" s="1019">
        <v>3041274.4276836314</v>
      </c>
      <c r="EY156" s="1019">
        <f t="shared" si="464"/>
        <v>456191.16415254469</v>
      </c>
      <c r="EZ156" s="1019">
        <f t="shared" si="465"/>
        <v>2585083.2635310865</v>
      </c>
      <c r="FA156" s="1019">
        <f t="shared" si="466"/>
        <v>304127.44276836317</v>
      </c>
      <c r="FB156" s="1019">
        <f t="shared" si="467"/>
        <v>2737146.9849152681</v>
      </c>
      <c r="FC156" s="1019">
        <f t="shared" si="468"/>
        <v>152063.72138418164</v>
      </c>
      <c r="FD156" s="1020"/>
      <c r="FE156" s="1021"/>
      <c r="FF156" s="1022">
        <f t="shared" si="469"/>
        <v>2585083.2635310865</v>
      </c>
      <c r="FG156" s="1022">
        <f t="shared" si="470"/>
        <v>219732.07740014236</v>
      </c>
      <c r="FH156" s="1022">
        <f t="shared" si="471"/>
        <v>109866.03870007118</v>
      </c>
      <c r="FI156" s="1023">
        <f t="shared" si="472"/>
        <v>2737146.9849152681</v>
      </c>
      <c r="FJ156" s="1023">
        <f t="shared" si="473"/>
        <v>232657.4937177978</v>
      </c>
      <c r="FK156" s="1023">
        <f t="shared" si="474"/>
        <v>116328.7468588989</v>
      </c>
      <c r="FL156" s="1019">
        <f t="shared" si="475"/>
        <v>12925.416317655443</v>
      </c>
      <c r="FM156" s="1019">
        <f t="shared" si="476"/>
        <v>6462.7081588277215</v>
      </c>
      <c r="FN156" s="1019" t="str">
        <f t="shared" si="477"/>
        <v>VS</v>
      </c>
      <c r="FO156" s="1019">
        <f t="shared" si="478"/>
        <v>27537.409960060559</v>
      </c>
      <c r="FP156" s="1019">
        <f t="shared" si="479"/>
        <v>-21074.701801232837</v>
      </c>
      <c r="FQ156" s="1021"/>
      <c r="FR156" s="1021"/>
      <c r="FS156" s="1020"/>
      <c r="FT156" s="503"/>
      <c r="FU156" s="956"/>
      <c r="FV156" s="503"/>
      <c r="FW156" s="503"/>
      <c r="FX156" s="1040"/>
      <c r="FY156" s="503"/>
      <c r="FZ156" s="503"/>
      <c r="GA156" s="503"/>
      <c r="GG156" s="956"/>
      <c r="GH156" s="945"/>
      <c r="GI156" s="1024">
        <f t="shared" si="418"/>
        <v>3692858.6184078297</v>
      </c>
      <c r="GJ156" s="1025">
        <f t="shared" si="419"/>
        <v>0.125</v>
      </c>
      <c r="GK156" s="1024">
        <f t="shared" si="420"/>
        <v>461607.32730097871</v>
      </c>
      <c r="GL156" s="1024">
        <f t="shared" si="421"/>
        <v>30000</v>
      </c>
      <c r="GM156" s="1024">
        <f t="shared" si="422"/>
        <v>431607.32730097871</v>
      </c>
      <c r="GN156" s="1024">
        <f t="shared" si="423"/>
        <v>2</v>
      </c>
      <c r="GO156" s="1024">
        <f t="shared" si="424"/>
        <v>215803.66365048935</v>
      </c>
      <c r="GP156" s="1025">
        <f t="shared" si="425"/>
        <v>0.875</v>
      </c>
      <c r="GQ156" s="1024">
        <f t="shared" si="426"/>
        <v>3231251.2911068508</v>
      </c>
      <c r="GR156" s="1024">
        <f t="shared" si="427"/>
        <v>25051.856867122558</v>
      </c>
      <c r="GS156" s="1024">
        <f t="shared" si="428"/>
        <v>29043.40010675243</v>
      </c>
      <c r="GT156" s="1024">
        <f t="shared" si="429"/>
        <v>37517.567338363195</v>
      </c>
      <c r="GU156" s="1024">
        <f t="shared" si="430"/>
        <v>63982.64834896753</v>
      </c>
      <c r="GV156" s="945"/>
      <c r="GW156" s="1024">
        <f t="shared" si="431"/>
        <v>3692858.6184078297</v>
      </c>
      <c r="GX156" s="1025">
        <f t="shared" si="432"/>
        <v>0.125</v>
      </c>
      <c r="GY156" s="1024">
        <f t="shared" si="433"/>
        <v>461607.32730097871</v>
      </c>
      <c r="GZ156" s="1024">
        <f t="shared" si="434"/>
        <v>30000</v>
      </c>
      <c r="HA156" s="1024">
        <f t="shared" si="435"/>
        <v>431607.32730097871</v>
      </c>
      <c r="HB156" s="1026">
        <f t="shared" si="436"/>
        <v>25</v>
      </c>
      <c r="HC156" s="1009">
        <f t="shared" si="437"/>
        <v>17264.293092039148</v>
      </c>
      <c r="HD156" s="1027">
        <f t="shared" si="438"/>
        <v>0.875</v>
      </c>
      <c r="HE156" s="1009">
        <f t="shared" si="439"/>
        <v>3231251.2911068508</v>
      </c>
      <c r="HF156" s="1008">
        <f t="shared" si="440"/>
        <v>25051.856867122558</v>
      </c>
      <c r="HG156" s="1008">
        <f t="shared" si="441"/>
        <v>29043.40010675243</v>
      </c>
      <c r="HH156" s="1008">
        <f t="shared" si="442"/>
        <v>37517.567338363195</v>
      </c>
      <c r="HI156" s="1008">
        <f t="shared" si="443"/>
        <v>63982.64834896753</v>
      </c>
      <c r="HJ156" s="945"/>
      <c r="HK156" s="1009">
        <f t="shared" si="444"/>
        <v>-198539.3705584502</v>
      </c>
      <c r="HL156" s="503"/>
      <c r="HM156" s="503"/>
      <c r="HN156" s="503"/>
      <c r="HO156" s="503"/>
      <c r="HP156" s="503"/>
      <c r="HQ156" s="503"/>
      <c r="HR156" s="956">
        <f t="shared" si="445"/>
        <v>0</v>
      </c>
      <c r="HS156" s="503"/>
      <c r="HT156" s="503"/>
      <c r="HU156" s="956"/>
      <c r="HV156" s="503"/>
      <c r="HW156" s="956"/>
      <c r="HX156" s="956"/>
      <c r="HY156" s="503"/>
      <c r="HZ156" s="503"/>
      <c r="IA156" s="503"/>
      <c r="ID156" s="1394"/>
    </row>
    <row r="157" spans="1:238" s="1051" customFormat="1" ht="14.25" hidden="1" customHeight="1">
      <c r="A157" s="1018">
        <f t="shared" si="480"/>
        <v>151</v>
      </c>
      <c r="B157" s="716" t="s">
        <v>264</v>
      </c>
      <c r="C157" s="741">
        <f t="shared" si="487"/>
        <v>13</v>
      </c>
      <c r="D157" s="716" t="s">
        <v>290</v>
      </c>
      <c r="E157" s="743" t="str">
        <f t="shared" si="352"/>
        <v>10th Floor</v>
      </c>
      <c r="F157" s="1048"/>
      <c r="G157" s="745" t="s">
        <v>601</v>
      </c>
      <c r="H157" s="745" t="s">
        <v>336</v>
      </c>
      <c r="I157" s="745" t="s">
        <v>267</v>
      </c>
      <c r="J157" s="1005">
        <v>22</v>
      </c>
      <c r="K157" s="1049"/>
      <c r="L157" s="1006" t="s">
        <v>268</v>
      </c>
      <c r="M157" s="745" t="s">
        <v>79</v>
      </c>
      <c r="N157" s="1050">
        <v>95909.091</v>
      </c>
      <c r="O157" s="934">
        <f t="shared" si="455"/>
        <v>2110000.0019999999</v>
      </c>
      <c r="P157" s="934">
        <f t="shared" si="481"/>
        <v>22400</v>
      </c>
      <c r="Q157" s="934">
        <f t="shared" si="450"/>
        <v>50000</v>
      </c>
      <c r="R157" s="934"/>
      <c r="S157" s="934"/>
      <c r="T157" s="934"/>
      <c r="U157" s="934"/>
      <c r="V157" s="749"/>
      <c r="W157" s="934"/>
      <c r="X157" s="934"/>
      <c r="Y157" s="934">
        <f t="shared" si="488"/>
        <v>120000</v>
      </c>
      <c r="Z157" s="934">
        <f t="shared" si="456"/>
        <v>75000</v>
      </c>
      <c r="AA157" s="934"/>
      <c r="AB157" s="934"/>
      <c r="AC157" s="934"/>
      <c r="AD157" s="934"/>
      <c r="AE157" s="934">
        <f t="shared" si="365"/>
        <v>267400</v>
      </c>
      <c r="AF157" s="1005">
        <f t="shared" si="366"/>
        <v>2377400.0019999999</v>
      </c>
      <c r="AG157" s="1005">
        <f t="shared" si="380"/>
        <v>59435.000050000002</v>
      </c>
      <c r="AH157" s="1005">
        <f t="shared" si="381"/>
        <v>2436835.0020499998</v>
      </c>
      <c r="AI157" s="1005">
        <f t="shared" si="382"/>
        <v>60920.875051249997</v>
      </c>
      <c r="AJ157" s="1005">
        <f t="shared" si="383"/>
        <v>2497755.87710125</v>
      </c>
      <c r="AK157" s="1005">
        <f t="shared" si="384"/>
        <v>124887.79385506251</v>
      </c>
      <c r="AL157" s="1005">
        <f t="shared" si="457"/>
        <v>2622643.6709563127</v>
      </c>
      <c r="AM157" s="934">
        <f t="shared" si="385"/>
        <v>26226.436709563128</v>
      </c>
      <c r="AN157" s="934">
        <f t="shared" si="386"/>
        <v>27537.409960060559</v>
      </c>
      <c r="AO157" s="934"/>
      <c r="AP157" s="934">
        <f t="shared" si="458"/>
        <v>116328.7468588989</v>
      </c>
      <c r="AQ157" s="1005">
        <f t="shared" si="367"/>
        <v>2792736.2644848353</v>
      </c>
      <c r="AR157" s="1005">
        <f t="shared" si="387"/>
        <v>125673.13190181759</v>
      </c>
      <c r="AS157" s="1147">
        <f t="shared" si="388"/>
        <v>2918409.3963866527</v>
      </c>
      <c r="AT157" s="1148">
        <f t="shared" si="459"/>
        <v>2000000</v>
      </c>
      <c r="AU157" s="1148">
        <f t="shared" si="358"/>
        <v>41745.881653938763</v>
      </c>
      <c r="AV157" s="1148">
        <f t="shared" si="460"/>
        <v>918409.39638665272</v>
      </c>
      <c r="AW157" s="1148">
        <f t="shared" si="368"/>
        <v>110209.12756639833</v>
      </c>
      <c r="AX157" s="1148">
        <f t="shared" si="369"/>
        <v>1028618.5239530511</v>
      </c>
      <c r="AY157" s="1147">
        <f t="shared" si="389"/>
        <v>3028618.5239530508</v>
      </c>
      <c r="AZ157" s="934">
        <f t="shared" si="390"/>
        <v>37857.73154941314</v>
      </c>
      <c r="BA157" s="716" t="s">
        <v>269</v>
      </c>
      <c r="BB157" s="716">
        <f t="shared" si="370"/>
        <v>3066476.2555024638</v>
      </c>
      <c r="BC157" s="716" t="s">
        <v>269</v>
      </c>
      <c r="BD157" s="716">
        <f t="shared" si="391"/>
        <v>114992.85958134239</v>
      </c>
      <c r="BE157" s="716">
        <f t="shared" si="392"/>
        <v>33600</v>
      </c>
      <c r="BF157" s="716">
        <f t="shared" si="393"/>
        <v>3215069.1150838062</v>
      </c>
      <c r="BG157" s="716"/>
      <c r="BH157" s="716">
        <f t="shared" si="394"/>
        <v>3215069.1150838062</v>
      </c>
      <c r="BI157" s="716"/>
      <c r="BJ157" s="716">
        <f t="shared" si="395"/>
        <v>3215069.1150838062</v>
      </c>
      <c r="BK157" s="716"/>
      <c r="BL157" s="716">
        <f t="shared" si="396"/>
        <v>3215069.1150838062</v>
      </c>
      <c r="BM157" s="716"/>
      <c r="BN157" s="716">
        <f t="shared" si="371"/>
        <v>3215069.1150838062</v>
      </c>
      <c r="BO157" s="716"/>
      <c r="BP157" s="716">
        <f t="shared" si="397"/>
        <v>3215069.1150838062</v>
      </c>
      <c r="BQ157" s="716"/>
      <c r="BR157" s="716">
        <f t="shared" si="398"/>
        <v>3215069.1150838062</v>
      </c>
      <c r="BS157" s="716"/>
      <c r="BT157" s="716">
        <f t="shared" si="399"/>
        <v>3215069.1150838062</v>
      </c>
      <c r="BU157" s="716"/>
      <c r="BV157" s="716">
        <f t="shared" si="372"/>
        <v>3215069.1150838062</v>
      </c>
      <c r="BW157" s="716"/>
      <c r="BX157" s="716">
        <f t="shared" si="489"/>
        <v>31400</v>
      </c>
      <c r="BY157" s="716">
        <f t="shared" si="400"/>
        <v>3246469.1150838062</v>
      </c>
      <c r="BZ157" s="716"/>
      <c r="CA157" s="716">
        <f t="shared" si="401"/>
        <v>3246469.1150838062</v>
      </c>
      <c r="CB157" s="1135">
        <f t="shared" si="402"/>
        <v>3246469.1150838062</v>
      </c>
      <c r="CC157" s="1164">
        <f t="shared" si="446"/>
        <v>3246469.1150838062</v>
      </c>
      <c r="CD157" s="1164"/>
      <c r="CE157" s="1164">
        <f t="shared" si="403"/>
        <v>0</v>
      </c>
      <c r="CF157" s="1164">
        <f t="shared" si="448"/>
        <v>0</v>
      </c>
      <c r="CG157" s="1164">
        <f t="shared" si="449"/>
        <v>0</v>
      </c>
      <c r="CH157" s="1154">
        <f t="shared" si="339"/>
        <v>3246469.1150838062</v>
      </c>
      <c r="CI157" s="935">
        <f t="shared" si="340"/>
        <v>3246469.1150838062</v>
      </c>
      <c r="CJ157" s="935">
        <f t="shared" si="404"/>
        <v>0</v>
      </c>
      <c r="CK157" s="935">
        <f t="shared" si="373"/>
        <v>332763.08429609012</v>
      </c>
      <c r="CL157" s="935">
        <f t="shared" si="374"/>
        <v>113626.41902793323</v>
      </c>
      <c r="CM157" s="1006">
        <f t="shared" si="461"/>
        <v>3692858.6184078297</v>
      </c>
      <c r="CN157" s="1007">
        <f t="shared" si="462"/>
        <v>0.125</v>
      </c>
      <c r="CO157" s="935">
        <f t="shared" si="498"/>
        <v>461607.32730097871</v>
      </c>
      <c r="CP157" s="935">
        <f t="shared" si="490"/>
        <v>30000</v>
      </c>
      <c r="CQ157" s="935">
        <f t="shared" si="499"/>
        <v>431607.32730097871</v>
      </c>
      <c r="CR157" s="745">
        <f t="shared" si="463"/>
        <v>2</v>
      </c>
      <c r="CS157" s="935">
        <f t="shared" si="500"/>
        <v>215803.66365048935</v>
      </c>
      <c r="CT157" s="1007">
        <f t="shared" si="405"/>
        <v>0.875</v>
      </c>
      <c r="CU157" s="935">
        <f t="shared" si="406"/>
        <v>3231251.2911068508</v>
      </c>
      <c r="CV157" s="1008">
        <f t="shared" si="407"/>
        <v>25051.856867122558</v>
      </c>
      <c r="CW157" s="1008">
        <f t="shared" si="408"/>
        <v>29043.40010675243</v>
      </c>
      <c r="CX157" s="1008">
        <f t="shared" si="409"/>
        <v>37517.567338363195</v>
      </c>
      <c r="CY157" s="1008">
        <f t="shared" si="410"/>
        <v>63982.64834896753</v>
      </c>
      <c r="CZ157" s="1119">
        <f t="shared" si="411"/>
        <v>262484.81295499904</v>
      </c>
      <c r="DA157" s="1119">
        <f t="shared" si="412"/>
        <v>103863.96184935878</v>
      </c>
      <c r="DB157" s="1119">
        <f t="shared" si="413"/>
        <v>75019.468598288062</v>
      </c>
      <c r="DC157" s="1119">
        <f t="shared" si="414"/>
        <v>57093.269321254353</v>
      </c>
      <c r="DD157" s="1028">
        <f t="shared" si="451"/>
        <v>0.45920469819332638</v>
      </c>
      <c r="DE157" s="1028">
        <f t="shared" si="341"/>
        <v>0</v>
      </c>
      <c r="DF157" s="1009" t="s">
        <v>270</v>
      </c>
      <c r="DG157" s="1009" t="s">
        <v>271</v>
      </c>
      <c r="DH157" s="966">
        <f t="shared" si="447"/>
        <v>45658</v>
      </c>
      <c r="DI157" s="912">
        <f t="shared" si="415"/>
        <v>14</v>
      </c>
      <c r="DJ157" s="939"/>
      <c r="DK157" s="913">
        <f t="shared" si="375"/>
        <v>45723</v>
      </c>
      <c r="DL157" s="912">
        <f t="shared" si="416"/>
        <v>16</v>
      </c>
      <c r="DM157" s="750" t="s">
        <v>272</v>
      </c>
      <c r="DN157" s="750" t="s">
        <v>273</v>
      </c>
      <c r="DO157" s="751">
        <f t="shared" si="376"/>
        <v>46755.387452411414</v>
      </c>
      <c r="DP157" s="751">
        <f t="shared" si="377"/>
        <v>1028618.5239530511</v>
      </c>
      <c r="DQ157" s="752">
        <f t="shared" si="452"/>
        <v>0.51430926197652549</v>
      </c>
      <c r="DR157" s="503"/>
      <c r="DS157" s="751">
        <f t="shared" si="453"/>
        <v>3246469.1150838062</v>
      </c>
      <c r="DT157" s="751">
        <f>'[4]INTERNAL PRICELIST'!N151</f>
        <v>0</v>
      </c>
      <c r="DU157" s="751">
        <f t="shared" si="378"/>
        <v>3246469.1150838062</v>
      </c>
      <c r="DV157" s="503"/>
      <c r="DW157" s="951">
        <f t="shared" si="454"/>
        <v>147566.77795835483</v>
      </c>
      <c r="DX157" s="503"/>
      <c r="DZ157" s="1010" t="s">
        <v>601</v>
      </c>
      <c r="EA157" s="1052" t="b">
        <f t="shared" si="379"/>
        <v>1</v>
      </c>
      <c r="EB157" s="1072" t="s">
        <v>602</v>
      </c>
      <c r="EC157" s="1072" t="s">
        <v>580</v>
      </c>
      <c r="ED157" s="503"/>
      <c r="EH157" s="930"/>
      <c r="EI157" s="930"/>
      <c r="EJ157" s="503"/>
      <c r="EK157" s="503"/>
      <c r="EL157" s="503"/>
      <c r="EM157" s="503"/>
      <c r="EN157" s="503"/>
      <c r="EO157" s="503"/>
      <c r="EP157" s="503"/>
      <c r="EQ157" s="503"/>
      <c r="ER157" s="1017" t="s">
        <v>264</v>
      </c>
      <c r="ES157" s="1391" t="s">
        <v>264</v>
      </c>
      <c r="ET157" s="1018" t="b">
        <f t="shared" si="417"/>
        <v>1</v>
      </c>
      <c r="EU157" s="940"/>
      <c r="EV157" s="941"/>
      <c r="EW157" s="940"/>
      <c r="EX157" s="1019">
        <v>3041274.4276836314</v>
      </c>
      <c r="EY157" s="1019">
        <f t="shared" si="464"/>
        <v>456191.16415254469</v>
      </c>
      <c r="EZ157" s="1019">
        <f t="shared" si="465"/>
        <v>2585083.2635310865</v>
      </c>
      <c r="FA157" s="1019">
        <f t="shared" si="466"/>
        <v>304127.44276836317</v>
      </c>
      <c r="FB157" s="1019">
        <f t="shared" si="467"/>
        <v>2737146.9849152681</v>
      </c>
      <c r="FC157" s="1019">
        <f t="shared" si="468"/>
        <v>152063.72138418164</v>
      </c>
      <c r="FD157" s="1020"/>
      <c r="FE157" s="1021"/>
      <c r="FF157" s="1022">
        <f t="shared" si="469"/>
        <v>2585083.2635310865</v>
      </c>
      <c r="FG157" s="1022">
        <f t="shared" si="470"/>
        <v>219732.07740014236</v>
      </c>
      <c r="FH157" s="1022">
        <f t="shared" si="471"/>
        <v>109866.03870007118</v>
      </c>
      <c r="FI157" s="1023">
        <f t="shared" si="472"/>
        <v>2737146.9849152681</v>
      </c>
      <c r="FJ157" s="1023">
        <f t="shared" si="473"/>
        <v>232657.4937177978</v>
      </c>
      <c r="FK157" s="1023">
        <f t="shared" si="474"/>
        <v>116328.7468588989</v>
      </c>
      <c r="FL157" s="1019">
        <f t="shared" si="475"/>
        <v>12925.416317655443</v>
      </c>
      <c r="FM157" s="1019">
        <f t="shared" si="476"/>
        <v>6462.7081588277215</v>
      </c>
      <c r="FN157" s="1019" t="str">
        <f t="shared" si="477"/>
        <v>VS</v>
      </c>
      <c r="FO157" s="1019">
        <f t="shared" si="478"/>
        <v>27537.409960060559</v>
      </c>
      <c r="FP157" s="1019">
        <f t="shared" si="479"/>
        <v>-21074.701801232837</v>
      </c>
      <c r="FQ157" s="1021"/>
      <c r="FR157" s="1021"/>
      <c r="FS157" s="1020"/>
      <c r="FT157" s="503"/>
      <c r="FU157" s="956"/>
      <c r="FV157" s="503"/>
      <c r="FW157" s="503"/>
      <c r="FX157" s="1040"/>
      <c r="FY157" s="503"/>
      <c r="FZ157" s="503"/>
      <c r="GA157" s="503"/>
      <c r="GG157" s="956"/>
      <c r="GH157" s="945"/>
      <c r="GI157" s="1024">
        <f t="shared" si="418"/>
        <v>3692858.6184078297</v>
      </c>
      <c r="GJ157" s="1025">
        <f t="shared" si="419"/>
        <v>0.125</v>
      </c>
      <c r="GK157" s="1024">
        <f t="shared" si="420"/>
        <v>461607.32730097871</v>
      </c>
      <c r="GL157" s="1024">
        <f t="shared" si="421"/>
        <v>30000</v>
      </c>
      <c r="GM157" s="1024">
        <f t="shared" si="422"/>
        <v>431607.32730097871</v>
      </c>
      <c r="GN157" s="1024">
        <f t="shared" si="423"/>
        <v>2</v>
      </c>
      <c r="GO157" s="1024">
        <f t="shared" si="424"/>
        <v>215803.66365048935</v>
      </c>
      <c r="GP157" s="1025">
        <f t="shared" si="425"/>
        <v>0.875</v>
      </c>
      <c r="GQ157" s="1024">
        <f t="shared" si="426"/>
        <v>3231251.2911068508</v>
      </c>
      <c r="GR157" s="1024">
        <f t="shared" si="427"/>
        <v>25051.856867122558</v>
      </c>
      <c r="GS157" s="1024">
        <f t="shared" si="428"/>
        <v>29043.40010675243</v>
      </c>
      <c r="GT157" s="1024">
        <f t="shared" si="429"/>
        <v>37517.567338363195</v>
      </c>
      <c r="GU157" s="1024">
        <f t="shared" si="430"/>
        <v>63982.64834896753</v>
      </c>
      <c r="GV157" s="945"/>
      <c r="GW157" s="1024">
        <f t="shared" si="431"/>
        <v>3692858.6184078297</v>
      </c>
      <c r="GX157" s="1025">
        <f t="shared" si="432"/>
        <v>0.125</v>
      </c>
      <c r="GY157" s="1024">
        <f t="shared" si="433"/>
        <v>461607.32730097871</v>
      </c>
      <c r="GZ157" s="1024">
        <f t="shared" si="434"/>
        <v>30000</v>
      </c>
      <c r="HA157" s="1024">
        <f t="shared" si="435"/>
        <v>431607.32730097871</v>
      </c>
      <c r="HB157" s="1026">
        <f t="shared" si="436"/>
        <v>25</v>
      </c>
      <c r="HC157" s="1009">
        <f t="shared" si="437"/>
        <v>17264.293092039148</v>
      </c>
      <c r="HD157" s="1027">
        <f t="shared" si="438"/>
        <v>0.875</v>
      </c>
      <c r="HE157" s="1009">
        <f t="shared" si="439"/>
        <v>3231251.2911068508</v>
      </c>
      <c r="HF157" s="1008">
        <f t="shared" si="440"/>
        <v>25051.856867122558</v>
      </c>
      <c r="HG157" s="1008">
        <f t="shared" si="441"/>
        <v>29043.40010675243</v>
      </c>
      <c r="HH157" s="1008">
        <f t="shared" si="442"/>
        <v>37517.567338363195</v>
      </c>
      <c r="HI157" s="1008">
        <f t="shared" si="443"/>
        <v>63982.64834896753</v>
      </c>
      <c r="HJ157" s="945"/>
      <c r="HK157" s="1009">
        <f t="shared" si="444"/>
        <v>-198539.3705584502</v>
      </c>
      <c r="HL157" s="503"/>
      <c r="HM157" s="503"/>
      <c r="HN157" s="503"/>
      <c r="HO157" s="503"/>
      <c r="HP157" s="503"/>
      <c r="HQ157" s="503"/>
      <c r="HR157" s="956">
        <f t="shared" si="445"/>
        <v>0</v>
      </c>
      <c r="HS157" s="503"/>
      <c r="HT157" s="503"/>
      <c r="HU157" s="956"/>
      <c r="HV157" s="503"/>
      <c r="HW157" s="956"/>
      <c r="HX157" s="956"/>
      <c r="HY157" s="503"/>
      <c r="HZ157" s="503"/>
      <c r="IA157" s="503"/>
      <c r="ID157" s="1394"/>
    </row>
    <row r="158" spans="1:238" s="1051" customFormat="1" ht="14.25" hidden="1" customHeight="1">
      <c r="A158" s="1018">
        <f t="shared" si="480"/>
        <v>152</v>
      </c>
      <c r="B158" s="716" t="s">
        <v>264</v>
      </c>
      <c r="C158" s="741">
        <f t="shared" si="487"/>
        <v>14</v>
      </c>
      <c r="D158" s="716" t="s">
        <v>290</v>
      </c>
      <c r="E158" s="743" t="str">
        <f t="shared" si="352"/>
        <v>10th Floor</v>
      </c>
      <c r="F158" s="1048"/>
      <c r="G158" s="745" t="s">
        <v>603</v>
      </c>
      <c r="H158" s="745" t="s">
        <v>338</v>
      </c>
      <c r="I158" s="745" t="s">
        <v>267</v>
      </c>
      <c r="J158" s="1005">
        <v>22</v>
      </c>
      <c r="K158" s="1049"/>
      <c r="L158" s="1006" t="s">
        <v>268</v>
      </c>
      <c r="M158" s="745" t="s">
        <v>79</v>
      </c>
      <c r="N158" s="1050">
        <v>95909.091</v>
      </c>
      <c r="O158" s="934">
        <f t="shared" si="455"/>
        <v>2110000.0019999999</v>
      </c>
      <c r="P158" s="934">
        <f t="shared" si="481"/>
        <v>22400</v>
      </c>
      <c r="Q158" s="934">
        <f t="shared" si="450"/>
        <v>50000</v>
      </c>
      <c r="R158" s="934"/>
      <c r="S158" s="934"/>
      <c r="T158" s="934"/>
      <c r="U158" s="934"/>
      <c r="V158" s="749"/>
      <c r="W158" s="934"/>
      <c r="X158" s="934"/>
      <c r="Y158" s="934">
        <f t="shared" si="488"/>
        <v>120000</v>
      </c>
      <c r="Z158" s="934">
        <f t="shared" si="456"/>
        <v>75000</v>
      </c>
      <c r="AA158" s="934"/>
      <c r="AB158" s="934"/>
      <c r="AC158" s="934"/>
      <c r="AD158" s="934"/>
      <c r="AE158" s="934">
        <f t="shared" si="365"/>
        <v>267400</v>
      </c>
      <c r="AF158" s="1005">
        <f t="shared" si="366"/>
        <v>2377400.0019999999</v>
      </c>
      <c r="AG158" s="1005">
        <f t="shared" si="380"/>
        <v>59435.000050000002</v>
      </c>
      <c r="AH158" s="1005">
        <f t="shared" si="381"/>
        <v>2436835.0020499998</v>
      </c>
      <c r="AI158" s="1005">
        <f t="shared" si="382"/>
        <v>60920.875051249997</v>
      </c>
      <c r="AJ158" s="1005">
        <f t="shared" si="383"/>
        <v>2497755.87710125</v>
      </c>
      <c r="AK158" s="1005">
        <f t="shared" si="384"/>
        <v>124887.79385506251</v>
      </c>
      <c r="AL158" s="1005">
        <f t="shared" si="457"/>
        <v>2622643.6709563127</v>
      </c>
      <c r="AM158" s="934">
        <f t="shared" si="385"/>
        <v>26226.436709563128</v>
      </c>
      <c r="AN158" s="934">
        <f t="shared" si="386"/>
        <v>27537.409960060559</v>
      </c>
      <c r="AO158" s="934"/>
      <c r="AP158" s="934">
        <f t="shared" si="458"/>
        <v>116328.7468588989</v>
      </c>
      <c r="AQ158" s="1005">
        <f t="shared" si="367"/>
        <v>2792736.2644848353</v>
      </c>
      <c r="AR158" s="1005">
        <f t="shared" si="387"/>
        <v>125673.13190181759</v>
      </c>
      <c r="AS158" s="1147">
        <f t="shared" si="388"/>
        <v>2918409.3963866527</v>
      </c>
      <c r="AT158" s="1148">
        <f t="shared" si="459"/>
        <v>2000000</v>
      </c>
      <c r="AU158" s="1148">
        <f t="shared" si="358"/>
        <v>41745.881653938763</v>
      </c>
      <c r="AV158" s="1148">
        <f t="shared" si="460"/>
        <v>918409.39638665272</v>
      </c>
      <c r="AW158" s="1148">
        <f t="shared" si="368"/>
        <v>110209.12756639833</v>
      </c>
      <c r="AX158" s="1148">
        <f t="shared" si="369"/>
        <v>1028618.5239530511</v>
      </c>
      <c r="AY158" s="1147">
        <f t="shared" si="389"/>
        <v>3028618.5239530508</v>
      </c>
      <c r="AZ158" s="934">
        <f t="shared" si="390"/>
        <v>37857.73154941314</v>
      </c>
      <c r="BA158" s="716" t="s">
        <v>269</v>
      </c>
      <c r="BB158" s="716">
        <f t="shared" si="370"/>
        <v>3066476.2555024638</v>
      </c>
      <c r="BC158" s="716" t="s">
        <v>269</v>
      </c>
      <c r="BD158" s="716">
        <f t="shared" si="391"/>
        <v>114992.85958134239</v>
      </c>
      <c r="BE158" s="716">
        <f t="shared" si="392"/>
        <v>33600</v>
      </c>
      <c r="BF158" s="716">
        <f t="shared" si="393"/>
        <v>3215069.1150838062</v>
      </c>
      <c r="BG158" s="716"/>
      <c r="BH158" s="716">
        <f t="shared" si="394"/>
        <v>3215069.1150838062</v>
      </c>
      <c r="BI158" s="716"/>
      <c r="BJ158" s="716">
        <f t="shared" si="395"/>
        <v>3215069.1150838062</v>
      </c>
      <c r="BK158" s="716"/>
      <c r="BL158" s="716">
        <f t="shared" si="396"/>
        <v>3215069.1150838062</v>
      </c>
      <c r="BM158" s="716"/>
      <c r="BN158" s="716">
        <f t="shared" si="371"/>
        <v>3215069.1150838062</v>
      </c>
      <c r="BO158" s="716"/>
      <c r="BP158" s="716">
        <f t="shared" si="397"/>
        <v>3215069.1150838062</v>
      </c>
      <c r="BQ158" s="716"/>
      <c r="BR158" s="716">
        <f t="shared" si="398"/>
        <v>3215069.1150838062</v>
      </c>
      <c r="BS158" s="716"/>
      <c r="BT158" s="716">
        <f t="shared" si="399"/>
        <v>3215069.1150838062</v>
      </c>
      <c r="BU158" s="716"/>
      <c r="BV158" s="716">
        <f t="shared" si="372"/>
        <v>3215069.1150838062</v>
      </c>
      <c r="BW158" s="716"/>
      <c r="BX158" s="716">
        <f t="shared" si="489"/>
        <v>31400</v>
      </c>
      <c r="BY158" s="716">
        <f t="shared" si="400"/>
        <v>3246469.1150838062</v>
      </c>
      <c r="BZ158" s="716"/>
      <c r="CA158" s="716">
        <f t="shared" si="401"/>
        <v>3246469.1150838062</v>
      </c>
      <c r="CB158" s="1135">
        <f t="shared" si="402"/>
        <v>3246469.1150838062</v>
      </c>
      <c r="CC158" s="1164">
        <f t="shared" si="446"/>
        <v>3246469.1150838062</v>
      </c>
      <c r="CD158" s="1164"/>
      <c r="CE158" s="1164">
        <f t="shared" si="403"/>
        <v>0</v>
      </c>
      <c r="CF158" s="1164">
        <f t="shared" si="448"/>
        <v>0</v>
      </c>
      <c r="CG158" s="1164">
        <f t="shared" si="449"/>
        <v>0</v>
      </c>
      <c r="CH158" s="1154">
        <f t="shared" si="339"/>
        <v>3246469.1150838062</v>
      </c>
      <c r="CI158" s="935">
        <f t="shared" si="340"/>
        <v>3246469.1150838062</v>
      </c>
      <c r="CJ158" s="935">
        <f t="shared" si="404"/>
        <v>0</v>
      </c>
      <c r="CK158" s="935">
        <f t="shared" si="373"/>
        <v>332763.08429609012</v>
      </c>
      <c r="CL158" s="935">
        <f t="shared" si="374"/>
        <v>113626.41902793323</v>
      </c>
      <c r="CM158" s="1006">
        <f t="shared" si="461"/>
        <v>3692858.6184078297</v>
      </c>
      <c r="CN158" s="1007">
        <f t="shared" si="462"/>
        <v>0.125</v>
      </c>
      <c r="CO158" s="935">
        <f t="shared" si="498"/>
        <v>461607.32730097871</v>
      </c>
      <c r="CP158" s="935">
        <f t="shared" si="490"/>
        <v>30000</v>
      </c>
      <c r="CQ158" s="935">
        <f t="shared" si="499"/>
        <v>431607.32730097871</v>
      </c>
      <c r="CR158" s="745">
        <f t="shared" si="463"/>
        <v>2</v>
      </c>
      <c r="CS158" s="935">
        <f t="shared" si="500"/>
        <v>215803.66365048935</v>
      </c>
      <c r="CT158" s="1007">
        <f t="shared" si="405"/>
        <v>0.875</v>
      </c>
      <c r="CU158" s="935">
        <f t="shared" si="406"/>
        <v>3231251.2911068508</v>
      </c>
      <c r="CV158" s="1008">
        <f t="shared" si="407"/>
        <v>25051.856867122558</v>
      </c>
      <c r="CW158" s="1008">
        <f t="shared" si="408"/>
        <v>29043.40010675243</v>
      </c>
      <c r="CX158" s="1008">
        <f t="shared" si="409"/>
        <v>37517.567338363195</v>
      </c>
      <c r="CY158" s="1008">
        <f t="shared" si="410"/>
        <v>63982.64834896753</v>
      </c>
      <c r="CZ158" s="1119">
        <f t="shared" si="411"/>
        <v>262484.81295499904</v>
      </c>
      <c r="DA158" s="1119">
        <f t="shared" si="412"/>
        <v>103863.96184935878</v>
      </c>
      <c r="DB158" s="1119">
        <f t="shared" si="413"/>
        <v>75019.468598288062</v>
      </c>
      <c r="DC158" s="1119">
        <f t="shared" si="414"/>
        <v>57093.269321254353</v>
      </c>
      <c r="DD158" s="1028">
        <f t="shared" si="451"/>
        <v>0.45920469819332638</v>
      </c>
      <c r="DE158" s="1028">
        <f t="shared" si="341"/>
        <v>0</v>
      </c>
      <c r="DF158" s="1009" t="s">
        <v>270</v>
      </c>
      <c r="DG158" s="1009" t="s">
        <v>271</v>
      </c>
      <c r="DH158" s="966">
        <f t="shared" si="447"/>
        <v>45658</v>
      </c>
      <c r="DI158" s="912">
        <f t="shared" si="415"/>
        <v>14</v>
      </c>
      <c r="DJ158" s="939"/>
      <c r="DK158" s="913">
        <f t="shared" si="375"/>
        <v>45723</v>
      </c>
      <c r="DL158" s="912">
        <f t="shared" si="416"/>
        <v>16</v>
      </c>
      <c r="DM158" s="750" t="s">
        <v>272</v>
      </c>
      <c r="DN158" s="750" t="s">
        <v>273</v>
      </c>
      <c r="DO158" s="751">
        <f t="shared" si="376"/>
        <v>46755.387452411414</v>
      </c>
      <c r="DP158" s="751">
        <f t="shared" si="377"/>
        <v>1028618.5239530511</v>
      </c>
      <c r="DQ158" s="752">
        <f t="shared" si="452"/>
        <v>0.51430926197652549</v>
      </c>
      <c r="DR158" s="503"/>
      <c r="DS158" s="751">
        <f t="shared" si="453"/>
        <v>3246469.1150838062</v>
      </c>
      <c r="DT158" s="751">
        <f>'[4]INTERNAL PRICELIST'!N152</f>
        <v>0</v>
      </c>
      <c r="DU158" s="751">
        <f t="shared" si="378"/>
        <v>3246469.1150838062</v>
      </c>
      <c r="DV158" s="503"/>
      <c r="DW158" s="951">
        <f t="shared" si="454"/>
        <v>147566.77795835483</v>
      </c>
      <c r="DX158" s="503"/>
      <c r="DZ158" s="1010" t="s">
        <v>603</v>
      </c>
      <c r="EA158" s="1052" t="b">
        <f t="shared" si="379"/>
        <v>1</v>
      </c>
      <c r="EB158" s="1072" t="s">
        <v>604</v>
      </c>
      <c r="EC158" s="1072" t="s">
        <v>580</v>
      </c>
      <c r="ED158" s="503"/>
      <c r="EH158" s="930"/>
      <c r="EI158" s="930"/>
      <c r="EJ158" s="503"/>
      <c r="EK158" s="503"/>
      <c r="EL158" s="503"/>
      <c r="EM158" s="503"/>
      <c r="EN158" s="503"/>
      <c r="EO158" s="503"/>
      <c r="EP158" s="503"/>
      <c r="EQ158" s="503"/>
      <c r="ER158" s="1017" t="s">
        <v>264</v>
      </c>
      <c r="ES158" s="1391" t="s">
        <v>264</v>
      </c>
      <c r="ET158" s="1018" t="b">
        <f t="shared" si="417"/>
        <v>1</v>
      </c>
      <c r="EU158" s="940"/>
      <c r="EV158" s="941"/>
      <c r="EW158" s="940"/>
      <c r="EX158" s="1019">
        <v>3041274.4276836314</v>
      </c>
      <c r="EY158" s="1019">
        <f t="shared" si="464"/>
        <v>456191.16415254469</v>
      </c>
      <c r="EZ158" s="1019">
        <f t="shared" si="465"/>
        <v>2585083.2635310865</v>
      </c>
      <c r="FA158" s="1019">
        <f t="shared" si="466"/>
        <v>304127.44276836317</v>
      </c>
      <c r="FB158" s="1019">
        <f t="shared" si="467"/>
        <v>2737146.9849152681</v>
      </c>
      <c r="FC158" s="1019">
        <f t="shared" si="468"/>
        <v>152063.72138418164</v>
      </c>
      <c r="FD158" s="1020"/>
      <c r="FE158" s="1021"/>
      <c r="FF158" s="1022">
        <f t="shared" si="469"/>
        <v>2585083.2635310865</v>
      </c>
      <c r="FG158" s="1022">
        <f t="shared" si="470"/>
        <v>219732.07740014236</v>
      </c>
      <c r="FH158" s="1022">
        <f t="shared" si="471"/>
        <v>109866.03870007118</v>
      </c>
      <c r="FI158" s="1023">
        <f t="shared" si="472"/>
        <v>2737146.9849152681</v>
      </c>
      <c r="FJ158" s="1023">
        <f t="shared" si="473"/>
        <v>232657.4937177978</v>
      </c>
      <c r="FK158" s="1023">
        <f t="shared" si="474"/>
        <v>116328.7468588989</v>
      </c>
      <c r="FL158" s="1019">
        <f t="shared" si="475"/>
        <v>12925.416317655443</v>
      </c>
      <c r="FM158" s="1019">
        <f t="shared" si="476"/>
        <v>6462.7081588277215</v>
      </c>
      <c r="FN158" s="1019" t="str">
        <f t="shared" si="477"/>
        <v>VS</v>
      </c>
      <c r="FO158" s="1019">
        <f t="shared" si="478"/>
        <v>27537.409960060559</v>
      </c>
      <c r="FP158" s="1019">
        <f t="shared" si="479"/>
        <v>-21074.701801232837</v>
      </c>
      <c r="FQ158" s="1021"/>
      <c r="FR158" s="1021"/>
      <c r="FS158" s="1020"/>
      <c r="FT158" s="503"/>
      <c r="FU158" s="956"/>
      <c r="FV158" s="503"/>
      <c r="FW158" s="503"/>
      <c r="FX158" s="1040"/>
      <c r="FY158" s="503"/>
      <c r="FZ158" s="503"/>
      <c r="GA158" s="503"/>
      <c r="GG158" s="956"/>
      <c r="GH158" s="945"/>
      <c r="GI158" s="1024">
        <f t="shared" si="418"/>
        <v>3692858.6184078297</v>
      </c>
      <c r="GJ158" s="1025">
        <f t="shared" si="419"/>
        <v>0.125</v>
      </c>
      <c r="GK158" s="1024">
        <f t="shared" si="420"/>
        <v>461607.32730097871</v>
      </c>
      <c r="GL158" s="1024">
        <f t="shared" si="421"/>
        <v>30000</v>
      </c>
      <c r="GM158" s="1024">
        <f t="shared" si="422"/>
        <v>431607.32730097871</v>
      </c>
      <c r="GN158" s="1024">
        <f t="shared" si="423"/>
        <v>2</v>
      </c>
      <c r="GO158" s="1024">
        <f t="shared" si="424"/>
        <v>215803.66365048935</v>
      </c>
      <c r="GP158" s="1025">
        <f t="shared" si="425"/>
        <v>0.875</v>
      </c>
      <c r="GQ158" s="1024">
        <f t="shared" si="426"/>
        <v>3231251.2911068508</v>
      </c>
      <c r="GR158" s="1024">
        <f t="shared" si="427"/>
        <v>25051.856867122558</v>
      </c>
      <c r="GS158" s="1024">
        <f t="shared" si="428"/>
        <v>29043.40010675243</v>
      </c>
      <c r="GT158" s="1024">
        <f t="shared" si="429"/>
        <v>37517.567338363195</v>
      </c>
      <c r="GU158" s="1024">
        <f t="shared" si="430"/>
        <v>63982.64834896753</v>
      </c>
      <c r="GV158" s="945"/>
      <c r="GW158" s="1024">
        <f t="shared" si="431"/>
        <v>3692858.6184078297</v>
      </c>
      <c r="GX158" s="1025">
        <f t="shared" si="432"/>
        <v>0.125</v>
      </c>
      <c r="GY158" s="1024">
        <f t="shared" si="433"/>
        <v>461607.32730097871</v>
      </c>
      <c r="GZ158" s="1024">
        <f t="shared" si="434"/>
        <v>30000</v>
      </c>
      <c r="HA158" s="1024">
        <f t="shared" si="435"/>
        <v>431607.32730097871</v>
      </c>
      <c r="HB158" s="1026">
        <f t="shared" si="436"/>
        <v>25</v>
      </c>
      <c r="HC158" s="1009">
        <f t="shared" si="437"/>
        <v>17264.293092039148</v>
      </c>
      <c r="HD158" s="1027">
        <f t="shared" si="438"/>
        <v>0.875</v>
      </c>
      <c r="HE158" s="1009">
        <f t="shared" si="439"/>
        <v>3231251.2911068508</v>
      </c>
      <c r="HF158" s="1008">
        <f t="shared" si="440"/>
        <v>25051.856867122558</v>
      </c>
      <c r="HG158" s="1008">
        <f t="shared" si="441"/>
        <v>29043.40010675243</v>
      </c>
      <c r="HH158" s="1008">
        <f t="shared" si="442"/>
        <v>37517.567338363195</v>
      </c>
      <c r="HI158" s="1008">
        <f t="shared" si="443"/>
        <v>63982.64834896753</v>
      </c>
      <c r="HJ158" s="945"/>
      <c r="HK158" s="1009">
        <f t="shared" si="444"/>
        <v>-198539.3705584502</v>
      </c>
      <c r="HL158" s="503"/>
      <c r="HM158" s="503"/>
      <c r="HN158" s="503"/>
      <c r="HO158" s="503"/>
      <c r="HP158" s="503"/>
      <c r="HQ158" s="503"/>
      <c r="HR158" s="956">
        <f t="shared" si="445"/>
        <v>0</v>
      </c>
      <c r="HS158" s="503"/>
      <c r="HT158" s="503"/>
      <c r="HU158" s="956"/>
      <c r="HV158" s="503"/>
      <c r="HW158" s="956"/>
      <c r="HX158" s="956"/>
      <c r="HY158" s="503"/>
      <c r="HZ158" s="503"/>
      <c r="IA158" s="503"/>
      <c r="ID158" s="1394"/>
    </row>
    <row r="159" spans="1:238" s="1051" customFormat="1" ht="14.25" hidden="1" customHeight="1">
      <c r="A159" s="1018">
        <f t="shared" si="480"/>
        <v>153</v>
      </c>
      <c r="B159" s="716" t="s">
        <v>264</v>
      </c>
      <c r="C159" s="741">
        <f t="shared" si="487"/>
        <v>15</v>
      </c>
      <c r="D159" s="716" t="s">
        <v>290</v>
      </c>
      <c r="E159" s="743" t="str">
        <f t="shared" si="352"/>
        <v>10th Floor</v>
      </c>
      <c r="F159" s="1048"/>
      <c r="G159" s="745" t="s">
        <v>605</v>
      </c>
      <c r="H159" s="745" t="s">
        <v>342</v>
      </c>
      <c r="I159" s="745" t="s">
        <v>267</v>
      </c>
      <c r="J159" s="1005">
        <v>22</v>
      </c>
      <c r="K159" s="1049"/>
      <c r="L159" s="1006" t="s">
        <v>268</v>
      </c>
      <c r="M159" s="745" t="s">
        <v>79</v>
      </c>
      <c r="N159" s="1050">
        <v>95909.091</v>
      </c>
      <c r="O159" s="934">
        <f t="shared" si="455"/>
        <v>2110000.0019999999</v>
      </c>
      <c r="P159" s="934">
        <f t="shared" si="481"/>
        <v>22400</v>
      </c>
      <c r="Q159" s="934">
        <f t="shared" si="450"/>
        <v>50000</v>
      </c>
      <c r="R159" s="934"/>
      <c r="S159" s="934"/>
      <c r="T159" s="934"/>
      <c r="U159" s="934"/>
      <c r="V159" s="749"/>
      <c r="W159" s="934"/>
      <c r="X159" s="934"/>
      <c r="Y159" s="934">
        <f t="shared" si="488"/>
        <v>120000</v>
      </c>
      <c r="Z159" s="934">
        <f t="shared" si="456"/>
        <v>75000</v>
      </c>
      <c r="AA159" s="934"/>
      <c r="AB159" s="934"/>
      <c r="AC159" s="934"/>
      <c r="AD159" s="934"/>
      <c r="AE159" s="934">
        <f t="shared" si="365"/>
        <v>267400</v>
      </c>
      <c r="AF159" s="1005">
        <f t="shared" si="366"/>
        <v>2377400.0019999999</v>
      </c>
      <c r="AG159" s="1005">
        <f t="shared" si="380"/>
        <v>59435.000050000002</v>
      </c>
      <c r="AH159" s="1005">
        <f t="shared" si="381"/>
        <v>2436835.0020499998</v>
      </c>
      <c r="AI159" s="1005">
        <f t="shared" si="382"/>
        <v>60920.875051249997</v>
      </c>
      <c r="AJ159" s="1005">
        <f t="shared" si="383"/>
        <v>2497755.87710125</v>
      </c>
      <c r="AK159" s="1005">
        <f t="shared" si="384"/>
        <v>124887.79385506251</v>
      </c>
      <c r="AL159" s="1005">
        <f t="shared" si="457"/>
        <v>2622643.6709563127</v>
      </c>
      <c r="AM159" s="934">
        <f t="shared" si="385"/>
        <v>26226.436709563128</v>
      </c>
      <c r="AN159" s="934">
        <f t="shared" si="386"/>
        <v>27537.409960060559</v>
      </c>
      <c r="AO159" s="934"/>
      <c r="AP159" s="934">
        <f t="shared" si="458"/>
        <v>116328.7468588989</v>
      </c>
      <c r="AQ159" s="1005">
        <f t="shared" si="367"/>
        <v>2792736.2644848353</v>
      </c>
      <c r="AR159" s="1005">
        <f t="shared" si="387"/>
        <v>125673.13190181759</v>
      </c>
      <c r="AS159" s="1147">
        <f t="shared" si="388"/>
        <v>2918409.3963866527</v>
      </c>
      <c r="AT159" s="1148">
        <f t="shared" si="459"/>
        <v>2000000</v>
      </c>
      <c r="AU159" s="1148">
        <f t="shared" si="358"/>
        <v>41745.881653938763</v>
      </c>
      <c r="AV159" s="1148">
        <f t="shared" si="460"/>
        <v>918409.39638665272</v>
      </c>
      <c r="AW159" s="1148">
        <f t="shared" si="368"/>
        <v>110209.12756639833</v>
      </c>
      <c r="AX159" s="1148">
        <f t="shared" si="369"/>
        <v>1028618.5239530511</v>
      </c>
      <c r="AY159" s="1147">
        <f t="shared" si="389"/>
        <v>3028618.5239530508</v>
      </c>
      <c r="AZ159" s="934">
        <f t="shared" si="390"/>
        <v>37857.73154941314</v>
      </c>
      <c r="BA159" s="716" t="s">
        <v>269</v>
      </c>
      <c r="BB159" s="716">
        <f t="shared" si="370"/>
        <v>3066476.2555024638</v>
      </c>
      <c r="BC159" s="716" t="s">
        <v>269</v>
      </c>
      <c r="BD159" s="716">
        <f t="shared" si="391"/>
        <v>114992.85958134239</v>
      </c>
      <c r="BE159" s="716">
        <f t="shared" si="392"/>
        <v>33600</v>
      </c>
      <c r="BF159" s="716">
        <f t="shared" si="393"/>
        <v>3215069.1150838062</v>
      </c>
      <c r="BG159" s="716"/>
      <c r="BH159" s="716">
        <f t="shared" si="394"/>
        <v>3215069.1150838062</v>
      </c>
      <c r="BI159" s="716"/>
      <c r="BJ159" s="716">
        <f t="shared" si="395"/>
        <v>3215069.1150838062</v>
      </c>
      <c r="BK159" s="716"/>
      <c r="BL159" s="716">
        <f t="shared" si="396"/>
        <v>3215069.1150838062</v>
      </c>
      <c r="BM159" s="716"/>
      <c r="BN159" s="716">
        <f t="shared" si="371"/>
        <v>3215069.1150838062</v>
      </c>
      <c r="BO159" s="716"/>
      <c r="BP159" s="716">
        <f t="shared" si="397"/>
        <v>3215069.1150838062</v>
      </c>
      <c r="BQ159" s="716"/>
      <c r="BR159" s="716">
        <f t="shared" si="398"/>
        <v>3215069.1150838062</v>
      </c>
      <c r="BS159" s="716"/>
      <c r="BT159" s="716">
        <f t="shared" si="399"/>
        <v>3215069.1150838062</v>
      </c>
      <c r="BU159" s="716"/>
      <c r="BV159" s="716">
        <f t="shared" si="372"/>
        <v>3215069.1150838062</v>
      </c>
      <c r="BW159" s="716"/>
      <c r="BX159" s="716">
        <f t="shared" si="489"/>
        <v>31400</v>
      </c>
      <c r="BY159" s="716">
        <f t="shared" si="400"/>
        <v>3246469.1150838062</v>
      </c>
      <c r="BZ159" s="716"/>
      <c r="CA159" s="716">
        <f t="shared" si="401"/>
        <v>3246469.1150838062</v>
      </c>
      <c r="CB159" s="1135">
        <f t="shared" si="402"/>
        <v>3246469.1150838062</v>
      </c>
      <c r="CC159" s="1164">
        <f t="shared" si="446"/>
        <v>3246469.1150838062</v>
      </c>
      <c r="CD159" s="1164"/>
      <c r="CE159" s="1164">
        <f t="shared" si="403"/>
        <v>0</v>
      </c>
      <c r="CF159" s="1164">
        <f t="shared" si="448"/>
        <v>0</v>
      </c>
      <c r="CG159" s="1164">
        <f t="shared" si="449"/>
        <v>0</v>
      </c>
      <c r="CH159" s="1154">
        <f t="shared" si="339"/>
        <v>3246469.1150838062</v>
      </c>
      <c r="CI159" s="935">
        <f t="shared" si="340"/>
        <v>3246469.1150838062</v>
      </c>
      <c r="CJ159" s="935">
        <f t="shared" si="404"/>
        <v>0</v>
      </c>
      <c r="CK159" s="935">
        <f t="shared" si="373"/>
        <v>332763.08429609012</v>
      </c>
      <c r="CL159" s="935">
        <f t="shared" si="374"/>
        <v>113626.41902793323</v>
      </c>
      <c r="CM159" s="1006">
        <f t="shared" si="461"/>
        <v>3692858.6184078297</v>
      </c>
      <c r="CN159" s="1007">
        <f t="shared" si="462"/>
        <v>0.125</v>
      </c>
      <c r="CO159" s="935">
        <f t="shared" si="498"/>
        <v>461607.32730097871</v>
      </c>
      <c r="CP159" s="935">
        <f t="shared" si="490"/>
        <v>30000</v>
      </c>
      <c r="CQ159" s="935">
        <f t="shared" si="499"/>
        <v>431607.32730097871</v>
      </c>
      <c r="CR159" s="745">
        <f t="shared" si="463"/>
        <v>2</v>
      </c>
      <c r="CS159" s="935">
        <f t="shared" si="500"/>
        <v>215803.66365048935</v>
      </c>
      <c r="CT159" s="1007">
        <f t="shared" si="405"/>
        <v>0.875</v>
      </c>
      <c r="CU159" s="935">
        <f t="shared" si="406"/>
        <v>3231251.2911068508</v>
      </c>
      <c r="CV159" s="1008">
        <f t="shared" si="407"/>
        <v>25051.856867122558</v>
      </c>
      <c r="CW159" s="1008">
        <f t="shared" si="408"/>
        <v>29043.40010675243</v>
      </c>
      <c r="CX159" s="1008">
        <f t="shared" si="409"/>
        <v>37517.567338363195</v>
      </c>
      <c r="CY159" s="1008">
        <f t="shared" si="410"/>
        <v>63982.64834896753</v>
      </c>
      <c r="CZ159" s="1119">
        <f t="shared" si="411"/>
        <v>262484.81295499904</v>
      </c>
      <c r="DA159" s="1119">
        <f t="shared" si="412"/>
        <v>103863.96184935878</v>
      </c>
      <c r="DB159" s="1119">
        <f t="shared" si="413"/>
        <v>75019.468598288062</v>
      </c>
      <c r="DC159" s="1119">
        <f t="shared" si="414"/>
        <v>57093.269321254353</v>
      </c>
      <c r="DD159" s="1028">
        <f t="shared" si="451"/>
        <v>0.45920469819332638</v>
      </c>
      <c r="DE159" s="1028">
        <f t="shared" si="341"/>
        <v>0</v>
      </c>
      <c r="DF159" s="1009" t="s">
        <v>270</v>
      </c>
      <c r="DG159" s="1009" t="s">
        <v>271</v>
      </c>
      <c r="DH159" s="966">
        <f t="shared" si="447"/>
        <v>45658</v>
      </c>
      <c r="DI159" s="912">
        <f t="shared" si="415"/>
        <v>14</v>
      </c>
      <c r="DJ159" s="939"/>
      <c r="DK159" s="913">
        <f t="shared" si="375"/>
        <v>45723</v>
      </c>
      <c r="DL159" s="912">
        <f t="shared" si="416"/>
        <v>16</v>
      </c>
      <c r="DM159" s="750" t="s">
        <v>272</v>
      </c>
      <c r="DN159" s="750" t="s">
        <v>273</v>
      </c>
      <c r="DO159" s="751">
        <f t="shared" si="376"/>
        <v>46755.387452411414</v>
      </c>
      <c r="DP159" s="751">
        <f t="shared" si="377"/>
        <v>1028618.5239530511</v>
      </c>
      <c r="DQ159" s="752">
        <f t="shared" si="452"/>
        <v>0.51430926197652549</v>
      </c>
      <c r="DR159" s="503"/>
      <c r="DS159" s="751">
        <f t="shared" si="453"/>
        <v>3246469.1150838062</v>
      </c>
      <c r="DT159" s="751">
        <f>'[4]INTERNAL PRICELIST'!N153</f>
        <v>0</v>
      </c>
      <c r="DU159" s="751">
        <f t="shared" si="378"/>
        <v>3246469.1150838062</v>
      </c>
      <c r="DV159" s="503"/>
      <c r="DW159" s="951">
        <f t="shared" si="454"/>
        <v>147566.77795835483</v>
      </c>
      <c r="DX159" s="503"/>
      <c r="DZ159" s="1010" t="s">
        <v>605</v>
      </c>
      <c r="EA159" s="1052" t="b">
        <f t="shared" si="379"/>
        <v>1</v>
      </c>
      <c r="EB159" s="1072" t="s">
        <v>606</v>
      </c>
      <c r="EC159" s="1072" t="s">
        <v>580</v>
      </c>
      <c r="ED159" s="503"/>
      <c r="EH159" s="930"/>
      <c r="EI159" s="930"/>
      <c r="EJ159" s="503"/>
      <c r="EK159" s="503"/>
      <c r="EL159" s="503"/>
      <c r="EM159" s="503"/>
      <c r="EN159" s="503"/>
      <c r="EO159" s="503"/>
      <c r="EP159" s="503"/>
      <c r="EQ159" s="503"/>
      <c r="ER159" s="1017" t="s">
        <v>264</v>
      </c>
      <c r="ES159" s="1391" t="s">
        <v>264</v>
      </c>
      <c r="ET159" s="1018" t="b">
        <f t="shared" si="417"/>
        <v>1</v>
      </c>
      <c r="EU159" s="940"/>
      <c r="EV159" s="941"/>
      <c r="EW159" s="940"/>
      <c r="EX159" s="1019">
        <v>3041274.4276836314</v>
      </c>
      <c r="EY159" s="1019">
        <f t="shared" si="464"/>
        <v>456191.16415254469</v>
      </c>
      <c r="EZ159" s="1019">
        <f t="shared" si="465"/>
        <v>2585083.2635310865</v>
      </c>
      <c r="FA159" s="1019">
        <f t="shared" si="466"/>
        <v>304127.44276836317</v>
      </c>
      <c r="FB159" s="1019">
        <f t="shared" si="467"/>
        <v>2737146.9849152681</v>
      </c>
      <c r="FC159" s="1019">
        <f t="shared" si="468"/>
        <v>152063.72138418164</v>
      </c>
      <c r="FD159" s="1020"/>
      <c r="FE159" s="1021"/>
      <c r="FF159" s="1022">
        <f t="shared" si="469"/>
        <v>2585083.2635310865</v>
      </c>
      <c r="FG159" s="1022">
        <f t="shared" si="470"/>
        <v>219732.07740014236</v>
      </c>
      <c r="FH159" s="1022">
        <f t="shared" si="471"/>
        <v>109866.03870007118</v>
      </c>
      <c r="FI159" s="1023">
        <f t="shared" si="472"/>
        <v>2737146.9849152681</v>
      </c>
      <c r="FJ159" s="1023">
        <f t="shared" si="473"/>
        <v>232657.4937177978</v>
      </c>
      <c r="FK159" s="1023">
        <f t="shared" si="474"/>
        <v>116328.7468588989</v>
      </c>
      <c r="FL159" s="1019">
        <f t="shared" si="475"/>
        <v>12925.416317655443</v>
      </c>
      <c r="FM159" s="1019">
        <f t="shared" si="476"/>
        <v>6462.7081588277215</v>
      </c>
      <c r="FN159" s="1019" t="str">
        <f t="shared" si="477"/>
        <v>VS</v>
      </c>
      <c r="FO159" s="1019">
        <f t="shared" si="478"/>
        <v>27537.409960060559</v>
      </c>
      <c r="FP159" s="1019">
        <f t="shared" si="479"/>
        <v>-21074.701801232837</v>
      </c>
      <c r="FQ159" s="1021"/>
      <c r="FR159" s="1021"/>
      <c r="FS159" s="1020"/>
      <c r="FT159" s="503"/>
      <c r="FU159" s="956"/>
      <c r="FV159" s="503"/>
      <c r="FW159" s="503"/>
      <c r="FX159" s="1040"/>
      <c r="FY159" s="503"/>
      <c r="FZ159" s="503"/>
      <c r="GA159" s="503"/>
      <c r="GG159" s="956"/>
      <c r="GH159" s="945"/>
      <c r="GI159" s="1024">
        <f t="shared" si="418"/>
        <v>3692858.6184078297</v>
      </c>
      <c r="GJ159" s="1025">
        <f t="shared" si="419"/>
        <v>0.125</v>
      </c>
      <c r="GK159" s="1024">
        <f t="shared" si="420"/>
        <v>461607.32730097871</v>
      </c>
      <c r="GL159" s="1024">
        <f t="shared" si="421"/>
        <v>30000</v>
      </c>
      <c r="GM159" s="1024">
        <f t="shared" si="422"/>
        <v>431607.32730097871</v>
      </c>
      <c r="GN159" s="1024">
        <f t="shared" si="423"/>
        <v>2</v>
      </c>
      <c r="GO159" s="1024">
        <f t="shared" si="424"/>
        <v>215803.66365048935</v>
      </c>
      <c r="GP159" s="1025">
        <f t="shared" si="425"/>
        <v>0.875</v>
      </c>
      <c r="GQ159" s="1024">
        <f t="shared" si="426"/>
        <v>3231251.2911068508</v>
      </c>
      <c r="GR159" s="1024">
        <f t="shared" si="427"/>
        <v>25051.856867122558</v>
      </c>
      <c r="GS159" s="1024">
        <f t="shared" si="428"/>
        <v>29043.40010675243</v>
      </c>
      <c r="GT159" s="1024">
        <f t="shared" si="429"/>
        <v>37517.567338363195</v>
      </c>
      <c r="GU159" s="1024">
        <f t="shared" si="430"/>
        <v>63982.64834896753</v>
      </c>
      <c r="GV159" s="945"/>
      <c r="GW159" s="1024">
        <f t="shared" si="431"/>
        <v>3692858.6184078297</v>
      </c>
      <c r="GX159" s="1025">
        <f t="shared" si="432"/>
        <v>0.125</v>
      </c>
      <c r="GY159" s="1024">
        <f t="shared" si="433"/>
        <v>461607.32730097871</v>
      </c>
      <c r="GZ159" s="1024">
        <f t="shared" si="434"/>
        <v>30000</v>
      </c>
      <c r="HA159" s="1024">
        <f t="shared" si="435"/>
        <v>431607.32730097871</v>
      </c>
      <c r="HB159" s="1026">
        <f t="shared" si="436"/>
        <v>25</v>
      </c>
      <c r="HC159" s="1009">
        <f t="shared" si="437"/>
        <v>17264.293092039148</v>
      </c>
      <c r="HD159" s="1027">
        <f t="shared" si="438"/>
        <v>0.875</v>
      </c>
      <c r="HE159" s="1009">
        <f t="shared" si="439"/>
        <v>3231251.2911068508</v>
      </c>
      <c r="HF159" s="1008">
        <f t="shared" si="440"/>
        <v>25051.856867122558</v>
      </c>
      <c r="HG159" s="1008">
        <f t="shared" si="441"/>
        <v>29043.40010675243</v>
      </c>
      <c r="HH159" s="1008">
        <f t="shared" si="442"/>
        <v>37517.567338363195</v>
      </c>
      <c r="HI159" s="1008">
        <f t="shared" si="443"/>
        <v>63982.64834896753</v>
      </c>
      <c r="HJ159" s="945"/>
      <c r="HK159" s="1009">
        <f t="shared" si="444"/>
        <v>-198539.3705584502</v>
      </c>
      <c r="HL159" s="503"/>
      <c r="HM159" s="503"/>
      <c r="HN159" s="503"/>
      <c r="HO159" s="503"/>
      <c r="HP159" s="503"/>
      <c r="HQ159" s="503"/>
      <c r="HR159" s="956">
        <f t="shared" si="445"/>
        <v>0</v>
      </c>
      <c r="HS159" s="503"/>
      <c r="HT159" s="503"/>
      <c r="HU159" s="956"/>
      <c r="HV159" s="503"/>
      <c r="HW159" s="956"/>
      <c r="HX159" s="956"/>
      <c r="HY159" s="503"/>
      <c r="HZ159" s="503"/>
      <c r="IA159" s="503"/>
      <c r="ID159" s="1394"/>
    </row>
    <row r="160" spans="1:238" s="1051" customFormat="1" ht="14.25" hidden="1" customHeight="1">
      <c r="A160" s="1018">
        <f t="shared" si="480"/>
        <v>154</v>
      </c>
      <c r="B160" s="716" t="s">
        <v>264</v>
      </c>
      <c r="C160" s="741">
        <f t="shared" si="487"/>
        <v>16</v>
      </c>
      <c r="D160" s="716" t="s">
        <v>290</v>
      </c>
      <c r="E160" s="743" t="str">
        <f t="shared" si="352"/>
        <v>10th Floor</v>
      </c>
      <c r="F160" s="1048"/>
      <c r="G160" s="745" t="s">
        <v>607</v>
      </c>
      <c r="H160" s="745" t="s">
        <v>345</v>
      </c>
      <c r="I160" s="745" t="s">
        <v>267</v>
      </c>
      <c r="J160" s="1005">
        <v>22</v>
      </c>
      <c r="K160" s="1049"/>
      <c r="L160" s="1006" t="s">
        <v>268</v>
      </c>
      <c r="M160" s="745" t="s">
        <v>79</v>
      </c>
      <c r="N160" s="1050">
        <v>95909.091</v>
      </c>
      <c r="O160" s="934">
        <f t="shared" si="455"/>
        <v>2110000.0019999999</v>
      </c>
      <c r="P160" s="934">
        <f t="shared" si="481"/>
        <v>22400</v>
      </c>
      <c r="Q160" s="934">
        <f t="shared" si="450"/>
        <v>50000</v>
      </c>
      <c r="R160" s="934"/>
      <c r="S160" s="934"/>
      <c r="T160" s="934"/>
      <c r="U160" s="934"/>
      <c r="V160" s="749"/>
      <c r="W160" s="934"/>
      <c r="X160" s="934"/>
      <c r="Y160" s="934">
        <f t="shared" si="488"/>
        <v>120000</v>
      </c>
      <c r="Z160" s="934">
        <f t="shared" si="456"/>
        <v>75000</v>
      </c>
      <c r="AA160" s="934"/>
      <c r="AB160" s="934"/>
      <c r="AC160" s="934"/>
      <c r="AD160" s="934"/>
      <c r="AE160" s="934">
        <f t="shared" si="365"/>
        <v>267400</v>
      </c>
      <c r="AF160" s="1005">
        <f t="shared" si="366"/>
        <v>2377400.0019999999</v>
      </c>
      <c r="AG160" s="1005">
        <f t="shared" si="380"/>
        <v>59435.000050000002</v>
      </c>
      <c r="AH160" s="1005">
        <f t="shared" si="381"/>
        <v>2436835.0020499998</v>
      </c>
      <c r="AI160" s="1005">
        <f t="shared" si="382"/>
        <v>60920.875051249997</v>
      </c>
      <c r="AJ160" s="1005">
        <f t="shared" si="383"/>
        <v>2497755.87710125</v>
      </c>
      <c r="AK160" s="1005">
        <f t="shared" si="384"/>
        <v>124887.79385506251</v>
      </c>
      <c r="AL160" s="1005">
        <f t="shared" si="457"/>
        <v>2622643.6709563127</v>
      </c>
      <c r="AM160" s="934">
        <f t="shared" si="385"/>
        <v>26226.436709563128</v>
      </c>
      <c r="AN160" s="934">
        <f t="shared" si="386"/>
        <v>27537.409960060559</v>
      </c>
      <c r="AO160" s="934"/>
      <c r="AP160" s="934">
        <f t="shared" si="458"/>
        <v>116328.7468588989</v>
      </c>
      <c r="AQ160" s="1005">
        <f t="shared" si="367"/>
        <v>2792736.2644848353</v>
      </c>
      <c r="AR160" s="1005">
        <f t="shared" si="387"/>
        <v>125673.13190181759</v>
      </c>
      <c r="AS160" s="1147">
        <f t="shared" si="388"/>
        <v>2918409.3963866527</v>
      </c>
      <c r="AT160" s="1148">
        <f t="shared" si="459"/>
        <v>2000000</v>
      </c>
      <c r="AU160" s="1148">
        <f t="shared" si="358"/>
        <v>41745.881653938763</v>
      </c>
      <c r="AV160" s="1148">
        <f t="shared" si="460"/>
        <v>918409.39638665272</v>
      </c>
      <c r="AW160" s="1148">
        <f t="shared" si="368"/>
        <v>110209.12756639833</v>
      </c>
      <c r="AX160" s="1148">
        <f t="shared" si="369"/>
        <v>1028618.5239530511</v>
      </c>
      <c r="AY160" s="1147">
        <f t="shared" si="389"/>
        <v>3028618.5239530508</v>
      </c>
      <c r="AZ160" s="934">
        <f t="shared" si="390"/>
        <v>37857.73154941314</v>
      </c>
      <c r="BA160" s="716" t="s">
        <v>269</v>
      </c>
      <c r="BB160" s="716">
        <f t="shared" si="370"/>
        <v>3066476.2555024638</v>
      </c>
      <c r="BC160" s="716" t="s">
        <v>269</v>
      </c>
      <c r="BD160" s="716">
        <f t="shared" si="391"/>
        <v>114992.85958134239</v>
      </c>
      <c r="BE160" s="716">
        <f t="shared" si="392"/>
        <v>33600</v>
      </c>
      <c r="BF160" s="716">
        <f t="shared" si="393"/>
        <v>3215069.1150838062</v>
      </c>
      <c r="BG160" s="716"/>
      <c r="BH160" s="716">
        <f t="shared" si="394"/>
        <v>3215069.1150838062</v>
      </c>
      <c r="BI160" s="716"/>
      <c r="BJ160" s="716">
        <f t="shared" si="395"/>
        <v>3215069.1150838062</v>
      </c>
      <c r="BK160" s="716"/>
      <c r="BL160" s="716">
        <f t="shared" si="396"/>
        <v>3215069.1150838062</v>
      </c>
      <c r="BM160" s="716"/>
      <c r="BN160" s="716">
        <f t="shared" si="371"/>
        <v>3215069.1150838062</v>
      </c>
      <c r="BO160" s="716"/>
      <c r="BP160" s="716">
        <f t="shared" si="397"/>
        <v>3215069.1150838062</v>
      </c>
      <c r="BQ160" s="716"/>
      <c r="BR160" s="716">
        <f t="shared" si="398"/>
        <v>3215069.1150838062</v>
      </c>
      <c r="BS160" s="716"/>
      <c r="BT160" s="716">
        <f t="shared" si="399"/>
        <v>3215069.1150838062</v>
      </c>
      <c r="BU160" s="716"/>
      <c r="BV160" s="716">
        <f t="shared" si="372"/>
        <v>3215069.1150838062</v>
      </c>
      <c r="BW160" s="716"/>
      <c r="BX160" s="716">
        <f t="shared" si="489"/>
        <v>31400</v>
      </c>
      <c r="BY160" s="716">
        <f t="shared" si="400"/>
        <v>3246469.1150838062</v>
      </c>
      <c r="BZ160" s="716"/>
      <c r="CA160" s="716">
        <f t="shared" si="401"/>
        <v>3246469.1150838062</v>
      </c>
      <c r="CB160" s="1135">
        <f t="shared" si="402"/>
        <v>3246469.1150838062</v>
      </c>
      <c r="CC160" s="1164">
        <f t="shared" si="446"/>
        <v>3246469.1150838062</v>
      </c>
      <c r="CD160" s="1164"/>
      <c r="CE160" s="1164">
        <f t="shared" si="403"/>
        <v>0</v>
      </c>
      <c r="CF160" s="1164">
        <f t="shared" si="448"/>
        <v>0</v>
      </c>
      <c r="CG160" s="1164">
        <f t="shared" si="449"/>
        <v>0</v>
      </c>
      <c r="CH160" s="1154">
        <f t="shared" si="339"/>
        <v>3246469.1150838062</v>
      </c>
      <c r="CI160" s="935">
        <f t="shared" si="340"/>
        <v>3246469.1150838062</v>
      </c>
      <c r="CJ160" s="935">
        <f t="shared" si="404"/>
        <v>0</v>
      </c>
      <c r="CK160" s="935">
        <f t="shared" si="373"/>
        <v>332763.08429609012</v>
      </c>
      <c r="CL160" s="935">
        <f t="shared" si="374"/>
        <v>113626.41902793323</v>
      </c>
      <c r="CM160" s="1006">
        <f t="shared" si="461"/>
        <v>3692858.6184078297</v>
      </c>
      <c r="CN160" s="1007">
        <f t="shared" si="462"/>
        <v>0.125</v>
      </c>
      <c r="CO160" s="935">
        <f t="shared" si="498"/>
        <v>461607.32730097871</v>
      </c>
      <c r="CP160" s="935">
        <f t="shared" si="490"/>
        <v>30000</v>
      </c>
      <c r="CQ160" s="935">
        <f t="shared" si="499"/>
        <v>431607.32730097871</v>
      </c>
      <c r="CR160" s="745">
        <f t="shared" si="463"/>
        <v>2</v>
      </c>
      <c r="CS160" s="935">
        <f t="shared" si="500"/>
        <v>215803.66365048935</v>
      </c>
      <c r="CT160" s="1007">
        <f t="shared" si="405"/>
        <v>0.875</v>
      </c>
      <c r="CU160" s="935">
        <f t="shared" si="406"/>
        <v>3231251.2911068508</v>
      </c>
      <c r="CV160" s="1008">
        <f t="shared" si="407"/>
        <v>25051.856867122558</v>
      </c>
      <c r="CW160" s="1008">
        <f t="shared" si="408"/>
        <v>29043.40010675243</v>
      </c>
      <c r="CX160" s="1008">
        <f t="shared" si="409"/>
        <v>37517.567338363195</v>
      </c>
      <c r="CY160" s="1008">
        <f t="shared" si="410"/>
        <v>63982.64834896753</v>
      </c>
      <c r="CZ160" s="1119">
        <f t="shared" si="411"/>
        <v>262484.81295499904</v>
      </c>
      <c r="DA160" s="1119">
        <f t="shared" si="412"/>
        <v>103863.96184935878</v>
      </c>
      <c r="DB160" s="1119">
        <f t="shared" si="413"/>
        <v>75019.468598288062</v>
      </c>
      <c r="DC160" s="1119">
        <f t="shared" si="414"/>
        <v>57093.269321254353</v>
      </c>
      <c r="DD160" s="1028">
        <f t="shared" si="451"/>
        <v>0.45920469819332638</v>
      </c>
      <c r="DE160" s="1028">
        <f t="shared" si="341"/>
        <v>0</v>
      </c>
      <c r="DF160" s="1009" t="s">
        <v>270</v>
      </c>
      <c r="DG160" s="1009" t="s">
        <v>271</v>
      </c>
      <c r="DH160" s="966">
        <f t="shared" si="447"/>
        <v>45658</v>
      </c>
      <c r="DI160" s="912">
        <f t="shared" si="415"/>
        <v>14</v>
      </c>
      <c r="DJ160" s="939"/>
      <c r="DK160" s="913">
        <f t="shared" si="375"/>
        <v>45723</v>
      </c>
      <c r="DL160" s="912">
        <f t="shared" si="416"/>
        <v>16</v>
      </c>
      <c r="DM160" s="750" t="s">
        <v>272</v>
      </c>
      <c r="DN160" s="750" t="s">
        <v>273</v>
      </c>
      <c r="DO160" s="751">
        <f t="shared" si="376"/>
        <v>46755.387452411414</v>
      </c>
      <c r="DP160" s="751">
        <f t="shared" si="377"/>
        <v>1028618.5239530511</v>
      </c>
      <c r="DQ160" s="752">
        <f t="shared" si="452"/>
        <v>0.51430926197652549</v>
      </c>
      <c r="DR160" s="503"/>
      <c r="DS160" s="751">
        <f t="shared" si="453"/>
        <v>3246469.1150838062</v>
      </c>
      <c r="DT160" s="751">
        <f>'[4]INTERNAL PRICELIST'!N154</f>
        <v>0</v>
      </c>
      <c r="DU160" s="751">
        <f t="shared" si="378"/>
        <v>3246469.1150838062</v>
      </c>
      <c r="DV160" s="503"/>
      <c r="DW160" s="951">
        <f t="shared" si="454"/>
        <v>147566.77795835483</v>
      </c>
      <c r="DX160" s="503"/>
      <c r="DZ160" s="1010" t="s">
        <v>607</v>
      </c>
      <c r="EA160" s="1052" t="b">
        <f t="shared" si="379"/>
        <v>1</v>
      </c>
      <c r="EB160" s="1072" t="s">
        <v>608</v>
      </c>
      <c r="EC160" s="1072" t="s">
        <v>580</v>
      </c>
      <c r="ED160" s="503"/>
      <c r="EH160" s="930"/>
      <c r="EI160" s="930"/>
      <c r="EJ160" s="503"/>
      <c r="EK160" s="503"/>
      <c r="EL160" s="503"/>
      <c r="EM160" s="503"/>
      <c r="EN160" s="503"/>
      <c r="EO160" s="503"/>
      <c r="EP160" s="503"/>
      <c r="EQ160" s="503"/>
      <c r="ER160" s="1017" t="s">
        <v>264</v>
      </c>
      <c r="ES160" s="1391" t="s">
        <v>264</v>
      </c>
      <c r="ET160" s="1018" t="b">
        <f t="shared" si="417"/>
        <v>1</v>
      </c>
      <c r="EU160" s="940"/>
      <c r="EV160" s="941"/>
      <c r="EW160" s="940"/>
      <c r="EX160" s="1019">
        <v>3041274.4276836314</v>
      </c>
      <c r="EY160" s="1019">
        <f t="shared" si="464"/>
        <v>456191.16415254469</v>
      </c>
      <c r="EZ160" s="1019">
        <f t="shared" si="465"/>
        <v>2585083.2635310865</v>
      </c>
      <c r="FA160" s="1019">
        <f t="shared" si="466"/>
        <v>304127.44276836317</v>
      </c>
      <c r="FB160" s="1019">
        <f t="shared" si="467"/>
        <v>2737146.9849152681</v>
      </c>
      <c r="FC160" s="1019">
        <f t="shared" si="468"/>
        <v>152063.72138418164</v>
      </c>
      <c r="FD160" s="1020"/>
      <c r="FE160" s="1021"/>
      <c r="FF160" s="1022">
        <f t="shared" si="469"/>
        <v>2585083.2635310865</v>
      </c>
      <c r="FG160" s="1022">
        <f t="shared" si="470"/>
        <v>219732.07740014236</v>
      </c>
      <c r="FH160" s="1022">
        <f t="shared" si="471"/>
        <v>109866.03870007118</v>
      </c>
      <c r="FI160" s="1023">
        <f t="shared" si="472"/>
        <v>2737146.9849152681</v>
      </c>
      <c r="FJ160" s="1023">
        <f t="shared" si="473"/>
        <v>232657.4937177978</v>
      </c>
      <c r="FK160" s="1023">
        <f t="shared" si="474"/>
        <v>116328.7468588989</v>
      </c>
      <c r="FL160" s="1019">
        <f t="shared" si="475"/>
        <v>12925.416317655443</v>
      </c>
      <c r="FM160" s="1019">
        <f t="shared" si="476"/>
        <v>6462.7081588277215</v>
      </c>
      <c r="FN160" s="1019" t="str">
        <f t="shared" si="477"/>
        <v>VS</v>
      </c>
      <c r="FO160" s="1019">
        <f t="shared" si="478"/>
        <v>27537.409960060559</v>
      </c>
      <c r="FP160" s="1019">
        <f t="shared" si="479"/>
        <v>-21074.701801232837</v>
      </c>
      <c r="FQ160" s="1021"/>
      <c r="FR160" s="1021"/>
      <c r="FS160" s="1020"/>
      <c r="FT160" s="503"/>
      <c r="FU160" s="956"/>
      <c r="FV160" s="503"/>
      <c r="FW160" s="503"/>
      <c r="FX160" s="1040"/>
      <c r="FY160" s="503"/>
      <c r="FZ160" s="503"/>
      <c r="GA160" s="503"/>
      <c r="GG160" s="956"/>
      <c r="GH160" s="945"/>
      <c r="GI160" s="1024">
        <f t="shared" si="418"/>
        <v>3692858.6184078297</v>
      </c>
      <c r="GJ160" s="1025">
        <f t="shared" si="419"/>
        <v>0.125</v>
      </c>
      <c r="GK160" s="1024">
        <f t="shared" si="420"/>
        <v>461607.32730097871</v>
      </c>
      <c r="GL160" s="1024">
        <f t="shared" si="421"/>
        <v>30000</v>
      </c>
      <c r="GM160" s="1024">
        <f t="shared" si="422"/>
        <v>431607.32730097871</v>
      </c>
      <c r="GN160" s="1024">
        <f t="shared" si="423"/>
        <v>2</v>
      </c>
      <c r="GO160" s="1024">
        <f t="shared" si="424"/>
        <v>215803.66365048935</v>
      </c>
      <c r="GP160" s="1025">
        <f t="shared" si="425"/>
        <v>0.875</v>
      </c>
      <c r="GQ160" s="1024">
        <f t="shared" si="426"/>
        <v>3231251.2911068508</v>
      </c>
      <c r="GR160" s="1024">
        <f t="shared" si="427"/>
        <v>25051.856867122558</v>
      </c>
      <c r="GS160" s="1024">
        <f t="shared" si="428"/>
        <v>29043.40010675243</v>
      </c>
      <c r="GT160" s="1024">
        <f t="shared" si="429"/>
        <v>37517.567338363195</v>
      </c>
      <c r="GU160" s="1024">
        <f t="shared" si="430"/>
        <v>63982.64834896753</v>
      </c>
      <c r="GV160" s="945"/>
      <c r="GW160" s="1024">
        <f t="shared" si="431"/>
        <v>3692858.6184078297</v>
      </c>
      <c r="GX160" s="1025">
        <f t="shared" si="432"/>
        <v>0.125</v>
      </c>
      <c r="GY160" s="1024">
        <f t="shared" si="433"/>
        <v>461607.32730097871</v>
      </c>
      <c r="GZ160" s="1024">
        <f t="shared" si="434"/>
        <v>30000</v>
      </c>
      <c r="HA160" s="1024">
        <f t="shared" si="435"/>
        <v>431607.32730097871</v>
      </c>
      <c r="HB160" s="1026">
        <f t="shared" si="436"/>
        <v>25</v>
      </c>
      <c r="HC160" s="1009">
        <f t="shared" si="437"/>
        <v>17264.293092039148</v>
      </c>
      <c r="HD160" s="1027">
        <f t="shared" si="438"/>
        <v>0.875</v>
      </c>
      <c r="HE160" s="1009">
        <f t="shared" si="439"/>
        <v>3231251.2911068508</v>
      </c>
      <c r="HF160" s="1008">
        <f t="shared" si="440"/>
        <v>25051.856867122558</v>
      </c>
      <c r="HG160" s="1008">
        <f t="shared" si="441"/>
        <v>29043.40010675243</v>
      </c>
      <c r="HH160" s="1008">
        <f t="shared" si="442"/>
        <v>37517.567338363195</v>
      </c>
      <c r="HI160" s="1008">
        <f t="shared" si="443"/>
        <v>63982.64834896753</v>
      </c>
      <c r="HJ160" s="945"/>
      <c r="HK160" s="1009">
        <f t="shared" si="444"/>
        <v>-198539.3705584502</v>
      </c>
      <c r="HL160" s="503"/>
      <c r="HM160" s="503"/>
      <c r="HN160" s="503"/>
      <c r="HO160" s="503"/>
      <c r="HP160" s="503"/>
      <c r="HQ160" s="503"/>
      <c r="HR160" s="956">
        <f t="shared" si="445"/>
        <v>0</v>
      </c>
      <c r="HS160" s="503"/>
      <c r="HT160" s="503"/>
      <c r="HU160" s="956"/>
      <c r="HV160" s="503"/>
      <c r="HW160" s="956"/>
      <c r="HX160" s="956"/>
      <c r="HY160" s="503"/>
      <c r="HZ160" s="503"/>
      <c r="IA160" s="503"/>
      <c r="ID160" s="1394"/>
    </row>
    <row r="161" spans="1:238" s="1051" customFormat="1" ht="14.25" customHeight="1">
      <c r="A161" s="1018">
        <f t="shared" si="480"/>
        <v>155</v>
      </c>
      <c r="B161" s="716" t="s">
        <v>264</v>
      </c>
      <c r="C161" s="741">
        <f t="shared" si="487"/>
        <v>17</v>
      </c>
      <c r="D161" s="716" t="s">
        <v>290</v>
      </c>
      <c r="E161" s="743" t="str">
        <f t="shared" si="352"/>
        <v>10th Floor</v>
      </c>
      <c r="F161" s="1048"/>
      <c r="G161" s="745" t="s">
        <v>609</v>
      </c>
      <c r="H161" s="745" t="s">
        <v>349</v>
      </c>
      <c r="I161" s="745" t="s">
        <v>267</v>
      </c>
      <c r="J161" s="1005">
        <v>22</v>
      </c>
      <c r="K161" s="1049"/>
      <c r="L161" s="1006" t="s">
        <v>268</v>
      </c>
      <c r="M161" s="745" t="s">
        <v>79</v>
      </c>
      <c r="N161" s="1050">
        <v>95909.091</v>
      </c>
      <c r="O161" s="934">
        <f t="shared" si="455"/>
        <v>2110000.0019999999</v>
      </c>
      <c r="P161" s="934">
        <f t="shared" si="481"/>
        <v>22400</v>
      </c>
      <c r="Q161" s="934">
        <f t="shared" si="450"/>
        <v>50000</v>
      </c>
      <c r="R161" s="934"/>
      <c r="S161" s="934"/>
      <c r="T161" s="934"/>
      <c r="U161" s="934"/>
      <c r="V161" s="749"/>
      <c r="W161" s="934"/>
      <c r="X161" s="934"/>
      <c r="Y161" s="934">
        <f t="shared" si="488"/>
        <v>120000</v>
      </c>
      <c r="Z161" s="934">
        <f t="shared" si="456"/>
        <v>75000</v>
      </c>
      <c r="AA161" s="934"/>
      <c r="AB161" s="934"/>
      <c r="AC161" s="934"/>
      <c r="AD161" s="934"/>
      <c r="AE161" s="934">
        <f t="shared" si="365"/>
        <v>267400</v>
      </c>
      <c r="AF161" s="1005">
        <f t="shared" si="366"/>
        <v>2377400.0019999999</v>
      </c>
      <c r="AG161" s="1005">
        <f t="shared" si="380"/>
        <v>59435.000050000002</v>
      </c>
      <c r="AH161" s="1005">
        <f t="shared" si="381"/>
        <v>2436835.0020499998</v>
      </c>
      <c r="AI161" s="1005">
        <f t="shared" si="382"/>
        <v>60920.875051249997</v>
      </c>
      <c r="AJ161" s="1005">
        <f t="shared" si="383"/>
        <v>2497755.87710125</v>
      </c>
      <c r="AK161" s="1005">
        <f t="shared" si="384"/>
        <v>124887.79385506251</v>
      </c>
      <c r="AL161" s="1005">
        <f t="shared" si="457"/>
        <v>2622643.6709563127</v>
      </c>
      <c r="AM161" s="934">
        <f t="shared" si="385"/>
        <v>26226.436709563128</v>
      </c>
      <c r="AN161" s="934">
        <f t="shared" si="386"/>
        <v>27537.409960060559</v>
      </c>
      <c r="AO161" s="934"/>
      <c r="AP161" s="934">
        <f t="shared" si="458"/>
        <v>116328.7468588989</v>
      </c>
      <c r="AQ161" s="1005">
        <f t="shared" si="367"/>
        <v>2792736.2644848353</v>
      </c>
      <c r="AR161" s="1005">
        <f t="shared" si="387"/>
        <v>125673.13190181759</v>
      </c>
      <c r="AS161" s="1147">
        <f t="shared" si="388"/>
        <v>2918409.3963866527</v>
      </c>
      <c r="AT161" s="1148">
        <f t="shared" si="459"/>
        <v>2000000</v>
      </c>
      <c r="AU161" s="1148">
        <f t="shared" si="358"/>
        <v>41745.881653938763</v>
      </c>
      <c r="AV161" s="1148">
        <f t="shared" si="460"/>
        <v>918409.39638665272</v>
      </c>
      <c r="AW161" s="1148">
        <f t="shared" si="368"/>
        <v>110209.12756639833</v>
      </c>
      <c r="AX161" s="1148">
        <f t="shared" si="369"/>
        <v>1028618.5239530511</v>
      </c>
      <c r="AY161" s="1147">
        <f t="shared" si="389"/>
        <v>3028618.5239530508</v>
      </c>
      <c r="AZ161" s="934">
        <f t="shared" si="390"/>
        <v>37857.73154941314</v>
      </c>
      <c r="BA161" s="716" t="s">
        <v>269</v>
      </c>
      <c r="BB161" s="716">
        <f t="shared" si="370"/>
        <v>3066476.2555024638</v>
      </c>
      <c r="BC161" s="716" t="s">
        <v>269</v>
      </c>
      <c r="BD161" s="716">
        <f t="shared" si="391"/>
        <v>114992.85958134239</v>
      </c>
      <c r="BE161" s="716">
        <f t="shared" si="392"/>
        <v>33600</v>
      </c>
      <c r="BF161" s="716">
        <f t="shared" si="393"/>
        <v>3215069.1150838062</v>
      </c>
      <c r="BG161" s="716"/>
      <c r="BH161" s="716">
        <f t="shared" si="394"/>
        <v>3215069.1150838062</v>
      </c>
      <c r="BI161" s="716"/>
      <c r="BJ161" s="716">
        <f t="shared" si="395"/>
        <v>3215069.1150838062</v>
      </c>
      <c r="BK161" s="716"/>
      <c r="BL161" s="716">
        <f t="shared" si="396"/>
        <v>3215069.1150838062</v>
      </c>
      <c r="BM161" s="716"/>
      <c r="BN161" s="716">
        <f t="shared" si="371"/>
        <v>3215069.1150838062</v>
      </c>
      <c r="BO161" s="716"/>
      <c r="BP161" s="716">
        <f t="shared" si="397"/>
        <v>3215069.1150838062</v>
      </c>
      <c r="BQ161" s="716"/>
      <c r="BR161" s="716">
        <f t="shared" si="398"/>
        <v>3215069.1150838062</v>
      </c>
      <c r="BS161" s="716"/>
      <c r="BT161" s="716">
        <f t="shared" si="399"/>
        <v>3215069.1150838062</v>
      </c>
      <c r="BU161" s="716"/>
      <c r="BV161" s="716">
        <f t="shared" si="372"/>
        <v>3215069.1150838062</v>
      </c>
      <c r="BW161" s="716"/>
      <c r="BX161" s="716">
        <f t="shared" si="489"/>
        <v>31400</v>
      </c>
      <c r="BY161" s="716">
        <f t="shared" si="400"/>
        <v>3246469.1150838062</v>
      </c>
      <c r="BZ161" s="716">
        <f>$BZ$5/20</f>
        <v>33654.337039807535</v>
      </c>
      <c r="CA161" s="716">
        <f t="shared" si="401"/>
        <v>3280123.4521236136</v>
      </c>
      <c r="CB161" s="1135">
        <f>CA161</f>
        <v>3280123.4521236136</v>
      </c>
      <c r="CC161" s="1164">
        <f t="shared" si="446"/>
        <v>3280123.4521236136</v>
      </c>
      <c r="CD161" s="1164"/>
      <c r="CE161" s="1164">
        <f t="shared" si="403"/>
        <v>0</v>
      </c>
      <c r="CF161" s="1164">
        <f t="shared" si="448"/>
        <v>0</v>
      </c>
      <c r="CG161" s="1164">
        <f t="shared" si="449"/>
        <v>0</v>
      </c>
      <c r="CH161" s="1154">
        <f t="shared" si="339"/>
        <v>3280123.4521236136</v>
      </c>
      <c r="CI161" s="935">
        <f t="shared" si="340"/>
        <v>3280123.4521236136</v>
      </c>
      <c r="CJ161" s="935">
        <f t="shared" si="404"/>
        <v>0</v>
      </c>
      <c r="CK161" s="935">
        <f t="shared" si="373"/>
        <v>336212.65384267038</v>
      </c>
      <c r="CL161" s="935">
        <f t="shared" si="374"/>
        <v>114804.32082432648</v>
      </c>
      <c r="CM161" s="1006">
        <f t="shared" si="461"/>
        <v>3731140.4267906104</v>
      </c>
      <c r="CN161" s="1007">
        <f t="shared" si="462"/>
        <v>0.125</v>
      </c>
      <c r="CO161" s="935">
        <f t="shared" si="498"/>
        <v>466392.5533488263</v>
      </c>
      <c r="CP161" s="935">
        <f t="shared" si="490"/>
        <v>30000</v>
      </c>
      <c r="CQ161" s="935">
        <f t="shared" si="499"/>
        <v>436392.5533488263</v>
      </c>
      <c r="CR161" s="745">
        <v>1</v>
      </c>
      <c r="CS161" s="935">
        <f t="shared" si="500"/>
        <v>436392.5533488263</v>
      </c>
      <c r="CT161" s="1007">
        <f t="shared" si="405"/>
        <v>0.875</v>
      </c>
      <c r="CU161" s="935">
        <f t="shared" si="406"/>
        <v>3264747.8734417842</v>
      </c>
      <c r="CV161" s="1008">
        <f t="shared" si="407"/>
        <v>25311.555513433996</v>
      </c>
      <c r="CW161" s="1008">
        <f t="shared" si="408"/>
        <v>29344.476858548169</v>
      </c>
      <c r="CX161" s="1008">
        <f t="shared" si="409"/>
        <v>37906.491061756249</v>
      </c>
      <c r="CY161" s="1008">
        <f t="shared" si="410"/>
        <v>64645.92082620471</v>
      </c>
      <c r="CZ161" s="1119">
        <f t="shared" si="411"/>
        <v>265205.84680743114</v>
      </c>
      <c r="DA161" s="1119">
        <f t="shared" si="412"/>
        <v>104940.66168984926</v>
      </c>
      <c r="DB161" s="1119">
        <f t="shared" si="413"/>
        <v>75797.153643564976</v>
      </c>
      <c r="DC161" s="1119">
        <f t="shared" si="414"/>
        <v>57685.123443480428</v>
      </c>
      <c r="DD161" s="1028">
        <f t="shared" si="451"/>
        <v>0.45920469819332638</v>
      </c>
      <c r="DE161" s="1028">
        <f t="shared" si="341"/>
        <v>0</v>
      </c>
      <c r="DF161" s="1009" t="s">
        <v>270</v>
      </c>
      <c r="DG161" s="1009" t="s">
        <v>271</v>
      </c>
      <c r="DH161" s="966">
        <f t="shared" si="447"/>
        <v>45658</v>
      </c>
      <c r="DI161" s="912">
        <f t="shared" si="415"/>
        <v>14</v>
      </c>
      <c r="DJ161" s="939"/>
      <c r="DK161" s="913">
        <f t="shared" si="375"/>
        <v>45723</v>
      </c>
      <c r="DL161" s="912">
        <f t="shared" si="416"/>
        <v>16</v>
      </c>
      <c r="DM161" s="750" t="s">
        <v>272</v>
      </c>
      <c r="DN161" s="750" t="s">
        <v>273</v>
      </c>
      <c r="DO161" s="751">
        <f t="shared" si="376"/>
        <v>46755.387452411414</v>
      </c>
      <c r="DP161" s="751">
        <f t="shared" si="377"/>
        <v>1028618.5239530511</v>
      </c>
      <c r="DQ161" s="752">
        <f t="shared" si="452"/>
        <v>0.51430926197652549</v>
      </c>
      <c r="DR161" s="503"/>
      <c r="DS161" s="751">
        <f t="shared" si="453"/>
        <v>3280123.4521236136</v>
      </c>
      <c r="DT161" s="751">
        <f>'[4]INTERNAL PRICELIST'!N155</f>
        <v>0</v>
      </c>
      <c r="DU161" s="751">
        <f t="shared" si="378"/>
        <v>3280123.4521236136</v>
      </c>
      <c r="DV161" s="503"/>
      <c r="DW161" s="951">
        <f t="shared" si="454"/>
        <v>149096.52055107334</v>
      </c>
      <c r="DX161" s="503"/>
      <c r="DZ161" s="1010" t="s">
        <v>609</v>
      </c>
      <c r="EA161" s="1052" t="b">
        <f t="shared" si="379"/>
        <v>1</v>
      </c>
      <c r="EB161" s="1072" t="s">
        <v>610</v>
      </c>
      <c r="EC161" s="1072" t="s">
        <v>580</v>
      </c>
      <c r="ED161" s="503"/>
      <c r="EH161" s="930"/>
      <c r="EI161" s="930"/>
      <c r="EJ161" s="503"/>
      <c r="EK161" s="503"/>
      <c r="EL161" s="503"/>
      <c r="EM161" s="503"/>
      <c r="EN161" s="503"/>
      <c r="EO161" s="503"/>
      <c r="EP161" s="503"/>
      <c r="EQ161" s="503"/>
      <c r="ER161" s="1017" t="s">
        <v>243</v>
      </c>
      <c r="ES161" s="1391" t="s">
        <v>243</v>
      </c>
      <c r="ET161" s="1018" t="b">
        <f t="shared" si="417"/>
        <v>1</v>
      </c>
      <c r="EU161" s="940"/>
      <c r="EV161" s="941"/>
      <c r="EW161" s="940"/>
      <c r="EX161" s="1019">
        <v>3041274.4276836314</v>
      </c>
      <c r="EY161" s="1019">
        <f t="shared" si="464"/>
        <v>456191.16415254469</v>
      </c>
      <c r="EZ161" s="1019">
        <f t="shared" si="465"/>
        <v>2585083.2635310865</v>
      </c>
      <c r="FA161" s="1019">
        <f t="shared" si="466"/>
        <v>304127.44276836317</v>
      </c>
      <c r="FB161" s="1019">
        <f t="shared" si="467"/>
        <v>2737146.9849152681</v>
      </c>
      <c r="FC161" s="1019">
        <f t="shared" si="468"/>
        <v>152063.72138418164</v>
      </c>
      <c r="FD161" s="1020"/>
      <c r="FE161" s="1021"/>
      <c r="FF161" s="1022">
        <f t="shared" si="469"/>
        <v>2585083.2635310865</v>
      </c>
      <c r="FG161" s="1022">
        <f t="shared" si="470"/>
        <v>219732.07740014236</v>
      </c>
      <c r="FH161" s="1022">
        <f t="shared" si="471"/>
        <v>109866.03870007118</v>
      </c>
      <c r="FI161" s="1023">
        <f t="shared" si="472"/>
        <v>2737146.9849152681</v>
      </c>
      <c r="FJ161" s="1023">
        <f t="shared" si="473"/>
        <v>232657.4937177978</v>
      </c>
      <c r="FK161" s="1023">
        <f t="shared" si="474"/>
        <v>116328.7468588989</v>
      </c>
      <c r="FL161" s="1019">
        <f t="shared" si="475"/>
        <v>12925.416317655443</v>
      </c>
      <c r="FM161" s="1019">
        <f t="shared" si="476"/>
        <v>6462.7081588277215</v>
      </c>
      <c r="FN161" s="1019" t="str">
        <f t="shared" si="477"/>
        <v>VS</v>
      </c>
      <c r="FO161" s="1019">
        <f t="shared" si="478"/>
        <v>27537.409960060559</v>
      </c>
      <c r="FP161" s="1019">
        <f t="shared" si="479"/>
        <v>-21074.701801232837</v>
      </c>
      <c r="FQ161" s="1021"/>
      <c r="FR161" s="1021"/>
      <c r="FS161" s="1020"/>
      <c r="FT161" s="1055"/>
      <c r="FU161" s="1056"/>
      <c r="FV161" s="1056"/>
      <c r="FW161" s="503"/>
      <c r="FX161" s="1040"/>
      <c r="FY161" s="503"/>
      <c r="FZ161" s="503"/>
      <c r="GA161" s="503"/>
      <c r="GG161" s="956"/>
      <c r="GH161" s="945"/>
      <c r="GI161" s="1024">
        <f t="shared" si="418"/>
        <v>3731140.4267906104</v>
      </c>
      <c r="GJ161" s="1025">
        <f t="shared" si="419"/>
        <v>0.125</v>
      </c>
      <c r="GK161" s="1024">
        <f t="shared" si="420"/>
        <v>466392.5533488263</v>
      </c>
      <c r="GL161" s="1024">
        <f t="shared" si="421"/>
        <v>30000</v>
      </c>
      <c r="GM161" s="1024">
        <f t="shared" si="422"/>
        <v>436392.5533488263</v>
      </c>
      <c r="GN161" s="1024">
        <f t="shared" si="423"/>
        <v>1</v>
      </c>
      <c r="GO161" s="1024">
        <f t="shared" si="424"/>
        <v>436392.5533488263</v>
      </c>
      <c r="GP161" s="1025">
        <f t="shared" si="425"/>
        <v>0.875</v>
      </c>
      <c r="GQ161" s="1024">
        <f t="shared" si="426"/>
        <v>3264747.8734417842</v>
      </c>
      <c r="GR161" s="1024">
        <f t="shared" si="427"/>
        <v>25311.555513433996</v>
      </c>
      <c r="GS161" s="1024">
        <f t="shared" si="428"/>
        <v>29344.476858548169</v>
      </c>
      <c r="GT161" s="1024">
        <f t="shared" si="429"/>
        <v>37906.491061756249</v>
      </c>
      <c r="GU161" s="1024">
        <f t="shared" si="430"/>
        <v>64645.92082620471</v>
      </c>
      <c r="GV161" s="945"/>
      <c r="GW161" s="1024">
        <f t="shared" si="431"/>
        <v>3731140.4267906104</v>
      </c>
      <c r="GX161" s="1025">
        <f t="shared" si="432"/>
        <v>0.125</v>
      </c>
      <c r="GY161" s="1024">
        <f t="shared" si="433"/>
        <v>466392.5533488263</v>
      </c>
      <c r="GZ161" s="1024">
        <f t="shared" si="434"/>
        <v>30000</v>
      </c>
      <c r="HA161" s="1024">
        <f t="shared" si="435"/>
        <v>436392.5533488263</v>
      </c>
      <c r="HB161" s="1026">
        <f t="shared" si="436"/>
        <v>25</v>
      </c>
      <c r="HC161" s="1009">
        <f t="shared" si="437"/>
        <v>17455.702133953051</v>
      </c>
      <c r="HD161" s="1027">
        <f t="shared" si="438"/>
        <v>0.875</v>
      </c>
      <c r="HE161" s="1009">
        <f t="shared" si="439"/>
        <v>3264747.8734417842</v>
      </c>
      <c r="HF161" s="1008">
        <f t="shared" si="440"/>
        <v>25311.555513433996</v>
      </c>
      <c r="HG161" s="1008">
        <f t="shared" si="441"/>
        <v>29344.476858548169</v>
      </c>
      <c r="HH161" s="1008">
        <f t="shared" si="442"/>
        <v>37906.491061756249</v>
      </c>
      <c r="HI161" s="1008">
        <f t="shared" si="443"/>
        <v>64645.92082620471</v>
      </c>
      <c r="HJ161" s="945"/>
      <c r="HK161" s="1009">
        <f t="shared" si="444"/>
        <v>-418936.85121487326</v>
      </c>
      <c r="HL161" s="503"/>
      <c r="HM161" s="503"/>
      <c r="HN161" s="503"/>
      <c r="HO161" s="503"/>
      <c r="HP161" s="503"/>
      <c r="HQ161" s="503"/>
      <c r="HR161" s="956">
        <f t="shared" si="445"/>
        <v>0</v>
      </c>
      <c r="HS161" s="503"/>
      <c r="HT161" s="503"/>
      <c r="HU161" s="956"/>
      <c r="HV161" s="503"/>
      <c r="HW161" s="956"/>
      <c r="HX161" s="956"/>
      <c r="HY161" s="503"/>
      <c r="HZ161" s="503"/>
      <c r="IA161" s="503"/>
      <c r="ID161" s="1394"/>
    </row>
    <row r="162" spans="1:238" s="1051" customFormat="1" ht="14.25" hidden="1" customHeight="1">
      <c r="A162" s="1018">
        <f t="shared" si="480"/>
        <v>156</v>
      </c>
      <c r="B162" s="716" t="s">
        <v>264</v>
      </c>
      <c r="C162" s="741">
        <f t="shared" si="487"/>
        <v>18</v>
      </c>
      <c r="D162" s="716" t="s">
        <v>290</v>
      </c>
      <c r="E162" s="743" t="str">
        <f t="shared" si="352"/>
        <v>10th Floor</v>
      </c>
      <c r="F162" s="1048"/>
      <c r="G162" s="745" t="s">
        <v>611</v>
      </c>
      <c r="H162" s="745" t="s">
        <v>353</v>
      </c>
      <c r="I162" s="745" t="s">
        <v>267</v>
      </c>
      <c r="J162" s="1005">
        <v>22</v>
      </c>
      <c r="K162" s="1049"/>
      <c r="L162" s="1006" t="s">
        <v>268</v>
      </c>
      <c r="M162" s="745" t="s">
        <v>65</v>
      </c>
      <c r="N162" s="1050">
        <v>95909.091</v>
      </c>
      <c r="O162" s="934">
        <f t="shared" si="455"/>
        <v>2110000.0019999999</v>
      </c>
      <c r="P162" s="934">
        <f t="shared" si="481"/>
        <v>22400</v>
      </c>
      <c r="Q162" s="934">
        <f t="shared" si="450"/>
        <v>50000</v>
      </c>
      <c r="R162" s="934"/>
      <c r="S162" s="934"/>
      <c r="T162" s="934"/>
      <c r="U162" s="934"/>
      <c r="V162" s="749">
        <f t="shared" ref="V162:V163" si="501">J162*$V$5</f>
        <v>55000</v>
      </c>
      <c r="W162" s="934"/>
      <c r="X162" s="934"/>
      <c r="Y162" s="934">
        <f t="shared" si="488"/>
        <v>120000</v>
      </c>
      <c r="Z162" s="934">
        <f t="shared" si="456"/>
        <v>75000</v>
      </c>
      <c r="AA162" s="934"/>
      <c r="AB162" s="934"/>
      <c r="AC162" s="934"/>
      <c r="AD162" s="934"/>
      <c r="AE162" s="934">
        <f t="shared" si="365"/>
        <v>322400</v>
      </c>
      <c r="AF162" s="1005">
        <f t="shared" si="366"/>
        <v>2432400.0019999999</v>
      </c>
      <c r="AG162" s="1005">
        <f t="shared" si="380"/>
        <v>60810.000050000002</v>
      </c>
      <c r="AH162" s="1005">
        <f t="shared" si="381"/>
        <v>2493210.0020499998</v>
      </c>
      <c r="AI162" s="1005">
        <f t="shared" si="382"/>
        <v>62330.250051249997</v>
      </c>
      <c r="AJ162" s="1005">
        <f t="shared" si="383"/>
        <v>2555540.25210125</v>
      </c>
      <c r="AK162" s="1005">
        <f t="shared" si="384"/>
        <v>127777.01260506251</v>
      </c>
      <c r="AL162" s="1005">
        <f t="shared" si="457"/>
        <v>2683317.2647063127</v>
      </c>
      <c r="AM162" s="934">
        <f t="shared" si="385"/>
        <v>26833.172647063126</v>
      </c>
      <c r="AN162" s="934">
        <f t="shared" si="386"/>
        <v>27537.409960060559</v>
      </c>
      <c r="AO162" s="934"/>
      <c r="AP162" s="934">
        <f t="shared" si="458"/>
        <v>121461.76501057763</v>
      </c>
      <c r="AQ162" s="1005">
        <f t="shared" si="367"/>
        <v>2859149.6123240138</v>
      </c>
      <c r="AR162" s="1005">
        <f t="shared" si="387"/>
        <v>128661.73255458062</v>
      </c>
      <c r="AS162" s="1147">
        <f t="shared" si="388"/>
        <v>2987811.3448785944</v>
      </c>
      <c r="AT162" s="1148">
        <f t="shared" si="459"/>
        <v>2000000</v>
      </c>
      <c r="AU162" s="1148">
        <f t="shared" si="358"/>
        <v>44900.515676299743</v>
      </c>
      <c r="AV162" s="1148">
        <f t="shared" ref="AV162" si="502">AS162-AT162</f>
        <v>987811.34487859439</v>
      </c>
      <c r="AW162" s="1148">
        <f t="shared" ref="AW162" si="503">AV162*$AW$5</f>
        <v>118537.36138543132</v>
      </c>
      <c r="AX162" s="1148">
        <f t="shared" ref="AX162" si="504">AV162+AW162</f>
        <v>1106348.7062640258</v>
      </c>
      <c r="AY162" s="1147">
        <f t="shared" si="389"/>
        <v>3106348.7062640255</v>
      </c>
      <c r="AZ162" s="934">
        <f t="shared" si="390"/>
        <v>38829.358828300319</v>
      </c>
      <c r="BA162" s="716" t="s">
        <v>269</v>
      </c>
      <c r="BB162" s="716">
        <f t="shared" si="370"/>
        <v>3145178.0650923257</v>
      </c>
      <c r="BC162" s="716" t="s">
        <v>269</v>
      </c>
      <c r="BD162" s="716">
        <f t="shared" si="391"/>
        <v>117944.1774409622</v>
      </c>
      <c r="BE162" s="716">
        <f t="shared" si="392"/>
        <v>33600</v>
      </c>
      <c r="BF162" s="716">
        <f t="shared" si="393"/>
        <v>3296722.242533288</v>
      </c>
      <c r="BG162" s="716"/>
      <c r="BH162" s="716">
        <f t="shared" si="394"/>
        <v>3296722.242533288</v>
      </c>
      <c r="BI162" s="716"/>
      <c r="BJ162" s="716">
        <f t="shared" si="395"/>
        <v>3296722.242533288</v>
      </c>
      <c r="BK162" s="716"/>
      <c r="BL162" s="716">
        <f t="shared" si="396"/>
        <v>3296722.242533288</v>
      </c>
      <c r="BM162" s="716"/>
      <c r="BN162" s="716">
        <f t="shared" si="371"/>
        <v>3296722.242533288</v>
      </c>
      <c r="BO162" s="716"/>
      <c r="BP162" s="716">
        <f t="shared" si="397"/>
        <v>3296722.242533288</v>
      </c>
      <c r="BQ162" s="716"/>
      <c r="BR162" s="716">
        <f t="shared" si="398"/>
        <v>3296722.242533288</v>
      </c>
      <c r="BS162" s="716"/>
      <c r="BT162" s="716">
        <f t="shared" si="399"/>
        <v>3296722.242533288</v>
      </c>
      <c r="BU162" s="716"/>
      <c r="BV162" s="716">
        <f t="shared" si="372"/>
        <v>3296722.242533288</v>
      </c>
      <c r="BW162" s="716"/>
      <c r="BX162" s="716">
        <f t="shared" si="489"/>
        <v>31400</v>
      </c>
      <c r="BY162" s="716">
        <f t="shared" si="400"/>
        <v>3328122.242533288</v>
      </c>
      <c r="BZ162" s="716"/>
      <c r="CA162" s="716">
        <f t="shared" si="401"/>
        <v>3328122.242533288</v>
      </c>
      <c r="CB162" s="1135">
        <f t="shared" si="402"/>
        <v>3328122.242533288</v>
      </c>
      <c r="CC162" s="1164">
        <f t="shared" si="446"/>
        <v>3328122.242533288</v>
      </c>
      <c r="CD162" s="1164"/>
      <c r="CE162" s="1164">
        <f t="shared" si="403"/>
        <v>0</v>
      </c>
      <c r="CF162" s="1164">
        <f t="shared" si="448"/>
        <v>0</v>
      </c>
      <c r="CG162" s="1164">
        <f t="shared" si="449"/>
        <v>0</v>
      </c>
      <c r="CH162" s="1154">
        <f t="shared" si="339"/>
        <v>3328122.242533288</v>
      </c>
      <c r="CI162" s="935">
        <f t="shared" si="340"/>
        <v>3328122.242533288</v>
      </c>
      <c r="CJ162" s="935">
        <f t="shared" si="404"/>
        <v>0</v>
      </c>
      <c r="CK162" s="935">
        <f t="shared" si="373"/>
        <v>341132.529859662</v>
      </c>
      <c r="CL162" s="935">
        <f t="shared" si="374"/>
        <v>116484.27848866509</v>
      </c>
      <c r="CM162" s="1006">
        <f t="shared" si="461"/>
        <v>3785739.0508816149</v>
      </c>
      <c r="CN162" s="1007">
        <f t="shared" si="462"/>
        <v>0.125</v>
      </c>
      <c r="CO162" s="935">
        <f t="shared" si="498"/>
        <v>473217.38136020186</v>
      </c>
      <c r="CP162" s="935">
        <f t="shared" si="490"/>
        <v>30000</v>
      </c>
      <c r="CQ162" s="935">
        <f t="shared" si="499"/>
        <v>443217.38136020186</v>
      </c>
      <c r="CR162" s="745">
        <f t="shared" si="463"/>
        <v>2</v>
      </c>
      <c r="CS162" s="935">
        <f t="shared" si="500"/>
        <v>221608.69068010093</v>
      </c>
      <c r="CT162" s="1007">
        <f t="shared" si="405"/>
        <v>0.875</v>
      </c>
      <c r="CU162" s="935">
        <f t="shared" si="406"/>
        <v>3312521.6695214128</v>
      </c>
      <c r="CV162" s="1008">
        <f t="shared" si="407"/>
        <v>25681.945245944087</v>
      </c>
      <c r="CW162" s="1008">
        <f t="shared" si="408"/>
        <v>29773.881243771262</v>
      </c>
      <c r="CX162" s="1008">
        <f t="shared" si="409"/>
        <v>38461.185342686884</v>
      </c>
      <c r="CY162" s="1008">
        <f t="shared" si="410"/>
        <v>65591.899247403606</v>
      </c>
      <c r="CZ162" s="1119">
        <f t="shared" si="411"/>
        <v>269086.66411267273</v>
      </c>
      <c r="DA162" s="1119">
        <f t="shared" si="412"/>
        <v>106476.2821929869</v>
      </c>
      <c r="DB162" s="1119">
        <f t="shared" si="413"/>
        <v>76906.310583689265</v>
      </c>
      <c r="DC162" s="1119">
        <f t="shared" si="414"/>
        <v>58529.242937863244</v>
      </c>
      <c r="DD162" s="1028">
        <f t="shared" si="451"/>
        <v>0.49390567243929717</v>
      </c>
      <c r="DE162" s="1028">
        <f t="shared" si="341"/>
        <v>0</v>
      </c>
      <c r="DF162" s="1009" t="s">
        <v>270</v>
      </c>
      <c r="DG162" s="1009" t="s">
        <v>271</v>
      </c>
      <c r="DH162" s="966">
        <f t="shared" si="447"/>
        <v>45658</v>
      </c>
      <c r="DI162" s="912">
        <f t="shared" si="415"/>
        <v>14</v>
      </c>
      <c r="DJ162" s="939"/>
      <c r="DK162" s="913">
        <f t="shared" si="375"/>
        <v>45723</v>
      </c>
      <c r="DL162" s="912">
        <f t="shared" si="416"/>
        <v>16</v>
      </c>
      <c r="DM162" s="750" t="s">
        <v>272</v>
      </c>
      <c r="DN162" s="750" t="s">
        <v>273</v>
      </c>
      <c r="DO162" s="751">
        <f t="shared" si="376"/>
        <v>50288.577557455719</v>
      </c>
      <c r="DP162" s="751">
        <f t="shared" si="377"/>
        <v>1106348.7062640258</v>
      </c>
      <c r="DQ162" s="752">
        <f t="shared" si="452"/>
        <v>0.55317435313201291</v>
      </c>
      <c r="DR162" s="503"/>
      <c r="DS162" s="751">
        <f t="shared" si="453"/>
        <v>3328122.242533288</v>
      </c>
      <c r="DT162" s="751">
        <f>'[4]INTERNAL PRICELIST'!N156</f>
        <v>0</v>
      </c>
      <c r="DU162" s="751">
        <f t="shared" si="378"/>
        <v>3328122.242533288</v>
      </c>
      <c r="DV162" s="503"/>
      <c r="DW162" s="951">
        <f t="shared" si="454"/>
        <v>151278.28375151308</v>
      </c>
      <c r="DX162" s="503"/>
      <c r="DZ162" s="1010" t="s">
        <v>611</v>
      </c>
      <c r="EA162" s="1052" t="b">
        <f t="shared" si="379"/>
        <v>1</v>
      </c>
      <c r="EB162" s="1072" t="s">
        <v>612</v>
      </c>
      <c r="EC162" s="1072" t="s">
        <v>580</v>
      </c>
      <c r="ED162" s="503"/>
      <c r="EH162" s="930"/>
      <c r="EI162" s="930"/>
      <c r="EJ162" s="503"/>
      <c r="EK162" s="503"/>
      <c r="EL162" s="503"/>
      <c r="EM162" s="503"/>
      <c r="EN162" s="503"/>
      <c r="EO162" s="503"/>
      <c r="EP162" s="503"/>
      <c r="EQ162" s="503"/>
      <c r="ER162" s="1017" t="s">
        <v>264</v>
      </c>
      <c r="ES162" s="1391" t="s">
        <v>264</v>
      </c>
      <c r="ET162" s="1018" t="b">
        <f t="shared" si="417"/>
        <v>1</v>
      </c>
      <c r="EU162" s="940"/>
      <c r="EV162" s="941"/>
      <c r="EW162" s="940"/>
      <c r="EX162" s="1019">
        <v>3175470.9806686961</v>
      </c>
      <c r="EY162" s="1019">
        <f t="shared" si="464"/>
        <v>476320.64710030437</v>
      </c>
      <c r="EZ162" s="1019">
        <f t="shared" si="465"/>
        <v>2699150.3335683914</v>
      </c>
      <c r="FA162" s="1019">
        <f t="shared" si="466"/>
        <v>317547.09806686966</v>
      </c>
      <c r="FB162" s="1019">
        <f t="shared" si="467"/>
        <v>2857923.8826018265</v>
      </c>
      <c r="FC162" s="1019">
        <f t="shared" si="468"/>
        <v>158773.54903343506</v>
      </c>
      <c r="FD162" s="1020"/>
      <c r="FE162" s="1021"/>
      <c r="FF162" s="1022">
        <f t="shared" si="469"/>
        <v>2699150.3335683914</v>
      </c>
      <c r="FG162" s="1022">
        <f t="shared" si="470"/>
        <v>229427.77835331328</v>
      </c>
      <c r="FH162" s="1022">
        <f t="shared" si="471"/>
        <v>114713.88917665664</v>
      </c>
      <c r="FI162" s="1023">
        <f t="shared" si="472"/>
        <v>2857923.8826018265</v>
      </c>
      <c r="FJ162" s="1023">
        <f t="shared" si="473"/>
        <v>242923.53002115525</v>
      </c>
      <c r="FK162" s="1023">
        <f t="shared" si="474"/>
        <v>121461.76501057763</v>
      </c>
      <c r="FL162" s="1019">
        <f t="shared" si="475"/>
        <v>13495.751667841978</v>
      </c>
      <c r="FM162" s="1019">
        <f t="shared" si="476"/>
        <v>6747.875833920989</v>
      </c>
      <c r="FN162" s="1019" t="str">
        <f t="shared" si="477"/>
        <v>VS</v>
      </c>
      <c r="FO162" s="1019">
        <f t="shared" si="478"/>
        <v>27537.409960060559</v>
      </c>
      <c r="FP162" s="1019">
        <f t="shared" si="479"/>
        <v>-20789.53412613957</v>
      </c>
      <c r="FQ162" s="1021"/>
      <c r="FR162" s="1021"/>
      <c r="FS162" s="1020"/>
      <c r="FT162" s="503"/>
      <c r="FU162" s="956"/>
      <c r="FV162" s="503"/>
      <c r="FW162" s="503"/>
      <c r="FX162" s="503"/>
      <c r="FY162" s="503"/>
      <c r="FZ162" s="503"/>
      <c r="GA162" s="503"/>
      <c r="GG162" s="956"/>
      <c r="GH162" s="945"/>
      <c r="GI162" s="1024">
        <f t="shared" si="418"/>
        <v>3785739.0508816149</v>
      </c>
      <c r="GJ162" s="1025">
        <f t="shared" si="419"/>
        <v>0.125</v>
      </c>
      <c r="GK162" s="1024">
        <f t="shared" si="420"/>
        <v>473217.38136020186</v>
      </c>
      <c r="GL162" s="1024">
        <f t="shared" si="421"/>
        <v>30000</v>
      </c>
      <c r="GM162" s="1024">
        <f t="shared" si="422"/>
        <v>443217.38136020186</v>
      </c>
      <c r="GN162" s="1024">
        <f t="shared" si="423"/>
        <v>2</v>
      </c>
      <c r="GO162" s="1024">
        <f t="shared" si="424"/>
        <v>221608.69068010093</v>
      </c>
      <c r="GP162" s="1025">
        <f t="shared" si="425"/>
        <v>0.875</v>
      </c>
      <c r="GQ162" s="1024">
        <f t="shared" si="426"/>
        <v>3312521.6695214128</v>
      </c>
      <c r="GR162" s="1024">
        <f t="shared" si="427"/>
        <v>25681.945245944087</v>
      </c>
      <c r="GS162" s="1024">
        <f t="shared" si="428"/>
        <v>29773.881243771262</v>
      </c>
      <c r="GT162" s="1024">
        <f t="shared" si="429"/>
        <v>38461.185342686884</v>
      </c>
      <c r="GU162" s="1024">
        <f t="shared" si="430"/>
        <v>65591.899247403606</v>
      </c>
      <c r="GV162" s="945"/>
      <c r="GW162" s="1024">
        <f t="shared" si="431"/>
        <v>3785739.0508816149</v>
      </c>
      <c r="GX162" s="1025">
        <f t="shared" si="432"/>
        <v>0.125</v>
      </c>
      <c r="GY162" s="1024">
        <f t="shared" si="433"/>
        <v>473217.38136020186</v>
      </c>
      <c r="GZ162" s="1024">
        <f t="shared" si="434"/>
        <v>30000</v>
      </c>
      <c r="HA162" s="1024">
        <f t="shared" si="435"/>
        <v>443217.38136020186</v>
      </c>
      <c r="HB162" s="1026">
        <f t="shared" si="436"/>
        <v>25</v>
      </c>
      <c r="HC162" s="1009">
        <f t="shared" si="437"/>
        <v>17728.695254408074</v>
      </c>
      <c r="HD162" s="1027">
        <f t="shared" si="438"/>
        <v>0.875</v>
      </c>
      <c r="HE162" s="1009">
        <f t="shared" si="439"/>
        <v>3312521.6695214128</v>
      </c>
      <c r="HF162" s="1008">
        <f t="shared" si="440"/>
        <v>25681.945245944087</v>
      </c>
      <c r="HG162" s="1008">
        <f t="shared" si="441"/>
        <v>29773.881243771262</v>
      </c>
      <c r="HH162" s="1008">
        <f t="shared" si="442"/>
        <v>38461.185342686884</v>
      </c>
      <c r="HI162" s="1008">
        <f t="shared" si="443"/>
        <v>65591.899247403606</v>
      </c>
      <c r="HJ162" s="945"/>
      <c r="HK162" s="1009">
        <f t="shared" si="444"/>
        <v>-203879.99542569285</v>
      </c>
      <c r="HL162" s="503"/>
      <c r="HM162" s="503"/>
      <c r="HN162" s="503"/>
      <c r="HO162" s="503"/>
      <c r="HP162" s="503"/>
      <c r="HQ162" s="503"/>
      <c r="HR162" s="956">
        <f t="shared" si="445"/>
        <v>0</v>
      </c>
      <c r="HS162" s="503"/>
      <c r="HT162" s="503"/>
      <c r="HU162" s="956"/>
      <c r="HV162" s="503"/>
      <c r="HW162" s="956"/>
      <c r="HX162" s="956"/>
      <c r="HY162" s="503"/>
      <c r="HZ162" s="503"/>
      <c r="IA162" s="503"/>
      <c r="ID162" s="1394"/>
    </row>
    <row r="163" spans="1:238" ht="14.25" hidden="1" customHeight="1">
      <c r="A163" s="1018">
        <f t="shared" si="480"/>
        <v>157</v>
      </c>
      <c r="B163" s="716"/>
      <c r="C163" s="741">
        <v>1</v>
      </c>
      <c r="D163" s="716" t="s">
        <v>294</v>
      </c>
      <c r="E163" s="743" t="str">
        <f t="shared" si="352"/>
        <v>11th Floor</v>
      </c>
      <c r="F163" s="1048"/>
      <c r="G163" s="745" t="s">
        <v>613</v>
      </c>
      <c r="H163" s="745" t="s">
        <v>266</v>
      </c>
      <c r="I163" s="745" t="s">
        <v>267</v>
      </c>
      <c r="J163" s="1005">
        <v>22</v>
      </c>
      <c r="K163" s="1049"/>
      <c r="L163" s="1006" t="s">
        <v>73</v>
      </c>
      <c r="M163" s="745" t="s">
        <v>65</v>
      </c>
      <c r="N163" s="1050">
        <v>95909.091</v>
      </c>
      <c r="O163" s="934">
        <f t="shared" si="455"/>
        <v>2110000.0019999999</v>
      </c>
      <c r="P163" s="934">
        <f t="shared" si="481"/>
        <v>22400</v>
      </c>
      <c r="Q163" s="934">
        <f t="shared" si="450"/>
        <v>50000</v>
      </c>
      <c r="R163" s="934"/>
      <c r="S163" s="934"/>
      <c r="T163" s="934"/>
      <c r="U163" s="934"/>
      <c r="V163" s="749">
        <f t="shared" si="501"/>
        <v>55000</v>
      </c>
      <c r="W163" s="934"/>
      <c r="X163" s="934"/>
      <c r="Y163" s="934">
        <f>Y162+Y5</f>
        <v>140000</v>
      </c>
      <c r="Z163" s="934">
        <f t="shared" si="456"/>
        <v>75000</v>
      </c>
      <c r="AA163" s="934"/>
      <c r="AB163" s="934"/>
      <c r="AC163" s="934"/>
      <c r="AD163" s="934"/>
      <c r="AE163" s="934">
        <f t="shared" si="365"/>
        <v>342400</v>
      </c>
      <c r="AF163" s="1005">
        <f t="shared" si="366"/>
        <v>2452400.0019999999</v>
      </c>
      <c r="AG163" s="1005">
        <f t="shared" si="380"/>
        <v>61310.000050000002</v>
      </c>
      <c r="AH163" s="1005">
        <f t="shared" si="381"/>
        <v>2513710.0020499998</v>
      </c>
      <c r="AI163" s="1005">
        <f t="shared" si="382"/>
        <v>62842.750051249997</v>
      </c>
      <c r="AJ163" s="1005">
        <f t="shared" si="383"/>
        <v>2576552.75210125</v>
      </c>
      <c r="AK163" s="1005">
        <f t="shared" si="384"/>
        <v>128827.63760506251</v>
      </c>
      <c r="AL163" s="1005">
        <f t="shared" si="457"/>
        <v>2705380.3897063127</v>
      </c>
      <c r="AM163" s="934">
        <f t="shared" si="385"/>
        <v>27053.803897063128</v>
      </c>
      <c r="AN163" s="934">
        <f t="shared" si="386"/>
        <v>27537.409960060559</v>
      </c>
      <c r="AO163" s="934"/>
      <c r="AP163" s="934">
        <f t="shared" si="458"/>
        <v>122527.46028064011</v>
      </c>
      <c r="AQ163" s="1005">
        <f t="shared" si="367"/>
        <v>2882499.0638440764</v>
      </c>
      <c r="AR163" s="1005">
        <f t="shared" si="387"/>
        <v>129712.45787298343</v>
      </c>
      <c r="AS163" s="1147">
        <f t="shared" si="388"/>
        <v>3012211.5217170599</v>
      </c>
      <c r="AT163" s="1148">
        <f t="shared" ref="AT163" si="505">AS163</f>
        <v>3012211.5217170599</v>
      </c>
      <c r="AU163" s="1148"/>
      <c r="AV163" s="1148"/>
      <c r="AW163" s="1148"/>
      <c r="AX163" s="1148">
        <f t="shared" si="369"/>
        <v>0</v>
      </c>
      <c r="AY163" s="1147">
        <f t="shared" si="389"/>
        <v>3012211.5217170599</v>
      </c>
      <c r="AZ163" s="934">
        <f t="shared" si="390"/>
        <v>37652.644021463253</v>
      </c>
      <c r="BA163" s="716" t="s">
        <v>269</v>
      </c>
      <c r="BB163" s="716">
        <f t="shared" si="370"/>
        <v>3049864.165738523</v>
      </c>
      <c r="BC163" s="716" t="s">
        <v>269</v>
      </c>
      <c r="BD163" s="716">
        <f t="shared" si="391"/>
        <v>114369.90621519461</v>
      </c>
      <c r="BE163" s="716">
        <f t="shared" si="392"/>
        <v>33600</v>
      </c>
      <c r="BF163" s="716">
        <f t="shared" si="393"/>
        <v>3197834.0719537176</v>
      </c>
      <c r="BG163" s="716"/>
      <c r="BH163" s="716">
        <f t="shared" si="394"/>
        <v>3197834.0719537176</v>
      </c>
      <c r="BI163" s="716"/>
      <c r="BJ163" s="716">
        <f t="shared" si="395"/>
        <v>3197834.0719537176</v>
      </c>
      <c r="BK163" s="716"/>
      <c r="BL163" s="716">
        <f t="shared" si="396"/>
        <v>3197834.0719537176</v>
      </c>
      <c r="BM163" s="716"/>
      <c r="BN163" s="716">
        <f t="shared" si="371"/>
        <v>3197834.0719537176</v>
      </c>
      <c r="BO163" s="716"/>
      <c r="BP163" s="716">
        <f t="shared" si="397"/>
        <v>3197834.0719537176</v>
      </c>
      <c r="BQ163" s="716"/>
      <c r="BR163" s="716">
        <f t="shared" si="398"/>
        <v>3197834.0719537176</v>
      </c>
      <c r="BS163" s="716"/>
      <c r="BT163" s="716">
        <f t="shared" si="399"/>
        <v>3197834.0719537176</v>
      </c>
      <c r="BU163" s="716"/>
      <c r="BV163" s="716">
        <f t="shared" si="372"/>
        <v>3197834.0719537176</v>
      </c>
      <c r="BW163" s="716"/>
      <c r="BX163" s="716">
        <f t="shared" si="489"/>
        <v>31400</v>
      </c>
      <c r="BY163" s="716">
        <f t="shared" si="400"/>
        <v>3229234.0719537176</v>
      </c>
      <c r="BZ163" s="716"/>
      <c r="CA163" s="716">
        <f t="shared" si="401"/>
        <v>3229234.0719537176</v>
      </c>
      <c r="CB163" s="1135">
        <f t="shared" si="402"/>
        <v>3229234.0719537176</v>
      </c>
      <c r="CC163" s="1164">
        <f t="shared" si="446"/>
        <v>3229234.0719537176</v>
      </c>
      <c r="CD163" s="1164"/>
      <c r="CE163" s="1164">
        <f t="shared" si="403"/>
        <v>0</v>
      </c>
      <c r="CF163" s="1164">
        <f t="shared" si="448"/>
        <v>0</v>
      </c>
      <c r="CG163" s="1164">
        <f t="shared" si="449"/>
        <v>0</v>
      </c>
      <c r="CH163" s="1154">
        <f t="shared" ref="CH163:CH216" si="506">CC163+CE163+CF163</f>
        <v>3229234.0719537176</v>
      </c>
      <c r="CI163" s="935">
        <f t="shared" ref="CI163:CI216" si="507">CH163</f>
        <v>3229234.0719537176</v>
      </c>
      <c r="CJ163" s="935">
        <f t="shared" si="404"/>
        <v>0</v>
      </c>
      <c r="CK163" s="935">
        <f t="shared" si="373"/>
        <v>330996.49237525603</v>
      </c>
      <c r="CL163" s="935">
        <f t="shared" si="374"/>
        <v>113023.19251838012</v>
      </c>
      <c r="CM163" s="1006">
        <f t="shared" si="461"/>
        <v>3673253.7568473537</v>
      </c>
      <c r="CN163" s="1007">
        <f t="shared" si="462"/>
        <v>0.125</v>
      </c>
      <c r="CO163" s="935">
        <f t="shared" si="498"/>
        <v>459156.71960591921</v>
      </c>
      <c r="CP163" s="935">
        <f t="shared" si="490"/>
        <v>30000</v>
      </c>
      <c r="CQ163" s="935">
        <f t="shared" si="499"/>
        <v>429156.71960591921</v>
      </c>
      <c r="CR163" s="745">
        <f t="shared" si="463"/>
        <v>2</v>
      </c>
      <c r="CS163" s="935">
        <f t="shared" si="500"/>
        <v>214578.3598029596</v>
      </c>
      <c r="CT163" s="1007">
        <f t="shared" si="405"/>
        <v>0.875</v>
      </c>
      <c r="CU163" s="935">
        <f t="shared" si="406"/>
        <v>3214097.0372414347</v>
      </c>
      <c r="CV163" s="1008">
        <f t="shared" si="407"/>
        <v>24918.860119490626</v>
      </c>
      <c r="CW163" s="1008">
        <f t="shared" si="408"/>
        <v>28889.212823356273</v>
      </c>
      <c r="CX163" s="1008">
        <f t="shared" si="409"/>
        <v>37318.391905518831</v>
      </c>
      <c r="CY163" s="1008">
        <f t="shared" si="410"/>
        <v>63642.973562366868</v>
      </c>
      <c r="CZ163" s="1119">
        <f t="shared" si="411"/>
        <v>261091.31838847024</v>
      </c>
      <c r="DA163" s="1119">
        <f t="shared" si="412"/>
        <v>103312.56283748511</v>
      </c>
      <c r="DB163" s="1119">
        <f t="shared" si="413"/>
        <v>74621.200901583215</v>
      </c>
      <c r="DC163" s="1119">
        <f t="shared" si="414"/>
        <v>56790.169268764192</v>
      </c>
      <c r="DD163" s="1028">
        <f t="shared" si="451"/>
        <v>0</v>
      </c>
      <c r="DE163" s="1028">
        <f t="shared" ref="DE163:DE216" si="508">CE163/CC163</f>
        <v>0</v>
      </c>
      <c r="DF163" s="916" t="s">
        <v>512</v>
      </c>
      <c r="DG163" s="1009" t="s">
        <v>271</v>
      </c>
      <c r="DH163" s="966">
        <f t="shared" si="447"/>
        <v>45658</v>
      </c>
      <c r="DI163" s="912">
        <f t="shared" si="415"/>
        <v>14</v>
      </c>
      <c r="DK163" s="913">
        <f t="shared" si="375"/>
        <v>45723</v>
      </c>
      <c r="DL163" s="912">
        <f t="shared" si="416"/>
        <v>16</v>
      </c>
      <c r="DM163" s="750" t="s">
        <v>272</v>
      </c>
      <c r="DN163" s="750" t="s">
        <v>273</v>
      </c>
      <c r="DO163" s="751">
        <f t="shared" si="376"/>
        <v>0</v>
      </c>
      <c r="DP163" s="751">
        <f t="shared" si="377"/>
        <v>0</v>
      </c>
      <c r="DQ163" s="752">
        <f t="shared" si="452"/>
        <v>0</v>
      </c>
      <c r="DS163" s="751">
        <f t="shared" si="453"/>
        <v>3229234.0719537176</v>
      </c>
      <c r="DT163" s="751">
        <f>'[4]INTERNAL PRICELIST'!N157</f>
        <v>0</v>
      </c>
      <c r="DU163" s="751">
        <f t="shared" si="378"/>
        <v>3229234.0719537176</v>
      </c>
      <c r="DW163" s="951">
        <f t="shared" si="454"/>
        <v>146783.36690698715</v>
      </c>
      <c r="DZ163" s="1010" t="s">
        <v>613</v>
      </c>
      <c r="EA163" s="1011" t="b">
        <f t="shared" si="379"/>
        <v>1</v>
      </c>
      <c r="EB163" s="1011"/>
      <c r="EC163" s="1011"/>
      <c r="ER163" s="1017" t="s">
        <v>264</v>
      </c>
      <c r="ES163" s="1391" t="s">
        <v>264</v>
      </c>
      <c r="ET163" s="1018" t="b">
        <f t="shared" si="417"/>
        <v>1</v>
      </c>
      <c r="EX163" s="1019">
        <v>3203332.2949186955</v>
      </c>
      <c r="EY163" s="1019">
        <f t="shared" si="464"/>
        <v>480499.8442378043</v>
      </c>
      <c r="EZ163" s="1019">
        <f t="shared" si="465"/>
        <v>2722832.4506808911</v>
      </c>
      <c r="FA163" s="1019">
        <f t="shared" si="466"/>
        <v>320333.22949186957</v>
      </c>
      <c r="FB163" s="1019">
        <f t="shared" si="467"/>
        <v>2882999.065426826</v>
      </c>
      <c r="FC163" s="1019">
        <f t="shared" si="468"/>
        <v>160166.61474593496</v>
      </c>
      <c r="FD163" s="1020"/>
      <c r="FE163" s="1021"/>
      <c r="FF163" s="1022">
        <f t="shared" si="469"/>
        <v>2722832.4506808911</v>
      </c>
      <c r="FG163" s="1022">
        <f t="shared" si="470"/>
        <v>231440.75830787575</v>
      </c>
      <c r="FH163" s="1022">
        <f t="shared" si="471"/>
        <v>115720.37915393787</v>
      </c>
      <c r="FI163" s="1023">
        <f t="shared" si="472"/>
        <v>2882999.065426826</v>
      </c>
      <c r="FJ163" s="1023">
        <f t="shared" si="473"/>
        <v>245054.92056128022</v>
      </c>
      <c r="FK163" s="1023">
        <f t="shared" si="474"/>
        <v>122527.46028064011</v>
      </c>
      <c r="FL163" s="1019">
        <f t="shared" si="475"/>
        <v>13614.162253404473</v>
      </c>
      <c r="FM163" s="1019">
        <f t="shared" si="476"/>
        <v>6807.0811267022364</v>
      </c>
      <c r="FN163" s="1019" t="str">
        <f t="shared" si="477"/>
        <v>VS</v>
      </c>
      <c r="FO163" s="1019">
        <f t="shared" si="478"/>
        <v>27537.409960060559</v>
      </c>
      <c r="FP163" s="1019">
        <f t="shared" si="479"/>
        <v>-20730.328833358322</v>
      </c>
      <c r="FQ163" s="1021"/>
      <c r="FR163" s="1021"/>
      <c r="FS163" s="1020"/>
      <c r="FT163" s="1055">
        <f t="shared" ref="FT163:FT170" si="509">FB163</f>
        <v>2882999.065426826</v>
      </c>
      <c r="FU163" s="1056"/>
      <c r="FV163" s="1056"/>
      <c r="GG163" s="956"/>
      <c r="GH163" s="1058"/>
      <c r="GI163" s="1024">
        <f t="shared" si="418"/>
        <v>3673253.7568473537</v>
      </c>
      <c r="GJ163" s="1025">
        <f t="shared" si="419"/>
        <v>0.125</v>
      </c>
      <c r="GK163" s="1024">
        <f t="shared" si="420"/>
        <v>459156.71960591921</v>
      </c>
      <c r="GL163" s="1024">
        <f t="shared" si="421"/>
        <v>30000</v>
      </c>
      <c r="GM163" s="1024">
        <f t="shared" si="422"/>
        <v>429156.71960591921</v>
      </c>
      <c r="GN163" s="1024">
        <f t="shared" si="423"/>
        <v>2</v>
      </c>
      <c r="GO163" s="1024">
        <f t="shared" si="424"/>
        <v>214578.3598029596</v>
      </c>
      <c r="GP163" s="1025">
        <f t="shared" si="425"/>
        <v>0.875</v>
      </c>
      <c r="GQ163" s="1024">
        <f t="shared" si="426"/>
        <v>3214097.0372414347</v>
      </c>
      <c r="GR163" s="1024">
        <f t="shared" si="427"/>
        <v>24918.860119490626</v>
      </c>
      <c r="GS163" s="1024">
        <f t="shared" si="428"/>
        <v>28889.212823356273</v>
      </c>
      <c r="GT163" s="1024">
        <f t="shared" si="429"/>
        <v>37318.391905518831</v>
      </c>
      <c r="GU163" s="1024">
        <f t="shared" si="430"/>
        <v>63642.973562366868</v>
      </c>
      <c r="GW163" s="1024">
        <f t="shared" si="431"/>
        <v>3673253.7568473537</v>
      </c>
      <c r="GX163" s="1025">
        <f t="shared" si="432"/>
        <v>0.125</v>
      </c>
      <c r="GY163" s="1024">
        <f t="shared" si="433"/>
        <v>459156.71960591921</v>
      </c>
      <c r="GZ163" s="1024">
        <f t="shared" si="434"/>
        <v>30000</v>
      </c>
      <c r="HA163" s="1024">
        <f t="shared" si="435"/>
        <v>429156.71960591921</v>
      </c>
      <c r="HB163" s="1026">
        <f t="shared" si="436"/>
        <v>25</v>
      </c>
      <c r="HC163" s="1009">
        <f t="shared" si="437"/>
        <v>17166.268784236767</v>
      </c>
      <c r="HD163" s="1027">
        <f t="shared" si="438"/>
        <v>0.875</v>
      </c>
      <c r="HE163" s="1009">
        <f t="shared" si="439"/>
        <v>3214097.0372414347</v>
      </c>
      <c r="HF163" s="1008">
        <f t="shared" si="440"/>
        <v>24918.860119490626</v>
      </c>
      <c r="HG163" s="1008">
        <f t="shared" si="441"/>
        <v>28889.212823356273</v>
      </c>
      <c r="HH163" s="1008">
        <f t="shared" si="442"/>
        <v>37318.391905518831</v>
      </c>
      <c r="HI163" s="1008">
        <f t="shared" si="443"/>
        <v>63642.973562366868</v>
      </c>
      <c r="HK163" s="1009">
        <f t="shared" si="444"/>
        <v>-197412.09101872283</v>
      </c>
      <c r="HR163" s="956">
        <f t="shared" si="445"/>
        <v>0</v>
      </c>
      <c r="HU163" s="956"/>
      <c r="HW163" s="956"/>
      <c r="HX163" s="956"/>
    </row>
    <row r="164" spans="1:238" ht="14.25" hidden="1" customHeight="1">
      <c r="A164" s="1018">
        <f t="shared" si="480"/>
        <v>158</v>
      </c>
      <c r="B164" s="716"/>
      <c r="C164" s="741">
        <f>C163+1</f>
        <v>2</v>
      </c>
      <c r="D164" s="716" t="s">
        <v>294</v>
      </c>
      <c r="E164" s="743" t="str">
        <f t="shared" si="352"/>
        <v>11th Floor</v>
      </c>
      <c r="F164" s="1048"/>
      <c r="G164" s="745" t="s">
        <v>614</v>
      </c>
      <c r="H164" s="745" t="s">
        <v>278</v>
      </c>
      <c r="I164" s="745" t="s">
        <v>267</v>
      </c>
      <c r="J164" s="1005">
        <v>22</v>
      </c>
      <c r="K164" s="1049"/>
      <c r="L164" s="1006" t="s">
        <v>73</v>
      </c>
      <c r="M164" s="745" t="s">
        <v>240</v>
      </c>
      <c r="N164" s="1050">
        <v>95909.091</v>
      </c>
      <c r="O164" s="934">
        <f t="shared" si="455"/>
        <v>2110000.0019999999</v>
      </c>
      <c r="P164" s="934">
        <f t="shared" si="481"/>
        <v>22400</v>
      </c>
      <c r="Q164" s="934">
        <f t="shared" si="450"/>
        <v>50000</v>
      </c>
      <c r="R164" s="934"/>
      <c r="S164" s="934"/>
      <c r="T164" s="934"/>
      <c r="U164" s="934"/>
      <c r="V164" s="749"/>
      <c r="W164" s="749">
        <f t="shared" ref="W164:W167" si="510">J164*$W$5</f>
        <v>22000</v>
      </c>
      <c r="X164" s="934"/>
      <c r="Y164" s="934">
        <f>$Y$163</f>
        <v>140000</v>
      </c>
      <c r="Z164" s="934">
        <f t="shared" si="456"/>
        <v>75000</v>
      </c>
      <c r="AA164" s="934"/>
      <c r="AB164" s="934"/>
      <c r="AC164" s="934"/>
      <c r="AD164" s="934"/>
      <c r="AE164" s="934">
        <f t="shared" si="365"/>
        <v>309400</v>
      </c>
      <c r="AF164" s="1005">
        <f t="shared" si="366"/>
        <v>2419400.0019999999</v>
      </c>
      <c r="AG164" s="1005">
        <f t="shared" si="380"/>
        <v>60485.000050000002</v>
      </c>
      <c r="AH164" s="1005">
        <f t="shared" si="381"/>
        <v>2479885.0020499998</v>
      </c>
      <c r="AI164" s="1005">
        <f t="shared" si="382"/>
        <v>61997.125051249997</v>
      </c>
      <c r="AJ164" s="1005">
        <f t="shared" si="383"/>
        <v>2541882.12710125</v>
      </c>
      <c r="AK164" s="1005">
        <f t="shared" si="384"/>
        <v>127094.10635506251</v>
      </c>
      <c r="AL164" s="1005">
        <f t="shared" si="457"/>
        <v>2668976.2334563127</v>
      </c>
      <c r="AM164" s="934">
        <f t="shared" si="385"/>
        <v>26689.762334563129</v>
      </c>
      <c r="AN164" s="934">
        <f t="shared" si="386"/>
        <v>27537.409960060559</v>
      </c>
      <c r="AO164" s="934"/>
      <c r="AP164" s="934">
        <f t="shared" si="458"/>
        <v>118566.70692603017</v>
      </c>
      <c r="AQ164" s="1005">
        <f t="shared" si="367"/>
        <v>2841770.1126769665</v>
      </c>
      <c r="AR164" s="1005">
        <f t="shared" si="387"/>
        <v>127879.65507046349</v>
      </c>
      <c r="AS164" s="1147">
        <f t="shared" si="388"/>
        <v>2969649.7677474301</v>
      </c>
      <c r="AT164" s="1148">
        <f t="shared" si="459"/>
        <v>2000000</v>
      </c>
      <c r="AU164" s="1148">
        <f t="shared" ref="AU164:AU169" si="511">AV164/J164</f>
        <v>44074.989443065009</v>
      </c>
      <c r="AV164" s="1148">
        <f t="shared" si="460"/>
        <v>969649.76774743013</v>
      </c>
      <c r="AW164" s="1148">
        <f t="shared" si="368"/>
        <v>116357.97212969161</v>
      </c>
      <c r="AX164" s="1148">
        <f t="shared" si="369"/>
        <v>1086007.7398771218</v>
      </c>
      <c r="AY164" s="1147">
        <f t="shared" si="389"/>
        <v>3086007.7398771215</v>
      </c>
      <c r="AZ164" s="934">
        <f t="shared" si="390"/>
        <v>38575.09674846402</v>
      </c>
      <c r="BA164" s="716" t="s">
        <v>269</v>
      </c>
      <c r="BB164" s="716">
        <f t="shared" si="370"/>
        <v>3124582.8366255853</v>
      </c>
      <c r="BC164" s="716" t="s">
        <v>269</v>
      </c>
      <c r="BD164" s="716">
        <f t="shared" si="391"/>
        <v>117171.85637345945</v>
      </c>
      <c r="BE164" s="716">
        <f t="shared" si="392"/>
        <v>33600</v>
      </c>
      <c r="BF164" s="716">
        <f t="shared" si="393"/>
        <v>3275354.6929990449</v>
      </c>
      <c r="BG164" s="716"/>
      <c r="BH164" s="716">
        <f t="shared" si="394"/>
        <v>3275354.6929990449</v>
      </c>
      <c r="BI164" s="716"/>
      <c r="BJ164" s="716">
        <f t="shared" si="395"/>
        <v>3275354.6929990449</v>
      </c>
      <c r="BK164" s="716"/>
      <c r="BL164" s="716">
        <f t="shared" si="396"/>
        <v>3275354.6929990449</v>
      </c>
      <c r="BM164" s="716"/>
      <c r="BN164" s="716">
        <f t="shared" si="371"/>
        <v>3275354.6929990449</v>
      </c>
      <c r="BO164" s="716"/>
      <c r="BP164" s="716">
        <f t="shared" si="397"/>
        <v>3275354.6929990449</v>
      </c>
      <c r="BQ164" s="716"/>
      <c r="BR164" s="716">
        <f t="shared" si="398"/>
        <v>3275354.6929990449</v>
      </c>
      <c r="BS164" s="716"/>
      <c r="BT164" s="716">
        <f t="shared" si="399"/>
        <v>3275354.6929990449</v>
      </c>
      <c r="BU164" s="716"/>
      <c r="BV164" s="716">
        <f t="shared" si="372"/>
        <v>3275354.6929990449</v>
      </c>
      <c r="BW164" s="716"/>
      <c r="BX164" s="716">
        <f t="shared" si="489"/>
        <v>31400</v>
      </c>
      <c r="BY164" s="716">
        <f t="shared" si="400"/>
        <v>3306754.6929990449</v>
      </c>
      <c r="BZ164" s="716"/>
      <c r="CA164" s="716">
        <f t="shared" si="401"/>
        <v>3306754.6929990449</v>
      </c>
      <c r="CB164" s="1135">
        <f t="shared" si="402"/>
        <v>3306754.6929990449</v>
      </c>
      <c r="CC164" s="1164">
        <f t="shared" si="446"/>
        <v>3306754.6929990449</v>
      </c>
      <c r="CD164" s="1164"/>
      <c r="CE164" s="1164">
        <f t="shared" si="403"/>
        <v>0</v>
      </c>
      <c r="CF164" s="1164">
        <f t="shared" si="448"/>
        <v>0</v>
      </c>
      <c r="CG164" s="1164">
        <f t="shared" si="449"/>
        <v>0</v>
      </c>
      <c r="CH164" s="1154">
        <f t="shared" si="506"/>
        <v>3306754.6929990449</v>
      </c>
      <c r="CI164" s="935">
        <f t="shared" si="507"/>
        <v>3306754.6929990449</v>
      </c>
      <c r="CJ164" s="935">
        <f t="shared" si="404"/>
        <v>0</v>
      </c>
      <c r="CK164" s="935">
        <f t="shared" si="373"/>
        <v>338942.35603240208</v>
      </c>
      <c r="CL164" s="935">
        <f t="shared" si="374"/>
        <v>115736.41425496658</v>
      </c>
      <c r="CM164" s="1006">
        <f t="shared" si="461"/>
        <v>3761433.4632864138</v>
      </c>
      <c r="CN164" s="1007">
        <f t="shared" si="462"/>
        <v>0.125</v>
      </c>
      <c r="CO164" s="935">
        <f t="shared" si="498"/>
        <v>470179.18291080173</v>
      </c>
      <c r="CP164" s="935">
        <f t="shared" si="490"/>
        <v>30000</v>
      </c>
      <c r="CQ164" s="935">
        <f t="shared" si="499"/>
        <v>440179.18291080173</v>
      </c>
      <c r="CR164" s="745">
        <f t="shared" si="463"/>
        <v>2</v>
      </c>
      <c r="CS164" s="935">
        <f t="shared" si="500"/>
        <v>220089.59145540086</v>
      </c>
      <c r="CT164" s="1007">
        <f t="shared" si="405"/>
        <v>0.875</v>
      </c>
      <c r="CU164" s="935">
        <f t="shared" si="406"/>
        <v>3291254.280375612</v>
      </c>
      <c r="CV164" s="1008">
        <f t="shared" si="407"/>
        <v>25517.059404262771</v>
      </c>
      <c r="CW164" s="1008">
        <f t="shared" si="408"/>
        <v>29582.723937656603</v>
      </c>
      <c r="CX164" s="1008">
        <f t="shared" si="409"/>
        <v>38214.252921619925</v>
      </c>
      <c r="CY164" s="1008">
        <f t="shared" si="410"/>
        <v>65170.779452492723</v>
      </c>
      <c r="CZ164" s="1119">
        <f t="shared" si="411"/>
        <v>267359.04649365909</v>
      </c>
      <c r="DA164" s="1119">
        <f t="shared" si="412"/>
        <v>105792.67231685179</v>
      </c>
      <c r="DB164" s="1119">
        <f t="shared" si="413"/>
        <v>76412.548852256587</v>
      </c>
      <c r="DC164" s="1119">
        <f t="shared" si="414"/>
        <v>58153.467528626905</v>
      </c>
      <c r="DD164" s="1028">
        <f t="shared" si="451"/>
        <v>0.48482488387371508</v>
      </c>
      <c r="DE164" s="1028">
        <f t="shared" si="508"/>
        <v>0</v>
      </c>
      <c r="DF164" s="1009" t="s">
        <v>270</v>
      </c>
      <c r="DG164" s="1009" t="s">
        <v>271</v>
      </c>
      <c r="DH164" s="966">
        <f t="shared" si="447"/>
        <v>45658</v>
      </c>
      <c r="DI164" s="912">
        <f t="shared" si="415"/>
        <v>14</v>
      </c>
      <c r="DK164" s="913">
        <f t="shared" si="375"/>
        <v>45723</v>
      </c>
      <c r="DL164" s="912">
        <f t="shared" si="416"/>
        <v>16</v>
      </c>
      <c r="DM164" s="750" t="s">
        <v>272</v>
      </c>
      <c r="DN164" s="750" t="s">
        <v>273</v>
      </c>
      <c r="DO164" s="751">
        <f t="shared" si="376"/>
        <v>49363.988176232808</v>
      </c>
      <c r="DP164" s="751">
        <f t="shared" si="377"/>
        <v>1086007.7398771218</v>
      </c>
      <c r="DQ164" s="752">
        <f t="shared" si="452"/>
        <v>0.54300386993856087</v>
      </c>
      <c r="DS164" s="751">
        <f t="shared" si="453"/>
        <v>3306754.6929990449</v>
      </c>
      <c r="DT164" s="751">
        <f>'[4]INTERNAL PRICELIST'!N158</f>
        <v>0</v>
      </c>
      <c r="DU164" s="751">
        <f t="shared" si="378"/>
        <v>3306754.6929990449</v>
      </c>
      <c r="DW164" s="951">
        <f t="shared" si="454"/>
        <v>150307.03149995659</v>
      </c>
      <c r="DZ164" s="1010" t="s">
        <v>614</v>
      </c>
      <c r="EA164" s="1011" t="b">
        <f t="shared" si="379"/>
        <v>1</v>
      </c>
      <c r="EB164" s="1011"/>
      <c r="EC164" s="1011"/>
      <c r="ER164" s="1017" t="s">
        <v>264</v>
      </c>
      <c r="ES164" s="1391" t="s">
        <v>264</v>
      </c>
      <c r="ET164" s="1018" t="b">
        <f t="shared" si="417"/>
        <v>1</v>
      </c>
      <c r="EX164" s="1019">
        <v>3099783.1876086313</v>
      </c>
      <c r="EY164" s="1019">
        <f t="shared" si="464"/>
        <v>464967.47814129468</v>
      </c>
      <c r="EZ164" s="1019">
        <f t="shared" si="465"/>
        <v>2634815.7094673365</v>
      </c>
      <c r="FA164" s="1019">
        <f t="shared" si="466"/>
        <v>309978.31876086316</v>
      </c>
      <c r="FB164" s="1019">
        <f t="shared" si="467"/>
        <v>2789804.8688477683</v>
      </c>
      <c r="FC164" s="1019">
        <f t="shared" si="468"/>
        <v>154989.15938043175</v>
      </c>
      <c r="FD164" s="1020"/>
      <c r="FE164" s="1021"/>
      <c r="FF164" s="1022">
        <f t="shared" si="469"/>
        <v>2634815.7094673365</v>
      </c>
      <c r="FG164" s="1022">
        <f t="shared" si="470"/>
        <v>223959.33530472362</v>
      </c>
      <c r="FH164" s="1022">
        <f t="shared" si="471"/>
        <v>111979.66765236181</v>
      </c>
      <c r="FI164" s="1023">
        <f t="shared" si="472"/>
        <v>2789804.8688477683</v>
      </c>
      <c r="FJ164" s="1023">
        <f t="shared" si="473"/>
        <v>237133.41385206033</v>
      </c>
      <c r="FK164" s="1023">
        <f t="shared" si="474"/>
        <v>118566.70692603017</v>
      </c>
      <c r="FL164" s="1019">
        <f t="shared" si="475"/>
        <v>13174.078547336714</v>
      </c>
      <c r="FM164" s="1019">
        <f t="shared" si="476"/>
        <v>6587.0392736683571</v>
      </c>
      <c r="FN164" s="1019" t="str">
        <f t="shared" si="477"/>
        <v>VS</v>
      </c>
      <c r="FO164" s="1019">
        <f t="shared" si="478"/>
        <v>27537.409960060559</v>
      </c>
      <c r="FP164" s="1019">
        <f t="shared" si="479"/>
        <v>-20950.370686392202</v>
      </c>
      <c r="FQ164" s="1021"/>
      <c r="FR164" s="1021"/>
      <c r="FS164" s="1020"/>
      <c r="FT164" s="1055">
        <f t="shared" si="509"/>
        <v>2789804.8688477683</v>
      </c>
      <c r="FU164" s="1056"/>
      <c r="FV164" s="1056"/>
      <c r="GG164" s="956"/>
      <c r="GH164" s="1058"/>
      <c r="GI164" s="1024">
        <f t="shared" si="418"/>
        <v>3761433.4632864138</v>
      </c>
      <c r="GJ164" s="1025">
        <f t="shared" si="419"/>
        <v>0.125</v>
      </c>
      <c r="GK164" s="1024">
        <f t="shared" si="420"/>
        <v>470179.18291080173</v>
      </c>
      <c r="GL164" s="1024">
        <f t="shared" si="421"/>
        <v>30000</v>
      </c>
      <c r="GM164" s="1024">
        <f t="shared" si="422"/>
        <v>440179.18291080173</v>
      </c>
      <c r="GN164" s="1024">
        <f t="shared" si="423"/>
        <v>2</v>
      </c>
      <c r="GO164" s="1024">
        <f t="shared" si="424"/>
        <v>220089.59145540086</v>
      </c>
      <c r="GP164" s="1025">
        <f t="shared" si="425"/>
        <v>0.875</v>
      </c>
      <c r="GQ164" s="1024">
        <f t="shared" si="426"/>
        <v>3291254.280375612</v>
      </c>
      <c r="GR164" s="1024">
        <f t="shared" si="427"/>
        <v>25517.059404262771</v>
      </c>
      <c r="GS164" s="1024">
        <f t="shared" si="428"/>
        <v>29582.723937656603</v>
      </c>
      <c r="GT164" s="1024">
        <f t="shared" si="429"/>
        <v>38214.252921619925</v>
      </c>
      <c r="GU164" s="1024">
        <f t="shared" si="430"/>
        <v>65170.779452492723</v>
      </c>
      <c r="GW164" s="1024">
        <f t="shared" si="431"/>
        <v>3761433.4632864138</v>
      </c>
      <c r="GX164" s="1025">
        <f t="shared" si="432"/>
        <v>0.125</v>
      </c>
      <c r="GY164" s="1024">
        <f t="shared" si="433"/>
        <v>470179.18291080173</v>
      </c>
      <c r="GZ164" s="1024">
        <f t="shared" si="434"/>
        <v>30000</v>
      </c>
      <c r="HA164" s="1024">
        <f t="shared" si="435"/>
        <v>440179.18291080173</v>
      </c>
      <c r="HB164" s="1026">
        <f t="shared" si="436"/>
        <v>25</v>
      </c>
      <c r="HC164" s="1009">
        <f t="shared" si="437"/>
        <v>17607.167316432067</v>
      </c>
      <c r="HD164" s="1027">
        <f t="shared" si="438"/>
        <v>0.875</v>
      </c>
      <c r="HE164" s="1009">
        <f t="shared" si="439"/>
        <v>3291254.280375612</v>
      </c>
      <c r="HF164" s="1008">
        <f t="shared" si="440"/>
        <v>25517.059404262771</v>
      </c>
      <c r="HG164" s="1008">
        <f t="shared" si="441"/>
        <v>29582.723937656603</v>
      </c>
      <c r="HH164" s="1008">
        <f t="shared" si="442"/>
        <v>38214.252921619925</v>
      </c>
      <c r="HI164" s="1008">
        <f t="shared" si="443"/>
        <v>65170.779452492723</v>
      </c>
      <c r="HK164" s="1009">
        <f t="shared" si="444"/>
        <v>-202482.42413896881</v>
      </c>
      <c r="HR164" s="956">
        <f t="shared" si="445"/>
        <v>0</v>
      </c>
      <c r="HU164" s="956"/>
      <c r="HW164" s="956"/>
      <c r="HX164" s="956"/>
    </row>
    <row r="165" spans="1:238" ht="14.25" hidden="1" customHeight="1">
      <c r="A165" s="1018">
        <f t="shared" si="480"/>
        <v>159</v>
      </c>
      <c r="B165" s="716"/>
      <c r="C165" s="741">
        <f t="shared" ref="C165:C180" si="512">C164+1</f>
        <v>3</v>
      </c>
      <c r="D165" s="716" t="s">
        <v>294</v>
      </c>
      <c r="E165" s="743" t="str">
        <f t="shared" si="352"/>
        <v>11th Floor</v>
      </c>
      <c r="F165" s="1048"/>
      <c r="G165" s="745" t="s">
        <v>615</v>
      </c>
      <c r="H165" s="745" t="s">
        <v>283</v>
      </c>
      <c r="I165" s="745" t="s">
        <v>267</v>
      </c>
      <c r="J165" s="1005">
        <v>22</v>
      </c>
      <c r="K165" s="1049"/>
      <c r="L165" s="1006" t="s">
        <v>73</v>
      </c>
      <c r="M165" s="745" t="s">
        <v>240</v>
      </c>
      <c r="N165" s="1050">
        <v>95909.091</v>
      </c>
      <c r="O165" s="934">
        <f t="shared" si="455"/>
        <v>2110000.0019999999</v>
      </c>
      <c r="P165" s="934">
        <f t="shared" si="481"/>
        <v>22400</v>
      </c>
      <c r="Q165" s="934">
        <f t="shared" si="450"/>
        <v>50000</v>
      </c>
      <c r="R165" s="934"/>
      <c r="S165" s="934"/>
      <c r="T165" s="934"/>
      <c r="U165" s="934"/>
      <c r="V165" s="749"/>
      <c r="W165" s="749">
        <f t="shared" si="510"/>
        <v>22000</v>
      </c>
      <c r="X165" s="934"/>
      <c r="Y165" s="934">
        <f t="shared" ref="Y165:Y180" si="513">$Y$163</f>
        <v>140000</v>
      </c>
      <c r="Z165" s="934">
        <f t="shared" si="456"/>
        <v>75000</v>
      </c>
      <c r="AA165" s="934"/>
      <c r="AB165" s="934"/>
      <c r="AC165" s="934"/>
      <c r="AD165" s="934"/>
      <c r="AE165" s="934">
        <f t="shared" si="365"/>
        <v>309400</v>
      </c>
      <c r="AF165" s="1005">
        <f t="shared" si="366"/>
        <v>2419400.0019999999</v>
      </c>
      <c r="AG165" s="1005">
        <f t="shared" si="380"/>
        <v>60485.000050000002</v>
      </c>
      <c r="AH165" s="1005">
        <f t="shared" si="381"/>
        <v>2479885.0020499998</v>
      </c>
      <c r="AI165" s="1005">
        <f t="shared" si="382"/>
        <v>61997.125051249997</v>
      </c>
      <c r="AJ165" s="1005">
        <f t="shared" si="383"/>
        <v>2541882.12710125</v>
      </c>
      <c r="AK165" s="1005">
        <f t="shared" si="384"/>
        <v>127094.10635506251</v>
      </c>
      <c r="AL165" s="1005">
        <f t="shared" si="457"/>
        <v>2668976.2334563127</v>
      </c>
      <c r="AM165" s="934">
        <f t="shared" si="385"/>
        <v>26689.762334563129</v>
      </c>
      <c r="AN165" s="934">
        <f t="shared" si="386"/>
        <v>27537.409960060559</v>
      </c>
      <c r="AO165" s="934"/>
      <c r="AP165" s="934">
        <f t="shared" si="458"/>
        <v>118566.70692603017</v>
      </c>
      <c r="AQ165" s="1005">
        <f t="shared" si="367"/>
        <v>2841770.1126769665</v>
      </c>
      <c r="AR165" s="1005">
        <f t="shared" si="387"/>
        <v>127879.65507046349</v>
      </c>
      <c r="AS165" s="1147">
        <f t="shared" si="388"/>
        <v>2969649.7677474301</v>
      </c>
      <c r="AT165" s="1148">
        <f t="shared" si="459"/>
        <v>2000000</v>
      </c>
      <c r="AU165" s="1148">
        <f t="shared" si="511"/>
        <v>44074.989443065009</v>
      </c>
      <c r="AV165" s="1148">
        <f t="shared" si="460"/>
        <v>969649.76774743013</v>
      </c>
      <c r="AW165" s="1148">
        <f t="shared" si="368"/>
        <v>116357.97212969161</v>
      </c>
      <c r="AX165" s="1148">
        <f t="shared" si="369"/>
        <v>1086007.7398771218</v>
      </c>
      <c r="AY165" s="1147">
        <f t="shared" si="389"/>
        <v>3086007.7398771215</v>
      </c>
      <c r="AZ165" s="934">
        <f t="shared" si="390"/>
        <v>38575.09674846402</v>
      </c>
      <c r="BA165" s="716" t="s">
        <v>269</v>
      </c>
      <c r="BB165" s="716">
        <f t="shared" si="370"/>
        <v>3124582.8366255853</v>
      </c>
      <c r="BC165" s="716" t="s">
        <v>269</v>
      </c>
      <c r="BD165" s="716">
        <f t="shared" si="391"/>
        <v>117171.85637345945</v>
      </c>
      <c r="BE165" s="716">
        <f t="shared" si="392"/>
        <v>33600</v>
      </c>
      <c r="BF165" s="716">
        <f t="shared" si="393"/>
        <v>3275354.6929990449</v>
      </c>
      <c r="BG165" s="716"/>
      <c r="BH165" s="716">
        <f t="shared" si="394"/>
        <v>3275354.6929990449</v>
      </c>
      <c r="BI165" s="716"/>
      <c r="BJ165" s="716">
        <f t="shared" si="395"/>
        <v>3275354.6929990449</v>
      </c>
      <c r="BK165" s="716"/>
      <c r="BL165" s="716">
        <f t="shared" si="396"/>
        <v>3275354.6929990449</v>
      </c>
      <c r="BM165" s="716"/>
      <c r="BN165" s="716">
        <f t="shared" si="371"/>
        <v>3275354.6929990449</v>
      </c>
      <c r="BO165" s="716"/>
      <c r="BP165" s="716">
        <f t="shared" si="397"/>
        <v>3275354.6929990449</v>
      </c>
      <c r="BQ165" s="716"/>
      <c r="BR165" s="716">
        <f t="shared" si="398"/>
        <v>3275354.6929990449</v>
      </c>
      <c r="BS165" s="716"/>
      <c r="BT165" s="716">
        <f t="shared" si="399"/>
        <v>3275354.6929990449</v>
      </c>
      <c r="BU165" s="716"/>
      <c r="BV165" s="716">
        <f t="shared" si="372"/>
        <v>3275354.6929990449</v>
      </c>
      <c r="BW165" s="716"/>
      <c r="BX165" s="716">
        <f t="shared" si="489"/>
        <v>31400</v>
      </c>
      <c r="BY165" s="716">
        <f t="shared" si="400"/>
        <v>3306754.6929990449</v>
      </c>
      <c r="BZ165" s="716"/>
      <c r="CA165" s="716">
        <f t="shared" si="401"/>
        <v>3306754.6929990449</v>
      </c>
      <c r="CB165" s="1135">
        <f t="shared" si="402"/>
        <v>3306754.6929990449</v>
      </c>
      <c r="CC165" s="1164">
        <f t="shared" si="446"/>
        <v>3306754.6929990449</v>
      </c>
      <c r="CD165" s="1164"/>
      <c r="CE165" s="1164">
        <f t="shared" si="403"/>
        <v>0</v>
      </c>
      <c r="CF165" s="1164">
        <f t="shared" si="448"/>
        <v>0</v>
      </c>
      <c r="CG165" s="1164">
        <f t="shared" si="449"/>
        <v>0</v>
      </c>
      <c r="CH165" s="1154">
        <f t="shared" si="506"/>
        <v>3306754.6929990449</v>
      </c>
      <c r="CI165" s="935">
        <f t="shared" si="507"/>
        <v>3306754.6929990449</v>
      </c>
      <c r="CJ165" s="935">
        <f t="shared" si="404"/>
        <v>0</v>
      </c>
      <c r="CK165" s="935">
        <f t="shared" si="373"/>
        <v>338942.35603240208</v>
      </c>
      <c r="CL165" s="935">
        <f t="shared" si="374"/>
        <v>115736.41425496658</v>
      </c>
      <c r="CM165" s="1006">
        <f t="shared" si="461"/>
        <v>3761433.4632864138</v>
      </c>
      <c r="CN165" s="1007">
        <f t="shared" si="462"/>
        <v>0.125</v>
      </c>
      <c r="CO165" s="935">
        <f t="shared" si="498"/>
        <v>470179.18291080173</v>
      </c>
      <c r="CP165" s="935">
        <f t="shared" si="490"/>
        <v>30000</v>
      </c>
      <c r="CQ165" s="935">
        <f t="shared" si="499"/>
        <v>440179.18291080173</v>
      </c>
      <c r="CR165" s="745">
        <f t="shared" si="463"/>
        <v>2</v>
      </c>
      <c r="CS165" s="935">
        <f t="shared" si="500"/>
        <v>220089.59145540086</v>
      </c>
      <c r="CT165" s="1007">
        <f t="shared" si="405"/>
        <v>0.875</v>
      </c>
      <c r="CU165" s="935">
        <f t="shared" si="406"/>
        <v>3291254.280375612</v>
      </c>
      <c r="CV165" s="1008">
        <f t="shared" si="407"/>
        <v>25517.059404262771</v>
      </c>
      <c r="CW165" s="1008">
        <f t="shared" si="408"/>
        <v>29582.723937656603</v>
      </c>
      <c r="CX165" s="1008">
        <f t="shared" si="409"/>
        <v>38214.252921619925</v>
      </c>
      <c r="CY165" s="1008">
        <f t="shared" si="410"/>
        <v>65170.779452492723</v>
      </c>
      <c r="CZ165" s="1119">
        <f t="shared" si="411"/>
        <v>267359.04649365909</v>
      </c>
      <c r="DA165" s="1119">
        <f t="shared" si="412"/>
        <v>105792.67231685179</v>
      </c>
      <c r="DB165" s="1119">
        <f t="shared" si="413"/>
        <v>76412.548852256587</v>
      </c>
      <c r="DC165" s="1119">
        <f t="shared" si="414"/>
        <v>58153.467528626905</v>
      </c>
      <c r="DD165" s="1028">
        <f t="shared" si="451"/>
        <v>0.48482488387371508</v>
      </c>
      <c r="DE165" s="1028">
        <f t="shared" si="508"/>
        <v>0</v>
      </c>
      <c r="DF165" s="1009" t="s">
        <v>270</v>
      </c>
      <c r="DG165" s="1009" t="s">
        <v>271</v>
      </c>
      <c r="DH165" s="966">
        <f t="shared" si="447"/>
        <v>45658</v>
      </c>
      <c r="DI165" s="912">
        <f t="shared" si="415"/>
        <v>14</v>
      </c>
      <c r="DK165" s="913">
        <f t="shared" si="375"/>
        <v>45723</v>
      </c>
      <c r="DL165" s="912">
        <f t="shared" si="416"/>
        <v>16</v>
      </c>
      <c r="DM165" s="750" t="s">
        <v>272</v>
      </c>
      <c r="DN165" s="750" t="s">
        <v>273</v>
      </c>
      <c r="DO165" s="751">
        <f t="shared" si="376"/>
        <v>49363.988176232808</v>
      </c>
      <c r="DP165" s="751">
        <f t="shared" si="377"/>
        <v>1086007.7398771218</v>
      </c>
      <c r="DQ165" s="752">
        <f t="shared" si="452"/>
        <v>0.54300386993856087</v>
      </c>
      <c r="DS165" s="751">
        <f t="shared" si="453"/>
        <v>3306754.6929990449</v>
      </c>
      <c r="DT165" s="751">
        <f>'[4]INTERNAL PRICELIST'!N159</f>
        <v>0</v>
      </c>
      <c r="DU165" s="751">
        <f t="shared" si="378"/>
        <v>3306754.6929990449</v>
      </c>
      <c r="DW165" s="951">
        <f t="shared" si="454"/>
        <v>150307.03149995659</v>
      </c>
      <c r="DZ165" s="1010" t="s">
        <v>615</v>
      </c>
      <c r="EA165" s="1011" t="b">
        <f t="shared" si="379"/>
        <v>1</v>
      </c>
      <c r="EB165" s="1011"/>
      <c r="EC165" s="1011"/>
      <c r="ER165" s="1017" t="s">
        <v>264</v>
      </c>
      <c r="ES165" s="1391" t="s">
        <v>264</v>
      </c>
      <c r="ET165" s="1018" t="b">
        <f t="shared" si="417"/>
        <v>1</v>
      </c>
      <c r="EX165" s="1019">
        <v>3099783.1876086313</v>
      </c>
      <c r="EY165" s="1019">
        <f t="shared" si="464"/>
        <v>464967.47814129468</v>
      </c>
      <c r="EZ165" s="1019">
        <f t="shared" si="465"/>
        <v>2634815.7094673365</v>
      </c>
      <c r="FA165" s="1019">
        <f t="shared" si="466"/>
        <v>309978.31876086316</v>
      </c>
      <c r="FB165" s="1019">
        <f t="shared" si="467"/>
        <v>2789804.8688477683</v>
      </c>
      <c r="FC165" s="1019">
        <f t="shared" si="468"/>
        <v>154989.15938043175</v>
      </c>
      <c r="FD165" s="1020"/>
      <c r="FE165" s="1021"/>
      <c r="FF165" s="1022">
        <f t="shared" si="469"/>
        <v>2634815.7094673365</v>
      </c>
      <c r="FG165" s="1022">
        <f t="shared" si="470"/>
        <v>223959.33530472362</v>
      </c>
      <c r="FH165" s="1022">
        <f t="shared" si="471"/>
        <v>111979.66765236181</v>
      </c>
      <c r="FI165" s="1023">
        <f t="shared" si="472"/>
        <v>2789804.8688477683</v>
      </c>
      <c r="FJ165" s="1023">
        <f t="shared" si="473"/>
        <v>237133.41385206033</v>
      </c>
      <c r="FK165" s="1023">
        <f t="shared" si="474"/>
        <v>118566.70692603017</v>
      </c>
      <c r="FL165" s="1019">
        <f t="shared" si="475"/>
        <v>13174.078547336714</v>
      </c>
      <c r="FM165" s="1019">
        <f t="shared" si="476"/>
        <v>6587.0392736683571</v>
      </c>
      <c r="FN165" s="1019" t="str">
        <f t="shared" si="477"/>
        <v>VS</v>
      </c>
      <c r="FO165" s="1019">
        <f t="shared" si="478"/>
        <v>27537.409960060559</v>
      </c>
      <c r="FP165" s="1019">
        <f t="shared" si="479"/>
        <v>-20950.370686392202</v>
      </c>
      <c r="FQ165" s="1021"/>
      <c r="FR165" s="1021"/>
      <c r="FS165" s="1020"/>
      <c r="FT165" s="1055">
        <f t="shared" si="509"/>
        <v>2789804.8688477683</v>
      </c>
      <c r="FU165" s="1056"/>
      <c r="FV165" s="1056"/>
      <c r="GG165" s="956"/>
      <c r="GH165" s="1058"/>
      <c r="GI165" s="1024">
        <f t="shared" si="418"/>
        <v>3761433.4632864138</v>
      </c>
      <c r="GJ165" s="1025">
        <f t="shared" si="419"/>
        <v>0.125</v>
      </c>
      <c r="GK165" s="1024">
        <f t="shared" si="420"/>
        <v>470179.18291080173</v>
      </c>
      <c r="GL165" s="1024">
        <f t="shared" si="421"/>
        <v>30000</v>
      </c>
      <c r="GM165" s="1024">
        <f t="shared" si="422"/>
        <v>440179.18291080173</v>
      </c>
      <c r="GN165" s="1024">
        <f t="shared" si="423"/>
        <v>2</v>
      </c>
      <c r="GO165" s="1024">
        <f t="shared" si="424"/>
        <v>220089.59145540086</v>
      </c>
      <c r="GP165" s="1025">
        <f t="shared" si="425"/>
        <v>0.875</v>
      </c>
      <c r="GQ165" s="1024">
        <f t="shared" si="426"/>
        <v>3291254.280375612</v>
      </c>
      <c r="GR165" s="1024">
        <f t="shared" si="427"/>
        <v>25517.059404262771</v>
      </c>
      <c r="GS165" s="1024">
        <f t="shared" si="428"/>
        <v>29582.723937656603</v>
      </c>
      <c r="GT165" s="1024">
        <f t="shared" si="429"/>
        <v>38214.252921619925</v>
      </c>
      <c r="GU165" s="1024">
        <f t="shared" si="430"/>
        <v>65170.779452492723</v>
      </c>
      <c r="GW165" s="1024">
        <f t="shared" si="431"/>
        <v>3761433.4632864138</v>
      </c>
      <c r="GX165" s="1025">
        <f t="shared" si="432"/>
        <v>0.125</v>
      </c>
      <c r="GY165" s="1024">
        <f t="shared" si="433"/>
        <v>470179.18291080173</v>
      </c>
      <c r="GZ165" s="1024">
        <f t="shared" si="434"/>
        <v>30000</v>
      </c>
      <c r="HA165" s="1024">
        <f t="shared" si="435"/>
        <v>440179.18291080173</v>
      </c>
      <c r="HB165" s="1026">
        <f t="shared" si="436"/>
        <v>25</v>
      </c>
      <c r="HC165" s="1009">
        <f t="shared" si="437"/>
        <v>17607.167316432067</v>
      </c>
      <c r="HD165" s="1027">
        <f t="shared" si="438"/>
        <v>0.875</v>
      </c>
      <c r="HE165" s="1009">
        <f t="shared" si="439"/>
        <v>3291254.280375612</v>
      </c>
      <c r="HF165" s="1008">
        <f t="shared" si="440"/>
        <v>25517.059404262771</v>
      </c>
      <c r="HG165" s="1008">
        <f t="shared" si="441"/>
        <v>29582.723937656603</v>
      </c>
      <c r="HH165" s="1008">
        <f t="shared" si="442"/>
        <v>38214.252921619925</v>
      </c>
      <c r="HI165" s="1008">
        <f t="shared" si="443"/>
        <v>65170.779452492723</v>
      </c>
      <c r="HK165" s="1009">
        <f t="shared" si="444"/>
        <v>-202482.42413896881</v>
      </c>
      <c r="HR165" s="956">
        <f t="shared" si="445"/>
        <v>0</v>
      </c>
      <c r="HU165" s="956"/>
      <c r="HW165" s="956"/>
      <c r="HX165" s="956"/>
    </row>
    <row r="166" spans="1:238" ht="14.25" hidden="1" customHeight="1">
      <c r="A166" s="1018">
        <f t="shared" si="480"/>
        <v>160</v>
      </c>
      <c r="B166" s="716"/>
      <c r="C166" s="741">
        <f t="shared" si="512"/>
        <v>4</v>
      </c>
      <c r="D166" s="716" t="s">
        <v>294</v>
      </c>
      <c r="E166" s="743" t="str">
        <f t="shared" si="352"/>
        <v>11th Floor</v>
      </c>
      <c r="F166" s="1048"/>
      <c r="G166" s="745" t="s">
        <v>616</v>
      </c>
      <c r="H166" s="745" t="s">
        <v>288</v>
      </c>
      <c r="I166" s="745" t="s">
        <v>267</v>
      </c>
      <c r="J166" s="1005">
        <v>22</v>
      </c>
      <c r="K166" s="1049"/>
      <c r="L166" s="1006" t="s">
        <v>73</v>
      </c>
      <c r="M166" s="745" t="s">
        <v>240</v>
      </c>
      <c r="N166" s="1050">
        <v>95909.091</v>
      </c>
      <c r="O166" s="934">
        <f t="shared" si="455"/>
        <v>2110000.0019999999</v>
      </c>
      <c r="P166" s="934">
        <f t="shared" si="481"/>
        <v>22400</v>
      </c>
      <c r="Q166" s="934">
        <f t="shared" si="450"/>
        <v>50000</v>
      </c>
      <c r="R166" s="934"/>
      <c r="S166" s="934"/>
      <c r="T166" s="934"/>
      <c r="U166" s="934"/>
      <c r="V166" s="749"/>
      <c r="W166" s="749">
        <f t="shared" si="510"/>
        <v>22000</v>
      </c>
      <c r="X166" s="934"/>
      <c r="Y166" s="934">
        <f t="shared" si="513"/>
        <v>140000</v>
      </c>
      <c r="Z166" s="934">
        <f t="shared" si="456"/>
        <v>75000</v>
      </c>
      <c r="AA166" s="934"/>
      <c r="AB166" s="934"/>
      <c r="AC166" s="934"/>
      <c r="AD166" s="934"/>
      <c r="AE166" s="934">
        <f t="shared" si="365"/>
        <v>309400</v>
      </c>
      <c r="AF166" s="1005">
        <f t="shared" si="366"/>
        <v>2419400.0019999999</v>
      </c>
      <c r="AG166" s="1005">
        <f t="shared" si="380"/>
        <v>60485.000050000002</v>
      </c>
      <c r="AH166" s="1005">
        <f t="shared" si="381"/>
        <v>2479885.0020499998</v>
      </c>
      <c r="AI166" s="1005">
        <f t="shared" si="382"/>
        <v>61997.125051249997</v>
      </c>
      <c r="AJ166" s="1005">
        <f t="shared" si="383"/>
        <v>2541882.12710125</v>
      </c>
      <c r="AK166" s="1005">
        <f t="shared" si="384"/>
        <v>127094.10635506251</v>
      </c>
      <c r="AL166" s="1005">
        <f t="shared" si="457"/>
        <v>2668976.2334563127</v>
      </c>
      <c r="AM166" s="934">
        <f t="shared" si="385"/>
        <v>26689.762334563129</v>
      </c>
      <c r="AN166" s="934">
        <f t="shared" si="386"/>
        <v>27537.409960060559</v>
      </c>
      <c r="AO166" s="934"/>
      <c r="AP166" s="934">
        <f t="shared" si="458"/>
        <v>118566.70692603017</v>
      </c>
      <c r="AQ166" s="1005">
        <f t="shared" si="367"/>
        <v>2841770.1126769665</v>
      </c>
      <c r="AR166" s="1005">
        <f t="shared" si="387"/>
        <v>127879.65507046349</v>
      </c>
      <c r="AS166" s="1147">
        <f t="shared" si="388"/>
        <v>2969649.7677474301</v>
      </c>
      <c r="AT166" s="1148">
        <f t="shared" si="459"/>
        <v>2000000</v>
      </c>
      <c r="AU166" s="1148">
        <f t="shared" si="511"/>
        <v>44074.989443065009</v>
      </c>
      <c r="AV166" s="1148">
        <f t="shared" si="460"/>
        <v>969649.76774743013</v>
      </c>
      <c r="AW166" s="1148">
        <f t="shared" si="368"/>
        <v>116357.97212969161</v>
      </c>
      <c r="AX166" s="1148">
        <f t="shared" si="369"/>
        <v>1086007.7398771218</v>
      </c>
      <c r="AY166" s="1147">
        <f t="shared" si="389"/>
        <v>3086007.7398771215</v>
      </c>
      <c r="AZ166" s="934">
        <f t="shared" si="390"/>
        <v>38575.09674846402</v>
      </c>
      <c r="BA166" s="716" t="s">
        <v>269</v>
      </c>
      <c r="BB166" s="716">
        <f t="shared" si="370"/>
        <v>3124582.8366255853</v>
      </c>
      <c r="BC166" s="716" t="s">
        <v>269</v>
      </c>
      <c r="BD166" s="716">
        <f t="shared" si="391"/>
        <v>117171.85637345945</v>
      </c>
      <c r="BE166" s="716">
        <f t="shared" si="392"/>
        <v>33600</v>
      </c>
      <c r="BF166" s="716">
        <f t="shared" si="393"/>
        <v>3275354.6929990449</v>
      </c>
      <c r="BG166" s="716"/>
      <c r="BH166" s="716">
        <f t="shared" si="394"/>
        <v>3275354.6929990449</v>
      </c>
      <c r="BI166" s="716"/>
      <c r="BJ166" s="716">
        <f t="shared" si="395"/>
        <v>3275354.6929990449</v>
      </c>
      <c r="BK166" s="716"/>
      <c r="BL166" s="716">
        <f t="shared" si="396"/>
        <v>3275354.6929990449</v>
      </c>
      <c r="BM166" s="716"/>
      <c r="BN166" s="716">
        <f t="shared" si="371"/>
        <v>3275354.6929990449</v>
      </c>
      <c r="BO166" s="716"/>
      <c r="BP166" s="716">
        <f t="shared" si="397"/>
        <v>3275354.6929990449</v>
      </c>
      <c r="BQ166" s="716"/>
      <c r="BR166" s="716">
        <f t="shared" si="398"/>
        <v>3275354.6929990449</v>
      </c>
      <c r="BS166" s="716"/>
      <c r="BT166" s="716">
        <f t="shared" si="399"/>
        <v>3275354.6929990449</v>
      </c>
      <c r="BU166" s="716"/>
      <c r="BV166" s="716">
        <f t="shared" si="372"/>
        <v>3275354.6929990449</v>
      </c>
      <c r="BW166" s="716"/>
      <c r="BX166" s="716">
        <f t="shared" si="489"/>
        <v>31400</v>
      </c>
      <c r="BY166" s="716">
        <f t="shared" si="400"/>
        <v>3306754.6929990449</v>
      </c>
      <c r="BZ166" s="716"/>
      <c r="CA166" s="716">
        <f t="shared" si="401"/>
        <v>3306754.6929990449</v>
      </c>
      <c r="CB166" s="1135">
        <f t="shared" si="402"/>
        <v>3306754.6929990449</v>
      </c>
      <c r="CC166" s="1164">
        <f t="shared" si="446"/>
        <v>3306754.6929990449</v>
      </c>
      <c r="CD166" s="1164"/>
      <c r="CE166" s="1164">
        <f t="shared" si="403"/>
        <v>0</v>
      </c>
      <c r="CF166" s="1164">
        <f t="shared" si="448"/>
        <v>0</v>
      </c>
      <c r="CG166" s="1164">
        <f t="shared" si="449"/>
        <v>0</v>
      </c>
      <c r="CH166" s="1154">
        <f t="shared" si="506"/>
        <v>3306754.6929990449</v>
      </c>
      <c r="CI166" s="935">
        <f t="shared" si="507"/>
        <v>3306754.6929990449</v>
      </c>
      <c r="CJ166" s="935">
        <f t="shared" si="404"/>
        <v>0</v>
      </c>
      <c r="CK166" s="935">
        <f t="shared" si="373"/>
        <v>338942.35603240208</v>
      </c>
      <c r="CL166" s="935">
        <f t="shared" si="374"/>
        <v>115736.41425496658</v>
      </c>
      <c r="CM166" s="1006">
        <f t="shared" si="461"/>
        <v>3761433.4632864138</v>
      </c>
      <c r="CN166" s="1007">
        <f t="shared" si="462"/>
        <v>0.125</v>
      </c>
      <c r="CO166" s="935">
        <f t="shared" si="498"/>
        <v>470179.18291080173</v>
      </c>
      <c r="CP166" s="935">
        <f t="shared" si="490"/>
        <v>30000</v>
      </c>
      <c r="CQ166" s="935">
        <f t="shared" si="499"/>
        <v>440179.18291080173</v>
      </c>
      <c r="CR166" s="745">
        <f t="shared" si="463"/>
        <v>2</v>
      </c>
      <c r="CS166" s="935">
        <f t="shared" si="500"/>
        <v>220089.59145540086</v>
      </c>
      <c r="CT166" s="1007">
        <f t="shared" si="405"/>
        <v>0.875</v>
      </c>
      <c r="CU166" s="935">
        <f t="shared" si="406"/>
        <v>3291254.280375612</v>
      </c>
      <c r="CV166" s="1008">
        <f t="shared" si="407"/>
        <v>25517.059404262771</v>
      </c>
      <c r="CW166" s="1008">
        <f t="shared" si="408"/>
        <v>29582.723937656603</v>
      </c>
      <c r="CX166" s="1008">
        <f t="shared" si="409"/>
        <v>38214.252921619925</v>
      </c>
      <c r="CY166" s="1008">
        <f t="shared" si="410"/>
        <v>65170.779452492723</v>
      </c>
      <c r="CZ166" s="1119">
        <f t="shared" si="411"/>
        <v>267359.04649365909</v>
      </c>
      <c r="DA166" s="1119">
        <f t="shared" si="412"/>
        <v>105792.67231685179</v>
      </c>
      <c r="DB166" s="1119">
        <f t="shared" si="413"/>
        <v>76412.548852256587</v>
      </c>
      <c r="DC166" s="1119">
        <f t="shared" si="414"/>
        <v>58153.467528626905</v>
      </c>
      <c r="DD166" s="1028">
        <f t="shared" si="451"/>
        <v>0.48482488387371508</v>
      </c>
      <c r="DE166" s="1028">
        <f t="shared" si="508"/>
        <v>0</v>
      </c>
      <c r="DF166" s="1009" t="s">
        <v>270</v>
      </c>
      <c r="DG166" s="1009" t="s">
        <v>271</v>
      </c>
      <c r="DH166" s="966">
        <f t="shared" si="447"/>
        <v>45658</v>
      </c>
      <c r="DI166" s="912">
        <f t="shared" si="415"/>
        <v>14</v>
      </c>
      <c r="DK166" s="913">
        <f t="shared" si="375"/>
        <v>45723</v>
      </c>
      <c r="DL166" s="912">
        <f t="shared" si="416"/>
        <v>16</v>
      </c>
      <c r="DM166" s="750" t="s">
        <v>272</v>
      </c>
      <c r="DN166" s="750" t="s">
        <v>273</v>
      </c>
      <c r="DO166" s="751">
        <f t="shared" si="376"/>
        <v>49363.988176232808</v>
      </c>
      <c r="DP166" s="751">
        <f t="shared" si="377"/>
        <v>1086007.7398771218</v>
      </c>
      <c r="DQ166" s="752">
        <f t="shared" si="452"/>
        <v>0.54300386993856087</v>
      </c>
      <c r="DS166" s="751">
        <f t="shared" si="453"/>
        <v>3306754.6929990449</v>
      </c>
      <c r="DT166" s="751">
        <f>'[4]INTERNAL PRICELIST'!N160</f>
        <v>0</v>
      </c>
      <c r="DU166" s="751">
        <f t="shared" si="378"/>
        <v>3306754.6929990449</v>
      </c>
      <c r="DW166" s="951">
        <f t="shared" si="454"/>
        <v>150307.03149995659</v>
      </c>
      <c r="DZ166" s="1010" t="s">
        <v>616</v>
      </c>
      <c r="EA166" s="1011" t="b">
        <f t="shared" si="379"/>
        <v>1</v>
      </c>
      <c r="EB166" s="1011"/>
      <c r="EC166" s="1011"/>
      <c r="ER166" s="1017" t="s">
        <v>264</v>
      </c>
      <c r="ES166" s="1391" t="s">
        <v>264</v>
      </c>
      <c r="ET166" s="1018" t="b">
        <f t="shared" si="417"/>
        <v>1</v>
      </c>
      <c r="EX166" s="1019">
        <v>3099783.1876086313</v>
      </c>
      <c r="EY166" s="1019">
        <f t="shared" si="464"/>
        <v>464967.47814129468</v>
      </c>
      <c r="EZ166" s="1019">
        <f t="shared" si="465"/>
        <v>2634815.7094673365</v>
      </c>
      <c r="FA166" s="1019">
        <f t="shared" si="466"/>
        <v>309978.31876086316</v>
      </c>
      <c r="FB166" s="1019">
        <f t="shared" si="467"/>
        <v>2789804.8688477683</v>
      </c>
      <c r="FC166" s="1019">
        <f t="shared" si="468"/>
        <v>154989.15938043175</v>
      </c>
      <c r="FD166" s="1020"/>
      <c r="FE166" s="1021"/>
      <c r="FF166" s="1022">
        <f t="shared" si="469"/>
        <v>2634815.7094673365</v>
      </c>
      <c r="FG166" s="1022">
        <f t="shared" si="470"/>
        <v>223959.33530472362</v>
      </c>
      <c r="FH166" s="1022">
        <f t="shared" si="471"/>
        <v>111979.66765236181</v>
      </c>
      <c r="FI166" s="1023">
        <f t="shared" si="472"/>
        <v>2789804.8688477683</v>
      </c>
      <c r="FJ166" s="1023">
        <f t="shared" si="473"/>
        <v>237133.41385206033</v>
      </c>
      <c r="FK166" s="1023">
        <f t="shared" si="474"/>
        <v>118566.70692603017</v>
      </c>
      <c r="FL166" s="1019">
        <f t="shared" si="475"/>
        <v>13174.078547336714</v>
      </c>
      <c r="FM166" s="1019">
        <f t="shared" si="476"/>
        <v>6587.0392736683571</v>
      </c>
      <c r="FN166" s="1019" t="str">
        <f t="shared" si="477"/>
        <v>VS</v>
      </c>
      <c r="FO166" s="1019">
        <f t="shared" si="478"/>
        <v>27537.409960060559</v>
      </c>
      <c r="FP166" s="1019">
        <f t="shared" si="479"/>
        <v>-20950.370686392202</v>
      </c>
      <c r="FQ166" s="1021"/>
      <c r="FR166" s="1021"/>
      <c r="FS166" s="1020"/>
      <c r="FT166" s="1055">
        <f t="shared" si="509"/>
        <v>2789804.8688477683</v>
      </c>
      <c r="FU166" s="1056"/>
      <c r="FV166" s="1056"/>
      <c r="GG166" s="956"/>
      <c r="GH166" s="1058"/>
      <c r="GI166" s="1024">
        <f t="shared" si="418"/>
        <v>3761433.4632864138</v>
      </c>
      <c r="GJ166" s="1025">
        <f t="shared" si="419"/>
        <v>0.125</v>
      </c>
      <c r="GK166" s="1024">
        <f t="shared" si="420"/>
        <v>470179.18291080173</v>
      </c>
      <c r="GL166" s="1024">
        <f t="shared" si="421"/>
        <v>30000</v>
      </c>
      <c r="GM166" s="1024">
        <f t="shared" si="422"/>
        <v>440179.18291080173</v>
      </c>
      <c r="GN166" s="1024">
        <f t="shared" si="423"/>
        <v>2</v>
      </c>
      <c r="GO166" s="1024">
        <f t="shared" si="424"/>
        <v>220089.59145540086</v>
      </c>
      <c r="GP166" s="1025">
        <f t="shared" si="425"/>
        <v>0.875</v>
      </c>
      <c r="GQ166" s="1024">
        <f t="shared" si="426"/>
        <v>3291254.280375612</v>
      </c>
      <c r="GR166" s="1024">
        <f t="shared" si="427"/>
        <v>25517.059404262771</v>
      </c>
      <c r="GS166" s="1024">
        <f t="shared" si="428"/>
        <v>29582.723937656603</v>
      </c>
      <c r="GT166" s="1024">
        <f t="shared" si="429"/>
        <v>38214.252921619925</v>
      </c>
      <c r="GU166" s="1024">
        <f t="shared" si="430"/>
        <v>65170.779452492723</v>
      </c>
      <c r="GW166" s="1024">
        <f t="shared" si="431"/>
        <v>3761433.4632864138</v>
      </c>
      <c r="GX166" s="1025">
        <f t="shared" si="432"/>
        <v>0.125</v>
      </c>
      <c r="GY166" s="1024">
        <f t="shared" si="433"/>
        <v>470179.18291080173</v>
      </c>
      <c r="GZ166" s="1024">
        <f t="shared" si="434"/>
        <v>30000</v>
      </c>
      <c r="HA166" s="1024">
        <f t="shared" si="435"/>
        <v>440179.18291080173</v>
      </c>
      <c r="HB166" s="1026">
        <f t="shared" si="436"/>
        <v>25</v>
      </c>
      <c r="HC166" s="1009">
        <f t="shared" si="437"/>
        <v>17607.167316432067</v>
      </c>
      <c r="HD166" s="1027">
        <f t="shared" si="438"/>
        <v>0.875</v>
      </c>
      <c r="HE166" s="1009">
        <f t="shared" si="439"/>
        <v>3291254.280375612</v>
      </c>
      <c r="HF166" s="1008">
        <f t="shared" si="440"/>
        <v>25517.059404262771</v>
      </c>
      <c r="HG166" s="1008">
        <f t="shared" si="441"/>
        <v>29582.723937656603</v>
      </c>
      <c r="HH166" s="1008">
        <f t="shared" si="442"/>
        <v>38214.252921619925</v>
      </c>
      <c r="HI166" s="1008">
        <f t="shared" si="443"/>
        <v>65170.779452492723</v>
      </c>
      <c r="HK166" s="1009">
        <f t="shared" si="444"/>
        <v>-202482.42413896881</v>
      </c>
      <c r="HR166" s="956">
        <f t="shared" si="445"/>
        <v>0</v>
      </c>
      <c r="HU166" s="956"/>
      <c r="HW166" s="956"/>
      <c r="HX166" s="956"/>
    </row>
    <row r="167" spans="1:238" ht="14.25" customHeight="1">
      <c r="A167" s="1018">
        <f t="shared" si="480"/>
        <v>161</v>
      </c>
      <c r="B167" s="716"/>
      <c r="C167" s="741">
        <f t="shared" si="512"/>
        <v>5</v>
      </c>
      <c r="D167" s="716" t="s">
        <v>294</v>
      </c>
      <c r="E167" s="743" t="str">
        <f t="shared" si="352"/>
        <v>11th Floor</v>
      </c>
      <c r="F167" s="1048"/>
      <c r="G167" s="745" t="s">
        <v>617</v>
      </c>
      <c r="H167" s="745" t="s">
        <v>292</v>
      </c>
      <c r="I167" s="745" t="s">
        <v>267</v>
      </c>
      <c r="J167" s="1005">
        <v>22</v>
      </c>
      <c r="K167" s="1049"/>
      <c r="L167" s="1006" t="s">
        <v>73</v>
      </c>
      <c r="M167" s="745" t="s">
        <v>240</v>
      </c>
      <c r="N167" s="1050">
        <v>95909.091</v>
      </c>
      <c r="O167" s="934">
        <f t="shared" si="455"/>
        <v>2110000.0019999999</v>
      </c>
      <c r="P167" s="934">
        <f t="shared" si="481"/>
        <v>22400</v>
      </c>
      <c r="Q167" s="934">
        <f t="shared" si="450"/>
        <v>50000</v>
      </c>
      <c r="R167" s="934"/>
      <c r="S167" s="934"/>
      <c r="T167" s="934"/>
      <c r="U167" s="934"/>
      <c r="V167" s="749"/>
      <c r="W167" s="749">
        <f t="shared" si="510"/>
        <v>22000</v>
      </c>
      <c r="X167" s="934"/>
      <c r="Y167" s="934">
        <f t="shared" si="513"/>
        <v>140000</v>
      </c>
      <c r="Z167" s="934">
        <f t="shared" si="456"/>
        <v>75000</v>
      </c>
      <c r="AA167" s="934"/>
      <c r="AB167" s="934"/>
      <c r="AC167" s="934"/>
      <c r="AD167" s="934"/>
      <c r="AE167" s="934">
        <f t="shared" si="365"/>
        <v>309400</v>
      </c>
      <c r="AF167" s="1005">
        <f t="shared" si="366"/>
        <v>2419400.0019999999</v>
      </c>
      <c r="AG167" s="1005">
        <f t="shared" si="380"/>
        <v>60485.000050000002</v>
      </c>
      <c r="AH167" s="1005">
        <f t="shared" si="381"/>
        <v>2479885.0020499998</v>
      </c>
      <c r="AI167" s="1005">
        <f t="shared" si="382"/>
        <v>61997.125051249997</v>
      </c>
      <c r="AJ167" s="1005">
        <f t="shared" si="383"/>
        <v>2541882.12710125</v>
      </c>
      <c r="AK167" s="1005">
        <f t="shared" si="384"/>
        <v>127094.10635506251</v>
      </c>
      <c r="AL167" s="1005">
        <f t="shared" si="457"/>
        <v>2668976.2334563127</v>
      </c>
      <c r="AM167" s="934">
        <f t="shared" si="385"/>
        <v>26689.762334563129</v>
      </c>
      <c r="AN167" s="934">
        <f t="shared" si="386"/>
        <v>27537.409960060559</v>
      </c>
      <c r="AO167" s="934"/>
      <c r="AP167" s="934">
        <f t="shared" si="458"/>
        <v>118566.70692603017</v>
      </c>
      <c r="AQ167" s="1005">
        <f t="shared" si="367"/>
        <v>2841770.1126769665</v>
      </c>
      <c r="AR167" s="1005">
        <f t="shared" si="387"/>
        <v>127879.65507046349</v>
      </c>
      <c r="AS167" s="1147">
        <f t="shared" si="388"/>
        <v>2969649.7677474301</v>
      </c>
      <c r="AT167" s="1148">
        <f t="shared" si="459"/>
        <v>2000000</v>
      </c>
      <c r="AU167" s="1148">
        <f t="shared" si="511"/>
        <v>44074.989443065009</v>
      </c>
      <c r="AV167" s="1148">
        <f t="shared" si="460"/>
        <v>969649.76774743013</v>
      </c>
      <c r="AW167" s="1148">
        <f t="shared" si="368"/>
        <v>116357.97212969161</v>
      </c>
      <c r="AX167" s="1148">
        <f t="shared" si="369"/>
        <v>1086007.7398771218</v>
      </c>
      <c r="AY167" s="1147">
        <f t="shared" si="389"/>
        <v>3086007.7398771215</v>
      </c>
      <c r="AZ167" s="934">
        <f t="shared" si="390"/>
        <v>38575.09674846402</v>
      </c>
      <c r="BA167" s="716">
        <v>13774.897733333333</v>
      </c>
      <c r="BB167" s="716">
        <f t="shared" si="370"/>
        <v>3138357.7343589189</v>
      </c>
      <c r="BC167" s="716">
        <v>2710.4000000000005</v>
      </c>
      <c r="BD167" s="716">
        <f t="shared" si="391"/>
        <v>117688.41503845945</v>
      </c>
      <c r="BE167" s="716">
        <f t="shared" si="392"/>
        <v>33600</v>
      </c>
      <c r="BF167" s="716">
        <f t="shared" si="393"/>
        <v>3292356.5493973782</v>
      </c>
      <c r="BG167" s="716">
        <v>5248.8000000000011</v>
      </c>
      <c r="BH167" s="716">
        <f t="shared" si="394"/>
        <v>3297605.349397378</v>
      </c>
      <c r="BI167" s="716"/>
      <c r="BJ167" s="716">
        <f t="shared" si="395"/>
        <v>3297605.349397378</v>
      </c>
      <c r="BK167" s="716">
        <v>5092.7923200000005</v>
      </c>
      <c r="BL167" s="716">
        <f t="shared" si="396"/>
        <v>3302698.1417173781</v>
      </c>
      <c r="BM167" s="716"/>
      <c r="BN167" s="716">
        <f t="shared" si="371"/>
        <v>3302698.1417173781</v>
      </c>
      <c r="BO167" s="716"/>
      <c r="BP167" s="716">
        <f t="shared" si="397"/>
        <v>3302698.1417173781</v>
      </c>
      <c r="BQ167" s="716"/>
      <c r="BR167" s="716">
        <f t="shared" si="398"/>
        <v>3302698.1417173781</v>
      </c>
      <c r="BS167" s="716"/>
      <c r="BT167" s="716">
        <f t="shared" si="399"/>
        <v>3302698.1417173781</v>
      </c>
      <c r="BU167" s="716">
        <f>$BU$5/24</f>
        <v>546.00000000000011</v>
      </c>
      <c r="BV167" s="716">
        <f t="shared" si="372"/>
        <v>3303244.1417173781</v>
      </c>
      <c r="BW167" s="716"/>
      <c r="BX167" s="716">
        <f t="shared" si="489"/>
        <v>31400</v>
      </c>
      <c r="BY167" s="716">
        <f t="shared" si="400"/>
        <v>3334644.1417173781</v>
      </c>
      <c r="BZ167" s="716">
        <f>$BZ$5/20</f>
        <v>33654.337039807535</v>
      </c>
      <c r="CA167" s="716">
        <f t="shared" si="401"/>
        <v>3368298.4787571854</v>
      </c>
      <c r="CB167" s="1135">
        <f>CA167</f>
        <v>3368298.4787571854</v>
      </c>
      <c r="CC167" s="1164">
        <f t="shared" si="446"/>
        <v>3368298.4787571854</v>
      </c>
      <c r="CD167" s="1164"/>
      <c r="CE167" s="1164">
        <f t="shared" si="403"/>
        <v>0</v>
      </c>
      <c r="CF167" s="1164">
        <f t="shared" si="448"/>
        <v>0</v>
      </c>
      <c r="CG167" s="1164">
        <f t="shared" si="449"/>
        <v>0</v>
      </c>
      <c r="CH167" s="1154">
        <f t="shared" si="506"/>
        <v>3368298.4787571854</v>
      </c>
      <c r="CI167" s="935">
        <f t="shared" si="507"/>
        <v>3368298.4787571854</v>
      </c>
      <c r="CJ167" s="935">
        <f t="shared" si="404"/>
        <v>0</v>
      </c>
      <c r="CK167" s="935">
        <f t="shared" si="373"/>
        <v>345250.59407261148</v>
      </c>
      <c r="CL167" s="935">
        <f t="shared" si="374"/>
        <v>117890.44675650149</v>
      </c>
      <c r="CM167" s="1006">
        <f t="shared" si="461"/>
        <v>3831439.5195862986</v>
      </c>
      <c r="CN167" s="1007">
        <f t="shared" si="462"/>
        <v>0.125</v>
      </c>
      <c r="CO167" s="935">
        <f t="shared" si="498"/>
        <v>478929.93994828733</v>
      </c>
      <c r="CP167" s="935">
        <f t="shared" si="490"/>
        <v>30000</v>
      </c>
      <c r="CQ167" s="935">
        <f t="shared" si="499"/>
        <v>448929.93994828733</v>
      </c>
      <c r="CR167" s="745">
        <v>1</v>
      </c>
      <c r="CS167" s="935">
        <f t="shared" si="500"/>
        <v>448929.93994828733</v>
      </c>
      <c r="CT167" s="1007">
        <f t="shared" si="405"/>
        <v>0.875</v>
      </c>
      <c r="CU167" s="935">
        <f t="shared" si="406"/>
        <v>3352509.5796380113</v>
      </c>
      <c r="CV167" s="1008">
        <f t="shared" si="407"/>
        <v>25991.971087454309</v>
      </c>
      <c r="CW167" s="1008">
        <f t="shared" si="408"/>
        <v>30133.303884822308</v>
      </c>
      <c r="CX167" s="1008">
        <f t="shared" si="409"/>
        <v>38925.478885763812</v>
      </c>
      <c r="CY167" s="1008">
        <f t="shared" si="410"/>
        <v>66383.707794836024</v>
      </c>
      <c r="CZ167" s="1119">
        <f t="shared" si="411"/>
        <v>272335.00915358751</v>
      </c>
      <c r="DA167" s="1119">
        <f t="shared" si="412"/>
        <v>107761.63650207971</v>
      </c>
      <c r="DB167" s="1119">
        <f t="shared" si="413"/>
        <v>77834.703796423797</v>
      </c>
      <c r="DC167" s="1119">
        <f t="shared" si="414"/>
        <v>59235.792913770259</v>
      </c>
      <c r="DD167" s="1028">
        <f t="shared" si="451"/>
        <v>0.48482488387371508</v>
      </c>
      <c r="DE167" s="1028">
        <f t="shared" si="508"/>
        <v>0</v>
      </c>
      <c r="DF167" s="1009" t="s">
        <v>270</v>
      </c>
      <c r="DG167" s="1009" t="s">
        <v>271</v>
      </c>
      <c r="DH167" s="966">
        <f t="shared" si="447"/>
        <v>45658</v>
      </c>
      <c r="DI167" s="912">
        <f t="shared" si="415"/>
        <v>14</v>
      </c>
      <c r="DK167" s="913">
        <f t="shared" si="375"/>
        <v>45723</v>
      </c>
      <c r="DL167" s="912">
        <f t="shared" si="416"/>
        <v>16</v>
      </c>
      <c r="DM167" s="750" t="s">
        <v>272</v>
      </c>
      <c r="DN167" s="750" t="s">
        <v>273</v>
      </c>
      <c r="DO167" s="751">
        <f t="shared" si="376"/>
        <v>49363.988176232808</v>
      </c>
      <c r="DP167" s="751">
        <f t="shared" si="377"/>
        <v>1086007.7398771218</v>
      </c>
      <c r="DQ167" s="752">
        <f t="shared" si="452"/>
        <v>0.54300386993856087</v>
      </c>
      <c r="DS167" s="751">
        <f t="shared" si="453"/>
        <v>3368298.4787571854</v>
      </c>
      <c r="DT167" s="751">
        <f>'[4]INTERNAL PRICELIST'!N161</f>
        <v>0</v>
      </c>
      <c r="DU167" s="751">
        <f t="shared" si="378"/>
        <v>3368298.4787571854</v>
      </c>
      <c r="DW167" s="951">
        <f t="shared" si="454"/>
        <v>153104.4763071448</v>
      </c>
      <c r="DZ167" s="1010" t="s">
        <v>617</v>
      </c>
      <c r="EA167" s="1011" t="b">
        <f t="shared" si="379"/>
        <v>1</v>
      </c>
      <c r="EB167" s="1011"/>
      <c r="EC167" s="1011"/>
      <c r="ER167" s="1017" t="s">
        <v>243</v>
      </c>
      <c r="ES167" s="1391" t="s">
        <v>243</v>
      </c>
      <c r="ET167" s="1018" t="b">
        <f t="shared" si="417"/>
        <v>1</v>
      </c>
      <c r="EX167" s="1019">
        <v>3099783.1876086313</v>
      </c>
      <c r="EY167" s="1019">
        <f t="shared" si="464"/>
        <v>464967.47814129468</v>
      </c>
      <c r="EZ167" s="1019">
        <f t="shared" si="465"/>
        <v>2634815.7094673365</v>
      </c>
      <c r="FA167" s="1019">
        <f t="shared" si="466"/>
        <v>309978.31876086316</v>
      </c>
      <c r="FB167" s="1019">
        <f t="shared" si="467"/>
        <v>2789804.8688477683</v>
      </c>
      <c r="FC167" s="1019">
        <f t="shared" si="468"/>
        <v>154989.15938043175</v>
      </c>
      <c r="FD167" s="1020"/>
      <c r="FE167" s="1021"/>
      <c r="FF167" s="1022">
        <f t="shared" si="469"/>
        <v>2634815.7094673365</v>
      </c>
      <c r="FG167" s="1022">
        <f t="shared" si="470"/>
        <v>223959.33530472362</v>
      </c>
      <c r="FH167" s="1022">
        <f t="shared" si="471"/>
        <v>111979.66765236181</v>
      </c>
      <c r="FI167" s="1023">
        <f t="shared" si="472"/>
        <v>2789804.8688477683</v>
      </c>
      <c r="FJ167" s="1023">
        <f t="shared" si="473"/>
        <v>237133.41385206033</v>
      </c>
      <c r="FK167" s="1023">
        <f t="shared" si="474"/>
        <v>118566.70692603017</v>
      </c>
      <c r="FL167" s="1019">
        <f t="shared" si="475"/>
        <v>13174.078547336714</v>
      </c>
      <c r="FM167" s="1019">
        <f t="shared" si="476"/>
        <v>6587.0392736683571</v>
      </c>
      <c r="FN167" s="1019" t="str">
        <f t="shared" si="477"/>
        <v>VS</v>
      </c>
      <c r="FO167" s="1019">
        <f t="shared" si="478"/>
        <v>27537.409960060559</v>
      </c>
      <c r="FP167" s="1019">
        <f t="shared" si="479"/>
        <v>-20950.370686392202</v>
      </c>
      <c r="FQ167" s="1021"/>
      <c r="FR167" s="1021"/>
      <c r="FS167" s="1020"/>
      <c r="FT167" s="1055">
        <f t="shared" si="509"/>
        <v>2789804.8688477683</v>
      </c>
      <c r="FU167" s="1056"/>
      <c r="FV167" s="1056"/>
      <c r="GG167" s="956"/>
      <c r="GH167" s="1058"/>
      <c r="GI167" s="1024">
        <f t="shared" si="418"/>
        <v>3831439.5195862986</v>
      </c>
      <c r="GJ167" s="1025">
        <f t="shared" si="419"/>
        <v>0.125</v>
      </c>
      <c r="GK167" s="1024">
        <f t="shared" si="420"/>
        <v>478929.93994828733</v>
      </c>
      <c r="GL167" s="1024">
        <f t="shared" si="421"/>
        <v>30000</v>
      </c>
      <c r="GM167" s="1024">
        <f t="shared" si="422"/>
        <v>448929.93994828733</v>
      </c>
      <c r="GN167" s="1024">
        <f t="shared" si="423"/>
        <v>1</v>
      </c>
      <c r="GO167" s="1024">
        <f t="shared" si="424"/>
        <v>448929.93994828733</v>
      </c>
      <c r="GP167" s="1025">
        <f t="shared" si="425"/>
        <v>0.875</v>
      </c>
      <c r="GQ167" s="1024">
        <f t="shared" si="426"/>
        <v>3352509.5796380113</v>
      </c>
      <c r="GR167" s="1024">
        <f t="shared" si="427"/>
        <v>25991.971087454309</v>
      </c>
      <c r="GS167" s="1024">
        <f t="shared" si="428"/>
        <v>30133.303884822308</v>
      </c>
      <c r="GT167" s="1024">
        <f t="shared" si="429"/>
        <v>38925.478885763812</v>
      </c>
      <c r="GU167" s="1024">
        <f t="shared" si="430"/>
        <v>66383.707794836024</v>
      </c>
      <c r="GW167" s="1024">
        <f t="shared" si="431"/>
        <v>3831439.5195862986</v>
      </c>
      <c r="GX167" s="1025">
        <f t="shared" si="432"/>
        <v>0.125</v>
      </c>
      <c r="GY167" s="1024">
        <f t="shared" si="433"/>
        <v>478929.93994828733</v>
      </c>
      <c r="GZ167" s="1024">
        <f t="shared" si="434"/>
        <v>30000</v>
      </c>
      <c r="HA167" s="1024">
        <f t="shared" si="435"/>
        <v>448929.93994828733</v>
      </c>
      <c r="HB167" s="1026">
        <f t="shared" si="436"/>
        <v>25</v>
      </c>
      <c r="HC167" s="1009">
        <f t="shared" si="437"/>
        <v>17957.197597931492</v>
      </c>
      <c r="HD167" s="1027">
        <f t="shared" si="438"/>
        <v>0.875</v>
      </c>
      <c r="HE167" s="1009">
        <f t="shared" si="439"/>
        <v>3352509.5796380113</v>
      </c>
      <c r="HF167" s="1008">
        <f t="shared" si="440"/>
        <v>25991.971087454309</v>
      </c>
      <c r="HG167" s="1008">
        <f t="shared" si="441"/>
        <v>30133.303884822308</v>
      </c>
      <c r="HH167" s="1008">
        <f t="shared" si="442"/>
        <v>38925.478885763812</v>
      </c>
      <c r="HI167" s="1008">
        <f t="shared" si="443"/>
        <v>66383.707794836024</v>
      </c>
      <c r="HK167" s="1009">
        <f t="shared" si="444"/>
        <v>-430972.74235035584</v>
      </c>
      <c r="HR167" s="956">
        <f t="shared" si="445"/>
        <v>0</v>
      </c>
      <c r="HU167" s="956"/>
      <c r="HW167" s="956"/>
      <c r="HX167" s="956"/>
    </row>
    <row r="168" spans="1:238" ht="14.25" hidden="1" customHeight="1">
      <c r="A168" s="1018">
        <f t="shared" si="480"/>
        <v>162</v>
      </c>
      <c r="B168" s="716"/>
      <c r="C168" s="741">
        <f t="shared" si="512"/>
        <v>6</v>
      </c>
      <c r="D168" s="716" t="s">
        <v>294</v>
      </c>
      <c r="E168" s="743" t="str">
        <f t="shared" si="352"/>
        <v>11th Floor</v>
      </c>
      <c r="F168" s="1048"/>
      <c r="G168" s="745" t="s">
        <v>618</v>
      </c>
      <c r="H168" s="745" t="s">
        <v>296</v>
      </c>
      <c r="I168" s="745" t="s">
        <v>267</v>
      </c>
      <c r="J168" s="1005">
        <v>22</v>
      </c>
      <c r="K168" s="1049"/>
      <c r="L168" s="1006" t="s">
        <v>73</v>
      </c>
      <c r="M168" s="745" t="s">
        <v>79</v>
      </c>
      <c r="N168" s="1050">
        <v>95909.091</v>
      </c>
      <c r="O168" s="934">
        <f t="shared" si="455"/>
        <v>2110000.0019999999</v>
      </c>
      <c r="P168" s="934">
        <f t="shared" si="481"/>
        <v>22400</v>
      </c>
      <c r="Q168" s="934">
        <f t="shared" si="450"/>
        <v>50000</v>
      </c>
      <c r="R168" s="934"/>
      <c r="S168" s="934"/>
      <c r="T168" s="934"/>
      <c r="U168" s="934"/>
      <c r="V168" s="749"/>
      <c r="W168" s="934"/>
      <c r="X168" s="934"/>
      <c r="Y168" s="934">
        <f t="shared" si="513"/>
        <v>140000</v>
      </c>
      <c r="Z168" s="934">
        <f t="shared" si="456"/>
        <v>75000</v>
      </c>
      <c r="AA168" s="934"/>
      <c r="AB168" s="934"/>
      <c r="AC168" s="934"/>
      <c r="AD168" s="934"/>
      <c r="AE168" s="934">
        <f t="shared" si="365"/>
        <v>287400</v>
      </c>
      <c r="AF168" s="1005">
        <f t="shared" si="366"/>
        <v>2397400.0019999999</v>
      </c>
      <c r="AG168" s="1005">
        <f t="shared" si="380"/>
        <v>59935.000050000002</v>
      </c>
      <c r="AH168" s="1005">
        <f t="shared" si="381"/>
        <v>2457335.0020499998</v>
      </c>
      <c r="AI168" s="1005">
        <f t="shared" si="382"/>
        <v>61433.375051249997</v>
      </c>
      <c r="AJ168" s="1005">
        <f t="shared" si="383"/>
        <v>2518768.37710125</v>
      </c>
      <c r="AK168" s="1005">
        <f t="shared" si="384"/>
        <v>125938.41885506251</v>
      </c>
      <c r="AL168" s="1005">
        <f t="shared" si="457"/>
        <v>2644706.7959563127</v>
      </c>
      <c r="AM168" s="934">
        <f t="shared" si="385"/>
        <v>26447.067959563126</v>
      </c>
      <c r="AN168" s="934">
        <f t="shared" si="386"/>
        <v>27537.409960060559</v>
      </c>
      <c r="AO168" s="934"/>
      <c r="AP168" s="934">
        <f t="shared" si="458"/>
        <v>117394.44212896141</v>
      </c>
      <c r="AQ168" s="1005">
        <f t="shared" si="367"/>
        <v>2816085.7160048978</v>
      </c>
      <c r="AR168" s="1005">
        <f t="shared" si="387"/>
        <v>126723.85722022039</v>
      </c>
      <c r="AS168" s="1147">
        <f t="shared" si="388"/>
        <v>2942809.5732251182</v>
      </c>
      <c r="AT168" s="1148">
        <f t="shared" si="459"/>
        <v>2000000</v>
      </c>
      <c r="AU168" s="1148">
        <f t="shared" si="511"/>
        <v>42854.980601141739</v>
      </c>
      <c r="AV168" s="1148">
        <f t="shared" si="460"/>
        <v>942809.57322511822</v>
      </c>
      <c r="AW168" s="1148">
        <f t="shared" si="368"/>
        <v>113137.14878701419</v>
      </c>
      <c r="AX168" s="1148">
        <f t="shared" si="369"/>
        <v>1055946.7220121324</v>
      </c>
      <c r="AY168" s="1147">
        <f t="shared" si="389"/>
        <v>3055946.7220121324</v>
      </c>
      <c r="AZ168" s="934">
        <f t="shared" si="390"/>
        <v>38199.334025151657</v>
      </c>
      <c r="BA168" s="716" t="s">
        <v>269</v>
      </c>
      <c r="BB168" s="716">
        <f t="shared" si="370"/>
        <v>3094146.056037284</v>
      </c>
      <c r="BC168" s="716" t="s">
        <v>269</v>
      </c>
      <c r="BD168" s="716">
        <f t="shared" si="391"/>
        <v>116030.47710139815</v>
      </c>
      <c r="BE168" s="716">
        <f t="shared" si="392"/>
        <v>33600</v>
      </c>
      <c r="BF168" s="716">
        <f t="shared" si="393"/>
        <v>3243776.5331386821</v>
      </c>
      <c r="BG168" s="716"/>
      <c r="BH168" s="716">
        <f t="shared" si="394"/>
        <v>3243776.5331386821</v>
      </c>
      <c r="BI168" s="716"/>
      <c r="BJ168" s="716">
        <f t="shared" si="395"/>
        <v>3243776.5331386821</v>
      </c>
      <c r="BK168" s="716"/>
      <c r="BL168" s="716">
        <f t="shared" si="396"/>
        <v>3243776.5331386821</v>
      </c>
      <c r="BM168" s="716"/>
      <c r="BN168" s="716">
        <f t="shared" si="371"/>
        <v>3243776.5331386821</v>
      </c>
      <c r="BO168" s="716"/>
      <c r="BP168" s="716">
        <f t="shared" si="397"/>
        <v>3243776.5331386821</v>
      </c>
      <c r="BQ168" s="716"/>
      <c r="BR168" s="716">
        <f t="shared" si="398"/>
        <v>3243776.5331386821</v>
      </c>
      <c r="BS168" s="716"/>
      <c r="BT168" s="716">
        <f t="shared" si="399"/>
        <v>3243776.5331386821</v>
      </c>
      <c r="BU168" s="716"/>
      <c r="BV168" s="716">
        <f t="shared" si="372"/>
        <v>3243776.5331386821</v>
      </c>
      <c r="BW168" s="716"/>
      <c r="BX168" s="716">
        <f t="shared" si="489"/>
        <v>31400</v>
      </c>
      <c r="BY168" s="716">
        <f t="shared" si="400"/>
        <v>3275176.5331386821</v>
      </c>
      <c r="BZ168" s="716"/>
      <c r="CA168" s="716">
        <f t="shared" si="401"/>
        <v>3275176.5331386821</v>
      </c>
      <c r="CB168" s="1135">
        <f t="shared" si="402"/>
        <v>3275176.5331386821</v>
      </c>
      <c r="CC168" s="1164">
        <f t="shared" si="446"/>
        <v>3275176.5331386821</v>
      </c>
      <c r="CD168" s="1164"/>
      <c r="CE168" s="1164">
        <f t="shared" si="403"/>
        <v>0</v>
      </c>
      <c r="CF168" s="1164">
        <f t="shared" si="448"/>
        <v>0</v>
      </c>
      <c r="CG168" s="1164">
        <f t="shared" si="449"/>
        <v>0</v>
      </c>
      <c r="CH168" s="1154">
        <f t="shared" si="506"/>
        <v>3275176.5331386821</v>
      </c>
      <c r="CI168" s="935">
        <f t="shared" si="507"/>
        <v>3275176.5331386821</v>
      </c>
      <c r="CJ168" s="935">
        <f t="shared" si="404"/>
        <v>0</v>
      </c>
      <c r="CK168" s="935">
        <f t="shared" si="373"/>
        <v>335705.59464671492</v>
      </c>
      <c r="CL168" s="935">
        <f t="shared" si="374"/>
        <v>114631.17865985389</v>
      </c>
      <c r="CM168" s="1006">
        <f t="shared" si="461"/>
        <v>3725513.3064452512</v>
      </c>
      <c r="CN168" s="1007">
        <f t="shared" si="462"/>
        <v>0.125</v>
      </c>
      <c r="CO168" s="935">
        <f t="shared" si="498"/>
        <v>465689.1633056564</v>
      </c>
      <c r="CP168" s="935">
        <f t="shared" si="490"/>
        <v>30000</v>
      </c>
      <c r="CQ168" s="935">
        <f t="shared" si="499"/>
        <v>435689.1633056564</v>
      </c>
      <c r="CR168" s="745">
        <f t="shared" si="463"/>
        <v>2</v>
      </c>
      <c r="CS168" s="935">
        <f t="shared" si="500"/>
        <v>217844.5816528282</v>
      </c>
      <c r="CT168" s="1007">
        <f t="shared" si="405"/>
        <v>0.875</v>
      </c>
      <c r="CU168" s="935">
        <f t="shared" si="406"/>
        <v>3259824.1431395947</v>
      </c>
      <c r="CV168" s="1008">
        <f t="shared" si="407"/>
        <v>25273.381884808376</v>
      </c>
      <c r="CW168" s="1008">
        <f t="shared" si="408"/>
        <v>29300.220978611567</v>
      </c>
      <c r="CX168" s="1008">
        <f t="shared" si="409"/>
        <v>37849.322378009259</v>
      </c>
      <c r="CY168" s="1008">
        <f t="shared" si="410"/>
        <v>64548.425064931922</v>
      </c>
      <c r="CZ168" s="1119">
        <f t="shared" si="411"/>
        <v>264805.87654483714</v>
      </c>
      <c r="DA168" s="1119">
        <f t="shared" si="412"/>
        <v>104782.39540530783</v>
      </c>
      <c r="DB168" s="1119">
        <f t="shared" si="413"/>
        <v>75682.840147796887</v>
      </c>
      <c r="DC168" s="1119">
        <f t="shared" si="414"/>
        <v>57598.125610479379</v>
      </c>
      <c r="DD168" s="1028">
        <f t="shared" si="451"/>
        <v>0.47140478661255913</v>
      </c>
      <c r="DE168" s="1028">
        <f t="shared" si="508"/>
        <v>0</v>
      </c>
      <c r="DF168" s="1009" t="s">
        <v>270</v>
      </c>
      <c r="DG168" s="1009" t="s">
        <v>271</v>
      </c>
      <c r="DH168" s="966">
        <f t="shared" si="447"/>
        <v>45658</v>
      </c>
      <c r="DI168" s="912">
        <f t="shared" si="415"/>
        <v>14</v>
      </c>
      <c r="DK168" s="913">
        <f t="shared" si="375"/>
        <v>45723</v>
      </c>
      <c r="DL168" s="912">
        <f t="shared" si="416"/>
        <v>16</v>
      </c>
      <c r="DM168" s="750" t="s">
        <v>272</v>
      </c>
      <c r="DN168" s="750" t="s">
        <v>273</v>
      </c>
      <c r="DO168" s="751">
        <f t="shared" si="376"/>
        <v>47997.578273278748</v>
      </c>
      <c r="DP168" s="751">
        <f t="shared" si="377"/>
        <v>1055946.7220121324</v>
      </c>
      <c r="DQ168" s="752">
        <f t="shared" si="452"/>
        <v>0.52797336100606618</v>
      </c>
      <c r="DS168" s="751">
        <f t="shared" si="453"/>
        <v>3275176.5331386821</v>
      </c>
      <c r="DT168" s="751">
        <f>'[4]INTERNAL PRICELIST'!N162</f>
        <v>0</v>
      </c>
      <c r="DU168" s="751">
        <f t="shared" si="378"/>
        <v>3275176.5331386821</v>
      </c>
      <c r="DW168" s="951">
        <f t="shared" si="454"/>
        <v>148871.66059721282</v>
      </c>
      <c r="DZ168" s="1010" t="s">
        <v>618</v>
      </c>
      <c r="EA168" s="1011" t="b">
        <f t="shared" si="379"/>
        <v>1</v>
      </c>
      <c r="EB168" s="1011"/>
      <c r="EC168" s="1011"/>
      <c r="ER168" s="1017" t="s">
        <v>264</v>
      </c>
      <c r="ES168" s="1391" t="s">
        <v>264</v>
      </c>
      <c r="ET168" s="1018" t="b">
        <f t="shared" si="417"/>
        <v>1</v>
      </c>
      <c r="EX168" s="1019">
        <v>3069135.7419336312</v>
      </c>
      <c r="EY168" s="1019">
        <f t="shared" si="464"/>
        <v>460370.36129004468</v>
      </c>
      <c r="EZ168" s="1019">
        <f t="shared" si="465"/>
        <v>2608765.3806435866</v>
      </c>
      <c r="FA168" s="1019">
        <f t="shared" si="466"/>
        <v>306913.57419336314</v>
      </c>
      <c r="FB168" s="1019">
        <f t="shared" si="467"/>
        <v>2762222.1677402682</v>
      </c>
      <c r="FC168" s="1019">
        <f t="shared" si="468"/>
        <v>153456.78709668154</v>
      </c>
      <c r="FD168" s="1020"/>
      <c r="FE168" s="1021"/>
      <c r="FF168" s="1022">
        <f t="shared" si="469"/>
        <v>2608765.3806435866</v>
      </c>
      <c r="FG168" s="1022">
        <f t="shared" si="470"/>
        <v>221745.05735470488</v>
      </c>
      <c r="FH168" s="1022">
        <f t="shared" si="471"/>
        <v>110872.52867735244</v>
      </c>
      <c r="FI168" s="1023">
        <f t="shared" si="472"/>
        <v>2762222.1677402682</v>
      </c>
      <c r="FJ168" s="1023">
        <f t="shared" si="473"/>
        <v>234788.88425792282</v>
      </c>
      <c r="FK168" s="1023">
        <f t="shared" si="474"/>
        <v>117394.44212896141</v>
      </c>
      <c r="FL168" s="1019">
        <f t="shared" si="475"/>
        <v>13043.826903217938</v>
      </c>
      <c r="FM168" s="1019">
        <f t="shared" si="476"/>
        <v>6521.9134516089689</v>
      </c>
      <c r="FN168" s="1019" t="str">
        <f t="shared" si="477"/>
        <v>VS</v>
      </c>
      <c r="FO168" s="1019">
        <f t="shared" si="478"/>
        <v>27537.409960060559</v>
      </c>
      <c r="FP168" s="1019">
        <f t="shared" si="479"/>
        <v>-21015.49650845159</v>
      </c>
      <c r="FQ168" s="1021"/>
      <c r="FR168" s="1021"/>
      <c r="FS168" s="1020"/>
      <c r="FT168" s="1055">
        <f t="shared" si="509"/>
        <v>2762222.1677402682</v>
      </c>
      <c r="FU168" s="1056"/>
      <c r="FV168" s="1056"/>
      <c r="GG168" s="956"/>
      <c r="GH168" s="1058"/>
      <c r="GI168" s="1024">
        <f t="shared" si="418"/>
        <v>3725513.3064452512</v>
      </c>
      <c r="GJ168" s="1025">
        <f t="shared" si="419"/>
        <v>0.125</v>
      </c>
      <c r="GK168" s="1024">
        <f t="shared" si="420"/>
        <v>465689.1633056564</v>
      </c>
      <c r="GL168" s="1024">
        <f t="shared" si="421"/>
        <v>30000</v>
      </c>
      <c r="GM168" s="1024">
        <f t="shared" si="422"/>
        <v>435689.1633056564</v>
      </c>
      <c r="GN168" s="1024">
        <f t="shared" si="423"/>
        <v>2</v>
      </c>
      <c r="GO168" s="1024">
        <f t="shared" si="424"/>
        <v>217844.5816528282</v>
      </c>
      <c r="GP168" s="1025">
        <f t="shared" si="425"/>
        <v>0.875</v>
      </c>
      <c r="GQ168" s="1024">
        <f t="shared" si="426"/>
        <v>3259824.1431395947</v>
      </c>
      <c r="GR168" s="1024">
        <f t="shared" si="427"/>
        <v>25273.381884808376</v>
      </c>
      <c r="GS168" s="1024">
        <f t="shared" si="428"/>
        <v>29300.220978611567</v>
      </c>
      <c r="GT168" s="1024">
        <f t="shared" si="429"/>
        <v>37849.322378009259</v>
      </c>
      <c r="GU168" s="1024">
        <f t="shared" si="430"/>
        <v>64548.425064931922</v>
      </c>
      <c r="GW168" s="1024">
        <f t="shared" si="431"/>
        <v>3725513.3064452512</v>
      </c>
      <c r="GX168" s="1025">
        <f t="shared" si="432"/>
        <v>0.125</v>
      </c>
      <c r="GY168" s="1024">
        <f t="shared" si="433"/>
        <v>465689.1633056564</v>
      </c>
      <c r="GZ168" s="1024">
        <f t="shared" si="434"/>
        <v>30000</v>
      </c>
      <c r="HA168" s="1024">
        <f t="shared" si="435"/>
        <v>435689.1633056564</v>
      </c>
      <c r="HB168" s="1026">
        <f t="shared" si="436"/>
        <v>25</v>
      </c>
      <c r="HC168" s="1009">
        <f t="shared" si="437"/>
        <v>17427.566532226258</v>
      </c>
      <c r="HD168" s="1027">
        <f t="shared" si="438"/>
        <v>0.875</v>
      </c>
      <c r="HE168" s="1009">
        <f t="shared" si="439"/>
        <v>3259824.1431395947</v>
      </c>
      <c r="HF168" s="1008">
        <f t="shared" si="440"/>
        <v>25273.381884808376</v>
      </c>
      <c r="HG168" s="1008">
        <f t="shared" si="441"/>
        <v>29300.220978611567</v>
      </c>
      <c r="HH168" s="1008">
        <f t="shared" si="442"/>
        <v>37849.322378009259</v>
      </c>
      <c r="HI168" s="1008">
        <f t="shared" si="443"/>
        <v>64548.425064931922</v>
      </c>
      <c r="HK168" s="1009">
        <f t="shared" si="444"/>
        <v>-200417.01512060195</v>
      </c>
      <c r="HR168" s="956">
        <f t="shared" si="445"/>
        <v>0</v>
      </c>
      <c r="HU168" s="956"/>
      <c r="HW168" s="956"/>
      <c r="HX168" s="956"/>
    </row>
    <row r="169" spans="1:238" ht="14.25" hidden="1" customHeight="1">
      <c r="A169" s="1018">
        <f t="shared" si="480"/>
        <v>163</v>
      </c>
      <c r="B169" s="716"/>
      <c r="C169" s="741">
        <f t="shared" si="512"/>
        <v>7</v>
      </c>
      <c r="D169" s="716" t="s">
        <v>294</v>
      </c>
      <c r="E169" s="743" t="str">
        <f t="shared" si="352"/>
        <v>11th Floor</v>
      </c>
      <c r="F169" s="1048"/>
      <c r="G169" s="745" t="s">
        <v>619</v>
      </c>
      <c r="H169" s="745" t="s">
        <v>310</v>
      </c>
      <c r="I169" s="745" t="s">
        <v>267</v>
      </c>
      <c r="J169" s="1005">
        <v>22</v>
      </c>
      <c r="K169" s="1049"/>
      <c r="L169" s="1006" t="s">
        <v>73</v>
      </c>
      <c r="M169" s="745" t="s">
        <v>240</v>
      </c>
      <c r="N169" s="1050">
        <v>95909.091</v>
      </c>
      <c r="O169" s="934">
        <f t="shared" si="455"/>
        <v>2110000.0019999999</v>
      </c>
      <c r="P169" s="934">
        <f t="shared" si="481"/>
        <v>22400</v>
      </c>
      <c r="Q169" s="934">
        <f t="shared" si="450"/>
        <v>50000</v>
      </c>
      <c r="R169" s="934"/>
      <c r="S169" s="934"/>
      <c r="T169" s="934"/>
      <c r="U169" s="934"/>
      <c r="V169" s="749"/>
      <c r="W169" s="749">
        <f>J169*$W$5</f>
        <v>22000</v>
      </c>
      <c r="X169" s="934"/>
      <c r="Y169" s="934">
        <f t="shared" si="513"/>
        <v>140000</v>
      </c>
      <c r="Z169" s="934">
        <f t="shared" si="456"/>
        <v>75000</v>
      </c>
      <c r="AA169" s="934"/>
      <c r="AB169" s="934"/>
      <c r="AC169" s="934"/>
      <c r="AD169" s="934"/>
      <c r="AE169" s="934">
        <f t="shared" si="365"/>
        <v>309400</v>
      </c>
      <c r="AF169" s="1005">
        <f t="shared" si="366"/>
        <v>2419400.0019999999</v>
      </c>
      <c r="AG169" s="1005">
        <f t="shared" si="380"/>
        <v>60485.000050000002</v>
      </c>
      <c r="AH169" s="1005">
        <f t="shared" si="381"/>
        <v>2479885.0020499998</v>
      </c>
      <c r="AI169" s="1005">
        <f t="shared" si="382"/>
        <v>61997.125051249997</v>
      </c>
      <c r="AJ169" s="1005">
        <f t="shared" si="383"/>
        <v>2541882.12710125</v>
      </c>
      <c r="AK169" s="1005">
        <f t="shared" si="384"/>
        <v>127094.10635506251</v>
      </c>
      <c r="AL169" s="1005">
        <f t="shared" si="457"/>
        <v>2668976.2334563127</v>
      </c>
      <c r="AM169" s="934">
        <f t="shared" si="385"/>
        <v>26689.762334563129</v>
      </c>
      <c r="AN169" s="934">
        <f t="shared" si="386"/>
        <v>27537.409960060559</v>
      </c>
      <c r="AO169" s="934"/>
      <c r="AP169" s="934">
        <f t="shared" si="458"/>
        <v>118566.70692603017</v>
      </c>
      <c r="AQ169" s="1005">
        <f t="shared" si="367"/>
        <v>2841770.1126769665</v>
      </c>
      <c r="AR169" s="1005">
        <f t="shared" si="387"/>
        <v>127879.65507046349</v>
      </c>
      <c r="AS169" s="1147">
        <f t="shared" si="388"/>
        <v>2969649.7677474301</v>
      </c>
      <c r="AT169" s="1148">
        <f t="shared" si="459"/>
        <v>2000000</v>
      </c>
      <c r="AU169" s="1148">
        <f t="shared" si="511"/>
        <v>44074.989443065009</v>
      </c>
      <c r="AV169" s="1148">
        <f t="shared" si="460"/>
        <v>969649.76774743013</v>
      </c>
      <c r="AW169" s="1148">
        <f t="shared" si="368"/>
        <v>116357.97212969161</v>
      </c>
      <c r="AX169" s="1148">
        <f t="shared" si="369"/>
        <v>1086007.7398771218</v>
      </c>
      <c r="AY169" s="1147">
        <f t="shared" si="389"/>
        <v>3086007.7398771215</v>
      </c>
      <c r="AZ169" s="934">
        <f t="shared" si="390"/>
        <v>38575.09674846402</v>
      </c>
      <c r="BA169" s="716" t="s">
        <v>269</v>
      </c>
      <c r="BB169" s="716">
        <f t="shared" si="370"/>
        <v>3124582.8366255853</v>
      </c>
      <c r="BC169" s="716" t="s">
        <v>269</v>
      </c>
      <c r="BD169" s="716">
        <f t="shared" si="391"/>
        <v>117171.85637345945</v>
      </c>
      <c r="BE169" s="716">
        <f t="shared" si="392"/>
        <v>33600</v>
      </c>
      <c r="BF169" s="716">
        <f t="shared" si="393"/>
        <v>3275354.6929990449</v>
      </c>
      <c r="BG169" s="716"/>
      <c r="BH169" s="716">
        <f t="shared" si="394"/>
        <v>3275354.6929990449</v>
      </c>
      <c r="BI169" s="716"/>
      <c r="BJ169" s="716">
        <f t="shared" si="395"/>
        <v>3275354.6929990449</v>
      </c>
      <c r="BK169" s="716"/>
      <c r="BL169" s="716">
        <f t="shared" si="396"/>
        <v>3275354.6929990449</v>
      </c>
      <c r="BM169" s="716"/>
      <c r="BN169" s="716">
        <f t="shared" si="371"/>
        <v>3275354.6929990449</v>
      </c>
      <c r="BO169" s="716"/>
      <c r="BP169" s="716">
        <f t="shared" si="397"/>
        <v>3275354.6929990449</v>
      </c>
      <c r="BQ169" s="716"/>
      <c r="BR169" s="716">
        <f t="shared" si="398"/>
        <v>3275354.6929990449</v>
      </c>
      <c r="BS169" s="716"/>
      <c r="BT169" s="716">
        <f t="shared" si="399"/>
        <v>3275354.6929990449</v>
      </c>
      <c r="BU169" s="716"/>
      <c r="BV169" s="716">
        <f t="shared" si="372"/>
        <v>3275354.6929990449</v>
      </c>
      <c r="BW169" s="716"/>
      <c r="BX169" s="716">
        <f t="shared" si="489"/>
        <v>31400</v>
      </c>
      <c r="BY169" s="716">
        <f t="shared" si="400"/>
        <v>3306754.6929990449</v>
      </c>
      <c r="BZ169" s="716"/>
      <c r="CA169" s="716">
        <f t="shared" si="401"/>
        <v>3306754.6929990449</v>
      </c>
      <c r="CB169" s="1135">
        <f t="shared" si="402"/>
        <v>3306754.6929990449</v>
      </c>
      <c r="CC169" s="1164">
        <f t="shared" si="446"/>
        <v>3306754.6929990449</v>
      </c>
      <c r="CD169" s="1164"/>
      <c r="CE169" s="1164">
        <f t="shared" si="403"/>
        <v>0</v>
      </c>
      <c r="CF169" s="1164">
        <f t="shared" si="448"/>
        <v>0</v>
      </c>
      <c r="CG169" s="1164">
        <f t="shared" si="449"/>
        <v>0</v>
      </c>
      <c r="CH169" s="1154">
        <f t="shared" si="506"/>
        <v>3306754.6929990449</v>
      </c>
      <c r="CI169" s="935">
        <f t="shared" si="507"/>
        <v>3306754.6929990449</v>
      </c>
      <c r="CJ169" s="935">
        <f t="shared" si="404"/>
        <v>0</v>
      </c>
      <c r="CK169" s="935">
        <f t="shared" si="373"/>
        <v>338942.35603240208</v>
      </c>
      <c r="CL169" s="935">
        <f t="shared" si="374"/>
        <v>115736.41425496658</v>
      </c>
      <c r="CM169" s="1006">
        <f t="shared" si="461"/>
        <v>3761433.4632864138</v>
      </c>
      <c r="CN169" s="1007">
        <f t="shared" si="462"/>
        <v>0.125</v>
      </c>
      <c r="CO169" s="935">
        <f t="shared" si="498"/>
        <v>470179.18291080173</v>
      </c>
      <c r="CP169" s="935">
        <f t="shared" si="490"/>
        <v>30000</v>
      </c>
      <c r="CQ169" s="935">
        <f t="shared" si="499"/>
        <v>440179.18291080173</v>
      </c>
      <c r="CR169" s="745">
        <f t="shared" si="463"/>
        <v>2</v>
      </c>
      <c r="CS169" s="935">
        <f t="shared" si="500"/>
        <v>220089.59145540086</v>
      </c>
      <c r="CT169" s="1007">
        <f t="shared" si="405"/>
        <v>0.875</v>
      </c>
      <c r="CU169" s="935">
        <f t="shared" si="406"/>
        <v>3291254.280375612</v>
      </c>
      <c r="CV169" s="1008">
        <f t="shared" si="407"/>
        <v>25517.059404262771</v>
      </c>
      <c r="CW169" s="1008">
        <f t="shared" si="408"/>
        <v>29582.723937656603</v>
      </c>
      <c r="CX169" s="1008">
        <f t="shared" si="409"/>
        <v>38214.252921619925</v>
      </c>
      <c r="CY169" s="1008">
        <f t="shared" si="410"/>
        <v>65170.779452492723</v>
      </c>
      <c r="CZ169" s="1119">
        <f t="shared" si="411"/>
        <v>267359.04649365909</v>
      </c>
      <c r="DA169" s="1119">
        <f t="shared" si="412"/>
        <v>105792.67231685179</v>
      </c>
      <c r="DB169" s="1119">
        <f t="shared" si="413"/>
        <v>76412.548852256587</v>
      </c>
      <c r="DC169" s="1119">
        <f t="shared" si="414"/>
        <v>58153.467528626905</v>
      </c>
      <c r="DD169" s="1028">
        <f t="shared" si="451"/>
        <v>0.48482488387371508</v>
      </c>
      <c r="DE169" s="1028">
        <f t="shared" si="508"/>
        <v>0</v>
      </c>
      <c r="DF169" s="1009" t="s">
        <v>270</v>
      </c>
      <c r="DG169" s="1009" t="s">
        <v>271</v>
      </c>
      <c r="DH169" s="966">
        <f t="shared" si="447"/>
        <v>45658</v>
      </c>
      <c r="DI169" s="912">
        <f t="shared" si="415"/>
        <v>14</v>
      </c>
      <c r="DK169" s="913">
        <f t="shared" si="375"/>
        <v>45723</v>
      </c>
      <c r="DL169" s="912">
        <f t="shared" si="416"/>
        <v>16</v>
      </c>
      <c r="DM169" s="750" t="s">
        <v>272</v>
      </c>
      <c r="DN169" s="750" t="s">
        <v>273</v>
      </c>
      <c r="DO169" s="751">
        <f t="shared" si="376"/>
        <v>49363.988176232808</v>
      </c>
      <c r="DP169" s="751">
        <f t="shared" si="377"/>
        <v>1086007.7398771218</v>
      </c>
      <c r="DQ169" s="752">
        <f t="shared" si="452"/>
        <v>0.54300386993856087</v>
      </c>
      <c r="DS169" s="751">
        <f t="shared" si="453"/>
        <v>3306754.6929990449</v>
      </c>
      <c r="DT169" s="751">
        <f>'[4]INTERNAL PRICELIST'!N163</f>
        <v>0</v>
      </c>
      <c r="DU169" s="751">
        <f t="shared" si="378"/>
        <v>3306754.6929990449</v>
      </c>
      <c r="DW169" s="951">
        <f t="shared" si="454"/>
        <v>150307.03149995659</v>
      </c>
      <c r="DZ169" s="1010" t="s">
        <v>619</v>
      </c>
      <c r="EA169" s="1011" t="b">
        <f t="shared" si="379"/>
        <v>1</v>
      </c>
      <c r="EB169" s="1011"/>
      <c r="EC169" s="1011"/>
      <c r="ER169" s="1017" t="s">
        <v>264</v>
      </c>
      <c r="ES169" s="1391" t="s">
        <v>264</v>
      </c>
      <c r="ET169" s="1018" t="b">
        <f t="shared" si="417"/>
        <v>1</v>
      </c>
      <c r="EX169" s="1019">
        <v>3099783.1876086313</v>
      </c>
      <c r="EY169" s="1019">
        <f t="shared" si="464"/>
        <v>464967.47814129468</v>
      </c>
      <c r="EZ169" s="1019">
        <f t="shared" si="465"/>
        <v>2634815.7094673365</v>
      </c>
      <c r="FA169" s="1019">
        <f t="shared" si="466"/>
        <v>309978.31876086316</v>
      </c>
      <c r="FB169" s="1019">
        <f t="shared" si="467"/>
        <v>2789804.8688477683</v>
      </c>
      <c r="FC169" s="1019">
        <f t="shared" si="468"/>
        <v>154989.15938043175</v>
      </c>
      <c r="FD169" s="1020"/>
      <c r="FE169" s="1021"/>
      <c r="FF169" s="1022">
        <f t="shared" si="469"/>
        <v>2634815.7094673365</v>
      </c>
      <c r="FG169" s="1022">
        <f t="shared" si="470"/>
        <v>223959.33530472362</v>
      </c>
      <c r="FH169" s="1022">
        <f t="shared" si="471"/>
        <v>111979.66765236181</v>
      </c>
      <c r="FI169" s="1023">
        <f t="shared" si="472"/>
        <v>2789804.8688477683</v>
      </c>
      <c r="FJ169" s="1023">
        <f t="shared" si="473"/>
        <v>237133.41385206033</v>
      </c>
      <c r="FK169" s="1023">
        <f t="shared" si="474"/>
        <v>118566.70692603017</v>
      </c>
      <c r="FL169" s="1019">
        <f t="shared" si="475"/>
        <v>13174.078547336714</v>
      </c>
      <c r="FM169" s="1019">
        <f t="shared" si="476"/>
        <v>6587.0392736683571</v>
      </c>
      <c r="FN169" s="1019" t="str">
        <f t="shared" si="477"/>
        <v>VS</v>
      </c>
      <c r="FO169" s="1019">
        <f t="shared" si="478"/>
        <v>27537.409960060559</v>
      </c>
      <c r="FP169" s="1019">
        <f t="shared" si="479"/>
        <v>-20950.370686392202</v>
      </c>
      <c r="FQ169" s="1021"/>
      <c r="FR169" s="1021"/>
      <c r="FS169" s="1020"/>
      <c r="FT169" s="1055">
        <f t="shared" si="509"/>
        <v>2789804.8688477683</v>
      </c>
      <c r="FU169" s="1056"/>
      <c r="FV169" s="1056"/>
      <c r="GG169" s="956"/>
      <c r="GH169" s="1058"/>
      <c r="GI169" s="1024">
        <f t="shared" si="418"/>
        <v>3761433.4632864138</v>
      </c>
      <c r="GJ169" s="1025">
        <f t="shared" si="419"/>
        <v>0.125</v>
      </c>
      <c r="GK169" s="1024">
        <f t="shared" si="420"/>
        <v>470179.18291080173</v>
      </c>
      <c r="GL169" s="1024">
        <f t="shared" si="421"/>
        <v>30000</v>
      </c>
      <c r="GM169" s="1024">
        <f t="shared" si="422"/>
        <v>440179.18291080173</v>
      </c>
      <c r="GN169" s="1024">
        <f t="shared" si="423"/>
        <v>2</v>
      </c>
      <c r="GO169" s="1024">
        <f t="shared" si="424"/>
        <v>220089.59145540086</v>
      </c>
      <c r="GP169" s="1025">
        <f t="shared" si="425"/>
        <v>0.875</v>
      </c>
      <c r="GQ169" s="1024">
        <f t="shared" si="426"/>
        <v>3291254.280375612</v>
      </c>
      <c r="GR169" s="1024">
        <f t="shared" si="427"/>
        <v>25517.059404262771</v>
      </c>
      <c r="GS169" s="1024">
        <f t="shared" si="428"/>
        <v>29582.723937656603</v>
      </c>
      <c r="GT169" s="1024">
        <f t="shared" si="429"/>
        <v>38214.252921619925</v>
      </c>
      <c r="GU169" s="1024">
        <f t="shared" si="430"/>
        <v>65170.779452492723</v>
      </c>
      <c r="GW169" s="1024">
        <f t="shared" si="431"/>
        <v>3761433.4632864138</v>
      </c>
      <c r="GX169" s="1025">
        <f t="shared" si="432"/>
        <v>0.125</v>
      </c>
      <c r="GY169" s="1024">
        <f t="shared" si="433"/>
        <v>470179.18291080173</v>
      </c>
      <c r="GZ169" s="1024">
        <f t="shared" si="434"/>
        <v>30000</v>
      </c>
      <c r="HA169" s="1024">
        <f t="shared" si="435"/>
        <v>440179.18291080173</v>
      </c>
      <c r="HB169" s="1026">
        <f t="shared" si="436"/>
        <v>25</v>
      </c>
      <c r="HC169" s="1009">
        <f t="shared" si="437"/>
        <v>17607.167316432067</v>
      </c>
      <c r="HD169" s="1027">
        <f t="shared" si="438"/>
        <v>0.875</v>
      </c>
      <c r="HE169" s="1009">
        <f t="shared" si="439"/>
        <v>3291254.280375612</v>
      </c>
      <c r="HF169" s="1008">
        <f t="shared" si="440"/>
        <v>25517.059404262771</v>
      </c>
      <c r="HG169" s="1008">
        <f t="shared" si="441"/>
        <v>29582.723937656603</v>
      </c>
      <c r="HH169" s="1008">
        <f t="shared" si="442"/>
        <v>38214.252921619925</v>
      </c>
      <c r="HI169" s="1008">
        <f t="shared" si="443"/>
        <v>65170.779452492723</v>
      </c>
      <c r="HK169" s="1009">
        <f t="shared" si="444"/>
        <v>-202482.42413896881</v>
      </c>
      <c r="HR169" s="956">
        <f t="shared" si="445"/>
        <v>0</v>
      </c>
      <c r="HU169" s="956"/>
      <c r="HW169" s="956"/>
      <c r="HX169" s="956"/>
    </row>
    <row r="170" spans="1:238" ht="14.25" hidden="1" customHeight="1">
      <c r="A170" s="1018">
        <f t="shared" si="480"/>
        <v>164</v>
      </c>
      <c r="B170" s="716"/>
      <c r="C170" s="741">
        <f t="shared" si="512"/>
        <v>8</v>
      </c>
      <c r="D170" s="716" t="s">
        <v>294</v>
      </c>
      <c r="E170" s="743" t="str">
        <f t="shared" si="352"/>
        <v>11th Floor</v>
      </c>
      <c r="F170" s="1048"/>
      <c r="G170" s="745" t="s">
        <v>620</v>
      </c>
      <c r="H170" s="745" t="s">
        <v>316</v>
      </c>
      <c r="I170" s="745" t="s">
        <v>267</v>
      </c>
      <c r="J170" s="1005">
        <v>22</v>
      </c>
      <c r="K170" s="1049"/>
      <c r="L170" s="1006" t="s">
        <v>268</v>
      </c>
      <c r="M170" s="745" t="s">
        <v>65</v>
      </c>
      <c r="N170" s="1050">
        <v>95909.091</v>
      </c>
      <c r="O170" s="934">
        <f t="shared" si="455"/>
        <v>2110000.0019999999</v>
      </c>
      <c r="P170" s="934">
        <f t="shared" si="481"/>
        <v>22400</v>
      </c>
      <c r="Q170" s="934">
        <f t="shared" si="450"/>
        <v>50000</v>
      </c>
      <c r="R170" s="934"/>
      <c r="S170" s="934"/>
      <c r="T170" s="934"/>
      <c r="U170" s="934"/>
      <c r="V170" s="749">
        <f>J170*$V$5</f>
        <v>55000</v>
      </c>
      <c r="W170" s="934"/>
      <c r="X170" s="934"/>
      <c r="Y170" s="934">
        <f t="shared" si="513"/>
        <v>140000</v>
      </c>
      <c r="Z170" s="934">
        <f t="shared" si="456"/>
        <v>75000</v>
      </c>
      <c r="AA170" s="934"/>
      <c r="AB170" s="934"/>
      <c r="AC170" s="934"/>
      <c r="AD170" s="934"/>
      <c r="AE170" s="934">
        <f t="shared" si="365"/>
        <v>342400</v>
      </c>
      <c r="AF170" s="1005">
        <f t="shared" si="366"/>
        <v>2452400.0019999999</v>
      </c>
      <c r="AG170" s="1005">
        <f t="shared" si="380"/>
        <v>61310.000050000002</v>
      </c>
      <c r="AH170" s="1005">
        <f t="shared" si="381"/>
        <v>2513710.0020499998</v>
      </c>
      <c r="AI170" s="1005">
        <f t="shared" si="382"/>
        <v>62842.750051249997</v>
      </c>
      <c r="AJ170" s="1005">
        <f t="shared" si="383"/>
        <v>2576552.75210125</v>
      </c>
      <c r="AK170" s="1005">
        <f t="shared" si="384"/>
        <v>128827.63760506251</v>
      </c>
      <c r="AL170" s="1005">
        <f t="shared" si="457"/>
        <v>2705380.3897063127</v>
      </c>
      <c r="AM170" s="934">
        <f t="shared" si="385"/>
        <v>27053.803897063128</v>
      </c>
      <c r="AN170" s="934">
        <f t="shared" si="386"/>
        <v>27537.409960060559</v>
      </c>
      <c r="AO170" s="934"/>
      <c r="AP170" s="934">
        <f t="shared" si="458"/>
        <v>122527.46028064011</v>
      </c>
      <c r="AQ170" s="1005">
        <f t="shared" si="367"/>
        <v>2882499.0638440764</v>
      </c>
      <c r="AR170" s="1005">
        <f t="shared" si="387"/>
        <v>129712.45787298343</v>
      </c>
      <c r="AS170" s="1147">
        <f t="shared" si="388"/>
        <v>3012211.5217170599</v>
      </c>
      <c r="AT170" s="1148">
        <f>AS170</f>
        <v>3012211.5217170599</v>
      </c>
      <c r="AU170" s="1148"/>
      <c r="AV170" s="1148"/>
      <c r="AW170" s="1148"/>
      <c r="AX170" s="1148">
        <f t="shared" si="369"/>
        <v>0</v>
      </c>
      <c r="AY170" s="1147">
        <f t="shared" si="389"/>
        <v>3012211.5217170599</v>
      </c>
      <c r="AZ170" s="934">
        <f t="shared" si="390"/>
        <v>37652.644021463253</v>
      </c>
      <c r="BA170" s="716" t="s">
        <v>269</v>
      </c>
      <c r="BB170" s="716">
        <f t="shared" si="370"/>
        <v>3049864.165738523</v>
      </c>
      <c r="BC170" s="716" t="s">
        <v>269</v>
      </c>
      <c r="BD170" s="716">
        <f t="shared" si="391"/>
        <v>114369.90621519461</v>
      </c>
      <c r="BE170" s="716">
        <f t="shared" si="392"/>
        <v>33600</v>
      </c>
      <c r="BF170" s="716">
        <f t="shared" si="393"/>
        <v>3197834.0719537176</v>
      </c>
      <c r="BG170" s="716"/>
      <c r="BH170" s="716">
        <f t="shared" si="394"/>
        <v>3197834.0719537176</v>
      </c>
      <c r="BI170" s="716"/>
      <c r="BJ170" s="716">
        <f t="shared" si="395"/>
        <v>3197834.0719537176</v>
      </c>
      <c r="BK170" s="716"/>
      <c r="BL170" s="716">
        <f t="shared" si="396"/>
        <v>3197834.0719537176</v>
      </c>
      <c r="BM170" s="716"/>
      <c r="BN170" s="716">
        <f t="shared" si="371"/>
        <v>3197834.0719537176</v>
      </c>
      <c r="BO170" s="716"/>
      <c r="BP170" s="716">
        <f t="shared" si="397"/>
        <v>3197834.0719537176</v>
      </c>
      <c r="BQ170" s="716"/>
      <c r="BR170" s="716">
        <f t="shared" si="398"/>
        <v>3197834.0719537176</v>
      </c>
      <c r="BS170" s="716"/>
      <c r="BT170" s="716">
        <f t="shared" si="399"/>
        <v>3197834.0719537176</v>
      </c>
      <c r="BU170" s="716"/>
      <c r="BV170" s="716">
        <f t="shared" si="372"/>
        <v>3197834.0719537176</v>
      </c>
      <c r="BW170" s="716"/>
      <c r="BX170" s="716">
        <f t="shared" si="489"/>
        <v>31400</v>
      </c>
      <c r="BY170" s="716">
        <f t="shared" si="400"/>
        <v>3229234.0719537176</v>
      </c>
      <c r="BZ170" s="716"/>
      <c r="CA170" s="716">
        <f t="shared" si="401"/>
        <v>3229234.0719537176</v>
      </c>
      <c r="CB170" s="1135">
        <f t="shared" si="402"/>
        <v>3229234.0719537176</v>
      </c>
      <c r="CC170" s="1164">
        <f t="shared" si="446"/>
        <v>3229234.0719537176</v>
      </c>
      <c r="CD170" s="1164"/>
      <c r="CE170" s="1164">
        <f t="shared" si="403"/>
        <v>0</v>
      </c>
      <c r="CF170" s="1164">
        <f t="shared" si="448"/>
        <v>0</v>
      </c>
      <c r="CG170" s="1164">
        <f t="shared" si="449"/>
        <v>0</v>
      </c>
      <c r="CH170" s="1154">
        <f t="shared" si="506"/>
        <v>3229234.0719537176</v>
      </c>
      <c r="CI170" s="935">
        <f t="shared" si="507"/>
        <v>3229234.0719537176</v>
      </c>
      <c r="CJ170" s="935">
        <f t="shared" si="404"/>
        <v>0</v>
      </c>
      <c r="CK170" s="935">
        <f t="shared" si="373"/>
        <v>330996.49237525603</v>
      </c>
      <c r="CL170" s="935">
        <f t="shared" si="374"/>
        <v>113023.19251838012</v>
      </c>
      <c r="CM170" s="1006">
        <f t="shared" si="461"/>
        <v>3673253.7568473537</v>
      </c>
      <c r="CN170" s="1007">
        <f t="shared" si="462"/>
        <v>0.125</v>
      </c>
      <c r="CO170" s="935">
        <f t="shared" si="498"/>
        <v>459156.71960591921</v>
      </c>
      <c r="CP170" s="935">
        <f t="shared" si="490"/>
        <v>30000</v>
      </c>
      <c r="CQ170" s="935">
        <f t="shared" si="499"/>
        <v>429156.71960591921</v>
      </c>
      <c r="CR170" s="745">
        <f t="shared" si="463"/>
        <v>2</v>
      </c>
      <c r="CS170" s="935">
        <f t="shared" si="500"/>
        <v>214578.3598029596</v>
      </c>
      <c r="CT170" s="1007">
        <f t="shared" si="405"/>
        <v>0.875</v>
      </c>
      <c r="CU170" s="935">
        <f t="shared" si="406"/>
        <v>3214097.0372414347</v>
      </c>
      <c r="CV170" s="1008">
        <f t="shared" si="407"/>
        <v>24918.860119490626</v>
      </c>
      <c r="CW170" s="1008">
        <f t="shared" si="408"/>
        <v>28889.212823356273</v>
      </c>
      <c r="CX170" s="1008">
        <f t="shared" si="409"/>
        <v>37318.391905518831</v>
      </c>
      <c r="CY170" s="1008">
        <f t="shared" si="410"/>
        <v>63642.973562366868</v>
      </c>
      <c r="CZ170" s="1119">
        <f t="shared" si="411"/>
        <v>261091.31838847024</v>
      </c>
      <c r="DA170" s="1119">
        <f t="shared" si="412"/>
        <v>103312.56283748511</v>
      </c>
      <c r="DB170" s="1119">
        <f t="shared" si="413"/>
        <v>74621.200901583215</v>
      </c>
      <c r="DC170" s="1119">
        <f t="shared" si="414"/>
        <v>56790.169268764192</v>
      </c>
      <c r="DD170" s="1028">
        <f t="shared" si="451"/>
        <v>0</v>
      </c>
      <c r="DE170" s="1028">
        <f t="shared" si="508"/>
        <v>0</v>
      </c>
      <c r="DF170" s="916" t="s">
        <v>512</v>
      </c>
      <c r="DG170" s="1009" t="s">
        <v>271</v>
      </c>
      <c r="DH170" s="966">
        <f t="shared" si="447"/>
        <v>45658</v>
      </c>
      <c r="DI170" s="912">
        <f t="shared" si="415"/>
        <v>14</v>
      </c>
      <c r="DK170" s="913">
        <f t="shared" si="375"/>
        <v>45723</v>
      </c>
      <c r="DL170" s="912">
        <f t="shared" si="416"/>
        <v>16</v>
      </c>
      <c r="DM170" s="750" t="s">
        <v>272</v>
      </c>
      <c r="DN170" s="750" t="s">
        <v>273</v>
      </c>
      <c r="DO170" s="751">
        <f t="shared" si="376"/>
        <v>0</v>
      </c>
      <c r="DP170" s="751">
        <f t="shared" si="377"/>
        <v>0</v>
      </c>
      <c r="DQ170" s="752">
        <f t="shared" si="452"/>
        <v>0</v>
      </c>
      <c r="DS170" s="751">
        <f t="shared" si="453"/>
        <v>3229234.0719537176</v>
      </c>
      <c r="DT170" s="751">
        <f>'[4]INTERNAL PRICELIST'!N164</f>
        <v>0</v>
      </c>
      <c r="DU170" s="751">
        <f t="shared" si="378"/>
        <v>3229234.0719537176</v>
      </c>
      <c r="DW170" s="951">
        <f t="shared" si="454"/>
        <v>146783.36690698715</v>
      </c>
      <c r="DZ170" s="1010" t="s">
        <v>620</v>
      </c>
      <c r="EA170" s="1011" t="b">
        <f t="shared" si="379"/>
        <v>1</v>
      </c>
      <c r="EB170" s="1011"/>
      <c r="EC170" s="1011"/>
      <c r="ER170" s="1017" t="s">
        <v>264</v>
      </c>
      <c r="ES170" s="1391" t="s">
        <v>264</v>
      </c>
      <c r="ET170" s="1018" t="b">
        <f t="shared" si="417"/>
        <v>1</v>
      </c>
      <c r="EX170" s="1019">
        <v>3203332.2949186955</v>
      </c>
      <c r="EY170" s="1019">
        <f t="shared" si="464"/>
        <v>480499.8442378043</v>
      </c>
      <c r="EZ170" s="1019">
        <f t="shared" si="465"/>
        <v>2722832.4506808911</v>
      </c>
      <c r="FA170" s="1019">
        <f t="shared" si="466"/>
        <v>320333.22949186957</v>
      </c>
      <c r="FB170" s="1019">
        <f t="shared" si="467"/>
        <v>2882999.065426826</v>
      </c>
      <c r="FC170" s="1019">
        <f t="shared" si="468"/>
        <v>160166.61474593496</v>
      </c>
      <c r="FD170" s="1020"/>
      <c r="FE170" s="1021"/>
      <c r="FF170" s="1022">
        <f t="shared" si="469"/>
        <v>2722832.4506808911</v>
      </c>
      <c r="FG170" s="1022">
        <f t="shared" si="470"/>
        <v>231440.75830787575</v>
      </c>
      <c r="FH170" s="1022">
        <f t="shared" si="471"/>
        <v>115720.37915393787</v>
      </c>
      <c r="FI170" s="1023">
        <f t="shared" si="472"/>
        <v>2882999.065426826</v>
      </c>
      <c r="FJ170" s="1023">
        <f t="shared" si="473"/>
        <v>245054.92056128022</v>
      </c>
      <c r="FK170" s="1023">
        <f t="shared" si="474"/>
        <v>122527.46028064011</v>
      </c>
      <c r="FL170" s="1019">
        <f t="shared" si="475"/>
        <v>13614.162253404473</v>
      </c>
      <c r="FM170" s="1019">
        <f t="shared" si="476"/>
        <v>6807.0811267022364</v>
      </c>
      <c r="FN170" s="1019" t="str">
        <f t="shared" si="477"/>
        <v>VS</v>
      </c>
      <c r="FO170" s="1019">
        <f t="shared" si="478"/>
        <v>27537.409960060559</v>
      </c>
      <c r="FP170" s="1019">
        <f t="shared" si="479"/>
        <v>-20730.328833358322</v>
      </c>
      <c r="FQ170" s="1021"/>
      <c r="FR170" s="1021"/>
      <c r="FS170" s="1020"/>
      <c r="FT170" s="1055">
        <f t="shared" si="509"/>
        <v>2882999.065426826</v>
      </c>
      <c r="FU170" s="1056"/>
      <c r="FV170" s="1056"/>
      <c r="GG170" s="956"/>
      <c r="GH170" s="1058"/>
      <c r="GI170" s="1024">
        <f t="shared" si="418"/>
        <v>3673253.7568473537</v>
      </c>
      <c r="GJ170" s="1025">
        <f t="shared" si="419"/>
        <v>0.125</v>
      </c>
      <c r="GK170" s="1024">
        <f t="shared" si="420"/>
        <v>459156.71960591921</v>
      </c>
      <c r="GL170" s="1024">
        <f t="shared" si="421"/>
        <v>30000</v>
      </c>
      <c r="GM170" s="1024">
        <f t="shared" si="422"/>
        <v>429156.71960591921</v>
      </c>
      <c r="GN170" s="1024">
        <f t="shared" si="423"/>
        <v>2</v>
      </c>
      <c r="GO170" s="1024">
        <f t="shared" si="424"/>
        <v>214578.3598029596</v>
      </c>
      <c r="GP170" s="1025">
        <f t="shared" si="425"/>
        <v>0.875</v>
      </c>
      <c r="GQ170" s="1024">
        <f t="shared" si="426"/>
        <v>3214097.0372414347</v>
      </c>
      <c r="GR170" s="1024">
        <f t="shared" si="427"/>
        <v>24918.860119490626</v>
      </c>
      <c r="GS170" s="1024">
        <f t="shared" si="428"/>
        <v>28889.212823356273</v>
      </c>
      <c r="GT170" s="1024">
        <f t="shared" si="429"/>
        <v>37318.391905518831</v>
      </c>
      <c r="GU170" s="1024">
        <f t="shared" si="430"/>
        <v>63642.973562366868</v>
      </c>
      <c r="GW170" s="1024">
        <f t="shared" si="431"/>
        <v>3673253.7568473537</v>
      </c>
      <c r="GX170" s="1025">
        <f t="shared" si="432"/>
        <v>0.125</v>
      </c>
      <c r="GY170" s="1024">
        <f t="shared" si="433"/>
        <v>459156.71960591921</v>
      </c>
      <c r="GZ170" s="1024">
        <f t="shared" si="434"/>
        <v>30000</v>
      </c>
      <c r="HA170" s="1024">
        <f t="shared" si="435"/>
        <v>429156.71960591921</v>
      </c>
      <c r="HB170" s="1026">
        <f t="shared" si="436"/>
        <v>25</v>
      </c>
      <c r="HC170" s="1009">
        <f t="shared" si="437"/>
        <v>17166.268784236767</v>
      </c>
      <c r="HD170" s="1027">
        <f t="shared" si="438"/>
        <v>0.875</v>
      </c>
      <c r="HE170" s="1009">
        <f t="shared" si="439"/>
        <v>3214097.0372414347</v>
      </c>
      <c r="HF170" s="1008">
        <f t="shared" si="440"/>
        <v>24918.860119490626</v>
      </c>
      <c r="HG170" s="1008">
        <f t="shared" si="441"/>
        <v>28889.212823356273</v>
      </c>
      <c r="HH170" s="1008">
        <f t="shared" si="442"/>
        <v>37318.391905518831</v>
      </c>
      <c r="HI170" s="1008">
        <f t="shared" si="443"/>
        <v>63642.973562366868</v>
      </c>
      <c r="HK170" s="1009">
        <f t="shared" si="444"/>
        <v>-197412.09101872283</v>
      </c>
      <c r="HR170" s="956">
        <f t="shared" si="445"/>
        <v>0</v>
      </c>
      <c r="HU170" s="956"/>
      <c r="HW170" s="956"/>
      <c r="HX170" s="956"/>
    </row>
    <row r="171" spans="1:238" ht="14.25" customHeight="1">
      <c r="A171" s="1018">
        <f t="shared" si="480"/>
        <v>165</v>
      </c>
      <c r="B171" s="716"/>
      <c r="C171" s="741">
        <f t="shared" si="512"/>
        <v>9</v>
      </c>
      <c r="D171" s="716" t="s">
        <v>294</v>
      </c>
      <c r="E171" s="743" t="str">
        <f t="shared" si="352"/>
        <v>11th Floor</v>
      </c>
      <c r="F171" s="1048"/>
      <c r="G171" s="745" t="s">
        <v>621</v>
      </c>
      <c r="H171" s="745" t="s">
        <v>321</v>
      </c>
      <c r="I171" s="745" t="s">
        <v>267</v>
      </c>
      <c r="J171" s="1005">
        <v>22</v>
      </c>
      <c r="K171" s="1049"/>
      <c r="L171" s="1006" t="s">
        <v>268</v>
      </c>
      <c r="M171" s="745" t="s">
        <v>79</v>
      </c>
      <c r="N171" s="1050">
        <v>95909.091</v>
      </c>
      <c r="O171" s="934">
        <f t="shared" si="455"/>
        <v>2110000.0019999999</v>
      </c>
      <c r="P171" s="934">
        <f t="shared" si="481"/>
        <v>22400</v>
      </c>
      <c r="Q171" s="934">
        <f t="shared" si="450"/>
        <v>50000</v>
      </c>
      <c r="R171" s="934"/>
      <c r="S171" s="934"/>
      <c r="T171" s="934"/>
      <c r="U171" s="934"/>
      <c r="V171" s="749"/>
      <c r="W171" s="934"/>
      <c r="X171" s="934"/>
      <c r="Y171" s="934">
        <f t="shared" si="513"/>
        <v>140000</v>
      </c>
      <c r="Z171" s="934">
        <f t="shared" si="456"/>
        <v>75000</v>
      </c>
      <c r="AA171" s="934"/>
      <c r="AB171" s="934"/>
      <c r="AC171" s="934"/>
      <c r="AD171" s="934"/>
      <c r="AE171" s="934">
        <f t="shared" si="365"/>
        <v>287400</v>
      </c>
      <c r="AF171" s="1005">
        <f t="shared" si="366"/>
        <v>2397400.0019999999</v>
      </c>
      <c r="AG171" s="1005">
        <f t="shared" si="380"/>
        <v>59935.000050000002</v>
      </c>
      <c r="AH171" s="1005">
        <f t="shared" si="381"/>
        <v>2457335.0020499998</v>
      </c>
      <c r="AI171" s="1005">
        <f t="shared" si="382"/>
        <v>61433.375051249997</v>
      </c>
      <c r="AJ171" s="1005">
        <f t="shared" si="383"/>
        <v>2518768.37710125</v>
      </c>
      <c r="AK171" s="1005">
        <f t="shared" si="384"/>
        <v>125938.41885506251</v>
      </c>
      <c r="AL171" s="1005">
        <f t="shared" si="457"/>
        <v>2644706.7959563127</v>
      </c>
      <c r="AM171" s="934">
        <f t="shared" si="385"/>
        <v>26447.067959563126</v>
      </c>
      <c r="AN171" s="934">
        <f t="shared" si="386"/>
        <v>27537.409960060559</v>
      </c>
      <c r="AO171" s="934"/>
      <c r="AP171" s="934">
        <f t="shared" si="458"/>
        <v>117394.44212896141</v>
      </c>
      <c r="AQ171" s="1005">
        <f t="shared" si="367"/>
        <v>2816085.7160048978</v>
      </c>
      <c r="AR171" s="1005">
        <f t="shared" si="387"/>
        <v>126723.85722022039</v>
      </c>
      <c r="AS171" s="1147">
        <f t="shared" si="388"/>
        <v>2942809.5732251182</v>
      </c>
      <c r="AT171" s="1148">
        <f t="shared" si="459"/>
        <v>2000000</v>
      </c>
      <c r="AU171" s="1148">
        <f t="shared" ref="AU171:AU179" si="514">AV171/J171</f>
        <v>42854.980601141739</v>
      </c>
      <c r="AV171" s="1148">
        <f t="shared" si="460"/>
        <v>942809.57322511822</v>
      </c>
      <c r="AW171" s="1148">
        <f t="shared" si="368"/>
        <v>113137.14878701419</v>
      </c>
      <c r="AX171" s="1148">
        <f t="shared" si="369"/>
        <v>1055946.7220121324</v>
      </c>
      <c r="AY171" s="1147">
        <f t="shared" si="389"/>
        <v>3055946.7220121324</v>
      </c>
      <c r="AZ171" s="934">
        <f t="shared" si="390"/>
        <v>38199.334025151657</v>
      </c>
      <c r="BA171" s="716">
        <v>13774.897733333333</v>
      </c>
      <c r="BB171" s="716">
        <f t="shared" si="370"/>
        <v>3107920.9537706175</v>
      </c>
      <c r="BC171" s="716">
        <v>2710.4000000000005</v>
      </c>
      <c r="BD171" s="716">
        <f t="shared" si="391"/>
        <v>116547.03576639816</v>
      </c>
      <c r="BE171" s="716">
        <f t="shared" si="392"/>
        <v>33600</v>
      </c>
      <c r="BF171" s="716">
        <f t="shared" si="393"/>
        <v>3260778.3895370155</v>
      </c>
      <c r="BG171" s="716">
        <v>5248.8000000000011</v>
      </c>
      <c r="BH171" s="716">
        <f t="shared" si="394"/>
        <v>3266027.1895370153</v>
      </c>
      <c r="BI171" s="716"/>
      <c r="BJ171" s="716">
        <f t="shared" si="395"/>
        <v>3266027.1895370153</v>
      </c>
      <c r="BK171" s="716">
        <v>5092.7923200000005</v>
      </c>
      <c r="BL171" s="716">
        <f t="shared" si="396"/>
        <v>3271119.9818570153</v>
      </c>
      <c r="BM171" s="716"/>
      <c r="BN171" s="716">
        <f t="shared" si="371"/>
        <v>3271119.9818570153</v>
      </c>
      <c r="BO171" s="716"/>
      <c r="BP171" s="716">
        <f t="shared" si="397"/>
        <v>3271119.9818570153</v>
      </c>
      <c r="BQ171" s="716"/>
      <c r="BR171" s="716">
        <f t="shared" si="398"/>
        <v>3271119.9818570153</v>
      </c>
      <c r="BS171" s="716"/>
      <c r="BT171" s="716">
        <f t="shared" si="399"/>
        <v>3271119.9818570153</v>
      </c>
      <c r="BU171" s="716">
        <f>$BU$5/24</f>
        <v>546.00000000000011</v>
      </c>
      <c r="BV171" s="716">
        <f t="shared" si="372"/>
        <v>3271665.9818570153</v>
      </c>
      <c r="BW171" s="716"/>
      <c r="BX171" s="716">
        <f t="shared" si="489"/>
        <v>31400</v>
      </c>
      <c r="BY171" s="716">
        <f t="shared" si="400"/>
        <v>3303065.9818570153</v>
      </c>
      <c r="BZ171" s="716">
        <f>$BZ$5/20</f>
        <v>33654.337039807535</v>
      </c>
      <c r="CA171" s="716">
        <f t="shared" si="401"/>
        <v>3336720.3188968226</v>
      </c>
      <c r="CB171" s="1135">
        <f>CA171</f>
        <v>3336720.3188968226</v>
      </c>
      <c r="CC171" s="1164">
        <f t="shared" si="446"/>
        <v>3336720.3188968226</v>
      </c>
      <c r="CD171" s="1164"/>
      <c r="CE171" s="1164">
        <f t="shared" si="403"/>
        <v>0</v>
      </c>
      <c r="CF171" s="1164">
        <f t="shared" si="448"/>
        <v>0</v>
      </c>
      <c r="CG171" s="1164">
        <f t="shared" si="449"/>
        <v>0</v>
      </c>
      <c r="CH171" s="1154">
        <f t="shared" si="506"/>
        <v>3336720.3188968226</v>
      </c>
      <c r="CI171" s="935">
        <f t="shared" si="507"/>
        <v>3336720.3188968226</v>
      </c>
      <c r="CJ171" s="935">
        <f t="shared" si="404"/>
        <v>0</v>
      </c>
      <c r="CK171" s="935">
        <f t="shared" si="373"/>
        <v>342013.83268692432</v>
      </c>
      <c r="CL171" s="935">
        <f t="shared" si="374"/>
        <v>116785.2111613888</v>
      </c>
      <c r="CM171" s="1006">
        <f t="shared" si="461"/>
        <v>3795519.362745136</v>
      </c>
      <c r="CN171" s="1007">
        <f t="shared" si="462"/>
        <v>0.125</v>
      </c>
      <c r="CO171" s="935">
        <f t="shared" si="498"/>
        <v>474439.920343142</v>
      </c>
      <c r="CP171" s="935">
        <f t="shared" si="490"/>
        <v>30000</v>
      </c>
      <c r="CQ171" s="935">
        <f t="shared" si="499"/>
        <v>444439.920343142</v>
      </c>
      <c r="CR171" s="745">
        <v>1</v>
      </c>
      <c r="CS171" s="935">
        <f t="shared" si="500"/>
        <v>444439.920343142</v>
      </c>
      <c r="CT171" s="1007">
        <f t="shared" si="405"/>
        <v>0.875</v>
      </c>
      <c r="CU171" s="935">
        <f t="shared" si="406"/>
        <v>3321079.442401994</v>
      </c>
      <c r="CV171" s="1008">
        <f t="shared" si="407"/>
        <v>25748.293567999914</v>
      </c>
      <c r="CW171" s="1008">
        <f t="shared" si="408"/>
        <v>29850.800925777265</v>
      </c>
      <c r="CX171" s="1008">
        <f t="shared" si="409"/>
        <v>38560.548342153146</v>
      </c>
      <c r="CY171" s="1008">
        <f t="shared" si="410"/>
        <v>65761.353407275208</v>
      </c>
      <c r="CZ171" s="1119">
        <f t="shared" si="411"/>
        <v>269781.83920476562</v>
      </c>
      <c r="DA171" s="1119">
        <f t="shared" si="412"/>
        <v>106751.35959053577</v>
      </c>
      <c r="DB171" s="1119">
        <f t="shared" si="413"/>
        <v>77104.995091964098</v>
      </c>
      <c r="DC171" s="1119">
        <f t="shared" si="414"/>
        <v>58680.450995622741</v>
      </c>
      <c r="DD171" s="1028">
        <f t="shared" si="451"/>
        <v>0.47140478661255913</v>
      </c>
      <c r="DE171" s="1028">
        <f t="shared" si="508"/>
        <v>0</v>
      </c>
      <c r="DF171" s="1009" t="s">
        <v>270</v>
      </c>
      <c r="DG171" s="1009" t="s">
        <v>271</v>
      </c>
      <c r="DH171" s="966">
        <f t="shared" si="447"/>
        <v>45658</v>
      </c>
      <c r="DI171" s="912">
        <f t="shared" si="415"/>
        <v>14</v>
      </c>
      <c r="DK171" s="913">
        <f t="shared" si="375"/>
        <v>45723</v>
      </c>
      <c r="DL171" s="912">
        <f t="shared" si="416"/>
        <v>16</v>
      </c>
      <c r="DM171" s="750" t="s">
        <v>272</v>
      </c>
      <c r="DN171" s="750" t="s">
        <v>273</v>
      </c>
      <c r="DO171" s="751">
        <f t="shared" si="376"/>
        <v>47997.578273278748</v>
      </c>
      <c r="DP171" s="751">
        <f t="shared" si="377"/>
        <v>1055946.7220121324</v>
      </c>
      <c r="DQ171" s="752">
        <f t="shared" si="452"/>
        <v>0.52797336100606618</v>
      </c>
      <c r="DS171" s="751">
        <f t="shared" si="453"/>
        <v>3336720.3188968226</v>
      </c>
      <c r="DT171" s="751">
        <f>'[4]INTERNAL PRICELIST'!N165</f>
        <v>0</v>
      </c>
      <c r="DU171" s="751">
        <f t="shared" si="378"/>
        <v>3336720.3188968226</v>
      </c>
      <c r="DW171" s="951">
        <f t="shared" si="454"/>
        <v>151669.10540440102</v>
      </c>
      <c r="DZ171" s="1010" t="s">
        <v>621</v>
      </c>
      <c r="EA171" s="1011" t="b">
        <f t="shared" si="379"/>
        <v>1</v>
      </c>
      <c r="EB171" s="1011"/>
      <c r="EC171" s="1011"/>
      <c r="ER171" s="1017" t="s">
        <v>243</v>
      </c>
      <c r="ES171" s="1391" t="s">
        <v>243</v>
      </c>
      <c r="ET171" s="1018" t="b">
        <f t="shared" si="417"/>
        <v>1</v>
      </c>
      <c r="EX171" s="1019">
        <v>3069135.7419336312</v>
      </c>
      <c r="EY171" s="1019">
        <f t="shared" si="464"/>
        <v>460370.36129004468</v>
      </c>
      <c r="EZ171" s="1019">
        <f t="shared" si="465"/>
        <v>2608765.3806435866</v>
      </c>
      <c r="FA171" s="1019">
        <f t="shared" si="466"/>
        <v>306913.57419336314</v>
      </c>
      <c r="FB171" s="1019">
        <f t="shared" si="467"/>
        <v>2762222.1677402682</v>
      </c>
      <c r="FC171" s="1019">
        <f t="shared" si="468"/>
        <v>153456.78709668154</v>
      </c>
      <c r="FD171" s="1020"/>
      <c r="FE171" s="1021"/>
      <c r="FF171" s="1022">
        <f t="shared" si="469"/>
        <v>2608765.3806435866</v>
      </c>
      <c r="FG171" s="1022">
        <f t="shared" si="470"/>
        <v>221745.05735470488</v>
      </c>
      <c r="FH171" s="1022">
        <f t="shared" si="471"/>
        <v>110872.52867735244</v>
      </c>
      <c r="FI171" s="1023">
        <f t="shared" si="472"/>
        <v>2762222.1677402682</v>
      </c>
      <c r="FJ171" s="1023">
        <f t="shared" si="473"/>
        <v>234788.88425792282</v>
      </c>
      <c r="FK171" s="1023">
        <f t="shared" si="474"/>
        <v>117394.44212896141</v>
      </c>
      <c r="FL171" s="1019">
        <f t="shared" si="475"/>
        <v>13043.826903217938</v>
      </c>
      <c r="FM171" s="1019">
        <f t="shared" si="476"/>
        <v>6521.9134516089689</v>
      </c>
      <c r="FN171" s="1019" t="str">
        <f t="shared" si="477"/>
        <v>VS</v>
      </c>
      <c r="FO171" s="1019">
        <f t="shared" si="478"/>
        <v>27537.409960060559</v>
      </c>
      <c r="FP171" s="1019">
        <f t="shared" si="479"/>
        <v>-21015.49650845159</v>
      </c>
      <c r="FQ171" s="1021"/>
      <c r="FR171" s="1021"/>
      <c r="FS171" s="1020"/>
      <c r="FT171" s="503"/>
      <c r="FU171" s="956"/>
      <c r="FV171" s="503"/>
      <c r="GG171" s="956"/>
      <c r="GI171" s="1024">
        <f t="shared" si="418"/>
        <v>3795519.362745136</v>
      </c>
      <c r="GJ171" s="1025">
        <f t="shared" si="419"/>
        <v>0.125</v>
      </c>
      <c r="GK171" s="1024">
        <f t="shared" si="420"/>
        <v>474439.920343142</v>
      </c>
      <c r="GL171" s="1024">
        <f t="shared" si="421"/>
        <v>30000</v>
      </c>
      <c r="GM171" s="1024">
        <f t="shared" si="422"/>
        <v>444439.920343142</v>
      </c>
      <c r="GN171" s="1024">
        <f t="shared" si="423"/>
        <v>1</v>
      </c>
      <c r="GO171" s="1024">
        <f t="shared" si="424"/>
        <v>444439.920343142</v>
      </c>
      <c r="GP171" s="1025">
        <f t="shared" si="425"/>
        <v>0.875</v>
      </c>
      <c r="GQ171" s="1024">
        <f t="shared" si="426"/>
        <v>3321079.442401994</v>
      </c>
      <c r="GR171" s="1024">
        <f t="shared" si="427"/>
        <v>25748.293567999914</v>
      </c>
      <c r="GS171" s="1024">
        <f t="shared" si="428"/>
        <v>29850.800925777265</v>
      </c>
      <c r="GT171" s="1024">
        <f t="shared" si="429"/>
        <v>38560.548342153146</v>
      </c>
      <c r="GU171" s="1024">
        <f t="shared" si="430"/>
        <v>65761.353407275208</v>
      </c>
      <c r="GW171" s="1024">
        <f t="shared" si="431"/>
        <v>3795519.362745136</v>
      </c>
      <c r="GX171" s="1025">
        <f t="shared" si="432"/>
        <v>0.125</v>
      </c>
      <c r="GY171" s="1024">
        <f t="shared" si="433"/>
        <v>474439.920343142</v>
      </c>
      <c r="GZ171" s="1024">
        <f t="shared" si="434"/>
        <v>30000</v>
      </c>
      <c r="HA171" s="1024">
        <f t="shared" si="435"/>
        <v>444439.920343142</v>
      </c>
      <c r="HB171" s="1026">
        <f t="shared" si="436"/>
        <v>25</v>
      </c>
      <c r="HC171" s="1009">
        <f t="shared" si="437"/>
        <v>17777.596813725679</v>
      </c>
      <c r="HD171" s="1027">
        <f t="shared" si="438"/>
        <v>0.875</v>
      </c>
      <c r="HE171" s="1009">
        <f t="shared" si="439"/>
        <v>3321079.442401994</v>
      </c>
      <c r="HF171" s="1008">
        <f t="shared" si="440"/>
        <v>25748.293567999914</v>
      </c>
      <c r="HG171" s="1008">
        <f t="shared" si="441"/>
        <v>29850.800925777265</v>
      </c>
      <c r="HH171" s="1008">
        <f t="shared" si="442"/>
        <v>38560.548342153146</v>
      </c>
      <c r="HI171" s="1008">
        <f t="shared" si="443"/>
        <v>65761.353407275208</v>
      </c>
      <c r="HK171" s="1009">
        <f t="shared" si="444"/>
        <v>-426662.32352941635</v>
      </c>
      <c r="HR171" s="956">
        <f t="shared" si="445"/>
        <v>0</v>
      </c>
      <c r="HU171" s="956"/>
      <c r="HW171" s="956"/>
      <c r="HX171" s="956"/>
    </row>
    <row r="172" spans="1:238" ht="14.25" hidden="1" customHeight="1">
      <c r="A172" s="1018">
        <f t="shared" si="480"/>
        <v>166</v>
      </c>
      <c r="B172" s="716"/>
      <c r="C172" s="741">
        <f t="shared" si="512"/>
        <v>10</v>
      </c>
      <c r="D172" s="716" t="s">
        <v>294</v>
      </c>
      <c r="E172" s="743" t="str">
        <f t="shared" si="352"/>
        <v>11th Floor</v>
      </c>
      <c r="F172" s="1048"/>
      <c r="G172" s="745" t="s">
        <v>622</v>
      </c>
      <c r="H172" s="745" t="s">
        <v>325</v>
      </c>
      <c r="I172" s="745" t="s">
        <v>267</v>
      </c>
      <c r="J172" s="1005">
        <v>22</v>
      </c>
      <c r="K172" s="1049"/>
      <c r="L172" s="1006" t="s">
        <v>268</v>
      </c>
      <c r="M172" s="745" t="s">
        <v>79</v>
      </c>
      <c r="N172" s="1050">
        <v>95909.091</v>
      </c>
      <c r="O172" s="934">
        <f t="shared" si="455"/>
        <v>2110000.0019999999</v>
      </c>
      <c r="P172" s="934">
        <f t="shared" si="481"/>
        <v>22400</v>
      </c>
      <c r="Q172" s="934">
        <f t="shared" si="450"/>
        <v>50000</v>
      </c>
      <c r="R172" s="934"/>
      <c r="S172" s="934"/>
      <c r="T172" s="934"/>
      <c r="U172" s="934"/>
      <c r="V172" s="749"/>
      <c r="W172" s="934"/>
      <c r="X172" s="934"/>
      <c r="Y172" s="934">
        <f t="shared" si="513"/>
        <v>140000</v>
      </c>
      <c r="Z172" s="934">
        <f t="shared" si="456"/>
        <v>75000</v>
      </c>
      <c r="AA172" s="934"/>
      <c r="AB172" s="934"/>
      <c r="AC172" s="934"/>
      <c r="AD172" s="934"/>
      <c r="AE172" s="934">
        <f t="shared" si="365"/>
        <v>287400</v>
      </c>
      <c r="AF172" s="1005">
        <f t="shared" si="366"/>
        <v>2397400.0019999999</v>
      </c>
      <c r="AG172" s="1005">
        <f t="shared" si="380"/>
        <v>59935.000050000002</v>
      </c>
      <c r="AH172" s="1005">
        <f t="shared" si="381"/>
        <v>2457335.0020499998</v>
      </c>
      <c r="AI172" s="1005">
        <f t="shared" si="382"/>
        <v>61433.375051249997</v>
      </c>
      <c r="AJ172" s="1005">
        <f t="shared" si="383"/>
        <v>2518768.37710125</v>
      </c>
      <c r="AK172" s="1005">
        <f t="shared" si="384"/>
        <v>125938.41885506251</v>
      </c>
      <c r="AL172" s="1005">
        <f t="shared" si="457"/>
        <v>2644706.7959563127</v>
      </c>
      <c r="AM172" s="934">
        <f t="shared" si="385"/>
        <v>26447.067959563126</v>
      </c>
      <c r="AN172" s="934">
        <f t="shared" si="386"/>
        <v>27537.409960060559</v>
      </c>
      <c r="AO172" s="934"/>
      <c r="AP172" s="934">
        <f t="shared" si="458"/>
        <v>117394.44212896141</v>
      </c>
      <c r="AQ172" s="1005">
        <f t="shared" si="367"/>
        <v>2816085.7160048978</v>
      </c>
      <c r="AR172" s="1005">
        <f t="shared" si="387"/>
        <v>126723.85722022039</v>
      </c>
      <c r="AS172" s="1147">
        <f t="shared" si="388"/>
        <v>2942809.5732251182</v>
      </c>
      <c r="AT172" s="1148">
        <f t="shared" si="459"/>
        <v>2000000</v>
      </c>
      <c r="AU172" s="1148">
        <f t="shared" si="514"/>
        <v>42854.980601141739</v>
      </c>
      <c r="AV172" s="1148">
        <f t="shared" si="460"/>
        <v>942809.57322511822</v>
      </c>
      <c r="AW172" s="1148">
        <f t="shared" si="368"/>
        <v>113137.14878701419</v>
      </c>
      <c r="AX172" s="1148">
        <f t="shared" si="369"/>
        <v>1055946.7220121324</v>
      </c>
      <c r="AY172" s="1147">
        <f t="shared" si="389"/>
        <v>3055946.7220121324</v>
      </c>
      <c r="AZ172" s="934">
        <f t="shared" si="390"/>
        <v>38199.334025151657</v>
      </c>
      <c r="BA172" s="716">
        <v>13774.897733333333</v>
      </c>
      <c r="BB172" s="716">
        <f t="shared" si="370"/>
        <v>3107920.9537706175</v>
      </c>
      <c r="BC172" s="716">
        <v>2710.4000000000005</v>
      </c>
      <c r="BD172" s="716">
        <f t="shared" si="391"/>
        <v>116547.03576639816</v>
      </c>
      <c r="BE172" s="716">
        <f t="shared" si="392"/>
        <v>33600</v>
      </c>
      <c r="BF172" s="716">
        <f t="shared" si="393"/>
        <v>3260778.3895370155</v>
      </c>
      <c r="BG172" s="716"/>
      <c r="BH172" s="716">
        <f t="shared" si="394"/>
        <v>3260778.3895370155</v>
      </c>
      <c r="BI172" s="716"/>
      <c r="BJ172" s="716">
        <f t="shared" si="395"/>
        <v>3260778.3895370155</v>
      </c>
      <c r="BK172" s="716"/>
      <c r="BL172" s="716">
        <f t="shared" si="396"/>
        <v>3260778.3895370155</v>
      </c>
      <c r="BM172" s="716"/>
      <c r="BN172" s="716">
        <f t="shared" si="371"/>
        <v>3260778.3895370155</v>
      </c>
      <c r="BO172" s="716"/>
      <c r="BP172" s="716">
        <f t="shared" si="397"/>
        <v>3260778.3895370155</v>
      </c>
      <c r="BQ172" s="716"/>
      <c r="BR172" s="716">
        <f t="shared" si="398"/>
        <v>3260778.3895370155</v>
      </c>
      <c r="BS172" s="716"/>
      <c r="BT172" s="716">
        <f t="shared" si="399"/>
        <v>3260778.3895370155</v>
      </c>
      <c r="BU172" s="716"/>
      <c r="BV172" s="716">
        <f t="shared" si="372"/>
        <v>3260778.3895370155</v>
      </c>
      <c r="BW172" s="716"/>
      <c r="BX172" s="716">
        <f t="shared" si="489"/>
        <v>31400</v>
      </c>
      <c r="BY172" s="716">
        <f t="shared" si="400"/>
        <v>3292178.3895370155</v>
      </c>
      <c r="BZ172" s="716"/>
      <c r="CA172" s="716">
        <f t="shared" si="401"/>
        <v>3292178.3895370155</v>
      </c>
      <c r="CB172" s="1135">
        <f t="shared" si="402"/>
        <v>3292178.3895370155</v>
      </c>
      <c r="CC172" s="1164">
        <f t="shared" si="446"/>
        <v>3292178.3895370155</v>
      </c>
      <c r="CD172" s="1164"/>
      <c r="CE172" s="1164">
        <f t="shared" si="403"/>
        <v>0</v>
      </c>
      <c r="CF172" s="1164">
        <f t="shared" si="448"/>
        <v>0</v>
      </c>
      <c r="CG172" s="1164">
        <f t="shared" si="449"/>
        <v>0</v>
      </c>
      <c r="CH172" s="1154">
        <f t="shared" si="506"/>
        <v>3292178.3895370155</v>
      </c>
      <c r="CI172" s="935">
        <f t="shared" si="507"/>
        <v>3292178.3895370155</v>
      </c>
      <c r="CJ172" s="935">
        <f t="shared" si="404"/>
        <v>0</v>
      </c>
      <c r="CK172" s="935">
        <f t="shared" si="373"/>
        <v>337448.28492754407</v>
      </c>
      <c r="CL172" s="935">
        <f t="shared" si="374"/>
        <v>115226.24363379556</v>
      </c>
      <c r="CM172" s="1006">
        <f t="shared" si="461"/>
        <v>3744852.9180983552</v>
      </c>
      <c r="CN172" s="1007">
        <f t="shared" si="462"/>
        <v>0.125</v>
      </c>
      <c r="CO172" s="935">
        <f t="shared" si="498"/>
        <v>468106.6147622944</v>
      </c>
      <c r="CP172" s="935">
        <f t="shared" si="490"/>
        <v>30000</v>
      </c>
      <c r="CQ172" s="935">
        <f t="shared" si="499"/>
        <v>438106.6147622944</v>
      </c>
      <c r="CR172" s="745">
        <f t="shared" si="463"/>
        <v>2</v>
      </c>
      <c r="CS172" s="935">
        <f t="shared" si="500"/>
        <v>219053.3073811472</v>
      </c>
      <c r="CT172" s="1007">
        <f t="shared" si="405"/>
        <v>0.875</v>
      </c>
      <c r="CU172" s="935">
        <f t="shared" si="406"/>
        <v>3276746.3033360606</v>
      </c>
      <c r="CV172" s="1008">
        <f t="shared" si="407"/>
        <v>25404.579212695298</v>
      </c>
      <c r="CW172" s="1008">
        <f t="shared" si="408"/>
        <v>29452.322138496336</v>
      </c>
      <c r="CX172" s="1008">
        <f t="shared" si="409"/>
        <v>38045.803006559821</v>
      </c>
      <c r="CY172" s="1008">
        <f t="shared" si="410"/>
        <v>64883.504118713739</v>
      </c>
      <c r="CZ172" s="1119">
        <f t="shared" si="411"/>
        <v>266180.51740492403</v>
      </c>
      <c r="DA172" s="1119">
        <f t="shared" si="412"/>
        <v>105326.33409738413</v>
      </c>
      <c r="DB172" s="1119">
        <f t="shared" si="413"/>
        <v>76075.719361174051</v>
      </c>
      <c r="DC172" s="1119">
        <f t="shared" si="414"/>
        <v>57897.124779084217</v>
      </c>
      <c r="DD172" s="1028">
        <f t="shared" si="451"/>
        <v>0.47140478661255913</v>
      </c>
      <c r="DE172" s="1028">
        <f t="shared" si="508"/>
        <v>0</v>
      </c>
      <c r="DF172" s="1009" t="s">
        <v>270</v>
      </c>
      <c r="DG172" s="1009" t="s">
        <v>271</v>
      </c>
      <c r="DH172" s="966">
        <f t="shared" si="447"/>
        <v>45658</v>
      </c>
      <c r="DI172" s="912">
        <f t="shared" si="415"/>
        <v>14</v>
      </c>
      <c r="DK172" s="913">
        <f t="shared" si="375"/>
        <v>45723</v>
      </c>
      <c r="DL172" s="912">
        <f t="shared" si="416"/>
        <v>16</v>
      </c>
      <c r="DM172" s="750" t="s">
        <v>272</v>
      </c>
      <c r="DN172" s="750" t="s">
        <v>273</v>
      </c>
      <c r="DO172" s="751">
        <f t="shared" si="376"/>
        <v>47997.578273278748</v>
      </c>
      <c r="DP172" s="751">
        <f t="shared" si="377"/>
        <v>1055946.7220121324</v>
      </c>
      <c r="DQ172" s="752">
        <f t="shared" si="452"/>
        <v>0.52797336100606618</v>
      </c>
      <c r="DS172" s="751">
        <f t="shared" si="453"/>
        <v>3292178.3895370155</v>
      </c>
      <c r="DT172" s="751">
        <f>'[4]INTERNAL PRICELIST'!N166</f>
        <v>0</v>
      </c>
      <c r="DU172" s="751">
        <f t="shared" si="378"/>
        <v>3292178.3895370155</v>
      </c>
      <c r="DW172" s="951">
        <f t="shared" si="454"/>
        <v>149644.47225168251</v>
      </c>
      <c r="DZ172" s="1010" t="s">
        <v>622</v>
      </c>
      <c r="EA172" s="1011" t="b">
        <f t="shared" si="379"/>
        <v>1</v>
      </c>
      <c r="EB172" s="1011"/>
      <c r="EC172" s="1011"/>
      <c r="ER172" s="1017" t="s">
        <v>264</v>
      </c>
      <c r="ES172" s="1391" t="s">
        <v>264</v>
      </c>
      <c r="ET172" s="1018" t="b">
        <f t="shared" si="417"/>
        <v>1</v>
      </c>
      <c r="EX172" s="1019">
        <v>3069135.7419336312</v>
      </c>
      <c r="EY172" s="1019">
        <f t="shared" si="464"/>
        <v>460370.36129004468</v>
      </c>
      <c r="EZ172" s="1019">
        <f t="shared" si="465"/>
        <v>2608765.3806435866</v>
      </c>
      <c r="FA172" s="1019">
        <f t="shared" si="466"/>
        <v>306913.57419336314</v>
      </c>
      <c r="FB172" s="1019">
        <f t="shared" si="467"/>
        <v>2762222.1677402682</v>
      </c>
      <c r="FC172" s="1019">
        <f t="shared" si="468"/>
        <v>153456.78709668154</v>
      </c>
      <c r="FD172" s="1020"/>
      <c r="FE172" s="1021"/>
      <c r="FF172" s="1022">
        <f t="shared" si="469"/>
        <v>2608765.3806435866</v>
      </c>
      <c r="FG172" s="1022">
        <f t="shared" si="470"/>
        <v>221745.05735470488</v>
      </c>
      <c r="FH172" s="1022">
        <f t="shared" si="471"/>
        <v>110872.52867735244</v>
      </c>
      <c r="FI172" s="1023">
        <f t="shared" si="472"/>
        <v>2762222.1677402682</v>
      </c>
      <c r="FJ172" s="1023">
        <f t="shared" si="473"/>
        <v>234788.88425792282</v>
      </c>
      <c r="FK172" s="1023">
        <f t="shared" si="474"/>
        <v>117394.44212896141</v>
      </c>
      <c r="FL172" s="1019">
        <f t="shared" si="475"/>
        <v>13043.826903217938</v>
      </c>
      <c r="FM172" s="1019">
        <f t="shared" si="476"/>
        <v>6521.9134516089689</v>
      </c>
      <c r="FN172" s="1019" t="str">
        <f t="shared" si="477"/>
        <v>VS</v>
      </c>
      <c r="FO172" s="1019">
        <f t="shared" si="478"/>
        <v>27537.409960060559</v>
      </c>
      <c r="FP172" s="1019">
        <f t="shared" si="479"/>
        <v>-21015.49650845159</v>
      </c>
      <c r="FQ172" s="1021"/>
      <c r="FR172" s="1021"/>
      <c r="FS172" s="1020"/>
      <c r="FT172" s="503"/>
      <c r="FU172" s="956"/>
      <c r="FV172" s="503"/>
      <c r="GG172" s="956"/>
      <c r="GI172" s="1024">
        <f t="shared" si="418"/>
        <v>3744852.9180983552</v>
      </c>
      <c r="GJ172" s="1025">
        <f t="shared" si="419"/>
        <v>0.125</v>
      </c>
      <c r="GK172" s="1024">
        <f t="shared" si="420"/>
        <v>468106.6147622944</v>
      </c>
      <c r="GL172" s="1024">
        <f t="shared" si="421"/>
        <v>30000</v>
      </c>
      <c r="GM172" s="1024">
        <f t="shared" si="422"/>
        <v>438106.6147622944</v>
      </c>
      <c r="GN172" s="1024">
        <f t="shared" si="423"/>
        <v>2</v>
      </c>
      <c r="GO172" s="1024">
        <f t="shared" si="424"/>
        <v>219053.3073811472</v>
      </c>
      <c r="GP172" s="1025">
        <f t="shared" si="425"/>
        <v>0.875</v>
      </c>
      <c r="GQ172" s="1024">
        <f t="shared" si="426"/>
        <v>3276746.3033360606</v>
      </c>
      <c r="GR172" s="1024">
        <f t="shared" si="427"/>
        <v>25404.579212695298</v>
      </c>
      <c r="GS172" s="1024">
        <f t="shared" si="428"/>
        <v>29452.322138496336</v>
      </c>
      <c r="GT172" s="1024">
        <f t="shared" si="429"/>
        <v>38045.803006559821</v>
      </c>
      <c r="GU172" s="1024">
        <f t="shared" si="430"/>
        <v>64883.504118713739</v>
      </c>
      <c r="GW172" s="1024">
        <f t="shared" si="431"/>
        <v>3744852.9180983552</v>
      </c>
      <c r="GX172" s="1025">
        <f t="shared" si="432"/>
        <v>0.125</v>
      </c>
      <c r="GY172" s="1024">
        <f t="shared" si="433"/>
        <v>468106.6147622944</v>
      </c>
      <c r="GZ172" s="1024">
        <f t="shared" si="434"/>
        <v>30000</v>
      </c>
      <c r="HA172" s="1024">
        <f t="shared" si="435"/>
        <v>438106.6147622944</v>
      </c>
      <c r="HB172" s="1026">
        <f t="shared" si="436"/>
        <v>25</v>
      </c>
      <c r="HC172" s="1009">
        <f t="shared" si="437"/>
        <v>17524.264590491777</v>
      </c>
      <c r="HD172" s="1027">
        <f t="shared" si="438"/>
        <v>0.875</v>
      </c>
      <c r="HE172" s="1009">
        <f t="shared" si="439"/>
        <v>3276746.3033360606</v>
      </c>
      <c r="HF172" s="1008">
        <f t="shared" si="440"/>
        <v>25404.579212695298</v>
      </c>
      <c r="HG172" s="1008">
        <f t="shared" si="441"/>
        <v>29452.322138496336</v>
      </c>
      <c r="HH172" s="1008">
        <f t="shared" si="442"/>
        <v>38045.803006559821</v>
      </c>
      <c r="HI172" s="1008">
        <f t="shared" si="443"/>
        <v>64883.504118713739</v>
      </c>
      <c r="HK172" s="1009">
        <f t="shared" si="444"/>
        <v>-201529.04279065543</v>
      </c>
      <c r="HR172" s="956">
        <f t="shared" si="445"/>
        <v>0</v>
      </c>
      <c r="HU172" s="956"/>
      <c r="HW172" s="956"/>
      <c r="HX172" s="956"/>
    </row>
    <row r="173" spans="1:238" ht="14.25" hidden="1" customHeight="1">
      <c r="A173" s="1018">
        <f t="shared" si="480"/>
        <v>167</v>
      </c>
      <c r="B173" s="716"/>
      <c r="C173" s="741">
        <f t="shared" si="512"/>
        <v>11</v>
      </c>
      <c r="D173" s="716" t="s">
        <v>294</v>
      </c>
      <c r="E173" s="743" t="str">
        <f t="shared" si="352"/>
        <v>11th Floor</v>
      </c>
      <c r="F173" s="1048"/>
      <c r="G173" s="745" t="s">
        <v>623</v>
      </c>
      <c r="H173" s="745" t="s">
        <v>328</v>
      </c>
      <c r="I173" s="745" t="s">
        <v>267</v>
      </c>
      <c r="J173" s="1005">
        <v>22</v>
      </c>
      <c r="K173" s="1049"/>
      <c r="L173" s="1006" t="s">
        <v>268</v>
      </c>
      <c r="M173" s="745" t="s">
        <v>79</v>
      </c>
      <c r="N173" s="1050">
        <v>95909.091</v>
      </c>
      <c r="O173" s="934">
        <f t="shared" si="455"/>
        <v>2110000.0019999999</v>
      </c>
      <c r="P173" s="934">
        <f t="shared" si="481"/>
        <v>22400</v>
      </c>
      <c r="Q173" s="934">
        <f t="shared" si="450"/>
        <v>50000</v>
      </c>
      <c r="R173" s="934"/>
      <c r="S173" s="934"/>
      <c r="T173" s="934"/>
      <c r="U173" s="934"/>
      <c r="V173" s="749"/>
      <c r="W173" s="934"/>
      <c r="X173" s="934"/>
      <c r="Y173" s="934">
        <f t="shared" si="513"/>
        <v>140000</v>
      </c>
      <c r="Z173" s="934">
        <f t="shared" si="456"/>
        <v>75000</v>
      </c>
      <c r="AA173" s="934"/>
      <c r="AB173" s="934"/>
      <c r="AC173" s="934"/>
      <c r="AD173" s="934"/>
      <c r="AE173" s="934">
        <f t="shared" si="365"/>
        <v>287400</v>
      </c>
      <c r="AF173" s="1005">
        <f t="shared" si="366"/>
        <v>2397400.0019999999</v>
      </c>
      <c r="AG173" s="1005">
        <f t="shared" si="380"/>
        <v>59935.000050000002</v>
      </c>
      <c r="AH173" s="1005">
        <f t="shared" si="381"/>
        <v>2457335.0020499998</v>
      </c>
      <c r="AI173" s="1005">
        <f t="shared" si="382"/>
        <v>61433.375051249997</v>
      </c>
      <c r="AJ173" s="1005">
        <f t="shared" si="383"/>
        <v>2518768.37710125</v>
      </c>
      <c r="AK173" s="1005">
        <f t="shared" si="384"/>
        <v>125938.41885506251</v>
      </c>
      <c r="AL173" s="1005">
        <f t="shared" si="457"/>
        <v>2644706.7959563127</v>
      </c>
      <c r="AM173" s="934">
        <f t="shared" si="385"/>
        <v>26447.067959563126</v>
      </c>
      <c r="AN173" s="934">
        <f t="shared" si="386"/>
        <v>27537.409960060559</v>
      </c>
      <c r="AO173" s="934"/>
      <c r="AP173" s="934">
        <f t="shared" si="458"/>
        <v>117394.44212896141</v>
      </c>
      <c r="AQ173" s="1005">
        <f t="shared" si="367"/>
        <v>2816085.7160048978</v>
      </c>
      <c r="AR173" s="1005">
        <f t="shared" si="387"/>
        <v>126723.85722022039</v>
      </c>
      <c r="AS173" s="1147">
        <f t="shared" si="388"/>
        <v>2942809.5732251182</v>
      </c>
      <c r="AT173" s="1148">
        <f t="shared" si="459"/>
        <v>2000000</v>
      </c>
      <c r="AU173" s="1148">
        <f t="shared" si="514"/>
        <v>42854.980601141739</v>
      </c>
      <c r="AV173" s="1148">
        <f t="shared" si="460"/>
        <v>942809.57322511822</v>
      </c>
      <c r="AW173" s="1148">
        <f t="shared" si="368"/>
        <v>113137.14878701419</v>
      </c>
      <c r="AX173" s="1148">
        <f t="shared" si="369"/>
        <v>1055946.7220121324</v>
      </c>
      <c r="AY173" s="1147">
        <f t="shared" si="389"/>
        <v>3055946.7220121324</v>
      </c>
      <c r="AZ173" s="934">
        <f t="shared" si="390"/>
        <v>38199.334025151657</v>
      </c>
      <c r="BA173" s="716" t="s">
        <v>269</v>
      </c>
      <c r="BB173" s="716">
        <f t="shared" si="370"/>
        <v>3094146.056037284</v>
      </c>
      <c r="BC173" s="716" t="s">
        <v>269</v>
      </c>
      <c r="BD173" s="716">
        <f t="shared" si="391"/>
        <v>116030.47710139815</v>
      </c>
      <c r="BE173" s="716">
        <f t="shared" si="392"/>
        <v>33600</v>
      </c>
      <c r="BF173" s="716">
        <f t="shared" si="393"/>
        <v>3243776.5331386821</v>
      </c>
      <c r="BG173" s="716"/>
      <c r="BH173" s="716">
        <f t="shared" si="394"/>
        <v>3243776.5331386821</v>
      </c>
      <c r="BI173" s="716">
        <v>13104.000000000002</v>
      </c>
      <c r="BJ173" s="716">
        <f t="shared" si="395"/>
        <v>3256880.5331386821</v>
      </c>
      <c r="BK173" s="716">
        <v>5092.7923200000005</v>
      </c>
      <c r="BL173" s="716">
        <f t="shared" si="396"/>
        <v>3261973.3254586821</v>
      </c>
      <c r="BM173" s="716"/>
      <c r="BN173" s="716">
        <f t="shared" si="371"/>
        <v>3261973.3254586821</v>
      </c>
      <c r="BO173" s="716"/>
      <c r="BP173" s="716">
        <f t="shared" si="397"/>
        <v>3261973.3254586821</v>
      </c>
      <c r="BQ173" s="716"/>
      <c r="BR173" s="716">
        <f t="shared" si="398"/>
        <v>3261973.3254586821</v>
      </c>
      <c r="BS173" s="716"/>
      <c r="BT173" s="716">
        <f t="shared" si="399"/>
        <v>3261973.3254586821</v>
      </c>
      <c r="BU173" s="716"/>
      <c r="BV173" s="716">
        <f t="shared" si="372"/>
        <v>3261973.3254586821</v>
      </c>
      <c r="BW173" s="716"/>
      <c r="BX173" s="716">
        <f t="shared" si="489"/>
        <v>31400</v>
      </c>
      <c r="BY173" s="716">
        <f t="shared" si="400"/>
        <v>3293373.3254586821</v>
      </c>
      <c r="BZ173" s="716"/>
      <c r="CA173" s="716">
        <f t="shared" si="401"/>
        <v>3293373.3254586821</v>
      </c>
      <c r="CB173" s="1135">
        <f t="shared" si="402"/>
        <v>3293373.3254586821</v>
      </c>
      <c r="CC173" s="1164">
        <f t="shared" si="446"/>
        <v>3293373.3254586821</v>
      </c>
      <c r="CD173" s="1164"/>
      <c r="CE173" s="1164">
        <f t="shared" si="403"/>
        <v>0</v>
      </c>
      <c r="CF173" s="1164">
        <f t="shared" si="448"/>
        <v>0</v>
      </c>
      <c r="CG173" s="1164">
        <f t="shared" si="449"/>
        <v>0</v>
      </c>
      <c r="CH173" s="1154">
        <f t="shared" si="506"/>
        <v>3293373.3254586821</v>
      </c>
      <c r="CI173" s="935">
        <f t="shared" si="507"/>
        <v>3293373.3254586821</v>
      </c>
      <c r="CJ173" s="935">
        <f t="shared" si="404"/>
        <v>0</v>
      </c>
      <c r="CK173" s="935">
        <f t="shared" si="373"/>
        <v>337570.76585951488</v>
      </c>
      <c r="CL173" s="935">
        <f t="shared" si="374"/>
        <v>115268.06639105389</v>
      </c>
      <c r="CM173" s="1006">
        <f t="shared" si="461"/>
        <v>3746212.1577092512</v>
      </c>
      <c r="CN173" s="1007">
        <f t="shared" si="462"/>
        <v>0.125</v>
      </c>
      <c r="CO173" s="935">
        <f t="shared" si="498"/>
        <v>468276.51971365639</v>
      </c>
      <c r="CP173" s="935">
        <f t="shared" si="490"/>
        <v>30000</v>
      </c>
      <c r="CQ173" s="935">
        <f t="shared" si="499"/>
        <v>438276.51971365639</v>
      </c>
      <c r="CR173" s="745">
        <f t="shared" si="463"/>
        <v>2</v>
      </c>
      <c r="CS173" s="935">
        <f t="shared" si="500"/>
        <v>219138.2598568282</v>
      </c>
      <c r="CT173" s="1007">
        <f t="shared" si="405"/>
        <v>0.875</v>
      </c>
      <c r="CU173" s="935">
        <f t="shared" si="406"/>
        <v>3277935.6379955946</v>
      </c>
      <c r="CV173" s="1008">
        <f t="shared" si="407"/>
        <v>25413.80011165161</v>
      </c>
      <c r="CW173" s="1008">
        <f t="shared" si="408"/>
        <v>29463.012214651273</v>
      </c>
      <c r="CX173" s="1008">
        <f t="shared" si="409"/>
        <v>38059.612190419874</v>
      </c>
      <c r="CY173" s="1008">
        <f t="shared" si="410"/>
        <v>64907.054370438091</v>
      </c>
      <c r="CZ173" s="1119">
        <f t="shared" si="411"/>
        <v>266277.13083963521</v>
      </c>
      <c r="DA173" s="1119">
        <f t="shared" si="412"/>
        <v>105364.56356286828</v>
      </c>
      <c r="DB173" s="1119">
        <f t="shared" si="413"/>
        <v>76103.331962641896</v>
      </c>
      <c r="DC173" s="1119">
        <f t="shared" si="414"/>
        <v>57918.139240019766</v>
      </c>
      <c r="DD173" s="1028">
        <f t="shared" si="451"/>
        <v>0.47140478661255913</v>
      </c>
      <c r="DE173" s="1028">
        <f t="shared" si="508"/>
        <v>0</v>
      </c>
      <c r="DF173" s="1009" t="s">
        <v>270</v>
      </c>
      <c r="DG173" s="1009" t="s">
        <v>271</v>
      </c>
      <c r="DH173" s="966">
        <f t="shared" si="447"/>
        <v>45658</v>
      </c>
      <c r="DI173" s="912">
        <f t="shared" si="415"/>
        <v>14</v>
      </c>
      <c r="DK173" s="913">
        <f t="shared" si="375"/>
        <v>45723</v>
      </c>
      <c r="DL173" s="912">
        <f t="shared" si="416"/>
        <v>16</v>
      </c>
      <c r="DM173" s="750" t="s">
        <v>272</v>
      </c>
      <c r="DN173" s="750" t="s">
        <v>273</v>
      </c>
      <c r="DO173" s="751">
        <f t="shared" si="376"/>
        <v>47997.578273278748</v>
      </c>
      <c r="DP173" s="751">
        <f t="shared" si="377"/>
        <v>1055946.7220121324</v>
      </c>
      <c r="DQ173" s="752">
        <f t="shared" si="452"/>
        <v>0.52797336100606618</v>
      </c>
      <c r="DS173" s="751">
        <f t="shared" si="453"/>
        <v>3293373.3254586821</v>
      </c>
      <c r="DT173" s="751">
        <f>'[4]INTERNAL PRICELIST'!N167</f>
        <v>0</v>
      </c>
      <c r="DU173" s="751">
        <f t="shared" si="378"/>
        <v>3293373.3254586821</v>
      </c>
      <c r="DW173" s="951">
        <f t="shared" si="454"/>
        <v>149698.78752084918</v>
      </c>
      <c r="DZ173" s="1010" t="s">
        <v>623</v>
      </c>
      <c r="EA173" s="1011" t="b">
        <f t="shared" si="379"/>
        <v>1</v>
      </c>
      <c r="EB173" s="1011"/>
      <c r="EC173" s="1011"/>
      <c r="ER173" s="1017" t="s">
        <v>264</v>
      </c>
      <c r="ES173" s="1391" t="s">
        <v>264</v>
      </c>
      <c r="ET173" s="1018" t="b">
        <f t="shared" si="417"/>
        <v>1</v>
      </c>
      <c r="EX173" s="1019">
        <v>3069135.7419336312</v>
      </c>
      <c r="EY173" s="1019">
        <f t="shared" si="464"/>
        <v>460370.36129004468</v>
      </c>
      <c r="EZ173" s="1019">
        <f t="shared" si="465"/>
        <v>2608765.3806435866</v>
      </c>
      <c r="FA173" s="1019">
        <f t="shared" si="466"/>
        <v>306913.57419336314</v>
      </c>
      <c r="FB173" s="1019">
        <f t="shared" si="467"/>
        <v>2762222.1677402682</v>
      </c>
      <c r="FC173" s="1019">
        <f t="shared" si="468"/>
        <v>153456.78709668154</v>
      </c>
      <c r="FD173" s="1020"/>
      <c r="FE173" s="1021"/>
      <c r="FF173" s="1022">
        <f t="shared" si="469"/>
        <v>2608765.3806435866</v>
      </c>
      <c r="FG173" s="1022">
        <f t="shared" si="470"/>
        <v>221745.05735470488</v>
      </c>
      <c r="FH173" s="1022">
        <f t="shared" si="471"/>
        <v>110872.52867735244</v>
      </c>
      <c r="FI173" s="1023">
        <f t="shared" si="472"/>
        <v>2762222.1677402682</v>
      </c>
      <c r="FJ173" s="1023">
        <f t="shared" si="473"/>
        <v>234788.88425792282</v>
      </c>
      <c r="FK173" s="1023">
        <f t="shared" si="474"/>
        <v>117394.44212896141</v>
      </c>
      <c r="FL173" s="1019">
        <f t="shared" si="475"/>
        <v>13043.826903217938</v>
      </c>
      <c r="FM173" s="1019">
        <f t="shared" si="476"/>
        <v>6521.9134516089689</v>
      </c>
      <c r="FN173" s="1019" t="str">
        <f t="shared" si="477"/>
        <v>VS</v>
      </c>
      <c r="FO173" s="1019">
        <f t="shared" si="478"/>
        <v>27537.409960060559</v>
      </c>
      <c r="FP173" s="1019">
        <f t="shared" si="479"/>
        <v>-21015.49650845159</v>
      </c>
      <c r="FQ173" s="1021"/>
      <c r="FR173" s="1021"/>
      <c r="FS173" s="1020"/>
      <c r="FT173" s="1055">
        <f t="shared" ref="FT173:FT180" si="515">FB173</f>
        <v>2762222.1677402682</v>
      </c>
      <c r="FU173" s="1056"/>
      <c r="FV173" s="1056"/>
      <c r="GG173" s="956"/>
      <c r="GH173" s="1058"/>
      <c r="GI173" s="1024">
        <f t="shared" si="418"/>
        <v>3746212.1577092512</v>
      </c>
      <c r="GJ173" s="1025">
        <f t="shared" si="419"/>
        <v>0.125</v>
      </c>
      <c r="GK173" s="1024">
        <f t="shared" si="420"/>
        <v>468276.51971365639</v>
      </c>
      <c r="GL173" s="1024">
        <f t="shared" si="421"/>
        <v>30000</v>
      </c>
      <c r="GM173" s="1024">
        <f t="shared" si="422"/>
        <v>438276.51971365639</v>
      </c>
      <c r="GN173" s="1024">
        <f t="shared" si="423"/>
        <v>2</v>
      </c>
      <c r="GO173" s="1024">
        <f t="shared" si="424"/>
        <v>219138.2598568282</v>
      </c>
      <c r="GP173" s="1025">
        <f t="shared" si="425"/>
        <v>0.875</v>
      </c>
      <c r="GQ173" s="1024">
        <f t="shared" si="426"/>
        <v>3277935.6379955946</v>
      </c>
      <c r="GR173" s="1024">
        <f t="shared" si="427"/>
        <v>25413.80011165161</v>
      </c>
      <c r="GS173" s="1024">
        <f t="shared" si="428"/>
        <v>29463.012214651273</v>
      </c>
      <c r="GT173" s="1024">
        <f t="shared" si="429"/>
        <v>38059.612190419874</v>
      </c>
      <c r="GU173" s="1024">
        <f t="shared" si="430"/>
        <v>64907.054370438091</v>
      </c>
      <c r="GW173" s="1024">
        <f t="shared" si="431"/>
        <v>3746212.1577092512</v>
      </c>
      <c r="GX173" s="1025">
        <f t="shared" si="432"/>
        <v>0.125</v>
      </c>
      <c r="GY173" s="1024">
        <f t="shared" si="433"/>
        <v>468276.51971365639</v>
      </c>
      <c r="GZ173" s="1024">
        <f t="shared" si="434"/>
        <v>30000</v>
      </c>
      <c r="HA173" s="1024">
        <f t="shared" si="435"/>
        <v>438276.51971365639</v>
      </c>
      <c r="HB173" s="1026">
        <f t="shared" si="436"/>
        <v>25</v>
      </c>
      <c r="HC173" s="1009">
        <f t="shared" si="437"/>
        <v>17531.060788546256</v>
      </c>
      <c r="HD173" s="1027">
        <f t="shared" si="438"/>
        <v>0.875</v>
      </c>
      <c r="HE173" s="1009">
        <f t="shared" si="439"/>
        <v>3277935.6379955946</v>
      </c>
      <c r="HF173" s="1008">
        <f t="shared" si="440"/>
        <v>25413.80011165161</v>
      </c>
      <c r="HG173" s="1008">
        <f t="shared" si="441"/>
        <v>29463.012214651273</v>
      </c>
      <c r="HH173" s="1008">
        <f t="shared" si="442"/>
        <v>38059.612190419874</v>
      </c>
      <c r="HI173" s="1008">
        <f t="shared" si="443"/>
        <v>64907.054370438091</v>
      </c>
      <c r="HK173" s="1009">
        <f t="shared" si="444"/>
        <v>-201607.19906828195</v>
      </c>
      <c r="HR173" s="956">
        <f t="shared" si="445"/>
        <v>0</v>
      </c>
      <c r="HU173" s="956"/>
      <c r="HW173" s="956"/>
      <c r="HX173" s="956"/>
    </row>
    <row r="174" spans="1:238" ht="14.25" customHeight="1">
      <c r="A174" s="1018">
        <f t="shared" si="480"/>
        <v>168</v>
      </c>
      <c r="B174" s="716"/>
      <c r="C174" s="741">
        <f t="shared" si="512"/>
        <v>12</v>
      </c>
      <c r="D174" s="716" t="s">
        <v>294</v>
      </c>
      <c r="E174" s="743" t="str">
        <f t="shared" si="352"/>
        <v>11th Floor</v>
      </c>
      <c r="F174" s="1048"/>
      <c r="G174" s="745" t="s">
        <v>624</v>
      </c>
      <c r="H174" s="745" t="s">
        <v>331</v>
      </c>
      <c r="I174" s="745" t="s">
        <v>267</v>
      </c>
      <c r="J174" s="1005">
        <v>22</v>
      </c>
      <c r="K174" s="1049"/>
      <c r="L174" s="1006" t="s">
        <v>268</v>
      </c>
      <c r="M174" s="745" t="s">
        <v>79</v>
      </c>
      <c r="N174" s="1050">
        <v>95909.091</v>
      </c>
      <c r="O174" s="934">
        <f t="shared" si="455"/>
        <v>2110000.0019999999</v>
      </c>
      <c r="P174" s="934">
        <f t="shared" si="481"/>
        <v>22400</v>
      </c>
      <c r="Q174" s="934">
        <f t="shared" si="450"/>
        <v>50000</v>
      </c>
      <c r="R174" s="934"/>
      <c r="S174" s="934"/>
      <c r="T174" s="934"/>
      <c r="U174" s="934"/>
      <c r="V174" s="749"/>
      <c r="W174" s="934"/>
      <c r="X174" s="934"/>
      <c r="Y174" s="934">
        <f t="shared" si="513"/>
        <v>140000</v>
      </c>
      <c r="Z174" s="934">
        <f t="shared" si="456"/>
        <v>75000</v>
      </c>
      <c r="AA174" s="934"/>
      <c r="AB174" s="934"/>
      <c r="AC174" s="934"/>
      <c r="AD174" s="934"/>
      <c r="AE174" s="934">
        <f t="shared" si="365"/>
        <v>287400</v>
      </c>
      <c r="AF174" s="1005">
        <f t="shared" si="366"/>
        <v>2397400.0019999999</v>
      </c>
      <c r="AG174" s="1005">
        <f t="shared" si="380"/>
        <v>59935.000050000002</v>
      </c>
      <c r="AH174" s="1005">
        <f t="shared" si="381"/>
        <v>2457335.0020499998</v>
      </c>
      <c r="AI174" s="1005">
        <f t="shared" si="382"/>
        <v>61433.375051249997</v>
      </c>
      <c r="AJ174" s="1005">
        <f t="shared" si="383"/>
        <v>2518768.37710125</v>
      </c>
      <c r="AK174" s="1005">
        <f t="shared" si="384"/>
        <v>125938.41885506251</v>
      </c>
      <c r="AL174" s="1005">
        <f t="shared" si="457"/>
        <v>2644706.7959563127</v>
      </c>
      <c r="AM174" s="934">
        <f t="shared" si="385"/>
        <v>26447.067959563126</v>
      </c>
      <c r="AN174" s="934">
        <f t="shared" si="386"/>
        <v>27537.409960060559</v>
      </c>
      <c r="AO174" s="934"/>
      <c r="AP174" s="934">
        <f t="shared" si="458"/>
        <v>117394.44212896141</v>
      </c>
      <c r="AQ174" s="1005">
        <f t="shared" si="367"/>
        <v>2816085.7160048978</v>
      </c>
      <c r="AR174" s="1005">
        <f t="shared" si="387"/>
        <v>126723.85722022039</v>
      </c>
      <c r="AS174" s="1147">
        <f t="shared" si="388"/>
        <v>2942809.5732251182</v>
      </c>
      <c r="AT174" s="1148">
        <f t="shared" si="459"/>
        <v>2000000</v>
      </c>
      <c r="AU174" s="1148">
        <f t="shared" si="514"/>
        <v>42854.980601141739</v>
      </c>
      <c r="AV174" s="1148">
        <f t="shared" si="460"/>
        <v>942809.57322511822</v>
      </c>
      <c r="AW174" s="1148">
        <f t="shared" si="368"/>
        <v>113137.14878701419</v>
      </c>
      <c r="AX174" s="1148">
        <f t="shared" si="369"/>
        <v>1055946.7220121324</v>
      </c>
      <c r="AY174" s="1147">
        <f t="shared" si="389"/>
        <v>3055946.7220121324</v>
      </c>
      <c r="AZ174" s="934">
        <f t="shared" si="390"/>
        <v>38199.334025151657</v>
      </c>
      <c r="BA174" s="716" t="s">
        <v>269</v>
      </c>
      <c r="BB174" s="716">
        <f t="shared" si="370"/>
        <v>3094146.056037284</v>
      </c>
      <c r="BC174" s="716" t="s">
        <v>269</v>
      </c>
      <c r="BD174" s="716">
        <f t="shared" si="391"/>
        <v>116030.47710139815</v>
      </c>
      <c r="BE174" s="716">
        <f t="shared" si="392"/>
        <v>33600</v>
      </c>
      <c r="BF174" s="716">
        <f t="shared" si="393"/>
        <v>3243776.5331386821</v>
      </c>
      <c r="BG174" s="716"/>
      <c r="BH174" s="716">
        <f t="shared" si="394"/>
        <v>3243776.5331386821</v>
      </c>
      <c r="BI174" s="716"/>
      <c r="BJ174" s="716">
        <f t="shared" si="395"/>
        <v>3243776.5331386821</v>
      </c>
      <c r="BK174" s="716"/>
      <c r="BL174" s="716">
        <f t="shared" si="396"/>
        <v>3243776.5331386821</v>
      </c>
      <c r="BM174" s="716"/>
      <c r="BN174" s="716">
        <f t="shared" si="371"/>
        <v>3243776.5331386821</v>
      </c>
      <c r="BO174" s="716"/>
      <c r="BP174" s="716">
        <f t="shared" si="397"/>
        <v>3243776.5331386821</v>
      </c>
      <c r="BQ174" s="716"/>
      <c r="BR174" s="716">
        <f t="shared" si="398"/>
        <v>3243776.5331386821</v>
      </c>
      <c r="BS174" s="716"/>
      <c r="BT174" s="716">
        <f t="shared" si="399"/>
        <v>3243776.5331386821</v>
      </c>
      <c r="BU174" s="716">
        <f>$BU$5/24</f>
        <v>546.00000000000011</v>
      </c>
      <c r="BV174" s="716">
        <f t="shared" si="372"/>
        <v>3244322.5331386821</v>
      </c>
      <c r="BW174" s="716"/>
      <c r="BX174" s="716">
        <f t="shared" si="489"/>
        <v>31400</v>
      </c>
      <c r="BY174" s="716">
        <f t="shared" si="400"/>
        <v>3275722.5331386821</v>
      </c>
      <c r="BZ174" s="716">
        <f>$BZ$5/20</f>
        <v>33654.337039807535</v>
      </c>
      <c r="CA174" s="716">
        <f t="shared" si="401"/>
        <v>3309376.8701784895</v>
      </c>
      <c r="CB174" s="1135">
        <f>CA174</f>
        <v>3309376.8701784895</v>
      </c>
      <c r="CC174" s="1164">
        <f t="shared" si="446"/>
        <v>3309376.8701784895</v>
      </c>
      <c r="CD174" s="1164"/>
      <c r="CE174" s="1164">
        <f t="shared" si="403"/>
        <v>0</v>
      </c>
      <c r="CF174" s="1164">
        <f t="shared" si="448"/>
        <v>0</v>
      </c>
      <c r="CG174" s="1164">
        <f t="shared" si="449"/>
        <v>0</v>
      </c>
      <c r="CH174" s="1154">
        <f t="shared" si="506"/>
        <v>3309376.8701784895</v>
      </c>
      <c r="CI174" s="935">
        <f t="shared" si="507"/>
        <v>3309376.8701784895</v>
      </c>
      <c r="CJ174" s="935">
        <f t="shared" si="404"/>
        <v>0</v>
      </c>
      <c r="CK174" s="935">
        <f t="shared" si="373"/>
        <v>339211.12919329514</v>
      </c>
      <c r="CL174" s="935">
        <f t="shared" si="374"/>
        <v>115828.19045624715</v>
      </c>
      <c r="CM174" s="1006">
        <f t="shared" si="461"/>
        <v>3764416.1898280317</v>
      </c>
      <c r="CN174" s="1007">
        <f t="shared" si="462"/>
        <v>0.125</v>
      </c>
      <c r="CO174" s="935">
        <f t="shared" si="498"/>
        <v>470552.02372850396</v>
      </c>
      <c r="CP174" s="935">
        <f t="shared" si="490"/>
        <v>30000</v>
      </c>
      <c r="CQ174" s="935">
        <f t="shared" si="499"/>
        <v>440552.02372850396</v>
      </c>
      <c r="CR174" s="745">
        <v>1</v>
      </c>
      <c r="CS174" s="935">
        <f t="shared" si="500"/>
        <v>440552.02372850396</v>
      </c>
      <c r="CT174" s="1007">
        <f t="shared" si="405"/>
        <v>0.875</v>
      </c>
      <c r="CU174" s="935">
        <f t="shared" si="406"/>
        <v>3293864.1660995279</v>
      </c>
      <c r="CV174" s="1008">
        <f t="shared" si="407"/>
        <v>25537.293820501156</v>
      </c>
      <c r="CW174" s="1008">
        <f t="shared" si="408"/>
        <v>29606.182328380102</v>
      </c>
      <c r="CX174" s="1008">
        <f t="shared" si="409"/>
        <v>38244.555907853748</v>
      </c>
      <c r="CY174" s="1008">
        <f t="shared" si="410"/>
        <v>65222.458317879617</v>
      </c>
      <c r="CZ174" s="1119">
        <f t="shared" si="411"/>
        <v>267571.05580657179</v>
      </c>
      <c r="DA174" s="1119">
        <f t="shared" si="412"/>
        <v>105876.56336921469</v>
      </c>
      <c r="DB174" s="1119">
        <f t="shared" si="413"/>
        <v>76473.14217121301</v>
      </c>
      <c r="DC174" s="1119">
        <f t="shared" si="414"/>
        <v>58199.581833925076</v>
      </c>
      <c r="DD174" s="1028">
        <f t="shared" si="451"/>
        <v>0.47140478661255913</v>
      </c>
      <c r="DE174" s="1028">
        <f t="shared" si="508"/>
        <v>0</v>
      </c>
      <c r="DF174" s="1009" t="s">
        <v>270</v>
      </c>
      <c r="DG174" s="1009" t="s">
        <v>271</v>
      </c>
      <c r="DH174" s="966">
        <f t="shared" si="447"/>
        <v>45658</v>
      </c>
      <c r="DI174" s="912">
        <f t="shared" si="415"/>
        <v>14</v>
      </c>
      <c r="DK174" s="913">
        <f t="shared" si="375"/>
        <v>45723</v>
      </c>
      <c r="DL174" s="912">
        <f t="shared" si="416"/>
        <v>16</v>
      </c>
      <c r="DM174" s="750" t="s">
        <v>272</v>
      </c>
      <c r="DN174" s="750" t="s">
        <v>273</v>
      </c>
      <c r="DO174" s="751">
        <f t="shared" si="376"/>
        <v>47997.578273278748</v>
      </c>
      <c r="DP174" s="751">
        <f t="shared" si="377"/>
        <v>1055946.7220121324</v>
      </c>
      <c r="DQ174" s="752">
        <f t="shared" si="452"/>
        <v>0.52797336100606618</v>
      </c>
      <c r="DS174" s="751">
        <f t="shared" si="453"/>
        <v>3309376.8701784895</v>
      </c>
      <c r="DT174" s="751">
        <f>'[4]INTERNAL PRICELIST'!N168</f>
        <v>0</v>
      </c>
      <c r="DU174" s="751">
        <f t="shared" si="378"/>
        <v>3309376.8701784895</v>
      </c>
      <c r="DW174" s="951">
        <f t="shared" si="454"/>
        <v>150426.22137174953</v>
      </c>
      <c r="DZ174" s="1010" t="s">
        <v>624</v>
      </c>
      <c r="EA174" s="1011" t="b">
        <f t="shared" si="379"/>
        <v>1</v>
      </c>
      <c r="EB174" s="1011"/>
      <c r="EC174" s="1011"/>
      <c r="ER174" s="1017" t="s">
        <v>243</v>
      </c>
      <c r="ES174" s="1391" t="s">
        <v>243</v>
      </c>
      <c r="ET174" s="1018" t="b">
        <f t="shared" si="417"/>
        <v>1</v>
      </c>
      <c r="EX174" s="1019">
        <v>3069135.7419336312</v>
      </c>
      <c r="EY174" s="1019">
        <f t="shared" si="464"/>
        <v>460370.36129004468</v>
      </c>
      <c r="EZ174" s="1019">
        <f t="shared" si="465"/>
        <v>2608765.3806435866</v>
      </c>
      <c r="FA174" s="1019">
        <f t="shared" si="466"/>
        <v>306913.57419336314</v>
      </c>
      <c r="FB174" s="1019">
        <f t="shared" si="467"/>
        <v>2762222.1677402682</v>
      </c>
      <c r="FC174" s="1019">
        <f t="shared" si="468"/>
        <v>153456.78709668154</v>
      </c>
      <c r="FD174" s="1020"/>
      <c r="FE174" s="1021"/>
      <c r="FF174" s="1022">
        <f t="shared" si="469"/>
        <v>2608765.3806435866</v>
      </c>
      <c r="FG174" s="1022">
        <f t="shared" si="470"/>
        <v>221745.05735470488</v>
      </c>
      <c r="FH174" s="1022">
        <f t="shared" si="471"/>
        <v>110872.52867735244</v>
      </c>
      <c r="FI174" s="1023">
        <f t="shared" si="472"/>
        <v>2762222.1677402682</v>
      </c>
      <c r="FJ174" s="1023">
        <f t="shared" si="473"/>
        <v>234788.88425792282</v>
      </c>
      <c r="FK174" s="1023">
        <f t="shared" si="474"/>
        <v>117394.44212896141</v>
      </c>
      <c r="FL174" s="1019">
        <f t="shared" si="475"/>
        <v>13043.826903217938</v>
      </c>
      <c r="FM174" s="1019">
        <f t="shared" si="476"/>
        <v>6521.9134516089689</v>
      </c>
      <c r="FN174" s="1019" t="str">
        <f t="shared" si="477"/>
        <v>VS</v>
      </c>
      <c r="FO174" s="1019">
        <f t="shared" si="478"/>
        <v>27537.409960060559</v>
      </c>
      <c r="FP174" s="1019">
        <f t="shared" si="479"/>
        <v>-21015.49650845159</v>
      </c>
      <c r="FQ174" s="1021"/>
      <c r="FR174" s="1021"/>
      <c r="FS174" s="1020"/>
      <c r="FT174" s="1055">
        <f t="shared" si="515"/>
        <v>2762222.1677402682</v>
      </c>
      <c r="FU174" s="1056"/>
      <c r="FV174" s="1056"/>
      <c r="GG174" s="956"/>
      <c r="GH174" s="1058"/>
      <c r="GI174" s="1024">
        <f t="shared" si="418"/>
        <v>3764416.1898280317</v>
      </c>
      <c r="GJ174" s="1025">
        <f t="shared" si="419"/>
        <v>0.125</v>
      </c>
      <c r="GK174" s="1024">
        <f t="shared" si="420"/>
        <v>470552.02372850396</v>
      </c>
      <c r="GL174" s="1024">
        <f t="shared" si="421"/>
        <v>30000</v>
      </c>
      <c r="GM174" s="1024">
        <f t="shared" si="422"/>
        <v>440552.02372850396</v>
      </c>
      <c r="GN174" s="1024">
        <f t="shared" si="423"/>
        <v>1</v>
      </c>
      <c r="GO174" s="1024">
        <f t="shared" si="424"/>
        <v>440552.02372850396</v>
      </c>
      <c r="GP174" s="1025">
        <f t="shared" si="425"/>
        <v>0.875</v>
      </c>
      <c r="GQ174" s="1024">
        <f t="shared" si="426"/>
        <v>3293864.1660995279</v>
      </c>
      <c r="GR174" s="1024">
        <f t="shared" si="427"/>
        <v>25537.293820501156</v>
      </c>
      <c r="GS174" s="1024">
        <f t="shared" si="428"/>
        <v>29606.182328380102</v>
      </c>
      <c r="GT174" s="1024">
        <f t="shared" si="429"/>
        <v>38244.555907853748</v>
      </c>
      <c r="GU174" s="1024">
        <f t="shared" si="430"/>
        <v>65222.458317879617</v>
      </c>
      <c r="GW174" s="1024">
        <f t="shared" si="431"/>
        <v>3764416.1898280317</v>
      </c>
      <c r="GX174" s="1025">
        <f t="shared" si="432"/>
        <v>0.125</v>
      </c>
      <c r="GY174" s="1024">
        <f t="shared" si="433"/>
        <v>470552.02372850396</v>
      </c>
      <c r="GZ174" s="1024">
        <f t="shared" si="434"/>
        <v>30000</v>
      </c>
      <c r="HA174" s="1024">
        <f t="shared" si="435"/>
        <v>440552.02372850396</v>
      </c>
      <c r="HB174" s="1026">
        <f t="shared" si="436"/>
        <v>25</v>
      </c>
      <c r="HC174" s="1009">
        <f t="shared" si="437"/>
        <v>17622.08094914016</v>
      </c>
      <c r="HD174" s="1027">
        <f t="shared" si="438"/>
        <v>0.875</v>
      </c>
      <c r="HE174" s="1009">
        <f t="shared" si="439"/>
        <v>3293864.1660995279</v>
      </c>
      <c r="HF174" s="1008">
        <f t="shared" si="440"/>
        <v>25537.293820501156</v>
      </c>
      <c r="HG174" s="1008">
        <f t="shared" si="441"/>
        <v>29606.182328380102</v>
      </c>
      <c r="HH174" s="1008">
        <f t="shared" si="442"/>
        <v>38244.555907853748</v>
      </c>
      <c r="HI174" s="1008">
        <f t="shared" si="443"/>
        <v>65222.458317879617</v>
      </c>
      <c r="HK174" s="1009">
        <f t="shared" si="444"/>
        <v>-422929.94277936383</v>
      </c>
      <c r="HR174" s="956">
        <f t="shared" si="445"/>
        <v>0</v>
      </c>
      <c r="HU174" s="956"/>
      <c r="HW174" s="956"/>
      <c r="HX174" s="956"/>
    </row>
    <row r="175" spans="1:238" ht="14.25" hidden="1" customHeight="1">
      <c r="A175" s="1018">
        <f t="shared" si="480"/>
        <v>169</v>
      </c>
      <c r="B175" s="716"/>
      <c r="C175" s="741">
        <f t="shared" si="512"/>
        <v>13</v>
      </c>
      <c r="D175" s="716" t="s">
        <v>294</v>
      </c>
      <c r="E175" s="743" t="str">
        <f t="shared" si="352"/>
        <v>11th Floor</v>
      </c>
      <c r="F175" s="1048"/>
      <c r="G175" s="745" t="s">
        <v>625</v>
      </c>
      <c r="H175" s="745" t="s">
        <v>336</v>
      </c>
      <c r="I175" s="745" t="s">
        <v>267</v>
      </c>
      <c r="J175" s="1005">
        <v>22</v>
      </c>
      <c r="K175" s="1049"/>
      <c r="L175" s="1006" t="s">
        <v>268</v>
      </c>
      <c r="M175" s="745" t="s">
        <v>79</v>
      </c>
      <c r="N175" s="1050">
        <v>95909.091</v>
      </c>
      <c r="O175" s="934">
        <f t="shared" si="455"/>
        <v>2110000.0019999999</v>
      </c>
      <c r="P175" s="934">
        <f t="shared" si="481"/>
        <v>22400</v>
      </c>
      <c r="Q175" s="934">
        <f t="shared" si="450"/>
        <v>50000</v>
      </c>
      <c r="R175" s="934"/>
      <c r="S175" s="934"/>
      <c r="T175" s="934"/>
      <c r="U175" s="934"/>
      <c r="V175" s="749"/>
      <c r="W175" s="934"/>
      <c r="X175" s="934"/>
      <c r="Y175" s="934">
        <f t="shared" si="513"/>
        <v>140000</v>
      </c>
      <c r="Z175" s="934">
        <f t="shared" si="456"/>
        <v>75000</v>
      </c>
      <c r="AA175" s="934"/>
      <c r="AB175" s="934"/>
      <c r="AC175" s="934"/>
      <c r="AD175" s="934"/>
      <c r="AE175" s="934">
        <f t="shared" si="365"/>
        <v>287400</v>
      </c>
      <c r="AF175" s="1005">
        <f t="shared" si="366"/>
        <v>2397400.0019999999</v>
      </c>
      <c r="AG175" s="1005">
        <f t="shared" si="380"/>
        <v>59935.000050000002</v>
      </c>
      <c r="AH175" s="1005">
        <f t="shared" si="381"/>
        <v>2457335.0020499998</v>
      </c>
      <c r="AI175" s="1005">
        <f t="shared" si="382"/>
        <v>61433.375051249997</v>
      </c>
      <c r="AJ175" s="1005">
        <f t="shared" si="383"/>
        <v>2518768.37710125</v>
      </c>
      <c r="AK175" s="1005">
        <f t="shared" si="384"/>
        <v>125938.41885506251</v>
      </c>
      <c r="AL175" s="1005">
        <f t="shared" si="457"/>
        <v>2644706.7959563127</v>
      </c>
      <c r="AM175" s="934">
        <f t="shared" si="385"/>
        <v>26447.067959563126</v>
      </c>
      <c r="AN175" s="934">
        <f t="shared" si="386"/>
        <v>27537.409960060559</v>
      </c>
      <c r="AO175" s="934"/>
      <c r="AP175" s="934">
        <f t="shared" si="458"/>
        <v>117394.44212896141</v>
      </c>
      <c r="AQ175" s="1005">
        <f t="shared" si="367"/>
        <v>2816085.7160048978</v>
      </c>
      <c r="AR175" s="1005">
        <f t="shared" si="387"/>
        <v>126723.85722022039</v>
      </c>
      <c r="AS175" s="1147">
        <f t="shared" si="388"/>
        <v>2942809.5732251182</v>
      </c>
      <c r="AT175" s="1148">
        <f t="shared" si="459"/>
        <v>2000000</v>
      </c>
      <c r="AU175" s="1148">
        <f t="shared" si="514"/>
        <v>42854.980601141739</v>
      </c>
      <c r="AV175" s="1148">
        <f t="shared" si="460"/>
        <v>942809.57322511822</v>
      </c>
      <c r="AW175" s="1148">
        <f t="shared" si="368"/>
        <v>113137.14878701419</v>
      </c>
      <c r="AX175" s="1148">
        <f t="shared" si="369"/>
        <v>1055946.7220121324</v>
      </c>
      <c r="AY175" s="1147">
        <f t="shared" si="389"/>
        <v>3055946.7220121324</v>
      </c>
      <c r="AZ175" s="934">
        <f t="shared" si="390"/>
        <v>38199.334025151657</v>
      </c>
      <c r="BA175" s="716" t="s">
        <v>269</v>
      </c>
      <c r="BB175" s="716">
        <f t="shared" si="370"/>
        <v>3094146.056037284</v>
      </c>
      <c r="BC175" s="716" t="s">
        <v>269</v>
      </c>
      <c r="BD175" s="716">
        <f t="shared" si="391"/>
        <v>116030.47710139815</v>
      </c>
      <c r="BE175" s="716">
        <f t="shared" si="392"/>
        <v>33600</v>
      </c>
      <c r="BF175" s="716">
        <f t="shared" si="393"/>
        <v>3243776.5331386821</v>
      </c>
      <c r="BG175" s="716"/>
      <c r="BH175" s="716">
        <f t="shared" si="394"/>
        <v>3243776.5331386821</v>
      </c>
      <c r="BI175" s="716"/>
      <c r="BJ175" s="716">
        <f t="shared" si="395"/>
        <v>3243776.5331386821</v>
      </c>
      <c r="BK175" s="716"/>
      <c r="BL175" s="716">
        <f t="shared" si="396"/>
        <v>3243776.5331386821</v>
      </c>
      <c r="BM175" s="716"/>
      <c r="BN175" s="716">
        <f t="shared" si="371"/>
        <v>3243776.5331386821</v>
      </c>
      <c r="BO175" s="716"/>
      <c r="BP175" s="716">
        <f t="shared" si="397"/>
        <v>3243776.5331386821</v>
      </c>
      <c r="BQ175" s="716"/>
      <c r="BR175" s="716">
        <f t="shared" si="398"/>
        <v>3243776.5331386821</v>
      </c>
      <c r="BS175" s="716"/>
      <c r="BT175" s="716">
        <f t="shared" si="399"/>
        <v>3243776.5331386821</v>
      </c>
      <c r="BU175" s="716"/>
      <c r="BV175" s="716">
        <f t="shared" si="372"/>
        <v>3243776.5331386821</v>
      </c>
      <c r="BW175" s="716"/>
      <c r="BX175" s="716">
        <f t="shared" si="489"/>
        <v>31400</v>
      </c>
      <c r="BY175" s="716">
        <f t="shared" si="400"/>
        <v>3275176.5331386821</v>
      </c>
      <c r="BZ175" s="716"/>
      <c r="CA175" s="716">
        <f t="shared" si="401"/>
        <v>3275176.5331386821</v>
      </c>
      <c r="CB175" s="1135">
        <f t="shared" si="402"/>
        <v>3275176.5331386821</v>
      </c>
      <c r="CC175" s="1164">
        <f t="shared" si="446"/>
        <v>3275176.5331386821</v>
      </c>
      <c r="CD175" s="1164"/>
      <c r="CE175" s="1164">
        <f t="shared" si="403"/>
        <v>0</v>
      </c>
      <c r="CF175" s="1164">
        <f t="shared" si="448"/>
        <v>0</v>
      </c>
      <c r="CG175" s="1164">
        <f t="shared" si="449"/>
        <v>0</v>
      </c>
      <c r="CH175" s="1154">
        <f t="shared" si="506"/>
        <v>3275176.5331386821</v>
      </c>
      <c r="CI175" s="935">
        <f t="shared" si="507"/>
        <v>3275176.5331386821</v>
      </c>
      <c r="CJ175" s="935">
        <f t="shared" si="404"/>
        <v>0</v>
      </c>
      <c r="CK175" s="935">
        <f t="shared" si="373"/>
        <v>335705.59464671492</v>
      </c>
      <c r="CL175" s="935">
        <f t="shared" si="374"/>
        <v>114631.17865985389</v>
      </c>
      <c r="CM175" s="1006">
        <f t="shared" si="461"/>
        <v>3725513.3064452512</v>
      </c>
      <c r="CN175" s="1007">
        <f t="shared" si="462"/>
        <v>0.125</v>
      </c>
      <c r="CO175" s="935">
        <f t="shared" si="498"/>
        <v>465689.1633056564</v>
      </c>
      <c r="CP175" s="935">
        <f t="shared" si="490"/>
        <v>30000</v>
      </c>
      <c r="CQ175" s="935">
        <f t="shared" si="499"/>
        <v>435689.1633056564</v>
      </c>
      <c r="CR175" s="745">
        <f t="shared" si="463"/>
        <v>2</v>
      </c>
      <c r="CS175" s="935">
        <f t="shared" si="500"/>
        <v>217844.5816528282</v>
      </c>
      <c r="CT175" s="1007">
        <f t="shared" si="405"/>
        <v>0.875</v>
      </c>
      <c r="CU175" s="935">
        <f t="shared" si="406"/>
        <v>3259824.1431395947</v>
      </c>
      <c r="CV175" s="1008">
        <f t="shared" si="407"/>
        <v>25273.381884808376</v>
      </c>
      <c r="CW175" s="1008">
        <f t="shared" si="408"/>
        <v>29300.220978611567</v>
      </c>
      <c r="CX175" s="1008">
        <f t="shared" si="409"/>
        <v>37849.322378009259</v>
      </c>
      <c r="CY175" s="1008">
        <f t="shared" si="410"/>
        <v>64548.425064931922</v>
      </c>
      <c r="CZ175" s="1119">
        <f t="shared" si="411"/>
        <v>264805.87654483714</v>
      </c>
      <c r="DA175" s="1119">
        <f t="shared" si="412"/>
        <v>104782.39540530783</v>
      </c>
      <c r="DB175" s="1119">
        <f t="shared" si="413"/>
        <v>75682.840147796887</v>
      </c>
      <c r="DC175" s="1119">
        <f t="shared" si="414"/>
        <v>57598.125610479379</v>
      </c>
      <c r="DD175" s="1028">
        <f t="shared" si="451"/>
        <v>0.47140478661255913</v>
      </c>
      <c r="DE175" s="1028">
        <f t="shared" si="508"/>
        <v>0</v>
      </c>
      <c r="DF175" s="1009" t="s">
        <v>270</v>
      </c>
      <c r="DG175" s="1009" t="s">
        <v>271</v>
      </c>
      <c r="DH175" s="966">
        <f t="shared" si="447"/>
        <v>45658</v>
      </c>
      <c r="DI175" s="912">
        <f t="shared" si="415"/>
        <v>14</v>
      </c>
      <c r="DK175" s="913">
        <f t="shared" si="375"/>
        <v>45723</v>
      </c>
      <c r="DL175" s="912">
        <f t="shared" si="416"/>
        <v>16</v>
      </c>
      <c r="DM175" s="750" t="s">
        <v>272</v>
      </c>
      <c r="DN175" s="750" t="s">
        <v>273</v>
      </c>
      <c r="DO175" s="751">
        <f t="shared" si="376"/>
        <v>47997.578273278748</v>
      </c>
      <c r="DP175" s="751">
        <f t="shared" si="377"/>
        <v>1055946.7220121324</v>
      </c>
      <c r="DQ175" s="752">
        <f t="shared" si="452"/>
        <v>0.52797336100606618</v>
      </c>
      <c r="DS175" s="751">
        <f t="shared" si="453"/>
        <v>3275176.5331386821</v>
      </c>
      <c r="DT175" s="751">
        <f>'[4]INTERNAL PRICELIST'!N169</f>
        <v>0</v>
      </c>
      <c r="DU175" s="751">
        <f t="shared" si="378"/>
        <v>3275176.5331386821</v>
      </c>
      <c r="DW175" s="951">
        <f t="shared" si="454"/>
        <v>148871.66059721282</v>
      </c>
      <c r="DZ175" s="1010" t="s">
        <v>625</v>
      </c>
      <c r="EA175" s="1011" t="b">
        <f t="shared" si="379"/>
        <v>1</v>
      </c>
      <c r="EB175" s="1011"/>
      <c r="EC175" s="1011"/>
      <c r="ER175" s="1017" t="s">
        <v>264</v>
      </c>
      <c r="ES175" s="1391" t="s">
        <v>264</v>
      </c>
      <c r="ET175" s="1018" t="b">
        <f t="shared" si="417"/>
        <v>1</v>
      </c>
      <c r="EX175" s="1019">
        <v>3069135.7419336312</v>
      </c>
      <c r="EY175" s="1019">
        <f t="shared" si="464"/>
        <v>460370.36129004468</v>
      </c>
      <c r="EZ175" s="1019">
        <f t="shared" si="465"/>
        <v>2608765.3806435866</v>
      </c>
      <c r="FA175" s="1019">
        <f t="shared" si="466"/>
        <v>306913.57419336314</v>
      </c>
      <c r="FB175" s="1019">
        <f t="shared" si="467"/>
        <v>2762222.1677402682</v>
      </c>
      <c r="FC175" s="1019">
        <f t="shared" si="468"/>
        <v>153456.78709668154</v>
      </c>
      <c r="FD175" s="1020"/>
      <c r="FE175" s="1021"/>
      <c r="FF175" s="1022">
        <f t="shared" si="469"/>
        <v>2608765.3806435866</v>
      </c>
      <c r="FG175" s="1022">
        <f t="shared" si="470"/>
        <v>221745.05735470488</v>
      </c>
      <c r="FH175" s="1022">
        <f t="shared" si="471"/>
        <v>110872.52867735244</v>
      </c>
      <c r="FI175" s="1023">
        <f t="shared" si="472"/>
        <v>2762222.1677402682</v>
      </c>
      <c r="FJ175" s="1023">
        <f t="shared" si="473"/>
        <v>234788.88425792282</v>
      </c>
      <c r="FK175" s="1023">
        <f t="shared" si="474"/>
        <v>117394.44212896141</v>
      </c>
      <c r="FL175" s="1019">
        <f t="shared" si="475"/>
        <v>13043.826903217938</v>
      </c>
      <c r="FM175" s="1019">
        <f t="shared" si="476"/>
        <v>6521.9134516089689</v>
      </c>
      <c r="FN175" s="1019" t="str">
        <f t="shared" si="477"/>
        <v>VS</v>
      </c>
      <c r="FO175" s="1019">
        <f t="shared" si="478"/>
        <v>27537.409960060559</v>
      </c>
      <c r="FP175" s="1019">
        <f t="shared" si="479"/>
        <v>-21015.49650845159</v>
      </c>
      <c r="FQ175" s="1021"/>
      <c r="FR175" s="1021"/>
      <c r="FS175" s="1020"/>
      <c r="FT175" s="1055">
        <f t="shared" si="515"/>
        <v>2762222.1677402682</v>
      </c>
      <c r="FU175" s="1056"/>
      <c r="FV175" s="1056"/>
      <c r="GG175" s="956"/>
      <c r="GH175" s="1058"/>
      <c r="GI175" s="1024">
        <f t="shared" si="418"/>
        <v>3725513.3064452512</v>
      </c>
      <c r="GJ175" s="1025">
        <f t="shared" si="419"/>
        <v>0.125</v>
      </c>
      <c r="GK175" s="1024">
        <f t="shared" si="420"/>
        <v>465689.1633056564</v>
      </c>
      <c r="GL175" s="1024">
        <f t="shared" si="421"/>
        <v>30000</v>
      </c>
      <c r="GM175" s="1024">
        <f t="shared" si="422"/>
        <v>435689.1633056564</v>
      </c>
      <c r="GN175" s="1024">
        <f t="shared" si="423"/>
        <v>2</v>
      </c>
      <c r="GO175" s="1024">
        <f t="shared" si="424"/>
        <v>217844.5816528282</v>
      </c>
      <c r="GP175" s="1025">
        <f t="shared" si="425"/>
        <v>0.875</v>
      </c>
      <c r="GQ175" s="1024">
        <f t="shared" si="426"/>
        <v>3259824.1431395947</v>
      </c>
      <c r="GR175" s="1024">
        <f t="shared" si="427"/>
        <v>25273.381884808376</v>
      </c>
      <c r="GS175" s="1024">
        <f t="shared" si="428"/>
        <v>29300.220978611567</v>
      </c>
      <c r="GT175" s="1024">
        <f t="shared" si="429"/>
        <v>37849.322378009259</v>
      </c>
      <c r="GU175" s="1024">
        <f t="shared" si="430"/>
        <v>64548.425064931922</v>
      </c>
      <c r="GW175" s="1024">
        <f t="shared" si="431"/>
        <v>3725513.3064452512</v>
      </c>
      <c r="GX175" s="1025">
        <f t="shared" si="432"/>
        <v>0.125</v>
      </c>
      <c r="GY175" s="1024">
        <f t="shared" si="433"/>
        <v>465689.1633056564</v>
      </c>
      <c r="GZ175" s="1024">
        <f t="shared" si="434"/>
        <v>30000</v>
      </c>
      <c r="HA175" s="1024">
        <f t="shared" si="435"/>
        <v>435689.1633056564</v>
      </c>
      <c r="HB175" s="1026">
        <f t="shared" si="436"/>
        <v>25</v>
      </c>
      <c r="HC175" s="1009">
        <f t="shared" si="437"/>
        <v>17427.566532226258</v>
      </c>
      <c r="HD175" s="1027">
        <f t="shared" si="438"/>
        <v>0.875</v>
      </c>
      <c r="HE175" s="1009">
        <f t="shared" si="439"/>
        <v>3259824.1431395947</v>
      </c>
      <c r="HF175" s="1008">
        <f t="shared" si="440"/>
        <v>25273.381884808376</v>
      </c>
      <c r="HG175" s="1008">
        <f t="shared" si="441"/>
        <v>29300.220978611567</v>
      </c>
      <c r="HH175" s="1008">
        <f t="shared" si="442"/>
        <v>37849.322378009259</v>
      </c>
      <c r="HI175" s="1008">
        <f t="shared" si="443"/>
        <v>64548.425064931922</v>
      </c>
      <c r="HK175" s="1009">
        <f t="shared" si="444"/>
        <v>-200417.01512060195</v>
      </c>
      <c r="HR175" s="956">
        <f t="shared" si="445"/>
        <v>0</v>
      </c>
      <c r="HU175" s="956"/>
      <c r="HW175" s="956"/>
      <c r="HX175" s="956"/>
    </row>
    <row r="176" spans="1:238" ht="14.25" hidden="1" customHeight="1">
      <c r="A176" s="1018">
        <f t="shared" si="480"/>
        <v>170</v>
      </c>
      <c r="B176" s="716"/>
      <c r="C176" s="741">
        <f t="shared" si="512"/>
        <v>14</v>
      </c>
      <c r="D176" s="716" t="s">
        <v>294</v>
      </c>
      <c r="E176" s="743" t="str">
        <f t="shared" si="352"/>
        <v>11th Floor</v>
      </c>
      <c r="F176" s="1048"/>
      <c r="G176" s="745" t="s">
        <v>626</v>
      </c>
      <c r="H176" s="745" t="s">
        <v>338</v>
      </c>
      <c r="I176" s="745" t="s">
        <v>267</v>
      </c>
      <c r="J176" s="1005">
        <v>22</v>
      </c>
      <c r="K176" s="1049"/>
      <c r="L176" s="1006" t="s">
        <v>268</v>
      </c>
      <c r="M176" s="745" t="s">
        <v>79</v>
      </c>
      <c r="N176" s="1050">
        <v>95909.091</v>
      </c>
      <c r="O176" s="934">
        <f t="shared" si="455"/>
        <v>2110000.0019999999</v>
      </c>
      <c r="P176" s="934">
        <f t="shared" si="481"/>
        <v>22400</v>
      </c>
      <c r="Q176" s="934">
        <f t="shared" si="450"/>
        <v>50000</v>
      </c>
      <c r="R176" s="934"/>
      <c r="S176" s="934"/>
      <c r="T176" s="934"/>
      <c r="U176" s="934"/>
      <c r="V176" s="749"/>
      <c r="W176" s="934"/>
      <c r="X176" s="934"/>
      <c r="Y176" s="934">
        <f t="shared" si="513"/>
        <v>140000</v>
      </c>
      <c r="Z176" s="934">
        <f t="shared" si="456"/>
        <v>75000</v>
      </c>
      <c r="AA176" s="934"/>
      <c r="AB176" s="934"/>
      <c r="AC176" s="934"/>
      <c r="AD176" s="934"/>
      <c r="AE176" s="934">
        <f t="shared" si="365"/>
        <v>287400</v>
      </c>
      <c r="AF176" s="1005">
        <f t="shared" si="366"/>
        <v>2397400.0019999999</v>
      </c>
      <c r="AG176" s="1005">
        <f t="shared" si="380"/>
        <v>59935.000050000002</v>
      </c>
      <c r="AH176" s="1005">
        <f t="shared" si="381"/>
        <v>2457335.0020499998</v>
      </c>
      <c r="AI176" s="1005">
        <f t="shared" si="382"/>
        <v>61433.375051249997</v>
      </c>
      <c r="AJ176" s="1005">
        <f t="shared" si="383"/>
        <v>2518768.37710125</v>
      </c>
      <c r="AK176" s="1005">
        <f t="shared" si="384"/>
        <v>125938.41885506251</v>
      </c>
      <c r="AL176" s="1005">
        <f t="shared" si="457"/>
        <v>2644706.7959563127</v>
      </c>
      <c r="AM176" s="934">
        <f t="shared" si="385"/>
        <v>26447.067959563126</v>
      </c>
      <c r="AN176" s="934">
        <f t="shared" si="386"/>
        <v>27537.409960060559</v>
      </c>
      <c r="AO176" s="934"/>
      <c r="AP176" s="934">
        <f t="shared" si="458"/>
        <v>117394.44212896141</v>
      </c>
      <c r="AQ176" s="1005">
        <f t="shared" si="367"/>
        <v>2816085.7160048978</v>
      </c>
      <c r="AR176" s="1005">
        <f t="shared" si="387"/>
        <v>126723.85722022039</v>
      </c>
      <c r="AS176" s="1147">
        <f t="shared" si="388"/>
        <v>2942809.5732251182</v>
      </c>
      <c r="AT176" s="1148">
        <f t="shared" si="459"/>
        <v>2000000</v>
      </c>
      <c r="AU176" s="1148">
        <f t="shared" si="514"/>
        <v>42854.980601141739</v>
      </c>
      <c r="AV176" s="1148">
        <f t="shared" si="460"/>
        <v>942809.57322511822</v>
      </c>
      <c r="AW176" s="1148">
        <f t="shared" si="368"/>
        <v>113137.14878701419</v>
      </c>
      <c r="AX176" s="1148">
        <f t="shared" si="369"/>
        <v>1055946.7220121324</v>
      </c>
      <c r="AY176" s="1147">
        <f t="shared" si="389"/>
        <v>3055946.7220121324</v>
      </c>
      <c r="AZ176" s="934">
        <f t="shared" si="390"/>
        <v>38199.334025151657</v>
      </c>
      <c r="BA176" s="716" t="s">
        <v>269</v>
      </c>
      <c r="BB176" s="716">
        <f t="shared" si="370"/>
        <v>3094146.056037284</v>
      </c>
      <c r="BC176" s="716" t="s">
        <v>269</v>
      </c>
      <c r="BD176" s="716">
        <f t="shared" si="391"/>
        <v>116030.47710139815</v>
      </c>
      <c r="BE176" s="716">
        <f t="shared" si="392"/>
        <v>33600</v>
      </c>
      <c r="BF176" s="716">
        <f t="shared" si="393"/>
        <v>3243776.5331386821</v>
      </c>
      <c r="BG176" s="716"/>
      <c r="BH176" s="716">
        <f t="shared" si="394"/>
        <v>3243776.5331386821</v>
      </c>
      <c r="BI176" s="716"/>
      <c r="BJ176" s="716">
        <f t="shared" si="395"/>
        <v>3243776.5331386821</v>
      </c>
      <c r="BK176" s="716"/>
      <c r="BL176" s="716">
        <f t="shared" si="396"/>
        <v>3243776.5331386821</v>
      </c>
      <c r="BM176" s="716"/>
      <c r="BN176" s="716">
        <f t="shared" si="371"/>
        <v>3243776.5331386821</v>
      </c>
      <c r="BO176" s="716"/>
      <c r="BP176" s="716">
        <f t="shared" si="397"/>
        <v>3243776.5331386821</v>
      </c>
      <c r="BQ176" s="716"/>
      <c r="BR176" s="716">
        <f t="shared" si="398"/>
        <v>3243776.5331386821</v>
      </c>
      <c r="BS176" s="716"/>
      <c r="BT176" s="716">
        <f t="shared" si="399"/>
        <v>3243776.5331386821</v>
      </c>
      <c r="BU176" s="716"/>
      <c r="BV176" s="716">
        <f t="shared" si="372"/>
        <v>3243776.5331386821</v>
      </c>
      <c r="BW176" s="716"/>
      <c r="BX176" s="716">
        <f t="shared" si="489"/>
        <v>31400</v>
      </c>
      <c r="BY176" s="716">
        <f t="shared" si="400"/>
        <v>3275176.5331386821</v>
      </c>
      <c r="BZ176" s="716"/>
      <c r="CA176" s="716">
        <f t="shared" si="401"/>
        <v>3275176.5331386821</v>
      </c>
      <c r="CB176" s="1135">
        <f t="shared" si="402"/>
        <v>3275176.5331386821</v>
      </c>
      <c r="CC176" s="1164">
        <f t="shared" si="446"/>
        <v>3275176.5331386821</v>
      </c>
      <c r="CD176" s="1164"/>
      <c r="CE176" s="1164">
        <f t="shared" si="403"/>
        <v>0</v>
      </c>
      <c r="CF176" s="1164">
        <f t="shared" si="448"/>
        <v>0</v>
      </c>
      <c r="CG176" s="1164">
        <f t="shared" si="449"/>
        <v>0</v>
      </c>
      <c r="CH176" s="1154">
        <f t="shared" si="506"/>
        <v>3275176.5331386821</v>
      </c>
      <c r="CI176" s="935">
        <f t="shared" si="507"/>
        <v>3275176.5331386821</v>
      </c>
      <c r="CJ176" s="935">
        <f t="shared" si="404"/>
        <v>0</v>
      </c>
      <c r="CK176" s="935">
        <f t="shared" si="373"/>
        <v>335705.59464671492</v>
      </c>
      <c r="CL176" s="935">
        <f t="shared" si="374"/>
        <v>114631.17865985389</v>
      </c>
      <c r="CM176" s="1006">
        <f t="shared" si="461"/>
        <v>3725513.3064452512</v>
      </c>
      <c r="CN176" s="1007">
        <f t="shared" si="462"/>
        <v>0.125</v>
      </c>
      <c r="CO176" s="935">
        <f t="shared" si="498"/>
        <v>465689.1633056564</v>
      </c>
      <c r="CP176" s="935">
        <f t="shared" si="490"/>
        <v>30000</v>
      </c>
      <c r="CQ176" s="935">
        <f t="shared" si="499"/>
        <v>435689.1633056564</v>
      </c>
      <c r="CR176" s="745">
        <f t="shared" si="463"/>
        <v>2</v>
      </c>
      <c r="CS176" s="935">
        <f t="shared" si="500"/>
        <v>217844.5816528282</v>
      </c>
      <c r="CT176" s="1007">
        <f t="shared" si="405"/>
        <v>0.875</v>
      </c>
      <c r="CU176" s="935">
        <f t="shared" si="406"/>
        <v>3259824.1431395947</v>
      </c>
      <c r="CV176" s="1008">
        <f t="shared" si="407"/>
        <v>25273.381884808376</v>
      </c>
      <c r="CW176" s="1008">
        <f t="shared" si="408"/>
        <v>29300.220978611567</v>
      </c>
      <c r="CX176" s="1008">
        <f t="shared" si="409"/>
        <v>37849.322378009259</v>
      </c>
      <c r="CY176" s="1008">
        <f t="shared" si="410"/>
        <v>64548.425064931922</v>
      </c>
      <c r="CZ176" s="1119">
        <f t="shared" si="411"/>
        <v>264805.87654483714</v>
      </c>
      <c r="DA176" s="1119">
        <f t="shared" si="412"/>
        <v>104782.39540530783</v>
      </c>
      <c r="DB176" s="1119">
        <f t="shared" si="413"/>
        <v>75682.840147796887</v>
      </c>
      <c r="DC176" s="1119">
        <f t="shared" si="414"/>
        <v>57598.125610479379</v>
      </c>
      <c r="DD176" s="1028">
        <f t="shared" si="451"/>
        <v>0.47140478661255913</v>
      </c>
      <c r="DE176" s="1028">
        <f t="shared" si="508"/>
        <v>0</v>
      </c>
      <c r="DF176" s="1009" t="s">
        <v>270</v>
      </c>
      <c r="DG176" s="1009" t="s">
        <v>271</v>
      </c>
      <c r="DH176" s="966">
        <f t="shared" si="447"/>
        <v>45658</v>
      </c>
      <c r="DI176" s="912">
        <f t="shared" si="415"/>
        <v>14</v>
      </c>
      <c r="DK176" s="913">
        <f t="shared" si="375"/>
        <v>45723</v>
      </c>
      <c r="DL176" s="912">
        <f t="shared" si="416"/>
        <v>16</v>
      </c>
      <c r="DM176" s="750" t="s">
        <v>272</v>
      </c>
      <c r="DN176" s="750" t="s">
        <v>273</v>
      </c>
      <c r="DO176" s="751">
        <f t="shared" si="376"/>
        <v>47997.578273278748</v>
      </c>
      <c r="DP176" s="751">
        <f t="shared" si="377"/>
        <v>1055946.7220121324</v>
      </c>
      <c r="DQ176" s="752">
        <f t="shared" si="452"/>
        <v>0.52797336100606618</v>
      </c>
      <c r="DS176" s="751">
        <f t="shared" si="453"/>
        <v>3275176.5331386821</v>
      </c>
      <c r="DT176" s="751">
        <f>'[4]INTERNAL PRICELIST'!N170</f>
        <v>0</v>
      </c>
      <c r="DU176" s="751">
        <f t="shared" si="378"/>
        <v>3275176.5331386821</v>
      </c>
      <c r="DW176" s="951">
        <f t="shared" si="454"/>
        <v>148871.66059721282</v>
      </c>
      <c r="DZ176" s="1010" t="s">
        <v>626</v>
      </c>
      <c r="EA176" s="1011" t="b">
        <f t="shared" si="379"/>
        <v>1</v>
      </c>
      <c r="EB176" s="1011"/>
      <c r="EC176" s="1011"/>
      <c r="ER176" s="1017" t="s">
        <v>264</v>
      </c>
      <c r="ES176" s="1391" t="s">
        <v>264</v>
      </c>
      <c r="ET176" s="1018" t="b">
        <f t="shared" si="417"/>
        <v>1</v>
      </c>
      <c r="EX176" s="1019">
        <v>3069135.7419336312</v>
      </c>
      <c r="EY176" s="1019">
        <f t="shared" si="464"/>
        <v>460370.36129004468</v>
      </c>
      <c r="EZ176" s="1019">
        <f t="shared" si="465"/>
        <v>2608765.3806435866</v>
      </c>
      <c r="FA176" s="1019">
        <f t="shared" si="466"/>
        <v>306913.57419336314</v>
      </c>
      <c r="FB176" s="1019">
        <f t="shared" si="467"/>
        <v>2762222.1677402682</v>
      </c>
      <c r="FC176" s="1019">
        <f t="shared" si="468"/>
        <v>153456.78709668154</v>
      </c>
      <c r="FD176" s="1020"/>
      <c r="FE176" s="1021"/>
      <c r="FF176" s="1022">
        <f t="shared" si="469"/>
        <v>2608765.3806435866</v>
      </c>
      <c r="FG176" s="1022">
        <f t="shared" si="470"/>
        <v>221745.05735470488</v>
      </c>
      <c r="FH176" s="1022">
        <f t="shared" si="471"/>
        <v>110872.52867735244</v>
      </c>
      <c r="FI176" s="1023">
        <f t="shared" si="472"/>
        <v>2762222.1677402682</v>
      </c>
      <c r="FJ176" s="1023">
        <f t="shared" si="473"/>
        <v>234788.88425792282</v>
      </c>
      <c r="FK176" s="1023">
        <f t="shared" si="474"/>
        <v>117394.44212896141</v>
      </c>
      <c r="FL176" s="1019">
        <f t="shared" si="475"/>
        <v>13043.826903217938</v>
      </c>
      <c r="FM176" s="1019">
        <f t="shared" si="476"/>
        <v>6521.9134516089689</v>
      </c>
      <c r="FN176" s="1019" t="str">
        <f t="shared" si="477"/>
        <v>VS</v>
      </c>
      <c r="FO176" s="1019">
        <f t="shared" si="478"/>
        <v>27537.409960060559</v>
      </c>
      <c r="FP176" s="1019">
        <f t="shared" si="479"/>
        <v>-21015.49650845159</v>
      </c>
      <c r="FQ176" s="1021"/>
      <c r="FR176" s="1021"/>
      <c r="FS176" s="1020"/>
      <c r="FT176" s="1055">
        <f t="shared" si="515"/>
        <v>2762222.1677402682</v>
      </c>
      <c r="FU176" s="1056"/>
      <c r="FV176" s="1056"/>
      <c r="GG176" s="956"/>
      <c r="GH176" s="1058"/>
      <c r="GI176" s="1024">
        <f t="shared" si="418"/>
        <v>3725513.3064452512</v>
      </c>
      <c r="GJ176" s="1025">
        <f t="shared" si="419"/>
        <v>0.125</v>
      </c>
      <c r="GK176" s="1024">
        <f t="shared" si="420"/>
        <v>465689.1633056564</v>
      </c>
      <c r="GL176" s="1024">
        <f t="shared" si="421"/>
        <v>30000</v>
      </c>
      <c r="GM176" s="1024">
        <f t="shared" si="422"/>
        <v>435689.1633056564</v>
      </c>
      <c r="GN176" s="1024">
        <f t="shared" si="423"/>
        <v>2</v>
      </c>
      <c r="GO176" s="1024">
        <f t="shared" si="424"/>
        <v>217844.5816528282</v>
      </c>
      <c r="GP176" s="1025">
        <f t="shared" si="425"/>
        <v>0.875</v>
      </c>
      <c r="GQ176" s="1024">
        <f t="shared" si="426"/>
        <v>3259824.1431395947</v>
      </c>
      <c r="GR176" s="1024">
        <f t="shared" si="427"/>
        <v>25273.381884808376</v>
      </c>
      <c r="GS176" s="1024">
        <f t="shared" si="428"/>
        <v>29300.220978611567</v>
      </c>
      <c r="GT176" s="1024">
        <f t="shared" si="429"/>
        <v>37849.322378009259</v>
      </c>
      <c r="GU176" s="1024">
        <f t="shared" si="430"/>
        <v>64548.425064931922</v>
      </c>
      <c r="GW176" s="1024">
        <f t="shared" si="431"/>
        <v>3725513.3064452512</v>
      </c>
      <c r="GX176" s="1025">
        <f t="shared" si="432"/>
        <v>0.125</v>
      </c>
      <c r="GY176" s="1024">
        <f t="shared" si="433"/>
        <v>465689.1633056564</v>
      </c>
      <c r="GZ176" s="1024">
        <f t="shared" si="434"/>
        <v>30000</v>
      </c>
      <c r="HA176" s="1024">
        <f t="shared" si="435"/>
        <v>435689.1633056564</v>
      </c>
      <c r="HB176" s="1026">
        <f t="shared" si="436"/>
        <v>25</v>
      </c>
      <c r="HC176" s="1009">
        <f t="shared" si="437"/>
        <v>17427.566532226258</v>
      </c>
      <c r="HD176" s="1027">
        <f t="shared" si="438"/>
        <v>0.875</v>
      </c>
      <c r="HE176" s="1009">
        <f t="shared" si="439"/>
        <v>3259824.1431395947</v>
      </c>
      <c r="HF176" s="1008">
        <f t="shared" si="440"/>
        <v>25273.381884808376</v>
      </c>
      <c r="HG176" s="1008">
        <f t="shared" si="441"/>
        <v>29300.220978611567</v>
      </c>
      <c r="HH176" s="1008">
        <f t="shared" si="442"/>
        <v>37849.322378009259</v>
      </c>
      <c r="HI176" s="1008">
        <f t="shared" si="443"/>
        <v>64548.425064931922</v>
      </c>
      <c r="HK176" s="1009">
        <f t="shared" si="444"/>
        <v>-200417.01512060195</v>
      </c>
      <c r="HR176" s="956">
        <f t="shared" si="445"/>
        <v>0</v>
      </c>
      <c r="HU176" s="956"/>
      <c r="HW176" s="956"/>
      <c r="HX176" s="956"/>
    </row>
    <row r="177" spans="1:232" ht="14.25" hidden="1" customHeight="1">
      <c r="A177" s="1018">
        <f t="shared" si="480"/>
        <v>171</v>
      </c>
      <c r="B177" s="716"/>
      <c r="C177" s="741">
        <f t="shared" si="512"/>
        <v>15</v>
      </c>
      <c r="D177" s="716" t="s">
        <v>294</v>
      </c>
      <c r="E177" s="743" t="str">
        <f t="shared" si="352"/>
        <v>11th Floor</v>
      </c>
      <c r="F177" s="1048"/>
      <c r="G177" s="745" t="s">
        <v>627</v>
      </c>
      <c r="H177" s="745" t="s">
        <v>342</v>
      </c>
      <c r="I177" s="745" t="s">
        <v>267</v>
      </c>
      <c r="J177" s="1005">
        <v>22</v>
      </c>
      <c r="K177" s="1049"/>
      <c r="L177" s="1006" t="s">
        <v>268</v>
      </c>
      <c r="M177" s="745" t="s">
        <v>79</v>
      </c>
      <c r="N177" s="1050">
        <v>95909.091</v>
      </c>
      <c r="O177" s="934">
        <f t="shared" si="455"/>
        <v>2110000.0019999999</v>
      </c>
      <c r="P177" s="934">
        <f t="shared" si="481"/>
        <v>22400</v>
      </c>
      <c r="Q177" s="934">
        <f t="shared" si="450"/>
        <v>50000</v>
      </c>
      <c r="R177" s="934"/>
      <c r="S177" s="934"/>
      <c r="T177" s="934"/>
      <c r="U177" s="934"/>
      <c r="V177" s="749"/>
      <c r="W177" s="934"/>
      <c r="X177" s="934"/>
      <c r="Y177" s="934">
        <f t="shared" si="513"/>
        <v>140000</v>
      </c>
      <c r="Z177" s="934">
        <f t="shared" si="456"/>
        <v>75000</v>
      </c>
      <c r="AA177" s="934"/>
      <c r="AB177" s="934"/>
      <c r="AC177" s="934"/>
      <c r="AD177" s="934"/>
      <c r="AE177" s="934">
        <f t="shared" si="365"/>
        <v>287400</v>
      </c>
      <c r="AF177" s="1005">
        <f t="shared" si="366"/>
        <v>2397400.0019999999</v>
      </c>
      <c r="AG177" s="1005">
        <f t="shared" si="380"/>
        <v>59935.000050000002</v>
      </c>
      <c r="AH177" s="1005">
        <f t="shared" si="381"/>
        <v>2457335.0020499998</v>
      </c>
      <c r="AI177" s="1005">
        <f t="shared" si="382"/>
        <v>61433.375051249997</v>
      </c>
      <c r="AJ177" s="1005">
        <f t="shared" si="383"/>
        <v>2518768.37710125</v>
      </c>
      <c r="AK177" s="1005">
        <f t="shared" si="384"/>
        <v>125938.41885506251</v>
      </c>
      <c r="AL177" s="1005">
        <f t="shared" si="457"/>
        <v>2644706.7959563127</v>
      </c>
      <c r="AM177" s="934">
        <f t="shared" si="385"/>
        <v>26447.067959563126</v>
      </c>
      <c r="AN177" s="934">
        <f t="shared" si="386"/>
        <v>27537.409960060559</v>
      </c>
      <c r="AO177" s="934"/>
      <c r="AP177" s="934">
        <f t="shared" si="458"/>
        <v>117394.44212896141</v>
      </c>
      <c r="AQ177" s="1005">
        <f t="shared" si="367"/>
        <v>2816085.7160048978</v>
      </c>
      <c r="AR177" s="1005">
        <f t="shared" si="387"/>
        <v>126723.85722022039</v>
      </c>
      <c r="AS177" s="1147">
        <f t="shared" si="388"/>
        <v>2942809.5732251182</v>
      </c>
      <c r="AT177" s="1148">
        <f t="shared" si="459"/>
        <v>2000000</v>
      </c>
      <c r="AU177" s="1148">
        <f t="shared" si="514"/>
        <v>42854.980601141739</v>
      </c>
      <c r="AV177" s="1148">
        <f t="shared" si="460"/>
        <v>942809.57322511822</v>
      </c>
      <c r="AW177" s="1148">
        <f t="shared" si="368"/>
        <v>113137.14878701419</v>
      </c>
      <c r="AX177" s="1148">
        <f t="shared" si="369"/>
        <v>1055946.7220121324</v>
      </c>
      <c r="AY177" s="1147">
        <f t="shared" si="389"/>
        <v>3055946.7220121324</v>
      </c>
      <c r="AZ177" s="934">
        <f t="shared" si="390"/>
        <v>38199.334025151657</v>
      </c>
      <c r="BA177" s="716" t="s">
        <v>269</v>
      </c>
      <c r="BB177" s="716">
        <f t="shared" si="370"/>
        <v>3094146.056037284</v>
      </c>
      <c r="BC177" s="716" t="s">
        <v>269</v>
      </c>
      <c r="BD177" s="716">
        <f t="shared" si="391"/>
        <v>116030.47710139815</v>
      </c>
      <c r="BE177" s="716">
        <f t="shared" si="392"/>
        <v>33600</v>
      </c>
      <c r="BF177" s="716">
        <f t="shared" si="393"/>
        <v>3243776.5331386821</v>
      </c>
      <c r="BG177" s="716"/>
      <c r="BH177" s="716">
        <f t="shared" si="394"/>
        <v>3243776.5331386821</v>
      </c>
      <c r="BI177" s="716"/>
      <c r="BJ177" s="716">
        <f t="shared" si="395"/>
        <v>3243776.5331386821</v>
      </c>
      <c r="BK177" s="716"/>
      <c r="BL177" s="716">
        <f t="shared" si="396"/>
        <v>3243776.5331386821</v>
      </c>
      <c r="BM177" s="716"/>
      <c r="BN177" s="716">
        <f t="shared" si="371"/>
        <v>3243776.5331386821</v>
      </c>
      <c r="BO177" s="716"/>
      <c r="BP177" s="716">
        <f t="shared" si="397"/>
        <v>3243776.5331386821</v>
      </c>
      <c r="BQ177" s="716"/>
      <c r="BR177" s="716">
        <f t="shared" si="398"/>
        <v>3243776.5331386821</v>
      </c>
      <c r="BS177" s="716"/>
      <c r="BT177" s="716">
        <f t="shared" si="399"/>
        <v>3243776.5331386821</v>
      </c>
      <c r="BU177" s="716"/>
      <c r="BV177" s="716">
        <f t="shared" si="372"/>
        <v>3243776.5331386821</v>
      </c>
      <c r="BW177" s="716"/>
      <c r="BX177" s="716">
        <f t="shared" si="489"/>
        <v>31400</v>
      </c>
      <c r="BY177" s="716">
        <f t="shared" si="400"/>
        <v>3275176.5331386821</v>
      </c>
      <c r="BZ177" s="716"/>
      <c r="CA177" s="716">
        <f t="shared" si="401"/>
        <v>3275176.5331386821</v>
      </c>
      <c r="CB177" s="1135">
        <f t="shared" si="402"/>
        <v>3275176.5331386821</v>
      </c>
      <c r="CC177" s="1164">
        <f t="shared" si="446"/>
        <v>3275176.5331386821</v>
      </c>
      <c r="CD177" s="1164"/>
      <c r="CE177" s="1164">
        <f t="shared" si="403"/>
        <v>0</v>
      </c>
      <c r="CF177" s="1164">
        <f t="shared" si="448"/>
        <v>0</v>
      </c>
      <c r="CG177" s="1164">
        <f t="shared" si="449"/>
        <v>0</v>
      </c>
      <c r="CH177" s="1154">
        <f t="shared" si="506"/>
        <v>3275176.5331386821</v>
      </c>
      <c r="CI177" s="935">
        <f t="shared" si="507"/>
        <v>3275176.5331386821</v>
      </c>
      <c r="CJ177" s="935">
        <f t="shared" si="404"/>
        <v>0</v>
      </c>
      <c r="CK177" s="935">
        <f t="shared" si="373"/>
        <v>335705.59464671492</v>
      </c>
      <c r="CL177" s="935">
        <f t="shared" si="374"/>
        <v>114631.17865985389</v>
      </c>
      <c r="CM177" s="1006">
        <f t="shared" si="461"/>
        <v>3725513.3064452512</v>
      </c>
      <c r="CN177" s="1007">
        <f t="shared" si="462"/>
        <v>0.125</v>
      </c>
      <c r="CO177" s="935">
        <f t="shared" si="498"/>
        <v>465689.1633056564</v>
      </c>
      <c r="CP177" s="935">
        <f t="shared" si="490"/>
        <v>30000</v>
      </c>
      <c r="CQ177" s="935">
        <f t="shared" si="499"/>
        <v>435689.1633056564</v>
      </c>
      <c r="CR177" s="745">
        <f t="shared" si="463"/>
        <v>2</v>
      </c>
      <c r="CS177" s="935">
        <f t="shared" si="500"/>
        <v>217844.5816528282</v>
      </c>
      <c r="CT177" s="1007">
        <f t="shared" si="405"/>
        <v>0.875</v>
      </c>
      <c r="CU177" s="935">
        <f t="shared" si="406"/>
        <v>3259824.1431395947</v>
      </c>
      <c r="CV177" s="1008">
        <f t="shared" si="407"/>
        <v>25273.381884808376</v>
      </c>
      <c r="CW177" s="1008">
        <f t="shared" si="408"/>
        <v>29300.220978611567</v>
      </c>
      <c r="CX177" s="1008">
        <f t="shared" si="409"/>
        <v>37849.322378009259</v>
      </c>
      <c r="CY177" s="1008">
        <f t="shared" si="410"/>
        <v>64548.425064931922</v>
      </c>
      <c r="CZ177" s="1119">
        <f t="shared" si="411"/>
        <v>264805.87654483714</v>
      </c>
      <c r="DA177" s="1119">
        <f t="shared" si="412"/>
        <v>104782.39540530783</v>
      </c>
      <c r="DB177" s="1119">
        <f t="shared" si="413"/>
        <v>75682.840147796887</v>
      </c>
      <c r="DC177" s="1119">
        <f t="shared" si="414"/>
        <v>57598.125610479379</v>
      </c>
      <c r="DD177" s="1028">
        <f t="shared" si="451"/>
        <v>0.47140478661255913</v>
      </c>
      <c r="DE177" s="1028">
        <f t="shared" si="508"/>
        <v>0</v>
      </c>
      <c r="DF177" s="1009" t="s">
        <v>270</v>
      </c>
      <c r="DG177" s="1009" t="s">
        <v>271</v>
      </c>
      <c r="DH177" s="966">
        <f t="shared" si="447"/>
        <v>45658</v>
      </c>
      <c r="DI177" s="912">
        <f t="shared" si="415"/>
        <v>14</v>
      </c>
      <c r="DK177" s="913">
        <f t="shared" si="375"/>
        <v>45723</v>
      </c>
      <c r="DL177" s="912">
        <f t="shared" si="416"/>
        <v>16</v>
      </c>
      <c r="DM177" s="750" t="s">
        <v>272</v>
      </c>
      <c r="DN177" s="750" t="s">
        <v>273</v>
      </c>
      <c r="DO177" s="751">
        <f t="shared" si="376"/>
        <v>47997.578273278748</v>
      </c>
      <c r="DP177" s="751">
        <f t="shared" si="377"/>
        <v>1055946.7220121324</v>
      </c>
      <c r="DQ177" s="752">
        <f t="shared" si="452"/>
        <v>0.52797336100606618</v>
      </c>
      <c r="DS177" s="751">
        <f t="shared" si="453"/>
        <v>3275176.5331386821</v>
      </c>
      <c r="DT177" s="751">
        <f>'[4]INTERNAL PRICELIST'!N171</f>
        <v>0</v>
      </c>
      <c r="DU177" s="751">
        <f t="shared" si="378"/>
        <v>3275176.5331386821</v>
      </c>
      <c r="DW177" s="951">
        <f t="shared" si="454"/>
        <v>148871.66059721282</v>
      </c>
      <c r="DZ177" s="1010" t="s">
        <v>627</v>
      </c>
      <c r="EA177" s="1011" t="b">
        <f t="shared" si="379"/>
        <v>1</v>
      </c>
      <c r="EB177" s="1011"/>
      <c r="EC177" s="1011"/>
      <c r="ER177" s="1017" t="s">
        <v>264</v>
      </c>
      <c r="ES177" s="1391" t="s">
        <v>264</v>
      </c>
      <c r="ET177" s="1018" t="b">
        <f t="shared" si="417"/>
        <v>1</v>
      </c>
      <c r="EX177" s="1019">
        <v>3069135.7419336312</v>
      </c>
      <c r="EY177" s="1019">
        <f t="shared" si="464"/>
        <v>460370.36129004468</v>
      </c>
      <c r="EZ177" s="1019">
        <f t="shared" si="465"/>
        <v>2608765.3806435866</v>
      </c>
      <c r="FA177" s="1019">
        <f t="shared" si="466"/>
        <v>306913.57419336314</v>
      </c>
      <c r="FB177" s="1019">
        <f t="shared" si="467"/>
        <v>2762222.1677402682</v>
      </c>
      <c r="FC177" s="1019">
        <f t="shared" si="468"/>
        <v>153456.78709668154</v>
      </c>
      <c r="FD177" s="1020"/>
      <c r="FE177" s="1021"/>
      <c r="FF177" s="1022">
        <f t="shared" si="469"/>
        <v>2608765.3806435866</v>
      </c>
      <c r="FG177" s="1022">
        <f t="shared" si="470"/>
        <v>221745.05735470488</v>
      </c>
      <c r="FH177" s="1022">
        <f t="shared" si="471"/>
        <v>110872.52867735244</v>
      </c>
      <c r="FI177" s="1023">
        <f t="shared" si="472"/>
        <v>2762222.1677402682</v>
      </c>
      <c r="FJ177" s="1023">
        <f t="shared" si="473"/>
        <v>234788.88425792282</v>
      </c>
      <c r="FK177" s="1023">
        <f t="shared" si="474"/>
        <v>117394.44212896141</v>
      </c>
      <c r="FL177" s="1019">
        <f t="shared" si="475"/>
        <v>13043.826903217938</v>
      </c>
      <c r="FM177" s="1019">
        <f t="shared" si="476"/>
        <v>6521.9134516089689</v>
      </c>
      <c r="FN177" s="1019" t="str">
        <f t="shared" si="477"/>
        <v>VS</v>
      </c>
      <c r="FO177" s="1019">
        <f t="shared" si="478"/>
        <v>27537.409960060559</v>
      </c>
      <c r="FP177" s="1019">
        <f t="shared" si="479"/>
        <v>-21015.49650845159</v>
      </c>
      <c r="FQ177" s="1021"/>
      <c r="FR177" s="1021"/>
      <c r="FS177" s="1020"/>
      <c r="FT177" s="1055">
        <f t="shared" si="515"/>
        <v>2762222.1677402682</v>
      </c>
      <c r="FU177" s="1056"/>
      <c r="FV177" s="1056"/>
      <c r="GG177" s="956"/>
      <c r="GI177" s="1024">
        <f t="shared" si="418"/>
        <v>3725513.3064452512</v>
      </c>
      <c r="GJ177" s="1025">
        <f t="shared" si="419"/>
        <v>0.125</v>
      </c>
      <c r="GK177" s="1024">
        <f t="shared" si="420"/>
        <v>465689.1633056564</v>
      </c>
      <c r="GL177" s="1024">
        <f t="shared" si="421"/>
        <v>30000</v>
      </c>
      <c r="GM177" s="1024">
        <f t="shared" si="422"/>
        <v>435689.1633056564</v>
      </c>
      <c r="GN177" s="1024">
        <f t="shared" si="423"/>
        <v>2</v>
      </c>
      <c r="GO177" s="1024">
        <f t="shared" si="424"/>
        <v>217844.5816528282</v>
      </c>
      <c r="GP177" s="1025">
        <f t="shared" si="425"/>
        <v>0.875</v>
      </c>
      <c r="GQ177" s="1024">
        <f t="shared" si="426"/>
        <v>3259824.1431395947</v>
      </c>
      <c r="GR177" s="1024">
        <f t="shared" si="427"/>
        <v>25273.381884808376</v>
      </c>
      <c r="GS177" s="1024">
        <f t="shared" si="428"/>
        <v>29300.220978611567</v>
      </c>
      <c r="GT177" s="1024">
        <f t="shared" si="429"/>
        <v>37849.322378009259</v>
      </c>
      <c r="GU177" s="1024">
        <f t="shared" si="430"/>
        <v>64548.425064931922</v>
      </c>
      <c r="GW177" s="1024">
        <f t="shared" si="431"/>
        <v>3725513.3064452512</v>
      </c>
      <c r="GX177" s="1025">
        <f t="shared" si="432"/>
        <v>0.125</v>
      </c>
      <c r="GY177" s="1024">
        <f t="shared" si="433"/>
        <v>465689.1633056564</v>
      </c>
      <c r="GZ177" s="1024">
        <f t="shared" si="434"/>
        <v>30000</v>
      </c>
      <c r="HA177" s="1024">
        <f t="shared" si="435"/>
        <v>435689.1633056564</v>
      </c>
      <c r="HB177" s="1026">
        <f t="shared" si="436"/>
        <v>25</v>
      </c>
      <c r="HC177" s="1009">
        <f t="shared" si="437"/>
        <v>17427.566532226258</v>
      </c>
      <c r="HD177" s="1027">
        <f t="shared" si="438"/>
        <v>0.875</v>
      </c>
      <c r="HE177" s="1009">
        <f t="shared" si="439"/>
        <v>3259824.1431395947</v>
      </c>
      <c r="HF177" s="1008">
        <f t="shared" si="440"/>
        <v>25273.381884808376</v>
      </c>
      <c r="HG177" s="1008">
        <f t="shared" si="441"/>
        <v>29300.220978611567</v>
      </c>
      <c r="HH177" s="1008">
        <f t="shared" si="442"/>
        <v>37849.322378009259</v>
      </c>
      <c r="HI177" s="1008">
        <f t="shared" si="443"/>
        <v>64548.425064931922</v>
      </c>
      <c r="HK177" s="1009">
        <f t="shared" si="444"/>
        <v>-200417.01512060195</v>
      </c>
      <c r="HR177" s="956">
        <f t="shared" si="445"/>
        <v>0</v>
      </c>
      <c r="HU177" s="956"/>
      <c r="HW177" s="956"/>
      <c r="HX177" s="956"/>
    </row>
    <row r="178" spans="1:232" ht="14.25" hidden="1" customHeight="1">
      <c r="A178" s="1018">
        <f t="shared" si="480"/>
        <v>172</v>
      </c>
      <c r="B178" s="716"/>
      <c r="C178" s="741">
        <f t="shared" si="512"/>
        <v>16</v>
      </c>
      <c r="D178" s="716" t="s">
        <v>294</v>
      </c>
      <c r="E178" s="743" t="str">
        <f t="shared" si="352"/>
        <v>11th Floor</v>
      </c>
      <c r="F178" s="1048"/>
      <c r="G178" s="745" t="s">
        <v>628</v>
      </c>
      <c r="H178" s="745" t="s">
        <v>345</v>
      </c>
      <c r="I178" s="745" t="s">
        <v>267</v>
      </c>
      <c r="J178" s="1005">
        <v>22</v>
      </c>
      <c r="K178" s="1049"/>
      <c r="L178" s="1006" t="s">
        <v>268</v>
      </c>
      <c r="M178" s="745" t="s">
        <v>79</v>
      </c>
      <c r="N178" s="1050">
        <v>95909.091</v>
      </c>
      <c r="O178" s="934">
        <f t="shared" si="455"/>
        <v>2110000.0019999999</v>
      </c>
      <c r="P178" s="934">
        <f t="shared" si="481"/>
        <v>22400</v>
      </c>
      <c r="Q178" s="934">
        <f t="shared" si="450"/>
        <v>50000</v>
      </c>
      <c r="R178" s="934"/>
      <c r="S178" s="934"/>
      <c r="T178" s="934"/>
      <c r="U178" s="934"/>
      <c r="V178" s="749"/>
      <c r="W178" s="934"/>
      <c r="X178" s="934"/>
      <c r="Y178" s="934">
        <f t="shared" si="513"/>
        <v>140000</v>
      </c>
      <c r="Z178" s="934">
        <f t="shared" si="456"/>
        <v>75000</v>
      </c>
      <c r="AA178" s="934"/>
      <c r="AB178" s="934"/>
      <c r="AC178" s="934"/>
      <c r="AD178" s="934"/>
      <c r="AE178" s="934">
        <f t="shared" si="365"/>
        <v>287400</v>
      </c>
      <c r="AF178" s="1005">
        <f t="shared" si="366"/>
        <v>2397400.0019999999</v>
      </c>
      <c r="AG178" s="1005">
        <f t="shared" si="380"/>
        <v>59935.000050000002</v>
      </c>
      <c r="AH178" s="1005">
        <f t="shared" si="381"/>
        <v>2457335.0020499998</v>
      </c>
      <c r="AI178" s="1005">
        <f t="shared" si="382"/>
        <v>61433.375051249997</v>
      </c>
      <c r="AJ178" s="1005">
        <f t="shared" si="383"/>
        <v>2518768.37710125</v>
      </c>
      <c r="AK178" s="1005">
        <f t="shared" si="384"/>
        <v>125938.41885506251</v>
      </c>
      <c r="AL178" s="1005">
        <f t="shared" si="457"/>
        <v>2644706.7959563127</v>
      </c>
      <c r="AM178" s="934">
        <f t="shared" si="385"/>
        <v>26447.067959563126</v>
      </c>
      <c r="AN178" s="934">
        <f t="shared" si="386"/>
        <v>27537.409960060559</v>
      </c>
      <c r="AO178" s="934"/>
      <c r="AP178" s="934">
        <f t="shared" si="458"/>
        <v>117394.44212896141</v>
      </c>
      <c r="AQ178" s="1005">
        <f t="shared" si="367"/>
        <v>2816085.7160048978</v>
      </c>
      <c r="AR178" s="1005">
        <f t="shared" si="387"/>
        <v>126723.85722022039</v>
      </c>
      <c r="AS178" s="1147">
        <f t="shared" si="388"/>
        <v>2942809.5732251182</v>
      </c>
      <c r="AT178" s="1148">
        <f t="shared" si="459"/>
        <v>2000000</v>
      </c>
      <c r="AU178" s="1148">
        <f t="shared" si="514"/>
        <v>42854.980601141739</v>
      </c>
      <c r="AV178" s="1148">
        <f t="shared" si="460"/>
        <v>942809.57322511822</v>
      </c>
      <c r="AW178" s="1148">
        <f t="shared" si="368"/>
        <v>113137.14878701419</v>
      </c>
      <c r="AX178" s="1148">
        <f t="shared" si="369"/>
        <v>1055946.7220121324</v>
      </c>
      <c r="AY178" s="1147">
        <f t="shared" si="389"/>
        <v>3055946.7220121324</v>
      </c>
      <c r="AZ178" s="934">
        <f t="shared" si="390"/>
        <v>38199.334025151657</v>
      </c>
      <c r="BA178" s="716" t="s">
        <v>269</v>
      </c>
      <c r="BB178" s="716">
        <f t="shared" si="370"/>
        <v>3094146.056037284</v>
      </c>
      <c r="BC178" s="716" t="s">
        <v>269</v>
      </c>
      <c r="BD178" s="716">
        <f t="shared" si="391"/>
        <v>116030.47710139815</v>
      </c>
      <c r="BE178" s="716">
        <f t="shared" si="392"/>
        <v>33600</v>
      </c>
      <c r="BF178" s="716">
        <f t="shared" si="393"/>
        <v>3243776.5331386821</v>
      </c>
      <c r="BG178" s="716"/>
      <c r="BH178" s="716">
        <f t="shared" si="394"/>
        <v>3243776.5331386821</v>
      </c>
      <c r="BI178" s="716"/>
      <c r="BJ178" s="716">
        <f t="shared" si="395"/>
        <v>3243776.5331386821</v>
      </c>
      <c r="BK178" s="716"/>
      <c r="BL178" s="716">
        <f t="shared" si="396"/>
        <v>3243776.5331386821</v>
      </c>
      <c r="BM178" s="716"/>
      <c r="BN178" s="716">
        <f t="shared" si="371"/>
        <v>3243776.5331386821</v>
      </c>
      <c r="BO178" s="716"/>
      <c r="BP178" s="716">
        <f t="shared" si="397"/>
        <v>3243776.5331386821</v>
      </c>
      <c r="BQ178" s="716"/>
      <c r="BR178" s="716">
        <f t="shared" si="398"/>
        <v>3243776.5331386821</v>
      </c>
      <c r="BS178" s="716"/>
      <c r="BT178" s="716">
        <f t="shared" si="399"/>
        <v>3243776.5331386821</v>
      </c>
      <c r="BU178" s="716"/>
      <c r="BV178" s="716">
        <f t="shared" si="372"/>
        <v>3243776.5331386821</v>
      </c>
      <c r="BW178" s="716"/>
      <c r="BX178" s="716">
        <f t="shared" si="489"/>
        <v>31400</v>
      </c>
      <c r="BY178" s="716">
        <f t="shared" si="400"/>
        <v>3275176.5331386821</v>
      </c>
      <c r="BZ178" s="716"/>
      <c r="CA178" s="716">
        <f t="shared" si="401"/>
        <v>3275176.5331386821</v>
      </c>
      <c r="CB178" s="1135">
        <f t="shared" si="402"/>
        <v>3275176.5331386821</v>
      </c>
      <c r="CC178" s="1164">
        <f t="shared" si="446"/>
        <v>3275176.5331386821</v>
      </c>
      <c r="CD178" s="1164"/>
      <c r="CE178" s="1164">
        <f t="shared" si="403"/>
        <v>0</v>
      </c>
      <c r="CF178" s="1164">
        <f t="shared" si="448"/>
        <v>0</v>
      </c>
      <c r="CG178" s="1164">
        <f t="shared" si="449"/>
        <v>0</v>
      </c>
      <c r="CH178" s="1154">
        <f t="shared" si="506"/>
        <v>3275176.5331386821</v>
      </c>
      <c r="CI178" s="935">
        <f t="shared" si="507"/>
        <v>3275176.5331386821</v>
      </c>
      <c r="CJ178" s="935">
        <f t="shared" si="404"/>
        <v>0</v>
      </c>
      <c r="CK178" s="935">
        <f t="shared" si="373"/>
        <v>335705.59464671492</v>
      </c>
      <c r="CL178" s="935">
        <f t="shared" si="374"/>
        <v>114631.17865985389</v>
      </c>
      <c r="CM178" s="1006">
        <f t="shared" si="461"/>
        <v>3725513.3064452512</v>
      </c>
      <c r="CN178" s="1007">
        <f t="shared" si="462"/>
        <v>0.125</v>
      </c>
      <c r="CO178" s="935">
        <f t="shared" si="498"/>
        <v>465689.1633056564</v>
      </c>
      <c r="CP178" s="935">
        <f t="shared" si="490"/>
        <v>30000</v>
      </c>
      <c r="CQ178" s="935">
        <f t="shared" si="499"/>
        <v>435689.1633056564</v>
      </c>
      <c r="CR178" s="745">
        <f t="shared" si="463"/>
        <v>2</v>
      </c>
      <c r="CS178" s="935">
        <f t="shared" si="500"/>
        <v>217844.5816528282</v>
      </c>
      <c r="CT178" s="1007">
        <f t="shared" si="405"/>
        <v>0.875</v>
      </c>
      <c r="CU178" s="935">
        <f t="shared" si="406"/>
        <v>3259824.1431395947</v>
      </c>
      <c r="CV178" s="1008">
        <f t="shared" si="407"/>
        <v>25273.381884808376</v>
      </c>
      <c r="CW178" s="1008">
        <f t="shared" si="408"/>
        <v>29300.220978611567</v>
      </c>
      <c r="CX178" s="1008">
        <f t="shared" si="409"/>
        <v>37849.322378009259</v>
      </c>
      <c r="CY178" s="1008">
        <f t="shared" si="410"/>
        <v>64548.425064931922</v>
      </c>
      <c r="CZ178" s="1119">
        <f t="shared" si="411"/>
        <v>264805.87654483714</v>
      </c>
      <c r="DA178" s="1119">
        <f t="shared" si="412"/>
        <v>104782.39540530783</v>
      </c>
      <c r="DB178" s="1119">
        <f t="shared" si="413"/>
        <v>75682.840147796887</v>
      </c>
      <c r="DC178" s="1119">
        <f t="shared" si="414"/>
        <v>57598.125610479379</v>
      </c>
      <c r="DD178" s="1028">
        <f t="shared" si="451"/>
        <v>0.47140478661255913</v>
      </c>
      <c r="DE178" s="1028">
        <f t="shared" si="508"/>
        <v>0</v>
      </c>
      <c r="DF178" s="1009" t="s">
        <v>270</v>
      </c>
      <c r="DG178" s="1009" t="s">
        <v>271</v>
      </c>
      <c r="DH178" s="966">
        <f t="shared" si="447"/>
        <v>45658</v>
      </c>
      <c r="DI178" s="912">
        <f t="shared" si="415"/>
        <v>14</v>
      </c>
      <c r="DK178" s="913">
        <f t="shared" si="375"/>
        <v>45723</v>
      </c>
      <c r="DL178" s="912">
        <f t="shared" si="416"/>
        <v>16</v>
      </c>
      <c r="DM178" s="750" t="s">
        <v>272</v>
      </c>
      <c r="DN178" s="750" t="s">
        <v>273</v>
      </c>
      <c r="DO178" s="751">
        <f t="shared" si="376"/>
        <v>47997.578273278748</v>
      </c>
      <c r="DP178" s="751">
        <f t="shared" si="377"/>
        <v>1055946.7220121324</v>
      </c>
      <c r="DQ178" s="752">
        <f t="shared" si="452"/>
        <v>0.52797336100606618</v>
      </c>
      <c r="DS178" s="751">
        <f t="shared" si="453"/>
        <v>3275176.5331386821</v>
      </c>
      <c r="DT178" s="751">
        <f>'[4]INTERNAL PRICELIST'!N172</f>
        <v>0</v>
      </c>
      <c r="DU178" s="751">
        <f t="shared" si="378"/>
        <v>3275176.5331386821</v>
      </c>
      <c r="DW178" s="951">
        <f t="shared" si="454"/>
        <v>148871.66059721282</v>
      </c>
      <c r="DZ178" s="1010" t="s">
        <v>628</v>
      </c>
      <c r="EA178" s="1011" t="b">
        <f t="shared" si="379"/>
        <v>1</v>
      </c>
      <c r="EB178" s="1011"/>
      <c r="EC178" s="1011"/>
      <c r="ER178" s="1017" t="s">
        <v>264</v>
      </c>
      <c r="ES178" s="1391" t="s">
        <v>264</v>
      </c>
      <c r="ET178" s="1018" t="b">
        <f t="shared" si="417"/>
        <v>1</v>
      </c>
      <c r="EX178" s="1019">
        <v>3069135.7419336312</v>
      </c>
      <c r="EY178" s="1019">
        <f t="shared" si="464"/>
        <v>460370.36129004468</v>
      </c>
      <c r="EZ178" s="1019">
        <f t="shared" si="465"/>
        <v>2608765.3806435866</v>
      </c>
      <c r="FA178" s="1019">
        <f t="shared" si="466"/>
        <v>306913.57419336314</v>
      </c>
      <c r="FB178" s="1019">
        <f t="shared" si="467"/>
        <v>2762222.1677402682</v>
      </c>
      <c r="FC178" s="1019">
        <f t="shared" si="468"/>
        <v>153456.78709668154</v>
      </c>
      <c r="FD178" s="1020"/>
      <c r="FE178" s="1021"/>
      <c r="FF178" s="1022">
        <f t="shared" si="469"/>
        <v>2608765.3806435866</v>
      </c>
      <c r="FG178" s="1022">
        <f t="shared" si="470"/>
        <v>221745.05735470488</v>
      </c>
      <c r="FH178" s="1022">
        <f t="shared" si="471"/>
        <v>110872.52867735244</v>
      </c>
      <c r="FI178" s="1023">
        <f t="shared" si="472"/>
        <v>2762222.1677402682</v>
      </c>
      <c r="FJ178" s="1023">
        <f t="shared" si="473"/>
        <v>234788.88425792282</v>
      </c>
      <c r="FK178" s="1023">
        <f t="shared" si="474"/>
        <v>117394.44212896141</v>
      </c>
      <c r="FL178" s="1019">
        <f t="shared" si="475"/>
        <v>13043.826903217938</v>
      </c>
      <c r="FM178" s="1019">
        <f t="shared" si="476"/>
        <v>6521.9134516089689</v>
      </c>
      <c r="FN178" s="1019" t="str">
        <f t="shared" si="477"/>
        <v>VS</v>
      </c>
      <c r="FO178" s="1019">
        <f t="shared" si="478"/>
        <v>27537.409960060559</v>
      </c>
      <c r="FP178" s="1019">
        <f t="shared" si="479"/>
        <v>-21015.49650845159</v>
      </c>
      <c r="FQ178" s="1021"/>
      <c r="FR178" s="1021"/>
      <c r="FS178" s="1020"/>
      <c r="FT178" s="1055">
        <f t="shared" si="515"/>
        <v>2762222.1677402682</v>
      </c>
      <c r="FU178" s="1056"/>
      <c r="FV178" s="1056"/>
      <c r="GG178" s="956"/>
      <c r="GI178" s="1024">
        <f t="shared" si="418"/>
        <v>3725513.3064452512</v>
      </c>
      <c r="GJ178" s="1025">
        <f t="shared" si="419"/>
        <v>0.125</v>
      </c>
      <c r="GK178" s="1024">
        <f t="shared" si="420"/>
        <v>465689.1633056564</v>
      </c>
      <c r="GL178" s="1024">
        <f t="shared" si="421"/>
        <v>30000</v>
      </c>
      <c r="GM178" s="1024">
        <f t="shared" si="422"/>
        <v>435689.1633056564</v>
      </c>
      <c r="GN178" s="1024">
        <f t="shared" si="423"/>
        <v>2</v>
      </c>
      <c r="GO178" s="1024">
        <f t="shared" si="424"/>
        <v>217844.5816528282</v>
      </c>
      <c r="GP178" s="1025">
        <f t="shared" si="425"/>
        <v>0.875</v>
      </c>
      <c r="GQ178" s="1024">
        <f t="shared" si="426"/>
        <v>3259824.1431395947</v>
      </c>
      <c r="GR178" s="1024">
        <f t="shared" si="427"/>
        <v>25273.381884808376</v>
      </c>
      <c r="GS178" s="1024">
        <f t="shared" si="428"/>
        <v>29300.220978611567</v>
      </c>
      <c r="GT178" s="1024">
        <f t="shared" si="429"/>
        <v>37849.322378009259</v>
      </c>
      <c r="GU178" s="1024">
        <f t="shared" si="430"/>
        <v>64548.425064931922</v>
      </c>
      <c r="GW178" s="1024">
        <f t="shared" si="431"/>
        <v>3725513.3064452512</v>
      </c>
      <c r="GX178" s="1025">
        <f t="shared" si="432"/>
        <v>0.125</v>
      </c>
      <c r="GY178" s="1024">
        <f t="shared" si="433"/>
        <v>465689.1633056564</v>
      </c>
      <c r="GZ178" s="1024">
        <f t="shared" si="434"/>
        <v>30000</v>
      </c>
      <c r="HA178" s="1024">
        <f t="shared" si="435"/>
        <v>435689.1633056564</v>
      </c>
      <c r="HB178" s="1026">
        <f t="shared" si="436"/>
        <v>25</v>
      </c>
      <c r="HC178" s="1009">
        <f t="shared" si="437"/>
        <v>17427.566532226258</v>
      </c>
      <c r="HD178" s="1027">
        <f t="shared" si="438"/>
        <v>0.875</v>
      </c>
      <c r="HE178" s="1009">
        <f t="shared" si="439"/>
        <v>3259824.1431395947</v>
      </c>
      <c r="HF178" s="1008">
        <f t="shared" si="440"/>
        <v>25273.381884808376</v>
      </c>
      <c r="HG178" s="1008">
        <f t="shared" si="441"/>
        <v>29300.220978611567</v>
      </c>
      <c r="HH178" s="1008">
        <f t="shared" si="442"/>
        <v>37849.322378009259</v>
      </c>
      <c r="HI178" s="1008">
        <f t="shared" si="443"/>
        <v>64548.425064931922</v>
      </c>
      <c r="HK178" s="1009">
        <f t="shared" si="444"/>
        <v>-200417.01512060195</v>
      </c>
      <c r="HR178" s="956">
        <f t="shared" si="445"/>
        <v>0</v>
      </c>
      <c r="HU178" s="956"/>
      <c r="HW178" s="956"/>
      <c r="HX178" s="956"/>
    </row>
    <row r="179" spans="1:232" ht="14.25" customHeight="1">
      <c r="A179" s="1018">
        <f t="shared" si="480"/>
        <v>173</v>
      </c>
      <c r="B179" s="716"/>
      <c r="C179" s="741">
        <f t="shared" si="512"/>
        <v>17</v>
      </c>
      <c r="D179" s="716" t="s">
        <v>294</v>
      </c>
      <c r="E179" s="743" t="str">
        <f t="shared" si="352"/>
        <v>11th Floor</v>
      </c>
      <c r="F179" s="1048"/>
      <c r="G179" s="745" t="s">
        <v>629</v>
      </c>
      <c r="H179" s="745" t="s">
        <v>349</v>
      </c>
      <c r="I179" s="745" t="s">
        <v>267</v>
      </c>
      <c r="J179" s="1005">
        <v>22</v>
      </c>
      <c r="K179" s="1049"/>
      <c r="L179" s="1006" t="s">
        <v>268</v>
      </c>
      <c r="M179" s="745" t="s">
        <v>79</v>
      </c>
      <c r="N179" s="1050">
        <v>95909.091</v>
      </c>
      <c r="O179" s="934">
        <f t="shared" si="455"/>
        <v>2110000.0019999999</v>
      </c>
      <c r="P179" s="934">
        <f t="shared" si="481"/>
        <v>22400</v>
      </c>
      <c r="Q179" s="934">
        <f t="shared" si="450"/>
        <v>50000</v>
      </c>
      <c r="R179" s="934"/>
      <c r="S179" s="934"/>
      <c r="T179" s="934"/>
      <c r="U179" s="934"/>
      <c r="V179" s="749"/>
      <c r="W179" s="934"/>
      <c r="X179" s="934"/>
      <c r="Y179" s="934">
        <f t="shared" si="513"/>
        <v>140000</v>
      </c>
      <c r="Z179" s="934">
        <f t="shared" si="456"/>
        <v>75000</v>
      </c>
      <c r="AA179" s="934"/>
      <c r="AB179" s="934"/>
      <c r="AC179" s="934"/>
      <c r="AD179" s="934"/>
      <c r="AE179" s="934">
        <f t="shared" si="365"/>
        <v>287400</v>
      </c>
      <c r="AF179" s="1005">
        <f t="shared" si="366"/>
        <v>2397400.0019999999</v>
      </c>
      <c r="AG179" s="1005">
        <f t="shared" si="380"/>
        <v>59935.000050000002</v>
      </c>
      <c r="AH179" s="1005">
        <f t="shared" si="381"/>
        <v>2457335.0020499998</v>
      </c>
      <c r="AI179" s="1005">
        <f t="shared" si="382"/>
        <v>61433.375051249997</v>
      </c>
      <c r="AJ179" s="1005">
        <f t="shared" si="383"/>
        <v>2518768.37710125</v>
      </c>
      <c r="AK179" s="1005">
        <f t="shared" si="384"/>
        <v>125938.41885506251</v>
      </c>
      <c r="AL179" s="1005">
        <f t="shared" si="457"/>
        <v>2644706.7959563127</v>
      </c>
      <c r="AM179" s="934">
        <f t="shared" si="385"/>
        <v>26447.067959563126</v>
      </c>
      <c r="AN179" s="934">
        <f t="shared" si="386"/>
        <v>27537.409960060559</v>
      </c>
      <c r="AO179" s="934"/>
      <c r="AP179" s="934">
        <f t="shared" si="458"/>
        <v>117394.44212896141</v>
      </c>
      <c r="AQ179" s="1005">
        <f t="shared" si="367"/>
        <v>2816085.7160048978</v>
      </c>
      <c r="AR179" s="1005">
        <f t="shared" si="387"/>
        <v>126723.85722022039</v>
      </c>
      <c r="AS179" s="1147">
        <f t="shared" si="388"/>
        <v>2942809.5732251182</v>
      </c>
      <c r="AT179" s="1148">
        <f t="shared" si="459"/>
        <v>2000000</v>
      </c>
      <c r="AU179" s="1148">
        <f t="shared" si="514"/>
        <v>42854.980601141739</v>
      </c>
      <c r="AV179" s="1148">
        <f t="shared" si="460"/>
        <v>942809.57322511822</v>
      </c>
      <c r="AW179" s="1148">
        <f t="shared" si="368"/>
        <v>113137.14878701419</v>
      </c>
      <c r="AX179" s="1148">
        <f t="shared" si="369"/>
        <v>1055946.7220121324</v>
      </c>
      <c r="AY179" s="1147">
        <f t="shared" si="389"/>
        <v>3055946.7220121324</v>
      </c>
      <c r="AZ179" s="934">
        <f t="shared" si="390"/>
        <v>38199.334025151657</v>
      </c>
      <c r="BA179" s="716" t="s">
        <v>269</v>
      </c>
      <c r="BB179" s="716">
        <f t="shared" si="370"/>
        <v>3094146.056037284</v>
      </c>
      <c r="BC179" s="716" t="s">
        <v>269</v>
      </c>
      <c r="BD179" s="716">
        <f t="shared" si="391"/>
        <v>116030.47710139815</v>
      </c>
      <c r="BE179" s="716">
        <f t="shared" si="392"/>
        <v>33600</v>
      </c>
      <c r="BF179" s="716">
        <f t="shared" si="393"/>
        <v>3243776.5331386821</v>
      </c>
      <c r="BG179" s="716"/>
      <c r="BH179" s="716">
        <f t="shared" si="394"/>
        <v>3243776.5331386821</v>
      </c>
      <c r="BI179" s="716"/>
      <c r="BJ179" s="716">
        <f t="shared" si="395"/>
        <v>3243776.5331386821</v>
      </c>
      <c r="BK179" s="716"/>
      <c r="BL179" s="716">
        <f t="shared" si="396"/>
        <v>3243776.5331386821</v>
      </c>
      <c r="BM179" s="716"/>
      <c r="BN179" s="716">
        <f t="shared" si="371"/>
        <v>3243776.5331386821</v>
      </c>
      <c r="BO179" s="716"/>
      <c r="BP179" s="716">
        <f t="shared" si="397"/>
        <v>3243776.5331386821</v>
      </c>
      <c r="BQ179" s="716"/>
      <c r="BR179" s="716">
        <f t="shared" si="398"/>
        <v>3243776.5331386821</v>
      </c>
      <c r="BS179" s="716"/>
      <c r="BT179" s="716">
        <f t="shared" si="399"/>
        <v>3243776.5331386821</v>
      </c>
      <c r="BU179" s="716"/>
      <c r="BV179" s="716">
        <f t="shared" si="372"/>
        <v>3243776.5331386821</v>
      </c>
      <c r="BW179" s="716"/>
      <c r="BX179" s="716">
        <f t="shared" si="489"/>
        <v>31400</v>
      </c>
      <c r="BY179" s="716">
        <f t="shared" si="400"/>
        <v>3275176.5331386821</v>
      </c>
      <c r="BZ179" s="716">
        <f>$BZ$5/20</f>
        <v>33654.337039807535</v>
      </c>
      <c r="CA179" s="716">
        <f t="shared" si="401"/>
        <v>3308830.8701784895</v>
      </c>
      <c r="CB179" s="1135">
        <f>CA179</f>
        <v>3308830.8701784895</v>
      </c>
      <c r="CC179" s="1164">
        <f t="shared" si="446"/>
        <v>3308830.8701784895</v>
      </c>
      <c r="CD179" s="1164"/>
      <c r="CE179" s="1164">
        <f t="shared" si="403"/>
        <v>0</v>
      </c>
      <c r="CF179" s="1164">
        <f t="shared" si="448"/>
        <v>0</v>
      </c>
      <c r="CG179" s="1164">
        <f t="shared" si="449"/>
        <v>0</v>
      </c>
      <c r="CH179" s="1154">
        <f t="shared" si="506"/>
        <v>3308830.8701784895</v>
      </c>
      <c r="CI179" s="935">
        <f t="shared" si="507"/>
        <v>3308830.8701784895</v>
      </c>
      <c r="CJ179" s="935">
        <f t="shared" si="404"/>
        <v>0</v>
      </c>
      <c r="CK179" s="935">
        <f t="shared" si="373"/>
        <v>339155.16419329518</v>
      </c>
      <c r="CL179" s="935">
        <f t="shared" si="374"/>
        <v>115809.08045624715</v>
      </c>
      <c r="CM179" s="1006">
        <f t="shared" si="461"/>
        <v>3763795.114828032</v>
      </c>
      <c r="CN179" s="1007">
        <f t="shared" si="462"/>
        <v>0.125</v>
      </c>
      <c r="CO179" s="935">
        <f t="shared" si="498"/>
        <v>470474.389353504</v>
      </c>
      <c r="CP179" s="935">
        <f t="shared" si="490"/>
        <v>30000</v>
      </c>
      <c r="CQ179" s="935">
        <f t="shared" si="499"/>
        <v>440474.389353504</v>
      </c>
      <c r="CR179" s="745">
        <v>1</v>
      </c>
      <c r="CS179" s="935">
        <f t="shared" si="500"/>
        <v>440474.389353504</v>
      </c>
      <c r="CT179" s="1007">
        <f t="shared" si="405"/>
        <v>0.875</v>
      </c>
      <c r="CU179" s="935">
        <f t="shared" si="406"/>
        <v>3293320.725474528</v>
      </c>
      <c r="CV179" s="1008">
        <f t="shared" si="407"/>
        <v>25533.080531119816</v>
      </c>
      <c r="CW179" s="1008">
        <f t="shared" si="408"/>
        <v>29601.297730407307</v>
      </c>
      <c r="CX179" s="1008">
        <f t="shared" si="409"/>
        <v>38238.246101402314</v>
      </c>
      <c r="CY179" s="1008">
        <f t="shared" si="410"/>
        <v>65211.697542169102</v>
      </c>
      <c r="CZ179" s="1119">
        <f t="shared" si="411"/>
        <v>267526.91039726924</v>
      </c>
      <c r="DA179" s="1119">
        <f t="shared" si="412"/>
        <v>105859.09524579832</v>
      </c>
      <c r="DB179" s="1119">
        <f t="shared" si="413"/>
        <v>76460.525193073801</v>
      </c>
      <c r="DC179" s="1119">
        <f t="shared" si="414"/>
        <v>58189.979732705455</v>
      </c>
      <c r="DD179" s="1028">
        <f t="shared" si="451"/>
        <v>0.47140478661255913</v>
      </c>
      <c r="DE179" s="1028">
        <f t="shared" si="508"/>
        <v>0</v>
      </c>
      <c r="DF179" s="1009" t="s">
        <v>270</v>
      </c>
      <c r="DG179" s="1009" t="s">
        <v>271</v>
      </c>
      <c r="DH179" s="966">
        <f t="shared" si="447"/>
        <v>45658</v>
      </c>
      <c r="DI179" s="912">
        <f t="shared" si="415"/>
        <v>14</v>
      </c>
      <c r="DK179" s="913">
        <f t="shared" si="375"/>
        <v>45723</v>
      </c>
      <c r="DL179" s="912">
        <f t="shared" si="416"/>
        <v>16</v>
      </c>
      <c r="DM179" s="750" t="s">
        <v>272</v>
      </c>
      <c r="DN179" s="750" t="s">
        <v>273</v>
      </c>
      <c r="DO179" s="751">
        <f t="shared" si="376"/>
        <v>47997.578273278748</v>
      </c>
      <c r="DP179" s="751">
        <f t="shared" si="377"/>
        <v>1055946.7220121324</v>
      </c>
      <c r="DQ179" s="752">
        <f t="shared" si="452"/>
        <v>0.52797336100606618</v>
      </c>
      <c r="DS179" s="751">
        <f t="shared" si="453"/>
        <v>3308830.8701784895</v>
      </c>
      <c r="DT179" s="751">
        <f>'[4]INTERNAL PRICELIST'!N173</f>
        <v>0</v>
      </c>
      <c r="DU179" s="751">
        <f t="shared" si="378"/>
        <v>3308830.8701784895</v>
      </c>
      <c r="DW179" s="951">
        <f t="shared" si="454"/>
        <v>150401.40318993133</v>
      </c>
      <c r="DZ179" s="1010" t="s">
        <v>629</v>
      </c>
      <c r="EA179" s="1011" t="b">
        <f t="shared" si="379"/>
        <v>1</v>
      </c>
      <c r="EB179" s="1011"/>
      <c r="EC179" s="1011"/>
      <c r="ER179" s="1017" t="s">
        <v>243</v>
      </c>
      <c r="ES179" s="1391" t="s">
        <v>243</v>
      </c>
      <c r="ET179" s="1018" t="b">
        <f t="shared" si="417"/>
        <v>1</v>
      </c>
      <c r="EX179" s="1019">
        <v>3069135.7419336312</v>
      </c>
      <c r="EY179" s="1019">
        <f t="shared" si="464"/>
        <v>460370.36129004468</v>
      </c>
      <c r="EZ179" s="1019">
        <f t="shared" si="465"/>
        <v>2608765.3806435866</v>
      </c>
      <c r="FA179" s="1019">
        <f t="shared" si="466"/>
        <v>306913.57419336314</v>
      </c>
      <c r="FB179" s="1019">
        <f t="shared" si="467"/>
        <v>2762222.1677402682</v>
      </c>
      <c r="FC179" s="1019">
        <f t="shared" si="468"/>
        <v>153456.78709668154</v>
      </c>
      <c r="FD179" s="1020"/>
      <c r="FE179" s="1021"/>
      <c r="FF179" s="1022">
        <f t="shared" si="469"/>
        <v>2608765.3806435866</v>
      </c>
      <c r="FG179" s="1022">
        <f t="shared" si="470"/>
        <v>221745.05735470488</v>
      </c>
      <c r="FH179" s="1022">
        <f t="shared" si="471"/>
        <v>110872.52867735244</v>
      </c>
      <c r="FI179" s="1023">
        <f t="shared" si="472"/>
        <v>2762222.1677402682</v>
      </c>
      <c r="FJ179" s="1023">
        <f t="shared" si="473"/>
        <v>234788.88425792282</v>
      </c>
      <c r="FK179" s="1023">
        <f t="shared" si="474"/>
        <v>117394.44212896141</v>
      </c>
      <c r="FL179" s="1019">
        <f t="shared" si="475"/>
        <v>13043.826903217938</v>
      </c>
      <c r="FM179" s="1019">
        <f t="shared" si="476"/>
        <v>6521.9134516089689</v>
      </c>
      <c r="FN179" s="1019" t="str">
        <f t="shared" si="477"/>
        <v>VS</v>
      </c>
      <c r="FO179" s="1019">
        <f t="shared" si="478"/>
        <v>27537.409960060559</v>
      </c>
      <c r="FP179" s="1019">
        <f t="shared" si="479"/>
        <v>-21015.49650845159</v>
      </c>
      <c r="FQ179" s="1021"/>
      <c r="FR179" s="1021"/>
      <c r="FS179" s="1020"/>
      <c r="FT179" s="1055">
        <f t="shared" si="515"/>
        <v>2762222.1677402682</v>
      </c>
      <c r="FU179" s="1056"/>
      <c r="FV179" s="1056"/>
      <c r="GG179" s="956"/>
      <c r="GI179" s="1024">
        <f t="shared" si="418"/>
        <v>3763795.114828032</v>
      </c>
      <c r="GJ179" s="1025">
        <f t="shared" si="419"/>
        <v>0.125</v>
      </c>
      <c r="GK179" s="1024">
        <f t="shared" si="420"/>
        <v>470474.389353504</v>
      </c>
      <c r="GL179" s="1024">
        <f t="shared" si="421"/>
        <v>30000</v>
      </c>
      <c r="GM179" s="1024">
        <f t="shared" si="422"/>
        <v>440474.389353504</v>
      </c>
      <c r="GN179" s="1024">
        <f t="shared" si="423"/>
        <v>1</v>
      </c>
      <c r="GO179" s="1024">
        <f t="shared" si="424"/>
        <v>440474.389353504</v>
      </c>
      <c r="GP179" s="1025">
        <f t="shared" si="425"/>
        <v>0.875</v>
      </c>
      <c r="GQ179" s="1024">
        <f t="shared" si="426"/>
        <v>3293320.725474528</v>
      </c>
      <c r="GR179" s="1024">
        <f t="shared" si="427"/>
        <v>25533.080531119816</v>
      </c>
      <c r="GS179" s="1024">
        <f t="shared" si="428"/>
        <v>29601.297730407307</v>
      </c>
      <c r="GT179" s="1024">
        <f t="shared" si="429"/>
        <v>38238.246101402314</v>
      </c>
      <c r="GU179" s="1024">
        <f t="shared" si="430"/>
        <v>65211.697542169102</v>
      </c>
      <c r="GW179" s="1024">
        <f t="shared" si="431"/>
        <v>3763795.114828032</v>
      </c>
      <c r="GX179" s="1025">
        <f t="shared" si="432"/>
        <v>0.125</v>
      </c>
      <c r="GY179" s="1024">
        <f t="shared" si="433"/>
        <v>470474.389353504</v>
      </c>
      <c r="GZ179" s="1024">
        <f t="shared" si="434"/>
        <v>30000</v>
      </c>
      <c r="HA179" s="1024">
        <f t="shared" si="435"/>
        <v>440474.389353504</v>
      </c>
      <c r="HB179" s="1026">
        <f t="shared" si="436"/>
        <v>25</v>
      </c>
      <c r="HC179" s="1009">
        <f t="shared" si="437"/>
        <v>17618.97557414016</v>
      </c>
      <c r="HD179" s="1027">
        <f t="shared" si="438"/>
        <v>0.875</v>
      </c>
      <c r="HE179" s="1009">
        <f t="shared" si="439"/>
        <v>3293320.725474528</v>
      </c>
      <c r="HF179" s="1008">
        <f t="shared" si="440"/>
        <v>25533.080531119816</v>
      </c>
      <c r="HG179" s="1008">
        <f t="shared" si="441"/>
        <v>29601.297730407307</v>
      </c>
      <c r="HH179" s="1008">
        <f t="shared" si="442"/>
        <v>38238.246101402314</v>
      </c>
      <c r="HI179" s="1008">
        <f t="shared" si="443"/>
        <v>65211.697542169102</v>
      </c>
      <c r="HK179" s="1009">
        <f t="shared" si="444"/>
        <v>-422855.41377936385</v>
      </c>
      <c r="HR179" s="956">
        <f t="shared" si="445"/>
        <v>0</v>
      </c>
      <c r="HU179" s="956"/>
      <c r="HW179" s="956"/>
      <c r="HX179" s="956"/>
    </row>
    <row r="180" spans="1:232" ht="14.25" hidden="1" customHeight="1">
      <c r="A180" s="1018">
        <f t="shared" si="480"/>
        <v>174</v>
      </c>
      <c r="B180" s="716"/>
      <c r="C180" s="741">
        <f t="shared" si="512"/>
        <v>18</v>
      </c>
      <c r="D180" s="716" t="s">
        <v>294</v>
      </c>
      <c r="E180" s="743" t="str">
        <f t="shared" ref="E180:E198" si="516">D180</f>
        <v>11th Floor</v>
      </c>
      <c r="F180" s="1048"/>
      <c r="G180" s="745" t="s">
        <v>630</v>
      </c>
      <c r="H180" s="745" t="s">
        <v>353</v>
      </c>
      <c r="I180" s="745" t="s">
        <v>267</v>
      </c>
      <c r="J180" s="1005">
        <v>22</v>
      </c>
      <c r="K180" s="1049"/>
      <c r="L180" s="1006" t="s">
        <v>268</v>
      </c>
      <c r="M180" s="745" t="s">
        <v>65</v>
      </c>
      <c r="N180" s="1050">
        <v>95909.091</v>
      </c>
      <c r="O180" s="934">
        <f t="shared" si="455"/>
        <v>2110000.0019999999</v>
      </c>
      <c r="P180" s="934">
        <f t="shared" si="481"/>
        <v>22400</v>
      </c>
      <c r="Q180" s="934">
        <f t="shared" si="450"/>
        <v>50000</v>
      </c>
      <c r="R180" s="934"/>
      <c r="S180" s="934"/>
      <c r="T180" s="934"/>
      <c r="U180" s="934"/>
      <c r="V180" s="749">
        <f t="shared" ref="V180:V181" si="517">J180*$V$5</f>
        <v>55000</v>
      </c>
      <c r="W180" s="934"/>
      <c r="X180" s="934"/>
      <c r="Y180" s="934">
        <f t="shared" si="513"/>
        <v>140000</v>
      </c>
      <c r="Z180" s="934">
        <f t="shared" si="456"/>
        <v>75000</v>
      </c>
      <c r="AA180" s="934"/>
      <c r="AB180" s="934"/>
      <c r="AC180" s="934"/>
      <c r="AD180" s="934"/>
      <c r="AE180" s="934">
        <f t="shared" si="365"/>
        <v>342400</v>
      </c>
      <c r="AF180" s="1005">
        <f t="shared" si="366"/>
        <v>2452400.0019999999</v>
      </c>
      <c r="AG180" s="1005">
        <f t="shared" si="380"/>
        <v>61310.000050000002</v>
      </c>
      <c r="AH180" s="1005">
        <f t="shared" si="381"/>
        <v>2513710.0020499998</v>
      </c>
      <c r="AI180" s="1005">
        <f t="shared" si="382"/>
        <v>62842.750051249997</v>
      </c>
      <c r="AJ180" s="1005">
        <f t="shared" si="383"/>
        <v>2576552.75210125</v>
      </c>
      <c r="AK180" s="1005">
        <f t="shared" si="384"/>
        <v>128827.63760506251</v>
      </c>
      <c r="AL180" s="1005">
        <f t="shared" si="457"/>
        <v>2705380.3897063127</v>
      </c>
      <c r="AM180" s="934">
        <f t="shared" si="385"/>
        <v>27053.803897063128</v>
      </c>
      <c r="AN180" s="934">
        <f t="shared" si="386"/>
        <v>27537.409960060559</v>
      </c>
      <c r="AO180" s="934"/>
      <c r="AP180" s="934">
        <f t="shared" si="458"/>
        <v>122527.46028064011</v>
      </c>
      <c r="AQ180" s="1005">
        <f t="shared" si="367"/>
        <v>2882499.0638440764</v>
      </c>
      <c r="AR180" s="1005">
        <f t="shared" si="387"/>
        <v>129712.45787298343</v>
      </c>
      <c r="AS180" s="1147">
        <f t="shared" si="388"/>
        <v>3012211.5217170599</v>
      </c>
      <c r="AT180" s="1148">
        <f t="shared" ref="AT180:AT181" si="518">AS180</f>
        <v>3012211.5217170599</v>
      </c>
      <c r="AU180" s="1148"/>
      <c r="AV180" s="1148"/>
      <c r="AW180" s="1148"/>
      <c r="AX180" s="1148">
        <f t="shared" si="369"/>
        <v>0</v>
      </c>
      <c r="AY180" s="1147">
        <f t="shared" si="389"/>
        <v>3012211.5217170599</v>
      </c>
      <c r="AZ180" s="934">
        <f t="shared" si="390"/>
        <v>37652.644021463253</v>
      </c>
      <c r="BA180" s="716" t="s">
        <v>269</v>
      </c>
      <c r="BB180" s="716">
        <f t="shared" si="370"/>
        <v>3049864.165738523</v>
      </c>
      <c r="BC180" s="716" t="s">
        <v>269</v>
      </c>
      <c r="BD180" s="716">
        <f t="shared" si="391"/>
        <v>114369.90621519461</v>
      </c>
      <c r="BE180" s="716">
        <f t="shared" si="392"/>
        <v>33600</v>
      </c>
      <c r="BF180" s="716">
        <f t="shared" si="393"/>
        <v>3197834.0719537176</v>
      </c>
      <c r="BG180" s="716"/>
      <c r="BH180" s="716">
        <f t="shared" si="394"/>
        <v>3197834.0719537176</v>
      </c>
      <c r="BI180" s="716"/>
      <c r="BJ180" s="716">
        <f t="shared" si="395"/>
        <v>3197834.0719537176</v>
      </c>
      <c r="BK180" s="716"/>
      <c r="BL180" s="716">
        <f t="shared" si="396"/>
        <v>3197834.0719537176</v>
      </c>
      <c r="BM180" s="716"/>
      <c r="BN180" s="716">
        <f t="shared" si="371"/>
        <v>3197834.0719537176</v>
      </c>
      <c r="BO180" s="716"/>
      <c r="BP180" s="716">
        <f t="shared" si="397"/>
        <v>3197834.0719537176</v>
      </c>
      <c r="BQ180" s="716"/>
      <c r="BR180" s="716">
        <f t="shared" si="398"/>
        <v>3197834.0719537176</v>
      </c>
      <c r="BS180" s="716"/>
      <c r="BT180" s="716">
        <f t="shared" si="399"/>
        <v>3197834.0719537176</v>
      </c>
      <c r="BU180" s="716"/>
      <c r="BV180" s="716">
        <f t="shared" si="372"/>
        <v>3197834.0719537176</v>
      </c>
      <c r="BW180" s="716"/>
      <c r="BX180" s="716">
        <f t="shared" si="489"/>
        <v>31400</v>
      </c>
      <c r="BY180" s="716">
        <f t="shared" si="400"/>
        <v>3229234.0719537176</v>
      </c>
      <c r="BZ180" s="716"/>
      <c r="CA180" s="716">
        <f t="shared" si="401"/>
        <v>3229234.0719537176</v>
      </c>
      <c r="CB180" s="1135">
        <f t="shared" si="402"/>
        <v>3229234.0719537176</v>
      </c>
      <c r="CC180" s="1164">
        <f t="shared" si="446"/>
        <v>3229234.0719537176</v>
      </c>
      <c r="CD180" s="1164"/>
      <c r="CE180" s="1164">
        <f t="shared" si="403"/>
        <v>0</v>
      </c>
      <c r="CF180" s="1164">
        <f t="shared" si="448"/>
        <v>0</v>
      </c>
      <c r="CG180" s="1164">
        <f t="shared" si="449"/>
        <v>0</v>
      </c>
      <c r="CH180" s="1154">
        <f t="shared" si="506"/>
        <v>3229234.0719537176</v>
      </c>
      <c r="CI180" s="935">
        <f t="shared" si="507"/>
        <v>3229234.0719537176</v>
      </c>
      <c r="CJ180" s="935">
        <f t="shared" si="404"/>
        <v>0</v>
      </c>
      <c r="CK180" s="935">
        <f t="shared" si="373"/>
        <v>330996.49237525603</v>
      </c>
      <c r="CL180" s="935">
        <f t="shared" si="374"/>
        <v>113023.19251838012</v>
      </c>
      <c r="CM180" s="1006">
        <f t="shared" si="461"/>
        <v>3673253.7568473537</v>
      </c>
      <c r="CN180" s="1007">
        <f t="shared" si="462"/>
        <v>0.125</v>
      </c>
      <c r="CO180" s="935">
        <f t="shared" si="498"/>
        <v>459156.71960591921</v>
      </c>
      <c r="CP180" s="935">
        <f t="shared" si="490"/>
        <v>30000</v>
      </c>
      <c r="CQ180" s="935">
        <f t="shared" si="499"/>
        <v>429156.71960591921</v>
      </c>
      <c r="CR180" s="745">
        <f t="shared" si="463"/>
        <v>2</v>
      </c>
      <c r="CS180" s="935">
        <f t="shared" si="500"/>
        <v>214578.3598029596</v>
      </c>
      <c r="CT180" s="1007">
        <f t="shared" si="405"/>
        <v>0.875</v>
      </c>
      <c r="CU180" s="935">
        <f t="shared" si="406"/>
        <v>3214097.0372414347</v>
      </c>
      <c r="CV180" s="1008">
        <f t="shared" si="407"/>
        <v>24918.860119490626</v>
      </c>
      <c r="CW180" s="1008">
        <f t="shared" si="408"/>
        <v>28889.212823356273</v>
      </c>
      <c r="CX180" s="1008">
        <f t="shared" si="409"/>
        <v>37318.391905518831</v>
      </c>
      <c r="CY180" s="1008">
        <f t="shared" si="410"/>
        <v>63642.973562366868</v>
      </c>
      <c r="CZ180" s="1119">
        <f t="shared" si="411"/>
        <v>261091.31838847024</v>
      </c>
      <c r="DA180" s="1119">
        <f t="shared" si="412"/>
        <v>103312.56283748511</v>
      </c>
      <c r="DB180" s="1119">
        <f t="shared" si="413"/>
        <v>74621.200901583215</v>
      </c>
      <c r="DC180" s="1119">
        <f t="shared" si="414"/>
        <v>56790.169268764192</v>
      </c>
      <c r="DD180" s="1028">
        <f t="shared" si="451"/>
        <v>0</v>
      </c>
      <c r="DE180" s="1028">
        <f t="shared" si="508"/>
        <v>0</v>
      </c>
      <c r="DF180" s="916" t="s">
        <v>512</v>
      </c>
      <c r="DG180" s="1009" t="s">
        <v>271</v>
      </c>
      <c r="DH180" s="966">
        <f t="shared" si="447"/>
        <v>45658</v>
      </c>
      <c r="DI180" s="912">
        <f t="shared" si="415"/>
        <v>14</v>
      </c>
      <c r="DK180" s="913">
        <f t="shared" si="375"/>
        <v>45723</v>
      </c>
      <c r="DL180" s="912">
        <f t="shared" si="416"/>
        <v>16</v>
      </c>
      <c r="DM180" s="750" t="s">
        <v>272</v>
      </c>
      <c r="DN180" s="750" t="s">
        <v>273</v>
      </c>
      <c r="DO180" s="751">
        <f t="shared" si="376"/>
        <v>0</v>
      </c>
      <c r="DP180" s="751">
        <f t="shared" si="377"/>
        <v>0</v>
      </c>
      <c r="DQ180" s="752">
        <f t="shared" si="452"/>
        <v>0</v>
      </c>
      <c r="DS180" s="751">
        <f t="shared" si="453"/>
        <v>3229234.0719537176</v>
      </c>
      <c r="DT180" s="751">
        <f>'[4]INTERNAL PRICELIST'!N174</f>
        <v>0</v>
      </c>
      <c r="DU180" s="751">
        <f t="shared" si="378"/>
        <v>3229234.0719537176</v>
      </c>
      <c r="DW180" s="951">
        <f t="shared" si="454"/>
        <v>146783.36690698715</v>
      </c>
      <c r="DZ180" s="1010" t="s">
        <v>630</v>
      </c>
      <c r="EA180" s="1011" t="b">
        <f t="shared" si="379"/>
        <v>1</v>
      </c>
      <c r="EB180" s="1011"/>
      <c r="EC180" s="1011"/>
      <c r="ER180" s="1017" t="s">
        <v>264</v>
      </c>
      <c r="ES180" s="1391" t="s">
        <v>264</v>
      </c>
      <c r="ET180" s="1018" t="b">
        <f t="shared" si="417"/>
        <v>1</v>
      </c>
      <c r="EX180" s="1019">
        <v>3203332.2949186955</v>
      </c>
      <c r="EY180" s="1019">
        <f t="shared" si="464"/>
        <v>480499.8442378043</v>
      </c>
      <c r="EZ180" s="1019">
        <f t="shared" si="465"/>
        <v>2722832.4506808911</v>
      </c>
      <c r="FA180" s="1019">
        <f t="shared" si="466"/>
        <v>320333.22949186957</v>
      </c>
      <c r="FB180" s="1019">
        <f t="shared" si="467"/>
        <v>2882999.065426826</v>
      </c>
      <c r="FC180" s="1019">
        <f t="shared" si="468"/>
        <v>160166.61474593496</v>
      </c>
      <c r="FD180" s="1020"/>
      <c r="FE180" s="1021"/>
      <c r="FF180" s="1022">
        <f t="shared" si="469"/>
        <v>2722832.4506808911</v>
      </c>
      <c r="FG180" s="1022">
        <f t="shared" si="470"/>
        <v>231440.75830787575</v>
      </c>
      <c r="FH180" s="1022">
        <f t="shared" si="471"/>
        <v>115720.37915393787</v>
      </c>
      <c r="FI180" s="1023">
        <f t="shared" si="472"/>
        <v>2882999.065426826</v>
      </c>
      <c r="FJ180" s="1023">
        <f t="shared" si="473"/>
        <v>245054.92056128022</v>
      </c>
      <c r="FK180" s="1023">
        <f t="shared" si="474"/>
        <v>122527.46028064011</v>
      </c>
      <c r="FL180" s="1019">
        <f t="shared" si="475"/>
        <v>13614.162253404473</v>
      </c>
      <c r="FM180" s="1019">
        <f t="shared" si="476"/>
        <v>6807.0811267022364</v>
      </c>
      <c r="FN180" s="1019" t="str">
        <f t="shared" si="477"/>
        <v>VS</v>
      </c>
      <c r="FO180" s="1019">
        <f t="shared" si="478"/>
        <v>27537.409960060559</v>
      </c>
      <c r="FP180" s="1019">
        <f t="shared" si="479"/>
        <v>-20730.328833358322</v>
      </c>
      <c r="FQ180" s="1021"/>
      <c r="FR180" s="1021"/>
      <c r="FS180" s="1020"/>
      <c r="FT180" s="1055">
        <f t="shared" si="515"/>
        <v>2882999.065426826</v>
      </c>
      <c r="FU180" s="1056"/>
      <c r="FV180" s="1056"/>
      <c r="GG180" s="956"/>
      <c r="GI180" s="1024">
        <f t="shared" si="418"/>
        <v>3673253.7568473537</v>
      </c>
      <c r="GJ180" s="1025">
        <f t="shared" si="419"/>
        <v>0.125</v>
      </c>
      <c r="GK180" s="1024">
        <f t="shared" si="420"/>
        <v>459156.71960591921</v>
      </c>
      <c r="GL180" s="1024">
        <f t="shared" si="421"/>
        <v>30000</v>
      </c>
      <c r="GM180" s="1024">
        <f t="shared" si="422"/>
        <v>429156.71960591921</v>
      </c>
      <c r="GN180" s="1024">
        <f t="shared" si="423"/>
        <v>2</v>
      </c>
      <c r="GO180" s="1024">
        <f t="shared" si="424"/>
        <v>214578.3598029596</v>
      </c>
      <c r="GP180" s="1025">
        <f t="shared" si="425"/>
        <v>0.875</v>
      </c>
      <c r="GQ180" s="1024">
        <f t="shared" si="426"/>
        <v>3214097.0372414347</v>
      </c>
      <c r="GR180" s="1024">
        <f t="shared" si="427"/>
        <v>24918.860119490626</v>
      </c>
      <c r="GS180" s="1024">
        <f t="shared" si="428"/>
        <v>28889.212823356273</v>
      </c>
      <c r="GT180" s="1024">
        <f t="shared" si="429"/>
        <v>37318.391905518831</v>
      </c>
      <c r="GU180" s="1024">
        <f t="shared" si="430"/>
        <v>63642.973562366868</v>
      </c>
      <c r="GW180" s="1024">
        <f t="shared" si="431"/>
        <v>3673253.7568473537</v>
      </c>
      <c r="GX180" s="1025">
        <f t="shared" si="432"/>
        <v>0.125</v>
      </c>
      <c r="GY180" s="1024">
        <f t="shared" si="433"/>
        <v>459156.71960591921</v>
      </c>
      <c r="GZ180" s="1024">
        <f t="shared" si="434"/>
        <v>30000</v>
      </c>
      <c r="HA180" s="1024">
        <f t="shared" si="435"/>
        <v>429156.71960591921</v>
      </c>
      <c r="HB180" s="1026">
        <f t="shared" si="436"/>
        <v>25</v>
      </c>
      <c r="HC180" s="1009">
        <f t="shared" si="437"/>
        <v>17166.268784236767</v>
      </c>
      <c r="HD180" s="1027">
        <f t="shared" si="438"/>
        <v>0.875</v>
      </c>
      <c r="HE180" s="1009">
        <f t="shared" si="439"/>
        <v>3214097.0372414347</v>
      </c>
      <c r="HF180" s="1008">
        <f t="shared" si="440"/>
        <v>24918.860119490626</v>
      </c>
      <c r="HG180" s="1008">
        <f t="shared" si="441"/>
        <v>28889.212823356273</v>
      </c>
      <c r="HH180" s="1008">
        <f t="shared" si="442"/>
        <v>37318.391905518831</v>
      </c>
      <c r="HI180" s="1008">
        <f t="shared" si="443"/>
        <v>63642.973562366868</v>
      </c>
      <c r="HK180" s="1009">
        <f t="shared" si="444"/>
        <v>-197412.09101872283</v>
      </c>
      <c r="HR180" s="956">
        <f t="shared" si="445"/>
        <v>0</v>
      </c>
      <c r="HU180" s="956"/>
      <c r="HW180" s="956"/>
      <c r="HX180" s="956"/>
    </row>
    <row r="181" spans="1:232" ht="14.25" hidden="1" customHeight="1">
      <c r="A181" s="1018">
        <f t="shared" si="480"/>
        <v>175</v>
      </c>
      <c r="B181" s="716"/>
      <c r="C181" s="741">
        <v>1</v>
      </c>
      <c r="D181" s="716" t="s">
        <v>297</v>
      </c>
      <c r="E181" s="743" t="str">
        <f t="shared" si="516"/>
        <v>12th Floor</v>
      </c>
      <c r="F181" s="1048"/>
      <c r="G181" s="745" t="s">
        <v>631</v>
      </c>
      <c r="H181" s="745" t="s">
        <v>266</v>
      </c>
      <c r="I181" s="745" t="s">
        <v>267</v>
      </c>
      <c r="J181" s="1005">
        <v>22</v>
      </c>
      <c r="K181" s="1049"/>
      <c r="L181" s="1006" t="s">
        <v>73</v>
      </c>
      <c r="M181" s="745" t="s">
        <v>65</v>
      </c>
      <c r="N181" s="1050">
        <v>95909.091</v>
      </c>
      <c r="O181" s="934">
        <f t="shared" si="455"/>
        <v>2110000.0019999999</v>
      </c>
      <c r="P181" s="934">
        <f t="shared" si="481"/>
        <v>22400</v>
      </c>
      <c r="Q181" s="934">
        <f t="shared" si="450"/>
        <v>50000</v>
      </c>
      <c r="R181" s="934"/>
      <c r="S181" s="934"/>
      <c r="T181" s="934"/>
      <c r="U181" s="934"/>
      <c r="V181" s="749">
        <f t="shared" si="517"/>
        <v>55000</v>
      </c>
      <c r="W181" s="934"/>
      <c r="X181" s="934"/>
      <c r="Y181" s="934">
        <f>Y180+Y5</f>
        <v>160000</v>
      </c>
      <c r="Z181" s="934">
        <f t="shared" si="456"/>
        <v>75000</v>
      </c>
      <c r="AA181" s="934"/>
      <c r="AB181" s="934"/>
      <c r="AC181" s="934"/>
      <c r="AD181" s="934"/>
      <c r="AE181" s="934">
        <f t="shared" si="365"/>
        <v>362400</v>
      </c>
      <c r="AF181" s="1005">
        <f t="shared" si="366"/>
        <v>2472400.0019999999</v>
      </c>
      <c r="AG181" s="1005">
        <f t="shared" si="380"/>
        <v>61810.000050000002</v>
      </c>
      <c r="AH181" s="1005">
        <f t="shared" si="381"/>
        <v>2534210.0020499998</v>
      </c>
      <c r="AI181" s="1005">
        <f t="shared" si="382"/>
        <v>63355.250051249997</v>
      </c>
      <c r="AJ181" s="1005">
        <f t="shared" si="383"/>
        <v>2597565.25210125</v>
      </c>
      <c r="AK181" s="1005">
        <f t="shared" si="384"/>
        <v>129878.26260506251</v>
      </c>
      <c r="AL181" s="1005">
        <f t="shared" si="457"/>
        <v>2727443.5147063127</v>
      </c>
      <c r="AM181" s="934">
        <f t="shared" si="385"/>
        <v>27274.435147063126</v>
      </c>
      <c r="AN181" s="934">
        <f t="shared" si="386"/>
        <v>27537.409960060559</v>
      </c>
      <c r="AO181" s="934"/>
      <c r="AP181" s="934">
        <f t="shared" si="458"/>
        <v>123593.15555070262</v>
      </c>
      <c r="AQ181" s="1005">
        <f t="shared" si="367"/>
        <v>2905848.5153641389</v>
      </c>
      <c r="AR181" s="1005">
        <f t="shared" si="387"/>
        <v>130763.18319138624</v>
      </c>
      <c r="AS181" s="1147">
        <f t="shared" si="388"/>
        <v>3036611.6985555249</v>
      </c>
      <c r="AT181" s="1148">
        <f t="shared" si="518"/>
        <v>3036611.6985555249</v>
      </c>
      <c r="AU181" s="1148"/>
      <c r="AV181" s="1148"/>
      <c r="AW181" s="1148"/>
      <c r="AX181" s="1148">
        <f t="shared" si="369"/>
        <v>0</v>
      </c>
      <c r="AY181" s="1147">
        <f t="shared" si="389"/>
        <v>3036611.6985555249</v>
      </c>
      <c r="AZ181" s="934">
        <f t="shared" si="390"/>
        <v>37957.646231944062</v>
      </c>
      <c r="BA181" s="716" t="s">
        <v>269</v>
      </c>
      <c r="BB181" s="716">
        <f t="shared" si="370"/>
        <v>3074569.3447874691</v>
      </c>
      <c r="BC181" s="716" t="s">
        <v>269</v>
      </c>
      <c r="BD181" s="716">
        <f t="shared" si="391"/>
        <v>115296.3504295301</v>
      </c>
      <c r="BE181" s="716">
        <f t="shared" si="392"/>
        <v>33600</v>
      </c>
      <c r="BF181" s="716">
        <f t="shared" si="393"/>
        <v>3223465.6952169994</v>
      </c>
      <c r="BG181" s="716"/>
      <c r="BH181" s="716">
        <f t="shared" si="394"/>
        <v>3223465.6952169994</v>
      </c>
      <c r="BI181" s="716"/>
      <c r="BJ181" s="716">
        <f t="shared" si="395"/>
        <v>3223465.6952169994</v>
      </c>
      <c r="BK181" s="716"/>
      <c r="BL181" s="716">
        <f t="shared" si="396"/>
        <v>3223465.6952169994</v>
      </c>
      <c r="BM181" s="716"/>
      <c r="BN181" s="716">
        <f t="shared" si="371"/>
        <v>3223465.6952169994</v>
      </c>
      <c r="BO181" s="716"/>
      <c r="BP181" s="716">
        <f t="shared" si="397"/>
        <v>3223465.6952169994</v>
      </c>
      <c r="BQ181" s="716"/>
      <c r="BR181" s="716">
        <f t="shared" si="398"/>
        <v>3223465.6952169994</v>
      </c>
      <c r="BS181" s="716"/>
      <c r="BT181" s="716">
        <f t="shared" si="399"/>
        <v>3223465.6952169994</v>
      </c>
      <c r="BU181" s="716"/>
      <c r="BV181" s="716">
        <f t="shared" si="372"/>
        <v>3223465.6952169994</v>
      </c>
      <c r="BW181" s="716"/>
      <c r="BX181" s="716">
        <f t="shared" si="489"/>
        <v>31400</v>
      </c>
      <c r="BY181" s="716">
        <f t="shared" si="400"/>
        <v>3254865.6952169994</v>
      </c>
      <c r="BZ181" s="716"/>
      <c r="CA181" s="716">
        <f t="shared" si="401"/>
        <v>3254865.6952169994</v>
      </c>
      <c r="CB181" s="1135">
        <f t="shared" si="402"/>
        <v>3254865.6952169994</v>
      </c>
      <c r="CC181" s="1164">
        <f t="shared" si="446"/>
        <v>3254865.6952169994</v>
      </c>
      <c r="CD181" s="1164"/>
      <c r="CE181" s="1164">
        <f t="shared" si="403"/>
        <v>0</v>
      </c>
      <c r="CF181" s="1164">
        <f t="shared" si="448"/>
        <v>0</v>
      </c>
      <c r="CG181" s="1164">
        <f t="shared" si="449"/>
        <v>0</v>
      </c>
      <c r="CH181" s="1154">
        <f t="shared" si="506"/>
        <v>3254865.6952169994</v>
      </c>
      <c r="CI181" s="935">
        <f t="shared" si="507"/>
        <v>3254865.6952169994</v>
      </c>
      <c r="CJ181" s="935">
        <f t="shared" si="404"/>
        <v>0</v>
      </c>
      <c r="CK181" s="935">
        <f t="shared" si="373"/>
        <v>333623.7337597424</v>
      </c>
      <c r="CL181" s="935">
        <f t="shared" si="374"/>
        <v>113920.29933259499</v>
      </c>
      <c r="CM181" s="1006">
        <f t="shared" si="461"/>
        <v>3702409.7283093366</v>
      </c>
      <c r="CN181" s="1007">
        <f t="shared" si="462"/>
        <v>0.125</v>
      </c>
      <c r="CO181" s="935">
        <f t="shared" si="498"/>
        <v>462801.21603866707</v>
      </c>
      <c r="CP181" s="935">
        <f t="shared" si="490"/>
        <v>30000</v>
      </c>
      <c r="CQ181" s="935">
        <f t="shared" si="499"/>
        <v>432801.21603866707</v>
      </c>
      <c r="CR181" s="745">
        <f t="shared" si="463"/>
        <v>2</v>
      </c>
      <c r="CS181" s="935">
        <f t="shared" si="500"/>
        <v>216400.60801933354</v>
      </c>
      <c r="CT181" s="1007">
        <f t="shared" si="405"/>
        <v>0.875</v>
      </c>
      <c r="CU181" s="935">
        <f t="shared" si="406"/>
        <v>3239608.5122706695</v>
      </c>
      <c r="CV181" s="1008">
        <f t="shared" si="407"/>
        <v>25116.650313852959</v>
      </c>
      <c r="CW181" s="1008">
        <f t="shared" si="408"/>
        <v>29118.517173230495</v>
      </c>
      <c r="CX181" s="1008">
        <f t="shared" si="409"/>
        <v>37614.601762345665</v>
      </c>
      <c r="CY181" s="1008">
        <f t="shared" si="410"/>
        <v>64148.131344477908</v>
      </c>
      <c r="CZ181" s="1119">
        <f t="shared" si="411"/>
        <v>263163.69659368286</v>
      </c>
      <c r="DA181" s="1119">
        <f t="shared" si="412"/>
        <v>104132.5927981539</v>
      </c>
      <c r="DB181" s="1119">
        <f t="shared" si="413"/>
        <v>75213.496927930377</v>
      </c>
      <c r="DC181" s="1119">
        <f t="shared" si="414"/>
        <v>57240.933812715106</v>
      </c>
      <c r="DD181" s="1028">
        <f t="shared" si="451"/>
        <v>0</v>
      </c>
      <c r="DE181" s="1028">
        <f t="shared" si="508"/>
        <v>0</v>
      </c>
      <c r="DF181" s="916" t="s">
        <v>512</v>
      </c>
      <c r="DG181" s="1009" t="s">
        <v>271</v>
      </c>
      <c r="DH181" s="966">
        <f t="shared" si="447"/>
        <v>45658</v>
      </c>
      <c r="DI181" s="912">
        <f t="shared" si="415"/>
        <v>14</v>
      </c>
      <c r="DK181" s="913">
        <f t="shared" si="375"/>
        <v>45723</v>
      </c>
      <c r="DL181" s="912">
        <f t="shared" si="416"/>
        <v>16</v>
      </c>
      <c r="DM181" s="750" t="s">
        <v>272</v>
      </c>
      <c r="DN181" s="750" t="s">
        <v>273</v>
      </c>
      <c r="DO181" s="751">
        <f t="shared" si="376"/>
        <v>0</v>
      </c>
      <c r="DP181" s="751">
        <f t="shared" si="377"/>
        <v>0</v>
      </c>
      <c r="DQ181" s="752">
        <f t="shared" si="452"/>
        <v>0</v>
      </c>
      <c r="DS181" s="751">
        <f t="shared" si="453"/>
        <v>3254865.6952169994</v>
      </c>
      <c r="DT181" s="751">
        <f>'[4]INTERNAL PRICELIST'!N175</f>
        <v>0</v>
      </c>
      <c r="DU181" s="751">
        <f t="shared" si="378"/>
        <v>3254865.6952169994</v>
      </c>
      <c r="DW181" s="951">
        <f t="shared" si="454"/>
        <v>147948.44069168178</v>
      </c>
      <c r="DZ181" s="1010" t="s">
        <v>631</v>
      </c>
      <c r="EA181" s="1011" t="b">
        <f t="shared" si="379"/>
        <v>1</v>
      </c>
      <c r="EB181" s="1011"/>
      <c r="EC181" s="1011"/>
      <c r="ER181" s="1017" t="s">
        <v>264</v>
      </c>
      <c r="ES181" s="1391" t="s">
        <v>264</v>
      </c>
      <c r="ET181" s="1018" t="b">
        <f t="shared" si="417"/>
        <v>1</v>
      </c>
      <c r="EX181" s="1019">
        <v>3231193.6091686958</v>
      </c>
      <c r="EY181" s="1019">
        <f t="shared" si="464"/>
        <v>484679.04137530434</v>
      </c>
      <c r="EZ181" s="1019">
        <f t="shared" si="465"/>
        <v>2746514.5677933912</v>
      </c>
      <c r="FA181" s="1019">
        <f t="shared" si="466"/>
        <v>323119.3609168696</v>
      </c>
      <c r="FB181" s="1019">
        <f t="shared" si="467"/>
        <v>2908074.248251826</v>
      </c>
      <c r="FC181" s="1019">
        <f t="shared" si="468"/>
        <v>161559.68045843486</v>
      </c>
      <c r="FD181" s="1020"/>
      <c r="FE181" s="1021"/>
      <c r="FF181" s="1022">
        <f t="shared" si="469"/>
        <v>2746514.5677933912</v>
      </c>
      <c r="FG181" s="1022">
        <f t="shared" si="470"/>
        <v>233453.73826243827</v>
      </c>
      <c r="FH181" s="1022">
        <f t="shared" si="471"/>
        <v>116726.86913121914</v>
      </c>
      <c r="FI181" s="1023">
        <f t="shared" si="472"/>
        <v>2908074.248251826</v>
      </c>
      <c r="FJ181" s="1023">
        <f t="shared" si="473"/>
        <v>247186.31110140524</v>
      </c>
      <c r="FK181" s="1023">
        <f t="shared" si="474"/>
        <v>123593.15555070262</v>
      </c>
      <c r="FL181" s="1019">
        <f t="shared" si="475"/>
        <v>13732.572838966968</v>
      </c>
      <c r="FM181" s="1019">
        <f t="shared" si="476"/>
        <v>6866.2864194834838</v>
      </c>
      <c r="FN181" s="1019" t="str">
        <f t="shared" si="477"/>
        <v>VS</v>
      </c>
      <c r="FO181" s="1019">
        <f t="shared" si="478"/>
        <v>27537.409960060559</v>
      </c>
      <c r="FP181" s="1019">
        <f t="shared" si="479"/>
        <v>-20671.123540577075</v>
      </c>
      <c r="FQ181" s="1021"/>
      <c r="FR181" s="1021"/>
      <c r="FS181" s="1020"/>
      <c r="FT181" s="503"/>
      <c r="FU181" s="956"/>
      <c r="FV181" s="503"/>
      <c r="GG181" s="956"/>
      <c r="GI181" s="1024">
        <f t="shared" si="418"/>
        <v>3702409.7283093366</v>
      </c>
      <c r="GJ181" s="1025">
        <f t="shared" si="419"/>
        <v>0.125</v>
      </c>
      <c r="GK181" s="1024">
        <f t="shared" si="420"/>
        <v>462801.21603866707</v>
      </c>
      <c r="GL181" s="1024">
        <f t="shared" si="421"/>
        <v>30000</v>
      </c>
      <c r="GM181" s="1024">
        <f t="shared" si="422"/>
        <v>432801.21603866707</v>
      </c>
      <c r="GN181" s="1024">
        <f t="shared" si="423"/>
        <v>2</v>
      </c>
      <c r="GO181" s="1024">
        <f t="shared" si="424"/>
        <v>216400.60801933354</v>
      </c>
      <c r="GP181" s="1025">
        <f t="shared" si="425"/>
        <v>0.875</v>
      </c>
      <c r="GQ181" s="1024">
        <f t="shared" si="426"/>
        <v>3239608.5122706695</v>
      </c>
      <c r="GR181" s="1024">
        <f t="shared" si="427"/>
        <v>25116.650313852959</v>
      </c>
      <c r="GS181" s="1024">
        <f t="shared" si="428"/>
        <v>29118.517173230495</v>
      </c>
      <c r="GT181" s="1024">
        <f t="shared" si="429"/>
        <v>37614.601762345665</v>
      </c>
      <c r="GU181" s="1024">
        <f t="shared" si="430"/>
        <v>64148.131344477908</v>
      </c>
      <c r="GW181" s="1024">
        <f t="shared" si="431"/>
        <v>3702409.7283093366</v>
      </c>
      <c r="GX181" s="1025">
        <f t="shared" si="432"/>
        <v>0.125</v>
      </c>
      <c r="GY181" s="1024">
        <f t="shared" si="433"/>
        <v>462801.21603866707</v>
      </c>
      <c r="GZ181" s="1024">
        <f t="shared" si="434"/>
        <v>30000</v>
      </c>
      <c r="HA181" s="1024">
        <f t="shared" si="435"/>
        <v>432801.21603866707</v>
      </c>
      <c r="HB181" s="1026">
        <f t="shared" si="436"/>
        <v>25</v>
      </c>
      <c r="HC181" s="1009">
        <f t="shared" si="437"/>
        <v>17312.048641546684</v>
      </c>
      <c r="HD181" s="1027">
        <f t="shared" si="438"/>
        <v>0.875</v>
      </c>
      <c r="HE181" s="1009">
        <f t="shared" si="439"/>
        <v>3239608.5122706695</v>
      </c>
      <c r="HF181" s="1008">
        <f t="shared" si="440"/>
        <v>25116.650313852959</v>
      </c>
      <c r="HG181" s="1008">
        <f t="shared" si="441"/>
        <v>29118.517173230495</v>
      </c>
      <c r="HH181" s="1008">
        <f t="shared" si="442"/>
        <v>37614.601762345665</v>
      </c>
      <c r="HI181" s="1008">
        <f t="shared" si="443"/>
        <v>64148.131344477908</v>
      </c>
      <c r="HK181" s="1009">
        <f t="shared" si="444"/>
        <v>-199088.55937778685</v>
      </c>
      <c r="HR181" s="956">
        <f t="shared" si="445"/>
        <v>0</v>
      </c>
      <c r="HU181" s="956"/>
      <c r="HW181" s="956"/>
      <c r="HX181" s="956"/>
    </row>
    <row r="182" spans="1:232" ht="14.25" customHeight="1">
      <c r="A182" s="1018">
        <f t="shared" si="480"/>
        <v>176</v>
      </c>
      <c r="B182" s="716"/>
      <c r="C182" s="741">
        <f>C181+1</f>
        <v>2</v>
      </c>
      <c r="D182" s="716" t="s">
        <v>297</v>
      </c>
      <c r="E182" s="743" t="str">
        <f t="shared" si="516"/>
        <v>12th Floor</v>
      </c>
      <c r="F182" s="1048"/>
      <c r="G182" s="745" t="s">
        <v>632</v>
      </c>
      <c r="H182" s="745" t="s">
        <v>278</v>
      </c>
      <c r="I182" s="745" t="s">
        <v>267</v>
      </c>
      <c r="J182" s="1005">
        <v>22</v>
      </c>
      <c r="K182" s="1049"/>
      <c r="L182" s="1006" t="s">
        <v>73</v>
      </c>
      <c r="M182" s="745" t="s">
        <v>240</v>
      </c>
      <c r="N182" s="1050">
        <v>95909.091</v>
      </c>
      <c r="O182" s="934">
        <f t="shared" si="455"/>
        <v>2110000.0019999999</v>
      </c>
      <c r="P182" s="934">
        <f t="shared" si="481"/>
        <v>22400</v>
      </c>
      <c r="Q182" s="934">
        <f t="shared" si="450"/>
        <v>50000</v>
      </c>
      <c r="R182" s="934"/>
      <c r="S182" s="934"/>
      <c r="T182" s="934"/>
      <c r="U182" s="934"/>
      <c r="V182" s="749"/>
      <c r="W182" s="749">
        <f t="shared" ref="W182:W185" si="519">J182*$W$5</f>
        <v>22000</v>
      </c>
      <c r="X182" s="934"/>
      <c r="Y182" s="934">
        <f>$Y$181</f>
        <v>160000</v>
      </c>
      <c r="Z182" s="934">
        <f t="shared" si="456"/>
        <v>75000</v>
      </c>
      <c r="AA182" s="934"/>
      <c r="AB182" s="934"/>
      <c r="AC182" s="934"/>
      <c r="AD182" s="934"/>
      <c r="AE182" s="934">
        <f t="shared" si="365"/>
        <v>329400</v>
      </c>
      <c r="AF182" s="1005">
        <f t="shared" si="366"/>
        <v>2439400.0019999999</v>
      </c>
      <c r="AG182" s="1005">
        <f t="shared" si="380"/>
        <v>60985.000050000002</v>
      </c>
      <c r="AH182" s="1005">
        <f t="shared" si="381"/>
        <v>2500385.0020499998</v>
      </c>
      <c r="AI182" s="1005">
        <f t="shared" si="382"/>
        <v>62509.625051249997</v>
      </c>
      <c r="AJ182" s="1005">
        <f t="shared" si="383"/>
        <v>2562894.62710125</v>
      </c>
      <c r="AK182" s="1005">
        <f t="shared" si="384"/>
        <v>128144.73135506251</v>
      </c>
      <c r="AL182" s="1005">
        <f t="shared" si="457"/>
        <v>2691039.3584563127</v>
      </c>
      <c r="AM182" s="934">
        <f t="shared" si="385"/>
        <v>26910.393584563128</v>
      </c>
      <c r="AN182" s="934">
        <f t="shared" si="386"/>
        <v>27537.409960060559</v>
      </c>
      <c r="AO182" s="934"/>
      <c r="AP182" s="934">
        <f t="shared" si="458"/>
        <v>119632.40219609266</v>
      </c>
      <c r="AQ182" s="1005">
        <f t="shared" si="367"/>
        <v>2865119.5641970285</v>
      </c>
      <c r="AR182" s="1005">
        <f t="shared" si="387"/>
        <v>128930.38038886628</v>
      </c>
      <c r="AS182" s="1147">
        <f t="shared" si="388"/>
        <v>2994049.9445858947</v>
      </c>
      <c r="AT182" s="1148">
        <f t="shared" si="459"/>
        <v>2000000</v>
      </c>
      <c r="AU182" s="1148">
        <f t="shared" ref="AU182:AU187" si="520">AV182/J182</f>
        <v>45184.088390267942</v>
      </c>
      <c r="AV182" s="1148">
        <f t="shared" si="460"/>
        <v>994049.9445858947</v>
      </c>
      <c r="AW182" s="1148">
        <f t="shared" si="368"/>
        <v>119285.99335030736</v>
      </c>
      <c r="AX182" s="1148">
        <f t="shared" si="369"/>
        <v>1113335.9379362022</v>
      </c>
      <c r="AY182" s="1147">
        <f t="shared" si="389"/>
        <v>3113335.9379362022</v>
      </c>
      <c r="AZ182" s="934">
        <f t="shared" si="390"/>
        <v>38916.69922420253</v>
      </c>
      <c r="BA182" s="716" t="s">
        <v>269</v>
      </c>
      <c r="BB182" s="716">
        <f t="shared" si="370"/>
        <v>3152252.6371604046</v>
      </c>
      <c r="BC182" s="716" t="s">
        <v>269</v>
      </c>
      <c r="BD182" s="716">
        <f t="shared" si="391"/>
        <v>118209.47389351517</v>
      </c>
      <c r="BE182" s="716">
        <f t="shared" si="392"/>
        <v>33600</v>
      </c>
      <c r="BF182" s="716">
        <f t="shared" si="393"/>
        <v>3304062.1110539199</v>
      </c>
      <c r="BG182" s="716"/>
      <c r="BH182" s="716">
        <f t="shared" si="394"/>
        <v>3304062.1110539199</v>
      </c>
      <c r="BI182" s="716"/>
      <c r="BJ182" s="716">
        <f t="shared" si="395"/>
        <v>3304062.1110539199</v>
      </c>
      <c r="BK182" s="716">
        <v>5092.7923200000005</v>
      </c>
      <c r="BL182" s="716">
        <f t="shared" si="396"/>
        <v>3309154.9033739199</v>
      </c>
      <c r="BM182" s="716"/>
      <c r="BN182" s="716">
        <f t="shared" si="371"/>
        <v>3309154.9033739199</v>
      </c>
      <c r="BO182" s="716"/>
      <c r="BP182" s="716">
        <f t="shared" si="397"/>
        <v>3309154.9033739199</v>
      </c>
      <c r="BQ182" s="716"/>
      <c r="BR182" s="716">
        <f t="shared" si="398"/>
        <v>3309154.9033739199</v>
      </c>
      <c r="BS182" s="716"/>
      <c r="BT182" s="716">
        <f t="shared" si="399"/>
        <v>3309154.9033739199</v>
      </c>
      <c r="BU182" s="716">
        <f>$BU$5/24</f>
        <v>546.00000000000011</v>
      </c>
      <c r="BV182" s="716">
        <f t="shared" si="372"/>
        <v>3309700.9033739199</v>
      </c>
      <c r="BW182" s="716"/>
      <c r="BX182" s="716">
        <f t="shared" si="489"/>
        <v>31400</v>
      </c>
      <c r="BY182" s="716">
        <f t="shared" si="400"/>
        <v>3341100.9033739199</v>
      </c>
      <c r="BZ182" s="716">
        <f>$BZ$5/20</f>
        <v>33654.337039807535</v>
      </c>
      <c r="CA182" s="716">
        <f t="shared" si="401"/>
        <v>3374755.2404137272</v>
      </c>
      <c r="CB182" s="1135">
        <f>CA182</f>
        <v>3374755.2404137272</v>
      </c>
      <c r="CC182" s="1164">
        <f t="shared" si="446"/>
        <v>3374755.2404137272</v>
      </c>
      <c r="CD182" s="1164"/>
      <c r="CE182" s="1164">
        <f t="shared" si="403"/>
        <v>0</v>
      </c>
      <c r="CF182" s="1164">
        <f t="shared" si="448"/>
        <v>0</v>
      </c>
      <c r="CG182" s="1164">
        <f t="shared" si="449"/>
        <v>0</v>
      </c>
      <c r="CH182" s="1154">
        <f t="shared" si="506"/>
        <v>3374755.2404137272</v>
      </c>
      <c r="CI182" s="935">
        <f t="shared" si="507"/>
        <v>3374755.2404137272</v>
      </c>
      <c r="CJ182" s="935">
        <f t="shared" si="404"/>
        <v>0</v>
      </c>
      <c r="CK182" s="935">
        <f t="shared" si="373"/>
        <v>345912.41214240703</v>
      </c>
      <c r="CL182" s="935">
        <f t="shared" si="374"/>
        <v>118116.43341448046</v>
      </c>
      <c r="CM182" s="1006">
        <f t="shared" si="461"/>
        <v>3838784.085970615</v>
      </c>
      <c r="CN182" s="1007">
        <f t="shared" si="462"/>
        <v>0.125</v>
      </c>
      <c r="CO182" s="935">
        <f t="shared" si="498"/>
        <v>479848.01074632688</v>
      </c>
      <c r="CP182" s="935">
        <f t="shared" si="490"/>
        <v>30000</v>
      </c>
      <c r="CQ182" s="935">
        <f t="shared" si="499"/>
        <v>449848.01074632688</v>
      </c>
      <c r="CR182" s="745">
        <v>1</v>
      </c>
      <c r="CS182" s="935">
        <f t="shared" si="500"/>
        <v>449848.01074632688</v>
      </c>
      <c r="CT182" s="1007">
        <f t="shared" si="405"/>
        <v>0.875</v>
      </c>
      <c r="CU182" s="935">
        <f t="shared" si="406"/>
        <v>3358936.0752242883</v>
      </c>
      <c r="CV182" s="1008">
        <f t="shared" si="407"/>
        <v>26041.795639332311</v>
      </c>
      <c r="CW182" s="1008">
        <f t="shared" si="408"/>
        <v>30191.067043976847</v>
      </c>
      <c r="CX182" s="1008">
        <f t="shared" si="409"/>
        <v>39000.09594868659</v>
      </c>
      <c r="CY182" s="1008">
        <f t="shared" si="410"/>
        <v>66510.96010985857</v>
      </c>
      <c r="CZ182" s="1119">
        <f t="shared" si="411"/>
        <v>272857.05381676886</v>
      </c>
      <c r="DA182" s="1119">
        <f t="shared" si="412"/>
        <v>107968.20703227499</v>
      </c>
      <c r="DB182" s="1119">
        <f t="shared" si="413"/>
        <v>77983.906764685235</v>
      </c>
      <c r="DC182" s="1119">
        <f t="shared" si="414"/>
        <v>59349.343241567105</v>
      </c>
      <c r="DD182" s="1028">
        <f t="shared" si="451"/>
        <v>0.49702497229294734</v>
      </c>
      <c r="DE182" s="1028">
        <f t="shared" si="508"/>
        <v>0</v>
      </c>
      <c r="DF182" s="1009" t="s">
        <v>270</v>
      </c>
      <c r="DG182" s="1009" t="s">
        <v>271</v>
      </c>
      <c r="DH182" s="966">
        <f t="shared" si="447"/>
        <v>45658</v>
      </c>
      <c r="DI182" s="912">
        <f t="shared" si="415"/>
        <v>14</v>
      </c>
      <c r="DK182" s="913">
        <f t="shared" si="375"/>
        <v>45723</v>
      </c>
      <c r="DL182" s="912">
        <f t="shared" si="416"/>
        <v>16</v>
      </c>
      <c r="DM182" s="750" t="s">
        <v>272</v>
      </c>
      <c r="DN182" s="750" t="s">
        <v>273</v>
      </c>
      <c r="DO182" s="751">
        <f t="shared" si="376"/>
        <v>50606.178997100098</v>
      </c>
      <c r="DP182" s="751">
        <f t="shared" si="377"/>
        <v>1113335.9379362022</v>
      </c>
      <c r="DQ182" s="752">
        <f t="shared" si="452"/>
        <v>0.55666796896810111</v>
      </c>
      <c r="DS182" s="751">
        <f t="shared" si="453"/>
        <v>3374755.2404137272</v>
      </c>
      <c r="DT182" s="751">
        <f>'[4]INTERNAL PRICELIST'!N176</f>
        <v>0</v>
      </c>
      <c r="DU182" s="751">
        <f t="shared" si="378"/>
        <v>3374755.2404137272</v>
      </c>
      <c r="DW182" s="951">
        <f t="shared" si="454"/>
        <v>153397.96547335124</v>
      </c>
      <c r="DZ182" s="1010" t="s">
        <v>632</v>
      </c>
      <c r="EA182" s="1011" t="b">
        <f t="shared" si="379"/>
        <v>1</v>
      </c>
      <c r="EB182" s="1011"/>
      <c r="EC182" s="1011"/>
      <c r="ER182" s="1017" t="s">
        <v>243</v>
      </c>
      <c r="ES182" s="1391" t="s">
        <v>243</v>
      </c>
      <c r="ET182" s="1018" t="b">
        <f t="shared" si="417"/>
        <v>1</v>
      </c>
      <c r="EX182" s="1019">
        <v>3127644.5018586316</v>
      </c>
      <c r="EY182" s="1019">
        <f t="shared" si="464"/>
        <v>469146.67527879472</v>
      </c>
      <c r="EZ182" s="1019">
        <f t="shared" si="465"/>
        <v>2658497.8265798367</v>
      </c>
      <c r="FA182" s="1019">
        <f t="shared" si="466"/>
        <v>312764.45018586318</v>
      </c>
      <c r="FB182" s="1019">
        <f t="shared" si="467"/>
        <v>2814880.0516727683</v>
      </c>
      <c r="FC182" s="1019">
        <f t="shared" si="468"/>
        <v>156382.22509293165</v>
      </c>
      <c r="FD182" s="1020"/>
      <c r="FE182" s="1021"/>
      <c r="FF182" s="1022">
        <f t="shared" si="469"/>
        <v>2658497.8265798367</v>
      </c>
      <c r="FG182" s="1022">
        <f t="shared" si="470"/>
        <v>225972.31525928614</v>
      </c>
      <c r="FH182" s="1022">
        <f t="shared" si="471"/>
        <v>112986.15762964307</v>
      </c>
      <c r="FI182" s="1023">
        <f t="shared" si="472"/>
        <v>2814880.0516727683</v>
      </c>
      <c r="FJ182" s="1023">
        <f t="shared" si="473"/>
        <v>239264.80439218532</v>
      </c>
      <c r="FK182" s="1023">
        <f t="shared" si="474"/>
        <v>119632.40219609266</v>
      </c>
      <c r="FL182" s="1019">
        <f t="shared" si="475"/>
        <v>13292.48913289918</v>
      </c>
      <c r="FM182" s="1019">
        <f t="shared" si="476"/>
        <v>6646.2445664495899</v>
      </c>
      <c r="FN182" s="1019" t="str">
        <f t="shared" si="477"/>
        <v>VS</v>
      </c>
      <c r="FO182" s="1019">
        <f t="shared" si="478"/>
        <v>27537.409960060559</v>
      </c>
      <c r="FP182" s="1019">
        <f t="shared" si="479"/>
        <v>-20891.165393610969</v>
      </c>
      <c r="FQ182" s="1021"/>
      <c r="FR182" s="1021"/>
      <c r="FS182" s="1020"/>
      <c r="FT182" s="1055">
        <f t="shared" ref="FT182:FT187" si="521">FB182</f>
        <v>2814880.0516727683</v>
      </c>
      <c r="FU182" s="1056"/>
      <c r="FV182" s="1056"/>
      <c r="GG182" s="956"/>
      <c r="GI182" s="1024">
        <f t="shared" si="418"/>
        <v>3838784.085970615</v>
      </c>
      <c r="GJ182" s="1025">
        <f t="shared" si="419"/>
        <v>0.125</v>
      </c>
      <c r="GK182" s="1024">
        <f t="shared" si="420"/>
        <v>479848.01074632688</v>
      </c>
      <c r="GL182" s="1024">
        <f t="shared" si="421"/>
        <v>30000</v>
      </c>
      <c r="GM182" s="1024">
        <f t="shared" si="422"/>
        <v>449848.01074632688</v>
      </c>
      <c r="GN182" s="1024">
        <f t="shared" si="423"/>
        <v>1</v>
      </c>
      <c r="GO182" s="1024">
        <f t="shared" si="424"/>
        <v>449848.01074632688</v>
      </c>
      <c r="GP182" s="1025">
        <f t="shared" si="425"/>
        <v>0.875</v>
      </c>
      <c r="GQ182" s="1024">
        <f t="shared" si="426"/>
        <v>3358936.0752242883</v>
      </c>
      <c r="GR182" s="1024">
        <f t="shared" si="427"/>
        <v>26041.795639332311</v>
      </c>
      <c r="GS182" s="1024">
        <f t="shared" si="428"/>
        <v>30191.067043976847</v>
      </c>
      <c r="GT182" s="1024">
        <f t="shared" si="429"/>
        <v>39000.09594868659</v>
      </c>
      <c r="GU182" s="1024">
        <f t="shared" si="430"/>
        <v>66510.96010985857</v>
      </c>
      <c r="GW182" s="1024">
        <f t="shared" si="431"/>
        <v>3838784.085970615</v>
      </c>
      <c r="GX182" s="1025">
        <f t="shared" si="432"/>
        <v>0.125</v>
      </c>
      <c r="GY182" s="1024">
        <f t="shared" si="433"/>
        <v>479848.01074632688</v>
      </c>
      <c r="GZ182" s="1024">
        <f t="shared" si="434"/>
        <v>30000</v>
      </c>
      <c r="HA182" s="1024">
        <f t="shared" si="435"/>
        <v>449848.01074632688</v>
      </c>
      <c r="HB182" s="1026">
        <f t="shared" si="436"/>
        <v>25</v>
      </c>
      <c r="HC182" s="1009">
        <f t="shared" si="437"/>
        <v>17993.920429853075</v>
      </c>
      <c r="HD182" s="1027">
        <f t="shared" si="438"/>
        <v>0.875</v>
      </c>
      <c r="HE182" s="1009">
        <f t="shared" si="439"/>
        <v>3358936.0752242883</v>
      </c>
      <c r="HF182" s="1008">
        <f t="shared" si="440"/>
        <v>26041.795639332311</v>
      </c>
      <c r="HG182" s="1008">
        <f t="shared" si="441"/>
        <v>30191.067043976847</v>
      </c>
      <c r="HH182" s="1008">
        <f t="shared" si="442"/>
        <v>39000.09594868659</v>
      </c>
      <c r="HI182" s="1008">
        <f t="shared" si="443"/>
        <v>66510.96010985857</v>
      </c>
      <c r="HK182" s="1009">
        <f t="shared" si="444"/>
        <v>-431854.0903164738</v>
      </c>
      <c r="HR182" s="956">
        <f t="shared" si="445"/>
        <v>0</v>
      </c>
      <c r="HU182" s="956"/>
      <c r="HW182" s="956"/>
      <c r="HX182" s="956"/>
    </row>
    <row r="183" spans="1:232" ht="14.25" hidden="1" customHeight="1">
      <c r="A183" s="1018">
        <f t="shared" si="480"/>
        <v>177</v>
      </c>
      <c r="B183" s="716"/>
      <c r="C183" s="741">
        <f t="shared" ref="C183:C198" si="522">C182+1</f>
        <v>3</v>
      </c>
      <c r="D183" s="716" t="s">
        <v>297</v>
      </c>
      <c r="E183" s="743" t="str">
        <f t="shared" si="516"/>
        <v>12th Floor</v>
      </c>
      <c r="F183" s="1048"/>
      <c r="G183" s="745" t="s">
        <v>633</v>
      </c>
      <c r="H183" s="745" t="s">
        <v>283</v>
      </c>
      <c r="I183" s="745" t="s">
        <v>267</v>
      </c>
      <c r="J183" s="1005">
        <v>22</v>
      </c>
      <c r="K183" s="1049"/>
      <c r="L183" s="1006" t="s">
        <v>73</v>
      </c>
      <c r="M183" s="745" t="s">
        <v>240</v>
      </c>
      <c r="N183" s="1050">
        <v>95909.091</v>
      </c>
      <c r="O183" s="934">
        <f t="shared" si="455"/>
        <v>2110000.0019999999</v>
      </c>
      <c r="P183" s="934">
        <f t="shared" si="481"/>
        <v>22400</v>
      </c>
      <c r="Q183" s="934">
        <f t="shared" si="450"/>
        <v>50000</v>
      </c>
      <c r="R183" s="934"/>
      <c r="S183" s="934"/>
      <c r="T183" s="934"/>
      <c r="U183" s="934"/>
      <c r="V183" s="749"/>
      <c r="W183" s="749">
        <f t="shared" si="519"/>
        <v>22000</v>
      </c>
      <c r="X183" s="934"/>
      <c r="Y183" s="934">
        <f t="shared" ref="Y183:Y198" si="523">$Y$181</f>
        <v>160000</v>
      </c>
      <c r="Z183" s="934">
        <f t="shared" si="456"/>
        <v>75000</v>
      </c>
      <c r="AA183" s="934"/>
      <c r="AB183" s="934"/>
      <c r="AC183" s="934"/>
      <c r="AD183" s="934"/>
      <c r="AE183" s="934">
        <f t="shared" si="365"/>
        <v>329400</v>
      </c>
      <c r="AF183" s="1005">
        <f t="shared" si="366"/>
        <v>2439400.0019999999</v>
      </c>
      <c r="AG183" s="1005">
        <f t="shared" si="380"/>
        <v>60985.000050000002</v>
      </c>
      <c r="AH183" s="1005">
        <f t="shared" si="381"/>
        <v>2500385.0020499998</v>
      </c>
      <c r="AI183" s="1005">
        <f t="shared" si="382"/>
        <v>62509.625051249997</v>
      </c>
      <c r="AJ183" s="1005">
        <f t="shared" si="383"/>
        <v>2562894.62710125</v>
      </c>
      <c r="AK183" s="1005">
        <f t="shared" si="384"/>
        <v>128144.73135506251</v>
      </c>
      <c r="AL183" s="1005">
        <f t="shared" si="457"/>
        <v>2691039.3584563127</v>
      </c>
      <c r="AM183" s="934">
        <f t="shared" si="385"/>
        <v>26910.393584563128</v>
      </c>
      <c r="AN183" s="934">
        <f t="shared" si="386"/>
        <v>27537.409960060559</v>
      </c>
      <c r="AO183" s="934"/>
      <c r="AP183" s="934">
        <f t="shared" si="458"/>
        <v>119632.40219609266</v>
      </c>
      <c r="AQ183" s="1005">
        <f t="shared" si="367"/>
        <v>2865119.5641970285</v>
      </c>
      <c r="AR183" s="1005">
        <f t="shared" si="387"/>
        <v>128930.38038886628</v>
      </c>
      <c r="AS183" s="1147">
        <f t="shared" si="388"/>
        <v>2994049.9445858947</v>
      </c>
      <c r="AT183" s="1148">
        <f t="shared" si="459"/>
        <v>2000000</v>
      </c>
      <c r="AU183" s="1148">
        <f t="shared" si="520"/>
        <v>45184.088390267942</v>
      </c>
      <c r="AV183" s="1148">
        <f t="shared" si="460"/>
        <v>994049.9445858947</v>
      </c>
      <c r="AW183" s="1148">
        <f t="shared" si="368"/>
        <v>119285.99335030736</v>
      </c>
      <c r="AX183" s="1148">
        <f t="shared" si="369"/>
        <v>1113335.9379362022</v>
      </c>
      <c r="AY183" s="1147">
        <f t="shared" si="389"/>
        <v>3113335.9379362022</v>
      </c>
      <c r="AZ183" s="934">
        <f t="shared" si="390"/>
        <v>38916.69922420253</v>
      </c>
      <c r="BA183" s="716" t="s">
        <v>269</v>
      </c>
      <c r="BB183" s="716">
        <f t="shared" si="370"/>
        <v>3152252.6371604046</v>
      </c>
      <c r="BC183" s="716" t="s">
        <v>269</v>
      </c>
      <c r="BD183" s="716">
        <f t="shared" si="391"/>
        <v>118209.47389351517</v>
      </c>
      <c r="BE183" s="716">
        <f t="shared" si="392"/>
        <v>33600</v>
      </c>
      <c r="BF183" s="716">
        <f t="shared" si="393"/>
        <v>3304062.1110539199</v>
      </c>
      <c r="BG183" s="716"/>
      <c r="BH183" s="716">
        <f t="shared" si="394"/>
        <v>3304062.1110539199</v>
      </c>
      <c r="BI183" s="716"/>
      <c r="BJ183" s="716">
        <f t="shared" si="395"/>
        <v>3304062.1110539199</v>
      </c>
      <c r="BK183" s="716"/>
      <c r="BL183" s="716">
        <f t="shared" si="396"/>
        <v>3304062.1110539199</v>
      </c>
      <c r="BM183" s="716"/>
      <c r="BN183" s="716">
        <f t="shared" si="371"/>
        <v>3304062.1110539199</v>
      </c>
      <c r="BO183" s="716"/>
      <c r="BP183" s="716">
        <f t="shared" si="397"/>
        <v>3304062.1110539199</v>
      </c>
      <c r="BQ183" s="716"/>
      <c r="BR183" s="716">
        <f t="shared" si="398"/>
        <v>3304062.1110539199</v>
      </c>
      <c r="BS183" s="716"/>
      <c r="BT183" s="716">
        <f t="shared" si="399"/>
        <v>3304062.1110539199</v>
      </c>
      <c r="BU183" s="716"/>
      <c r="BV183" s="716">
        <f t="shared" si="372"/>
        <v>3304062.1110539199</v>
      </c>
      <c r="BW183" s="716"/>
      <c r="BX183" s="716">
        <f t="shared" si="489"/>
        <v>31400</v>
      </c>
      <c r="BY183" s="716">
        <f t="shared" si="400"/>
        <v>3335462.1110539199</v>
      </c>
      <c r="BZ183" s="716"/>
      <c r="CA183" s="716">
        <f t="shared" si="401"/>
        <v>3335462.1110539199</v>
      </c>
      <c r="CB183" s="1135">
        <f t="shared" si="402"/>
        <v>3335462.1110539199</v>
      </c>
      <c r="CC183" s="1164">
        <f t="shared" si="446"/>
        <v>3335462.1110539199</v>
      </c>
      <c r="CD183" s="1164"/>
      <c r="CE183" s="1164">
        <f t="shared" si="403"/>
        <v>0</v>
      </c>
      <c r="CF183" s="1164">
        <f t="shared" si="448"/>
        <v>0</v>
      </c>
      <c r="CG183" s="1164">
        <f t="shared" si="449"/>
        <v>0</v>
      </c>
      <c r="CH183" s="1154">
        <f t="shared" si="506"/>
        <v>3335462.1110539199</v>
      </c>
      <c r="CI183" s="935">
        <f t="shared" si="507"/>
        <v>3335462.1110539199</v>
      </c>
      <c r="CJ183" s="935">
        <f t="shared" si="404"/>
        <v>0</v>
      </c>
      <c r="CK183" s="935">
        <f t="shared" si="373"/>
        <v>341884.86638302676</v>
      </c>
      <c r="CL183" s="935">
        <f t="shared" si="374"/>
        <v>116741.17388688721</v>
      </c>
      <c r="CM183" s="1006">
        <f t="shared" si="461"/>
        <v>3794088.151323834</v>
      </c>
      <c r="CN183" s="1007">
        <f t="shared" si="462"/>
        <v>0.125</v>
      </c>
      <c r="CO183" s="935">
        <f t="shared" si="498"/>
        <v>474261.01891547925</v>
      </c>
      <c r="CP183" s="935">
        <f t="shared" si="490"/>
        <v>30000</v>
      </c>
      <c r="CQ183" s="935">
        <f t="shared" si="499"/>
        <v>444261.01891547925</v>
      </c>
      <c r="CR183" s="745">
        <f t="shared" si="463"/>
        <v>2</v>
      </c>
      <c r="CS183" s="935">
        <f t="shared" si="500"/>
        <v>222130.50945773962</v>
      </c>
      <c r="CT183" s="1007">
        <f t="shared" si="405"/>
        <v>0.875</v>
      </c>
      <c r="CU183" s="935">
        <f t="shared" si="406"/>
        <v>3319827.1324083549</v>
      </c>
      <c r="CV183" s="1008">
        <f t="shared" si="407"/>
        <v>25738.584421948584</v>
      </c>
      <c r="CW183" s="1008">
        <f t="shared" si="408"/>
        <v>29839.544809515726</v>
      </c>
      <c r="CX183" s="1008">
        <f t="shared" si="409"/>
        <v>38546.007961265983</v>
      </c>
      <c r="CY183" s="1008">
        <f t="shared" si="410"/>
        <v>65736.5561684571</v>
      </c>
      <c r="CZ183" s="1119">
        <f t="shared" si="411"/>
        <v>269680.11008349713</v>
      </c>
      <c r="DA183" s="1119">
        <f t="shared" si="412"/>
        <v>106711.10587280082</v>
      </c>
      <c r="DB183" s="1119">
        <f t="shared" si="413"/>
        <v>77075.920401765397</v>
      </c>
      <c r="DC183" s="1119">
        <f t="shared" si="414"/>
        <v>58658.323817851917</v>
      </c>
      <c r="DD183" s="1028">
        <f t="shared" si="451"/>
        <v>0.49702497229294734</v>
      </c>
      <c r="DE183" s="1028">
        <f t="shared" si="508"/>
        <v>0</v>
      </c>
      <c r="DF183" s="1009" t="s">
        <v>270</v>
      </c>
      <c r="DG183" s="1009" t="s">
        <v>271</v>
      </c>
      <c r="DH183" s="966">
        <f t="shared" si="447"/>
        <v>45658</v>
      </c>
      <c r="DI183" s="912">
        <f t="shared" si="415"/>
        <v>14</v>
      </c>
      <c r="DK183" s="913">
        <f t="shared" si="375"/>
        <v>45723</v>
      </c>
      <c r="DL183" s="912">
        <f t="shared" si="416"/>
        <v>16</v>
      </c>
      <c r="DM183" s="750" t="s">
        <v>272</v>
      </c>
      <c r="DN183" s="750" t="s">
        <v>273</v>
      </c>
      <c r="DO183" s="751">
        <f t="shared" si="376"/>
        <v>50606.178997100098</v>
      </c>
      <c r="DP183" s="751">
        <f t="shared" si="377"/>
        <v>1113335.9379362022</v>
      </c>
      <c r="DQ183" s="752">
        <f t="shared" si="452"/>
        <v>0.55666796896810111</v>
      </c>
      <c r="DS183" s="751">
        <f t="shared" si="453"/>
        <v>3335462.1110539199</v>
      </c>
      <c r="DT183" s="751">
        <f>'[4]INTERNAL PRICELIST'!N177</f>
        <v>0</v>
      </c>
      <c r="DU183" s="751">
        <f t="shared" si="378"/>
        <v>3335462.1110539199</v>
      </c>
      <c r="DW183" s="951">
        <f t="shared" si="454"/>
        <v>151611.91413881455</v>
      </c>
      <c r="DZ183" s="1010" t="s">
        <v>633</v>
      </c>
      <c r="EA183" s="1011" t="b">
        <f t="shared" si="379"/>
        <v>1</v>
      </c>
      <c r="EB183" s="1011"/>
      <c r="EC183" s="1011"/>
      <c r="ER183" s="1017" t="s">
        <v>264</v>
      </c>
      <c r="ES183" s="1391" t="s">
        <v>264</v>
      </c>
      <c r="ET183" s="1018" t="b">
        <f t="shared" si="417"/>
        <v>1</v>
      </c>
      <c r="EX183" s="1019">
        <v>3127644.5018586316</v>
      </c>
      <c r="EY183" s="1019">
        <f t="shared" si="464"/>
        <v>469146.67527879472</v>
      </c>
      <c r="EZ183" s="1019">
        <f t="shared" si="465"/>
        <v>2658497.8265798367</v>
      </c>
      <c r="FA183" s="1019">
        <f t="shared" si="466"/>
        <v>312764.45018586318</v>
      </c>
      <c r="FB183" s="1019">
        <f t="shared" si="467"/>
        <v>2814880.0516727683</v>
      </c>
      <c r="FC183" s="1019">
        <f t="shared" si="468"/>
        <v>156382.22509293165</v>
      </c>
      <c r="FD183" s="1020"/>
      <c r="FE183" s="1021"/>
      <c r="FF183" s="1022">
        <f t="shared" si="469"/>
        <v>2658497.8265798367</v>
      </c>
      <c r="FG183" s="1022">
        <f t="shared" si="470"/>
        <v>225972.31525928614</v>
      </c>
      <c r="FH183" s="1022">
        <f t="shared" si="471"/>
        <v>112986.15762964307</v>
      </c>
      <c r="FI183" s="1023">
        <f t="shared" si="472"/>
        <v>2814880.0516727683</v>
      </c>
      <c r="FJ183" s="1023">
        <f t="shared" si="473"/>
        <v>239264.80439218532</v>
      </c>
      <c r="FK183" s="1023">
        <f t="shared" si="474"/>
        <v>119632.40219609266</v>
      </c>
      <c r="FL183" s="1019">
        <f t="shared" si="475"/>
        <v>13292.48913289918</v>
      </c>
      <c r="FM183" s="1019">
        <f t="shared" si="476"/>
        <v>6646.2445664495899</v>
      </c>
      <c r="FN183" s="1019" t="str">
        <f t="shared" si="477"/>
        <v>VS</v>
      </c>
      <c r="FO183" s="1019">
        <f t="shared" si="478"/>
        <v>27537.409960060559</v>
      </c>
      <c r="FP183" s="1019">
        <f t="shared" si="479"/>
        <v>-20891.165393610969</v>
      </c>
      <c r="FQ183" s="1021"/>
      <c r="FR183" s="1021"/>
      <c r="FS183" s="1020"/>
      <c r="FT183" s="1055">
        <f t="shared" si="521"/>
        <v>2814880.0516727683</v>
      </c>
      <c r="FU183" s="1056"/>
      <c r="FV183" s="1056"/>
      <c r="GG183" s="956"/>
      <c r="GH183" s="1058"/>
      <c r="GI183" s="1024">
        <f t="shared" si="418"/>
        <v>3794088.151323834</v>
      </c>
      <c r="GJ183" s="1025">
        <f t="shared" si="419"/>
        <v>0.125</v>
      </c>
      <c r="GK183" s="1024">
        <f t="shared" si="420"/>
        <v>474261.01891547925</v>
      </c>
      <c r="GL183" s="1024">
        <f t="shared" si="421"/>
        <v>30000</v>
      </c>
      <c r="GM183" s="1024">
        <f t="shared" si="422"/>
        <v>444261.01891547925</v>
      </c>
      <c r="GN183" s="1024">
        <f t="shared" si="423"/>
        <v>2</v>
      </c>
      <c r="GO183" s="1024">
        <f t="shared" si="424"/>
        <v>222130.50945773962</v>
      </c>
      <c r="GP183" s="1025">
        <f t="shared" si="425"/>
        <v>0.875</v>
      </c>
      <c r="GQ183" s="1024">
        <f t="shared" si="426"/>
        <v>3319827.1324083549</v>
      </c>
      <c r="GR183" s="1024">
        <f t="shared" si="427"/>
        <v>25738.584421948584</v>
      </c>
      <c r="GS183" s="1024">
        <f t="shared" si="428"/>
        <v>29839.544809515726</v>
      </c>
      <c r="GT183" s="1024">
        <f t="shared" si="429"/>
        <v>38546.007961265983</v>
      </c>
      <c r="GU183" s="1024">
        <f t="shared" si="430"/>
        <v>65736.5561684571</v>
      </c>
      <c r="GW183" s="1024">
        <f t="shared" si="431"/>
        <v>3794088.151323834</v>
      </c>
      <c r="GX183" s="1025">
        <f t="shared" si="432"/>
        <v>0.125</v>
      </c>
      <c r="GY183" s="1024">
        <f t="shared" si="433"/>
        <v>474261.01891547925</v>
      </c>
      <c r="GZ183" s="1024">
        <f t="shared" si="434"/>
        <v>30000</v>
      </c>
      <c r="HA183" s="1024">
        <f t="shared" si="435"/>
        <v>444261.01891547925</v>
      </c>
      <c r="HB183" s="1026">
        <f t="shared" si="436"/>
        <v>25</v>
      </c>
      <c r="HC183" s="1009">
        <f t="shared" si="437"/>
        <v>17770.440756619169</v>
      </c>
      <c r="HD183" s="1027">
        <f t="shared" si="438"/>
        <v>0.875</v>
      </c>
      <c r="HE183" s="1009">
        <f t="shared" si="439"/>
        <v>3319827.1324083549</v>
      </c>
      <c r="HF183" s="1008">
        <f t="shared" si="440"/>
        <v>25738.584421948584</v>
      </c>
      <c r="HG183" s="1008">
        <f t="shared" si="441"/>
        <v>29839.544809515726</v>
      </c>
      <c r="HH183" s="1008">
        <f t="shared" si="442"/>
        <v>38546.007961265983</v>
      </c>
      <c r="HI183" s="1008">
        <f t="shared" si="443"/>
        <v>65736.5561684571</v>
      </c>
      <c r="HK183" s="1009">
        <f t="shared" si="444"/>
        <v>-204360.06870112044</v>
      </c>
      <c r="HR183" s="956">
        <f t="shared" si="445"/>
        <v>0</v>
      </c>
      <c r="HU183" s="956"/>
      <c r="HW183" s="956"/>
      <c r="HX183" s="956"/>
    </row>
    <row r="184" spans="1:232" ht="14.25" hidden="1" customHeight="1">
      <c r="A184" s="1018">
        <f t="shared" si="480"/>
        <v>178</v>
      </c>
      <c r="B184" s="716"/>
      <c r="C184" s="741">
        <f t="shared" si="522"/>
        <v>4</v>
      </c>
      <c r="D184" s="716" t="s">
        <v>297</v>
      </c>
      <c r="E184" s="743" t="str">
        <f t="shared" si="516"/>
        <v>12th Floor</v>
      </c>
      <c r="F184" s="1048"/>
      <c r="G184" s="745" t="s">
        <v>634</v>
      </c>
      <c r="H184" s="745" t="s">
        <v>288</v>
      </c>
      <c r="I184" s="745" t="s">
        <v>267</v>
      </c>
      <c r="J184" s="1005">
        <v>22</v>
      </c>
      <c r="K184" s="1049"/>
      <c r="L184" s="1006" t="s">
        <v>73</v>
      </c>
      <c r="M184" s="745" t="s">
        <v>240</v>
      </c>
      <c r="N184" s="1050">
        <v>95909.091</v>
      </c>
      <c r="O184" s="934">
        <f t="shared" si="455"/>
        <v>2110000.0019999999</v>
      </c>
      <c r="P184" s="934">
        <f t="shared" si="481"/>
        <v>22400</v>
      </c>
      <c r="Q184" s="934">
        <f t="shared" si="450"/>
        <v>50000</v>
      </c>
      <c r="R184" s="934"/>
      <c r="S184" s="934"/>
      <c r="T184" s="934"/>
      <c r="U184" s="934"/>
      <c r="V184" s="749"/>
      <c r="W184" s="749">
        <f t="shared" si="519"/>
        <v>22000</v>
      </c>
      <c r="X184" s="934"/>
      <c r="Y184" s="934">
        <f t="shared" si="523"/>
        <v>160000</v>
      </c>
      <c r="Z184" s="934">
        <f t="shared" si="456"/>
        <v>75000</v>
      </c>
      <c r="AA184" s="934"/>
      <c r="AB184" s="934"/>
      <c r="AC184" s="934"/>
      <c r="AD184" s="934"/>
      <c r="AE184" s="934">
        <f t="shared" si="365"/>
        <v>329400</v>
      </c>
      <c r="AF184" s="1005">
        <f t="shared" si="366"/>
        <v>2439400.0019999999</v>
      </c>
      <c r="AG184" s="1005">
        <f t="shared" si="380"/>
        <v>60985.000050000002</v>
      </c>
      <c r="AH184" s="1005">
        <f t="shared" si="381"/>
        <v>2500385.0020499998</v>
      </c>
      <c r="AI184" s="1005">
        <f t="shared" si="382"/>
        <v>62509.625051249997</v>
      </c>
      <c r="AJ184" s="1005">
        <f t="shared" si="383"/>
        <v>2562894.62710125</v>
      </c>
      <c r="AK184" s="1005">
        <f t="shared" si="384"/>
        <v>128144.73135506251</v>
      </c>
      <c r="AL184" s="1005">
        <f t="shared" si="457"/>
        <v>2691039.3584563127</v>
      </c>
      <c r="AM184" s="934">
        <f t="shared" si="385"/>
        <v>26910.393584563128</v>
      </c>
      <c r="AN184" s="934">
        <f t="shared" si="386"/>
        <v>27537.409960060559</v>
      </c>
      <c r="AO184" s="934"/>
      <c r="AP184" s="934">
        <f t="shared" si="458"/>
        <v>119632.40219609266</v>
      </c>
      <c r="AQ184" s="1005">
        <f t="shared" si="367"/>
        <v>2865119.5641970285</v>
      </c>
      <c r="AR184" s="1005">
        <f t="shared" si="387"/>
        <v>128930.38038886628</v>
      </c>
      <c r="AS184" s="1147">
        <f t="shared" si="388"/>
        <v>2994049.9445858947</v>
      </c>
      <c r="AT184" s="1148">
        <f t="shared" si="459"/>
        <v>2000000</v>
      </c>
      <c r="AU184" s="1148">
        <f t="shared" si="520"/>
        <v>45184.088390267942</v>
      </c>
      <c r="AV184" s="1148">
        <f t="shared" si="460"/>
        <v>994049.9445858947</v>
      </c>
      <c r="AW184" s="1148">
        <f t="shared" si="368"/>
        <v>119285.99335030736</v>
      </c>
      <c r="AX184" s="1148">
        <f t="shared" si="369"/>
        <v>1113335.9379362022</v>
      </c>
      <c r="AY184" s="1147">
        <f t="shared" si="389"/>
        <v>3113335.9379362022</v>
      </c>
      <c r="AZ184" s="934">
        <f t="shared" si="390"/>
        <v>38916.69922420253</v>
      </c>
      <c r="BA184" s="716" t="s">
        <v>269</v>
      </c>
      <c r="BB184" s="716">
        <f t="shared" si="370"/>
        <v>3152252.6371604046</v>
      </c>
      <c r="BC184" s="716" t="s">
        <v>269</v>
      </c>
      <c r="BD184" s="716">
        <f t="shared" si="391"/>
        <v>118209.47389351517</v>
      </c>
      <c r="BE184" s="716">
        <f t="shared" si="392"/>
        <v>33600</v>
      </c>
      <c r="BF184" s="716">
        <f t="shared" si="393"/>
        <v>3304062.1110539199</v>
      </c>
      <c r="BG184" s="716"/>
      <c r="BH184" s="716">
        <f t="shared" si="394"/>
        <v>3304062.1110539199</v>
      </c>
      <c r="BI184" s="716"/>
      <c r="BJ184" s="716">
        <f t="shared" si="395"/>
        <v>3304062.1110539199</v>
      </c>
      <c r="BK184" s="716"/>
      <c r="BL184" s="716">
        <f t="shared" si="396"/>
        <v>3304062.1110539199</v>
      </c>
      <c r="BM184" s="716"/>
      <c r="BN184" s="716">
        <f t="shared" si="371"/>
        <v>3304062.1110539199</v>
      </c>
      <c r="BO184" s="716"/>
      <c r="BP184" s="716">
        <f t="shared" si="397"/>
        <v>3304062.1110539199</v>
      </c>
      <c r="BQ184" s="716"/>
      <c r="BR184" s="716">
        <f t="shared" si="398"/>
        <v>3304062.1110539199</v>
      </c>
      <c r="BS184" s="716"/>
      <c r="BT184" s="716">
        <f t="shared" si="399"/>
        <v>3304062.1110539199</v>
      </c>
      <c r="BU184" s="716"/>
      <c r="BV184" s="716">
        <f t="shared" si="372"/>
        <v>3304062.1110539199</v>
      </c>
      <c r="BW184" s="716"/>
      <c r="BX184" s="716">
        <f t="shared" si="489"/>
        <v>31400</v>
      </c>
      <c r="BY184" s="716">
        <f t="shared" si="400"/>
        <v>3335462.1110539199</v>
      </c>
      <c r="BZ184" s="716"/>
      <c r="CA184" s="716">
        <f t="shared" si="401"/>
        <v>3335462.1110539199</v>
      </c>
      <c r="CB184" s="1135">
        <f t="shared" si="402"/>
        <v>3335462.1110539199</v>
      </c>
      <c r="CC184" s="1164">
        <f t="shared" si="446"/>
        <v>3335462.1110539199</v>
      </c>
      <c r="CD184" s="1164"/>
      <c r="CE184" s="1164">
        <f t="shared" si="403"/>
        <v>0</v>
      </c>
      <c r="CF184" s="1164">
        <f t="shared" si="448"/>
        <v>0</v>
      </c>
      <c r="CG184" s="1164">
        <f t="shared" si="449"/>
        <v>0</v>
      </c>
      <c r="CH184" s="1154">
        <f t="shared" si="506"/>
        <v>3335462.1110539199</v>
      </c>
      <c r="CI184" s="935">
        <f t="shared" si="507"/>
        <v>3335462.1110539199</v>
      </c>
      <c r="CJ184" s="935">
        <f t="shared" si="404"/>
        <v>0</v>
      </c>
      <c r="CK184" s="935">
        <f t="shared" si="373"/>
        <v>341884.86638302676</v>
      </c>
      <c r="CL184" s="935">
        <f t="shared" si="374"/>
        <v>116741.17388688721</v>
      </c>
      <c r="CM184" s="1006">
        <f t="shared" si="461"/>
        <v>3794088.151323834</v>
      </c>
      <c r="CN184" s="1007">
        <f t="shared" si="462"/>
        <v>0.125</v>
      </c>
      <c r="CO184" s="935">
        <f t="shared" si="498"/>
        <v>474261.01891547925</v>
      </c>
      <c r="CP184" s="935">
        <f t="shared" si="490"/>
        <v>30000</v>
      </c>
      <c r="CQ184" s="935">
        <f t="shared" si="499"/>
        <v>444261.01891547925</v>
      </c>
      <c r="CR184" s="745">
        <f t="shared" si="463"/>
        <v>2</v>
      </c>
      <c r="CS184" s="935">
        <f t="shared" si="500"/>
        <v>222130.50945773962</v>
      </c>
      <c r="CT184" s="1007">
        <f t="shared" si="405"/>
        <v>0.875</v>
      </c>
      <c r="CU184" s="935">
        <f t="shared" si="406"/>
        <v>3319827.1324083549</v>
      </c>
      <c r="CV184" s="1008">
        <f t="shared" si="407"/>
        <v>25738.584421948584</v>
      </c>
      <c r="CW184" s="1008">
        <f t="shared" si="408"/>
        <v>29839.544809515726</v>
      </c>
      <c r="CX184" s="1008">
        <f t="shared" si="409"/>
        <v>38546.007961265983</v>
      </c>
      <c r="CY184" s="1008">
        <f t="shared" si="410"/>
        <v>65736.5561684571</v>
      </c>
      <c r="CZ184" s="1119">
        <f t="shared" si="411"/>
        <v>269680.11008349713</v>
      </c>
      <c r="DA184" s="1119">
        <f t="shared" si="412"/>
        <v>106711.10587280082</v>
      </c>
      <c r="DB184" s="1119">
        <f t="shared" si="413"/>
        <v>77075.920401765397</v>
      </c>
      <c r="DC184" s="1119">
        <f t="shared" si="414"/>
        <v>58658.323817851917</v>
      </c>
      <c r="DD184" s="1028">
        <f t="shared" si="451"/>
        <v>0.49702497229294734</v>
      </c>
      <c r="DE184" s="1028">
        <f t="shared" si="508"/>
        <v>0</v>
      </c>
      <c r="DF184" s="1009" t="s">
        <v>270</v>
      </c>
      <c r="DG184" s="1009" t="s">
        <v>271</v>
      </c>
      <c r="DH184" s="966">
        <f t="shared" si="447"/>
        <v>45658</v>
      </c>
      <c r="DI184" s="912">
        <f t="shared" si="415"/>
        <v>14</v>
      </c>
      <c r="DK184" s="913">
        <f t="shared" si="375"/>
        <v>45723</v>
      </c>
      <c r="DL184" s="912">
        <f t="shared" si="416"/>
        <v>16</v>
      </c>
      <c r="DM184" s="750" t="s">
        <v>272</v>
      </c>
      <c r="DN184" s="750" t="s">
        <v>273</v>
      </c>
      <c r="DO184" s="751">
        <f t="shared" si="376"/>
        <v>50606.178997100098</v>
      </c>
      <c r="DP184" s="751">
        <f t="shared" si="377"/>
        <v>1113335.9379362022</v>
      </c>
      <c r="DQ184" s="752">
        <f t="shared" si="452"/>
        <v>0.55666796896810111</v>
      </c>
      <c r="DS184" s="751">
        <f t="shared" si="453"/>
        <v>3335462.1110539199</v>
      </c>
      <c r="DT184" s="751">
        <f>'[4]INTERNAL PRICELIST'!N178</f>
        <v>0</v>
      </c>
      <c r="DU184" s="751">
        <f t="shared" si="378"/>
        <v>3335462.1110539199</v>
      </c>
      <c r="DW184" s="951">
        <f t="shared" si="454"/>
        <v>151611.91413881455</v>
      </c>
      <c r="DZ184" s="1010" t="s">
        <v>634</v>
      </c>
      <c r="EA184" s="1011" t="b">
        <f t="shared" si="379"/>
        <v>1</v>
      </c>
      <c r="EB184" s="1011"/>
      <c r="EC184" s="1011"/>
      <c r="ER184" s="1017" t="s">
        <v>264</v>
      </c>
      <c r="ES184" s="1391" t="s">
        <v>264</v>
      </c>
      <c r="ET184" s="1018" t="b">
        <f t="shared" si="417"/>
        <v>1</v>
      </c>
      <c r="EX184" s="1019">
        <v>3127644.5018586316</v>
      </c>
      <c r="EY184" s="1019">
        <f t="shared" si="464"/>
        <v>469146.67527879472</v>
      </c>
      <c r="EZ184" s="1019">
        <f t="shared" si="465"/>
        <v>2658497.8265798367</v>
      </c>
      <c r="FA184" s="1019">
        <f t="shared" si="466"/>
        <v>312764.45018586318</v>
      </c>
      <c r="FB184" s="1019">
        <f t="shared" si="467"/>
        <v>2814880.0516727683</v>
      </c>
      <c r="FC184" s="1019">
        <f t="shared" si="468"/>
        <v>156382.22509293165</v>
      </c>
      <c r="FD184" s="1020"/>
      <c r="FE184" s="1021"/>
      <c r="FF184" s="1022">
        <f t="shared" si="469"/>
        <v>2658497.8265798367</v>
      </c>
      <c r="FG184" s="1022">
        <f t="shared" si="470"/>
        <v>225972.31525928614</v>
      </c>
      <c r="FH184" s="1022">
        <f t="shared" si="471"/>
        <v>112986.15762964307</v>
      </c>
      <c r="FI184" s="1023">
        <f t="shared" si="472"/>
        <v>2814880.0516727683</v>
      </c>
      <c r="FJ184" s="1023">
        <f t="shared" si="473"/>
        <v>239264.80439218532</v>
      </c>
      <c r="FK184" s="1023">
        <f t="shared" si="474"/>
        <v>119632.40219609266</v>
      </c>
      <c r="FL184" s="1019">
        <f t="shared" si="475"/>
        <v>13292.48913289918</v>
      </c>
      <c r="FM184" s="1019">
        <f t="shared" si="476"/>
        <v>6646.2445664495899</v>
      </c>
      <c r="FN184" s="1019" t="str">
        <f t="shared" si="477"/>
        <v>VS</v>
      </c>
      <c r="FO184" s="1019">
        <f t="shared" si="478"/>
        <v>27537.409960060559</v>
      </c>
      <c r="FP184" s="1019">
        <f t="shared" si="479"/>
        <v>-20891.165393610969</v>
      </c>
      <c r="FQ184" s="1021"/>
      <c r="FR184" s="1021"/>
      <c r="FS184" s="1020"/>
      <c r="FT184" s="1055">
        <f t="shared" si="521"/>
        <v>2814880.0516727683</v>
      </c>
      <c r="FU184" s="1056"/>
      <c r="FV184" s="1056"/>
      <c r="GG184" s="956"/>
      <c r="GH184" s="1058"/>
      <c r="GI184" s="1024">
        <f t="shared" si="418"/>
        <v>3794088.151323834</v>
      </c>
      <c r="GJ184" s="1025">
        <f t="shared" si="419"/>
        <v>0.125</v>
      </c>
      <c r="GK184" s="1024">
        <f t="shared" si="420"/>
        <v>474261.01891547925</v>
      </c>
      <c r="GL184" s="1024">
        <f t="shared" si="421"/>
        <v>30000</v>
      </c>
      <c r="GM184" s="1024">
        <f t="shared" si="422"/>
        <v>444261.01891547925</v>
      </c>
      <c r="GN184" s="1024">
        <f t="shared" si="423"/>
        <v>2</v>
      </c>
      <c r="GO184" s="1024">
        <f t="shared" si="424"/>
        <v>222130.50945773962</v>
      </c>
      <c r="GP184" s="1025">
        <f t="shared" si="425"/>
        <v>0.875</v>
      </c>
      <c r="GQ184" s="1024">
        <f t="shared" si="426"/>
        <v>3319827.1324083549</v>
      </c>
      <c r="GR184" s="1024">
        <f t="shared" si="427"/>
        <v>25738.584421948584</v>
      </c>
      <c r="GS184" s="1024">
        <f t="shared" si="428"/>
        <v>29839.544809515726</v>
      </c>
      <c r="GT184" s="1024">
        <f t="shared" si="429"/>
        <v>38546.007961265983</v>
      </c>
      <c r="GU184" s="1024">
        <f t="shared" si="430"/>
        <v>65736.5561684571</v>
      </c>
      <c r="GW184" s="1024">
        <f t="shared" si="431"/>
        <v>3794088.151323834</v>
      </c>
      <c r="GX184" s="1025">
        <f t="shared" si="432"/>
        <v>0.125</v>
      </c>
      <c r="GY184" s="1024">
        <f t="shared" si="433"/>
        <v>474261.01891547925</v>
      </c>
      <c r="GZ184" s="1024">
        <f t="shared" si="434"/>
        <v>30000</v>
      </c>
      <c r="HA184" s="1024">
        <f t="shared" si="435"/>
        <v>444261.01891547925</v>
      </c>
      <c r="HB184" s="1026">
        <f t="shared" si="436"/>
        <v>25</v>
      </c>
      <c r="HC184" s="1009">
        <f t="shared" si="437"/>
        <v>17770.440756619169</v>
      </c>
      <c r="HD184" s="1027">
        <f t="shared" si="438"/>
        <v>0.875</v>
      </c>
      <c r="HE184" s="1009">
        <f t="shared" si="439"/>
        <v>3319827.1324083549</v>
      </c>
      <c r="HF184" s="1008">
        <f t="shared" si="440"/>
        <v>25738.584421948584</v>
      </c>
      <c r="HG184" s="1008">
        <f t="shared" si="441"/>
        <v>29839.544809515726</v>
      </c>
      <c r="HH184" s="1008">
        <f t="shared" si="442"/>
        <v>38546.007961265983</v>
      </c>
      <c r="HI184" s="1008">
        <f t="shared" si="443"/>
        <v>65736.5561684571</v>
      </c>
      <c r="HK184" s="1009">
        <f t="shared" si="444"/>
        <v>-204360.06870112044</v>
      </c>
      <c r="HR184" s="956">
        <f t="shared" si="445"/>
        <v>0</v>
      </c>
      <c r="HU184" s="956"/>
      <c r="HW184" s="956"/>
      <c r="HX184" s="956"/>
    </row>
    <row r="185" spans="1:232" ht="14.25" hidden="1" customHeight="1">
      <c r="A185" s="1018">
        <f t="shared" si="480"/>
        <v>179</v>
      </c>
      <c r="B185" s="716"/>
      <c r="C185" s="741">
        <f t="shared" si="522"/>
        <v>5</v>
      </c>
      <c r="D185" s="716" t="s">
        <v>297</v>
      </c>
      <c r="E185" s="743" t="str">
        <f t="shared" si="516"/>
        <v>12th Floor</v>
      </c>
      <c r="F185" s="1048"/>
      <c r="G185" s="745" t="s">
        <v>635</v>
      </c>
      <c r="H185" s="745" t="s">
        <v>292</v>
      </c>
      <c r="I185" s="745" t="s">
        <v>267</v>
      </c>
      <c r="J185" s="1005">
        <v>22</v>
      </c>
      <c r="K185" s="1049"/>
      <c r="L185" s="1006" t="s">
        <v>73</v>
      </c>
      <c r="M185" s="745" t="s">
        <v>240</v>
      </c>
      <c r="N185" s="1050">
        <v>95909.091</v>
      </c>
      <c r="O185" s="934">
        <f t="shared" si="455"/>
        <v>2110000.0019999999</v>
      </c>
      <c r="P185" s="934">
        <f t="shared" si="481"/>
        <v>22400</v>
      </c>
      <c r="Q185" s="934">
        <f t="shared" si="450"/>
        <v>50000</v>
      </c>
      <c r="R185" s="934"/>
      <c r="S185" s="934"/>
      <c r="T185" s="934"/>
      <c r="U185" s="934"/>
      <c r="V185" s="749"/>
      <c r="W185" s="749">
        <f t="shared" si="519"/>
        <v>22000</v>
      </c>
      <c r="X185" s="934"/>
      <c r="Y185" s="934">
        <f t="shared" si="523"/>
        <v>160000</v>
      </c>
      <c r="Z185" s="934">
        <f t="shared" si="456"/>
        <v>75000</v>
      </c>
      <c r="AA185" s="934"/>
      <c r="AB185" s="934"/>
      <c r="AC185" s="934"/>
      <c r="AD185" s="934"/>
      <c r="AE185" s="934">
        <f t="shared" si="365"/>
        <v>329400</v>
      </c>
      <c r="AF185" s="1005">
        <f t="shared" si="366"/>
        <v>2439400.0019999999</v>
      </c>
      <c r="AG185" s="1005">
        <f t="shared" si="380"/>
        <v>60985.000050000002</v>
      </c>
      <c r="AH185" s="1005">
        <f t="shared" si="381"/>
        <v>2500385.0020499998</v>
      </c>
      <c r="AI185" s="1005">
        <f t="shared" si="382"/>
        <v>62509.625051249997</v>
      </c>
      <c r="AJ185" s="1005">
        <f t="shared" si="383"/>
        <v>2562894.62710125</v>
      </c>
      <c r="AK185" s="1005">
        <f t="shared" si="384"/>
        <v>128144.73135506251</v>
      </c>
      <c r="AL185" s="1005">
        <f t="shared" si="457"/>
        <v>2691039.3584563127</v>
      </c>
      <c r="AM185" s="934">
        <f t="shared" si="385"/>
        <v>26910.393584563128</v>
      </c>
      <c r="AN185" s="934">
        <f t="shared" si="386"/>
        <v>27537.409960060559</v>
      </c>
      <c r="AO185" s="934"/>
      <c r="AP185" s="934">
        <f t="shared" si="458"/>
        <v>119632.40219609266</v>
      </c>
      <c r="AQ185" s="1005">
        <f t="shared" si="367"/>
        <v>2865119.5641970285</v>
      </c>
      <c r="AR185" s="1005">
        <f t="shared" si="387"/>
        <v>128930.38038886628</v>
      </c>
      <c r="AS185" s="1147">
        <f t="shared" si="388"/>
        <v>2994049.9445858947</v>
      </c>
      <c r="AT185" s="1148">
        <f t="shared" si="459"/>
        <v>2000000</v>
      </c>
      <c r="AU185" s="1148">
        <f t="shared" si="520"/>
        <v>45184.088390267942</v>
      </c>
      <c r="AV185" s="1148">
        <f t="shared" si="460"/>
        <v>994049.9445858947</v>
      </c>
      <c r="AW185" s="1148">
        <f t="shared" si="368"/>
        <v>119285.99335030736</v>
      </c>
      <c r="AX185" s="1148">
        <f t="shared" si="369"/>
        <v>1113335.9379362022</v>
      </c>
      <c r="AY185" s="1147">
        <f t="shared" si="389"/>
        <v>3113335.9379362022</v>
      </c>
      <c r="AZ185" s="934">
        <f t="shared" si="390"/>
        <v>38916.69922420253</v>
      </c>
      <c r="BA185" s="716" t="s">
        <v>269</v>
      </c>
      <c r="BB185" s="716">
        <f t="shared" si="370"/>
        <v>3152252.6371604046</v>
      </c>
      <c r="BC185" s="716" t="s">
        <v>269</v>
      </c>
      <c r="BD185" s="716">
        <f t="shared" si="391"/>
        <v>118209.47389351517</v>
      </c>
      <c r="BE185" s="716">
        <f t="shared" si="392"/>
        <v>33600</v>
      </c>
      <c r="BF185" s="716">
        <f t="shared" si="393"/>
        <v>3304062.1110539199</v>
      </c>
      <c r="BG185" s="716"/>
      <c r="BH185" s="716">
        <f t="shared" si="394"/>
        <v>3304062.1110539199</v>
      </c>
      <c r="BI185" s="716"/>
      <c r="BJ185" s="716">
        <f t="shared" si="395"/>
        <v>3304062.1110539199</v>
      </c>
      <c r="BK185" s="716"/>
      <c r="BL185" s="716">
        <f t="shared" si="396"/>
        <v>3304062.1110539199</v>
      </c>
      <c r="BM185" s="716"/>
      <c r="BN185" s="716">
        <f t="shared" si="371"/>
        <v>3304062.1110539199</v>
      </c>
      <c r="BO185" s="716"/>
      <c r="BP185" s="716">
        <f t="shared" si="397"/>
        <v>3304062.1110539199</v>
      </c>
      <c r="BQ185" s="716"/>
      <c r="BR185" s="716">
        <f t="shared" si="398"/>
        <v>3304062.1110539199</v>
      </c>
      <c r="BS185" s="716"/>
      <c r="BT185" s="716">
        <f t="shared" si="399"/>
        <v>3304062.1110539199</v>
      </c>
      <c r="BU185" s="716"/>
      <c r="BV185" s="716">
        <f t="shared" si="372"/>
        <v>3304062.1110539199</v>
      </c>
      <c r="BW185" s="716"/>
      <c r="BX185" s="716">
        <f t="shared" si="489"/>
        <v>31400</v>
      </c>
      <c r="BY185" s="716">
        <f t="shared" si="400"/>
        <v>3335462.1110539199</v>
      </c>
      <c r="BZ185" s="716"/>
      <c r="CA185" s="716">
        <f t="shared" si="401"/>
        <v>3335462.1110539199</v>
      </c>
      <c r="CB185" s="1135">
        <f t="shared" si="402"/>
        <v>3335462.1110539199</v>
      </c>
      <c r="CC185" s="1164">
        <f t="shared" si="446"/>
        <v>3335462.1110539199</v>
      </c>
      <c r="CD185" s="1164"/>
      <c r="CE185" s="1164">
        <f t="shared" si="403"/>
        <v>0</v>
      </c>
      <c r="CF185" s="1164">
        <f t="shared" si="448"/>
        <v>0</v>
      </c>
      <c r="CG185" s="1164">
        <f t="shared" si="449"/>
        <v>0</v>
      </c>
      <c r="CH185" s="1154">
        <f t="shared" si="506"/>
        <v>3335462.1110539199</v>
      </c>
      <c r="CI185" s="935">
        <f t="shared" si="507"/>
        <v>3335462.1110539199</v>
      </c>
      <c r="CJ185" s="935">
        <f t="shared" si="404"/>
        <v>0</v>
      </c>
      <c r="CK185" s="935">
        <f t="shared" si="373"/>
        <v>341884.86638302676</v>
      </c>
      <c r="CL185" s="935">
        <f t="shared" si="374"/>
        <v>116741.17388688721</v>
      </c>
      <c r="CM185" s="1006">
        <f t="shared" si="461"/>
        <v>3794088.151323834</v>
      </c>
      <c r="CN185" s="1007">
        <f t="shared" si="462"/>
        <v>0.125</v>
      </c>
      <c r="CO185" s="935">
        <f t="shared" si="498"/>
        <v>474261.01891547925</v>
      </c>
      <c r="CP185" s="935">
        <f t="shared" si="490"/>
        <v>30000</v>
      </c>
      <c r="CQ185" s="935">
        <f t="shared" si="499"/>
        <v>444261.01891547925</v>
      </c>
      <c r="CR185" s="745">
        <f t="shared" si="463"/>
        <v>2</v>
      </c>
      <c r="CS185" s="935">
        <f t="shared" si="500"/>
        <v>222130.50945773962</v>
      </c>
      <c r="CT185" s="1007">
        <f t="shared" si="405"/>
        <v>0.875</v>
      </c>
      <c r="CU185" s="935">
        <f t="shared" si="406"/>
        <v>3319827.1324083549</v>
      </c>
      <c r="CV185" s="1008">
        <f t="shared" si="407"/>
        <v>25738.584421948584</v>
      </c>
      <c r="CW185" s="1008">
        <f t="shared" si="408"/>
        <v>29839.544809515726</v>
      </c>
      <c r="CX185" s="1008">
        <f t="shared" si="409"/>
        <v>38546.007961265983</v>
      </c>
      <c r="CY185" s="1008">
        <f t="shared" si="410"/>
        <v>65736.5561684571</v>
      </c>
      <c r="CZ185" s="1119">
        <f t="shared" si="411"/>
        <v>269680.11008349713</v>
      </c>
      <c r="DA185" s="1119">
        <f t="shared" si="412"/>
        <v>106711.10587280082</v>
      </c>
      <c r="DB185" s="1119">
        <f t="shared" si="413"/>
        <v>77075.920401765397</v>
      </c>
      <c r="DC185" s="1119">
        <f t="shared" si="414"/>
        <v>58658.323817851917</v>
      </c>
      <c r="DD185" s="1028">
        <f t="shared" si="451"/>
        <v>0.49702497229294734</v>
      </c>
      <c r="DE185" s="1028">
        <f t="shared" si="508"/>
        <v>0</v>
      </c>
      <c r="DF185" s="1009" t="s">
        <v>270</v>
      </c>
      <c r="DG185" s="1009" t="s">
        <v>271</v>
      </c>
      <c r="DH185" s="966">
        <f t="shared" si="447"/>
        <v>45658</v>
      </c>
      <c r="DI185" s="912">
        <f t="shared" si="415"/>
        <v>14</v>
      </c>
      <c r="DK185" s="913">
        <f t="shared" si="375"/>
        <v>45723</v>
      </c>
      <c r="DL185" s="912">
        <f t="shared" si="416"/>
        <v>16</v>
      </c>
      <c r="DM185" s="750" t="s">
        <v>272</v>
      </c>
      <c r="DN185" s="750" t="s">
        <v>273</v>
      </c>
      <c r="DO185" s="751">
        <f t="shared" si="376"/>
        <v>50606.178997100098</v>
      </c>
      <c r="DP185" s="751">
        <f t="shared" si="377"/>
        <v>1113335.9379362022</v>
      </c>
      <c r="DQ185" s="752">
        <f t="shared" si="452"/>
        <v>0.55666796896810111</v>
      </c>
      <c r="DS185" s="751">
        <f t="shared" si="453"/>
        <v>3335462.1110539199</v>
      </c>
      <c r="DT185" s="751">
        <f>'[4]INTERNAL PRICELIST'!N179</f>
        <v>0</v>
      </c>
      <c r="DU185" s="751">
        <f t="shared" si="378"/>
        <v>3335462.1110539199</v>
      </c>
      <c r="DW185" s="951">
        <f t="shared" si="454"/>
        <v>151611.91413881455</v>
      </c>
      <c r="DZ185" s="1010" t="s">
        <v>635</v>
      </c>
      <c r="EA185" s="1011" t="b">
        <f t="shared" si="379"/>
        <v>1</v>
      </c>
      <c r="EB185" s="1011"/>
      <c r="EC185" s="1011"/>
      <c r="ER185" s="1017" t="s">
        <v>264</v>
      </c>
      <c r="ES185" s="1391" t="s">
        <v>264</v>
      </c>
      <c r="ET185" s="1018" t="b">
        <f t="shared" si="417"/>
        <v>1</v>
      </c>
      <c r="EX185" s="1019">
        <v>3127644.5018586316</v>
      </c>
      <c r="EY185" s="1019">
        <f t="shared" si="464"/>
        <v>469146.67527879472</v>
      </c>
      <c r="EZ185" s="1019">
        <f t="shared" si="465"/>
        <v>2658497.8265798367</v>
      </c>
      <c r="FA185" s="1019">
        <f t="shared" si="466"/>
        <v>312764.45018586318</v>
      </c>
      <c r="FB185" s="1019">
        <f t="shared" si="467"/>
        <v>2814880.0516727683</v>
      </c>
      <c r="FC185" s="1019">
        <f t="shared" si="468"/>
        <v>156382.22509293165</v>
      </c>
      <c r="FD185" s="1020"/>
      <c r="FE185" s="1021"/>
      <c r="FF185" s="1022">
        <f t="shared" si="469"/>
        <v>2658497.8265798367</v>
      </c>
      <c r="FG185" s="1022">
        <f t="shared" si="470"/>
        <v>225972.31525928614</v>
      </c>
      <c r="FH185" s="1022">
        <f t="shared" si="471"/>
        <v>112986.15762964307</v>
      </c>
      <c r="FI185" s="1023">
        <f t="shared" si="472"/>
        <v>2814880.0516727683</v>
      </c>
      <c r="FJ185" s="1023">
        <f t="shared" si="473"/>
        <v>239264.80439218532</v>
      </c>
      <c r="FK185" s="1023">
        <f t="shared" si="474"/>
        <v>119632.40219609266</v>
      </c>
      <c r="FL185" s="1019">
        <f t="shared" si="475"/>
        <v>13292.48913289918</v>
      </c>
      <c r="FM185" s="1019">
        <f t="shared" si="476"/>
        <v>6646.2445664495899</v>
      </c>
      <c r="FN185" s="1019" t="str">
        <f t="shared" si="477"/>
        <v>VS</v>
      </c>
      <c r="FO185" s="1019">
        <f t="shared" si="478"/>
        <v>27537.409960060559</v>
      </c>
      <c r="FP185" s="1019">
        <f t="shared" si="479"/>
        <v>-20891.165393610969</v>
      </c>
      <c r="FQ185" s="1021"/>
      <c r="FR185" s="1021"/>
      <c r="FS185" s="1020"/>
      <c r="FT185" s="1055">
        <f t="shared" si="521"/>
        <v>2814880.0516727683</v>
      </c>
      <c r="FU185" s="1056"/>
      <c r="FV185" s="1056"/>
      <c r="GG185" s="956"/>
      <c r="GH185" s="1058"/>
      <c r="GI185" s="1024">
        <f t="shared" si="418"/>
        <v>3794088.151323834</v>
      </c>
      <c r="GJ185" s="1025">
        <f t="shared" si="419"/>
        <v>0.125</v>
      </c>
      <c r="GK185" s="1024">
        <f t="shared" si="420"/>
        <v>474261.01891547925</v>
      </c>
      <c r="GL185" s="1024">
        <f t="shared" si="421"/>
        <v>30000</v>
      </c>
      <c r="GM185" s="1024">
        <f t="shared" si="422"/>
        <v>444261.01891547925</v>
      </c>
      <c r="GN185" s="1024">
        <f t="shared" si="423"/>
        <v>2</v>
      </c>
      <c r="GO185" s="1024">
        <f t="shared" si="424"/>
        <v>222130.50945773962</v>
      </c>
      <c r="GP185" s="1025">
        <f t="shared" si="425"/>
        <v>0.875</v>
      </c>
      <c r="GQ185" s="1024">
        <f t="shared" si="426"/>
        <v>3319827.1324083549</v>
      </c>
      <c r="GR185" s="1024">
        <f t="shared" si="427"/>
        <v>25738.584421948584</v>
      </c>
      <c r="GS185" s="1024">
        <f t="shared" si="428"/>
        <v>29839.544809515726</v>
      </c>
      <c r="GT185" s="1024">
        <f t="shared" si="429"/>
        <v>38546.007961265983</v>
      </c>
      <c r="GU185" s="1024">
        <f t="shared" si="430"/>
        <v>65736.5561684571</v>
      </c>
      <c r="GW185" s="1024">
        <f t="shared" si="431"/>
        <v>3794088.151323834</v>
      </c>
      <c r="GX185" s="1025">
        <f t="shared" si="432"/>
        <v>0.125</v>
      </c>
      <c r="GY185" s="1024">
        <f t="shared" si="433"/>
        <v>474261.01891547925</v>
      </c>
      <c r="GZ185" s="1024">
        <f t="shared" si="434"/>
        <v>30000</v>
      </c>
      <c r="HA185" s="1024">
        <f t="shared" si="435"/>
        <v>444261.01891547925</v>
      </c>
      <c r="HB185" s="1026">
        <f t="shared" si="436"/>
        <v>25</v>
      </c>
      <c r="HC185" s="1009">
        <f t="shared" si="437"/>
        <v>17770.440756619169</v>
      </c>
      <c r="HD185" s="1027">
        <f t="shared" si="438"/>
        <v>0.875</v>
      </c>
      <c r="HE185" s="1009">
        <f t="shared" si="439"/>
        <v>3319827.1324083549</v>
      </c>
      <c r="HF185" s="1008">
        <f t="shared" si="440"/>
        <v>25738.584421948584</v>
      </c>
      <c r="HG185" s="1008">
        <f t="shared" si="441"/>
        <v>29839.544809515726</v>
      </c>
      <c r="HH185" s="1008">
        <f t="shared" si="442"/>
        <v>38546.007961265983</v>
      </c>
      <c r="HI185" s="1008">
        <f t="shared" si="443"/>
        <v>65736.5561684571</v>
      </c>
      <c r="HK185" s="1009">
        <f t="shared" si="444"/>
        <v>-204360.06870112044</v>
      </c>
      <c r="HR185" s="956">
        <f t="shared" si="445"/>
        <v>0</v>
      </c>
      <c r="HU185" s="956"/>
      <c r="HW185" s="956"/>
      <c r="HX185" s="956"/>
    </row>
    <row r="186" spans="1:232" ht="14.25" hidden="1" customHeight="1">
      <c r="A186" s="1018">
        <f t="shared" si="480"/>
        <v>180</v>
      </c>
      <c r="B186" s="716"/>
      <c r="C186" s="741">
        <f t="shared" si="522"/>
        <v>6</v>
      </c>
      <c r="D186" s="716" t="s">
        <v>297</v>
      </c>
      <c r="E186" s="743" t="str">
        <f t="shared" si="516"/>
        <v>12th Floor</v>
      </c>
      <c r="F186" s="1048"/>
      <c r="G186" s="745" t="s">
        <v>636</v>
      </c>
      <c r="H186" s="745" t="s">
        <v>296</v>
      </c>
      <c r="I186" s="745" t="s">
        <v>267</v>
      </c>
      <c r="J186" s="1005">
        <v>22</v>
      </c>
      <c r="K186" s="1049"/>
      <c r="L186" s="1006" t="s">
        <v>73</v>
      </c>
      <c r="M186" s="745" t="s">
        <v>79</v>
      </c>
      <c r="N186" s="1050">
        <v>95909.091</v>
      </c>
      <c r="O186" s="934">
        <f t="shared" si="455"/>
        <v>2110000.0019999999</v>
      </c>
      <c r="P186" s="934">
        <f t="shared" si="481"/>
        <v>22400</v>
      </c>
      <c r="Q186" s="934">
        <f t="shared" si="450"/>
        <v>50000</v>
      </c>
      <c r="R186" s="934"/>
      <c r="S186" s="934"/>
      <c r="T186" s="934"/>
      <c r="U186" s="934"/>
      <c r="V186" s="749"/>
      <c r="W186" s="934"/>
      <c r="X186" s="934"/>
      <c r="Y186" s="934">
        <f t="shared" si="523"/>
        <v>160000</v>
      </c>
      <c r="Z186" s="934">
        <f t="shared" si="456"/>
        <v>75000</v>
      </c>
      <c r="AA186" s="934"/>
      <c r="AB186" s="934"/>
      <c r="AC186" s="934"/>
      <c r="AD186" s="934"/>
      <c r="AE186" s="934">
        <f t="shared" si="365"/>
        <v>307400</v>
      </c>
      <c r="AF186" s="1005">
        <f t="shared" si="366"/>
        <v>2417400.0019999999</v>
      </c>
      <c r="AG186" s="1005">
        <f t="shared" si="380"/>
        <v>60435.000050000002</v>
      </c>
      <c r="AH186" s="1005">
        <f t="shared" si="381"/>
        <v>2477835.0020499998</v>
      </c>
      <c r="AI186" s="1005">
        <f t="shared" si="382"/>
        <v>61945.875051249997</v>
      </c>
      <c r="AJ186" s="1005">
        <f t="shared" si="383"/>
        <v>2539780.87710125</v>
      </c>
      <c r="AK186" s="1005">
        <f t="shared" si="384"/>
        <v>126989.04385506251</v>
      </c>
      <c r="AL186" s="1005">
        <f t="shared" si="457"/>
        <v>2666769.9209563127</v>
      </c>
      <c r="AM186" s="934">
        <f t="shared" si="385"/>
        <v>26667.699209563129</v>
      </c>
      <c r="AN186" s="934">
        <f t="shared" si="386"/>
        <v>27537.409960060559</v>
      </c>
      <c r="AO186" s="934"/>
      <c r="AP186" s="934">
        <f t="shared" si="458"/>
        <v>118460.13739902392</v>
      </c>
      <c r="AQ186" s="1005">
        <f t="shared" si="367"/>
        <v>2839435.1675249599</v>
      </c>
      <c r="AR186" s="1005">
        <f t="shared" si="387"/>
        <v>127774.58253862319</v>
      </c>
      <c r="AS186" s="1147">
        <f t="shared" si="388"/>
        <v>2967209.7500635833</v>
      </c>
      <c r="AT186" s="1148">
        <f t="shared" si="459"/>
        <v>2000000</v>
      </c>
      <c r="AU186" s="1148">
        <f t="shared" si="520"/>
        <v>43964.079548344693</v>
      </c>
      <c r="AV186" s="1148">
        <f t="shared" si="460"/>
        <v>967209.75006358325</v>
      </c>
      <c r="AW186" s="1148">
        <f t="shared" si="368"/>
        <v>116065.17000762999</v>
      </c>
      <c r="AX186" s="1148">
        <f t="shared" si="369"/>
        <v>1083274.9200712133</v>
      </c>
      <c r="AY186" s="1147">
        <f t="shared" si="389"/>
        <v>3083274.920071213</v>
      </c>
      <c r="AZ186" s="934">
        <f t="shared" si="390"/>
        <v>38540.936500890166</v>
      </c>
      <c r="BA186" s="716" t="s">
        <v>269</v>
      </c>
      <c r="BB186" s="716">
        <f t="shared" si="370"/>
        <v>3121815.8565721032</v>
      </c>
      <c r="BC186" s="716" t="s">
        <v>269</v>
      </c>
      <c r="BD186" s="716">
        <f t="shared" si="391"/>
        <v>117068.09462145387</v>
      </c>
      <c r="BE186" s="716">
        <f t="shared" si="392"/>
        <v>33600</v>
      </c>
      <c r="BF186" s="716">
        <f t="shared" si="393"/>
        <v>3272483.9511935571</v>
      </c>
      <c r="BG186" s="716"/>
      <c r="BH186" s="716">
        <f t="shared" si="394"/>
        <v>3272483.9511935571</v>
      </c>
      <c r="BI186" s="716"/>
      <c r="BJ186" s="716">
        <f t="shared" si="395"/>
        <v>3272483.9511935571</v>
      </c>
      <c r="BK186" s="716"/>
      <c r="BL186" s="716">
        <f t="shared" si="396"/>
        <v>3272483.9511935571</v>
      </c>
      <c r="BM186" s="716"/>
      <c r="BN186" s="716">
        <f t="shared" si="371"/>
        <v>3272483.9511935571</v>
      </c>
      <c r="BO186" s="716"/>
      <c r="BP186" s="716">
        <f t="shared" si="397"/>
        <v>3272483.9511935571</v>
      </c>
      <c r="BQ186" s="716"/>
      <c r="BR186" s="716">
        <f t="shared" si="398"/>
        <v>3272483.9511935571</v>
      </c>
      <c r="BS186" s="716"/>
      <c r="BT186" s="716">
        <f t="shared" si="399"/>
        <v>3272483.9511935571</v>
      </c>
      <c r="BU186" s="716"/>
      <c r="BV186" s="716">
        <f t="shared" si="372"/>
        <v>3272483.9511935571</v>
      </c>
      <c r="BW186" s="716"/>
      <c r="BX186" s="716">
        <f t="shared" si="489"/>
        <v>31400</v>
      </c>
      <c r="BY186" s="716">
        <f t="shared" si="400"/>
        <v>3303883.9511935571</v>
      </c>
      <c r="BZ186" s="716"/>
      <c r="CA186" s="716">
        <f t="shared" si="401"/>
        <v>3303883.9511935571</v>
      </c>
      <c r="CB186" s="1135">
        <f t="shared" si="402"/>
        <v>3303883.9511935571</v>
      </c>
      <c r="CC186" s="1164">
        <f t="shared" si="446"/>
        <v>3303883.9511935571</v>
      </c>
      <c r="CD186" s="1164"/>
      <c r="CE186" s="1164">
        <f t="shared" si="403"/>
        <v>0</v>
      </c>
      <c r="CF186" s="1164">
        <f t="shared" si="448"/>
        <v>0</v>
      </c>
      <c r="CG186" s="1164">
        <f t="shared" si="449"/>
        <v>0</v>
      </c>
      <c r="CH186" s="1154">
        <f t="shared" si="506"/>
        <v>3303883.9511935571</v>
      </c>
      <c r="CI186" s="935">
        <f t="shared" si="507"/>
        <v>3303883.9511935571</v>
      </c>
      <c r="CJ186" s="935">
        <f t="shared" si="404"/>
        <v>0</v>
      </c>
      <c r="CK186" s="935">
        <f t="shared" si="373"/>
        <v>338648.1049973396</v>
      </c>
      <c r="CL186" s="935">
        <f t="shared" si="374"/>
        <v>115635.93829177451</v>
      </c>
      <c r="CM186" s="1006">
        <f t="shared" si="461"/>
        <v>3758167.9944826714</v>
      </c>
      <c r="CN186" s="1007">
        <f t="shared" si="462"/>
        <v>0.125</v>
      </c>
      <c r="CO186" s="935">
        <f t="shared" si="498"/>
        <v>469770.99931033392</v>
      </c>
      <c r="CP186" s="935">
        <f t="shared" si="490"/>
        <v>30000</v>
      </c>
      <c r="CQ186" s="935">
        <f t="shared" si="499"/>
        <v>439770.99931033392</v>
      </c>
      <c r="CR186" s="745">
        <f t="shared" si="463"/>
        <v>2</v>
      </c>
      <c r="CS186" s="935">
        <f t="shared" si="500"/>
        <v>219885.49965516696</v>
      </c>
      <c r="CT186" s="1007">
        <f t="shared" si="405"/>
        <v>0.875</v>
      </c>
      <c r="CU186" s="935">
        <f t="shared" si="406"/>
        <v>3288396.9951723376</v>
      </c>
      <c r="CV186" s="1008">
        <f t="shared" si="407"/>
        <v>25494.906902494193</v>
      </c>
      <c r="CW186" s="1008">
        <f t="shared" si="408"/>
        <v>29557.04185047069</v>
      </c>
      <c r="CX186" s="1008">
        <f t="shared" si="409"/>
        <v>38181.077417655317</v>
      </c>
      <c r="CY186" s="1008">
        <f t="shared" si="410"/>
        <v>65114.201780896292</v>
      </c>
      <c r="CZ186" s="1119">
        <f t="shared" si="411"/>
        <v>267126.94013467524</v>
      </c>
      <c r="DA186" s="1119">
        <f t="shared" si="412"/>
        <v>105700.82896125688</v>
      </c>
      <c r="DB186" s="1119">
        <f t="shared" si="413"/>
        <v>76346.211697305698</v>
      </c>
      <c r="DC186" s="1119">
        <f t="shared" si="414"/>
        <v>58102.981899704391</v>
      </c>
      <c r="DD186" s="1028">
        <f t="shared" si="451"/>
        <v>0.48360487503179161</v>
      </c>
      <c r="DE186" s="1028">
        <f t="shared" si="508"/>
        <v>0</v>
      </c>
      <c r="DF186" s="1009" t="s">
        <v>270</v>
      </c>
      <c r="DG186" s="1009" t="s">
        <v>271</v>
      </c>
      <c r="DH186" s="966">
        <f t="shared" si="447"/>
        <v>45658</v>
      </c>
      <c r="DI186" s="912">
        <f t="shared" si="415"/>
        <v>14</v>
      </c>
      <c r="DK186" s="913">
        <f t="shared" si="375"/>
        <v>45723</v>
      </c>
      <c r="DL186" s="912">
        <f t="shared" si="416"/>
        <v>16</v>
      </c>
      <c r="DM186" s="750" t="s">
        <v>272</v>
      </c>
      <c r="DN186" s="750" t="s">
        <v>273</v>
      </c>
      <c r="DO186" s="751">
        <f t="shared" si="376"/>
        <v>49239.769094146061</v>
      </c>
      <c r="DP186" s="751">
        <f t="shared" si="377"/>
        <v>1083274.9200712133</v>
      </c>
      <c r="DQ186" s="752">
        <f t="shared" si="452"/>
        <v>0.54163746003560664</v>
      </c>
      <c r="DS186" s="751">
        <f t="shared" si="453"/>
        <v>3303883.9511935571</v>
      </c>
      <c r="DT186" s="751">
        <f>'[4]INTERNAL PRICELIST'!N180</f>
        <v>0</v>
      </c>
      <c r="DU186" s="751">
        <f t="shared" si="378"/>
        <v>3303883.9511935571</v>
      </c>
      <c r="DW186" s="951">
        <f t="shared" si="454"/>
        <v>150176.54323607078</v>
      </c>
      <c r="DZ186" s="1010" t="s">
        <v>636</v>
      </c>
      <c r="EA186" s="1011" t="b">
        <f t="shared" si="379"/>
        <v>1</v>
      </c>
      <c r="EB186" s="1011"/>
      <c r="EC186" s="1011"/>
      <c r="ER186" s="1017" t="s">
        <v>264</v>
      </c>
      <c r="ES186" s="1391" t="s">
        <v>264</v>
      </c>
      <c r="ET186" s="1018" t="b">
        <f t="shared" si="417"/>
        <v>1</v>
      </c>
      <c r="EX186" s="1019">
        <v>3096997.0561836315</v>
      </c>
      <c r="EY186" s="1019">
        <f t="shared" si="464"/>
        <v>464549.55842754472</v>
      </c>
      <c r="EZ186" s="1019">
        <f t="shared" si="465"/>
        <v>2632447.4977560868</v>
      </c>
      <c r="FA186" s="1019">
        <f t="shared" si="466"/>
        <v>309699.70561836316</v>
      </c>
      <c r="FB186" s="1019">
        <f t="shared" si="467"/>
        <v>2787297.3505652687</v>
      </c>
      <c r="FC186" s="1019">
        <f t="shared" si="468"/>
        <v>154849.8528091819</v>
      </c>
      <c r="FD186" s="1020"/>
      <c r="FE186" s="1021"/>
      <c r="FF186" s="1022">
        <f t="shared" si="469"/>
        <v>2632447.4977560868</v>
      </c>
      <c r="FG186" s="1022">
        <f t="shared" si="470"/>
        <v>223758.03730926738</v>
      </c>
      <c r="FH186" s="1022">
        <f t="shared" si="471"/>
        <v>111879.01865463369</v>
      </c>
      <c r="FI186" s="1023">
        <f t="shared" si="472"/>
        <v>2787297.3505652687</v>
      </c>
      <c r="FJ186" s="1023">
        <f t="shared" si="473"/>
        <v>236920.27479804785</v>
      </c>
      <c r="FK186" s="1023">
        <f t="shared" si="474"/>
        <v>118460.13739902392</v>
      </c>
      <c r="FL186" s="1019">
        <f t="shared" si="475"/>
        <v>13162.237488780462</v>
      </c>
      <c r="FM186" s="1019">
        <f t="shared" si="476"/>
        <v>6581.1187443902309</v>
      </c>
      <c r="FN186" s="1019" t="str">
        <f t="shared" si="477"/>
        <v>VS</v>
      </c>
      <c r="FO186" s="1019">
        <f t="shared" si="478"/>
        <v>27537.409960060559</v>
      </c>
      <c r="FP186" s="1019">
        <f t="shared" si="479"/>
        <v>-20956.291215670328</v>
      </c>
      <c r="FQ186" s="1021"/>
      <c r="FR186" s="1021"/>
      <c r="FS186" s="1020"/>
      <c r="FT186" s="1055">
        <f t="shared" si="521"/>
        <v>2787297.3505652687</v>
      </c>
      <c r="FU186" s="1056"/>
      <c r="FV186" s="1056"/>
      <c r="GG186" s="956"/>
      <c r="GH186" s="1058"/>
      <c r="GI186" s="1024">
        <f t="shared" si="418"/>
        <v>3758167.9944826714</v>
      </c>
      <c r="GJ186" s="1025">
        <f t="shared" si="419"/>
        <v>0.125</v>
      </c>
      <c r="GK186" s="1024">
        <f t="shared" si="420"/>
        <v>469770.99931033392</v>
      </c>
      <c r="GL186" s="1024">
        <f t="shared" si="421"/>
        <v>30000</v>
      </c>
      <c r="GM186" s="1024">
        <f t="shared" si="422"/>
        <v>439770.99931033392</v>
      </c>
      <c r="GN186" s="1024">
        <f t="shared" si="423"/>
        <v>2</v>
      </c>
      <c r="GO186" s="1024">
        <f t="shared" si="424"/>
        <v>219885.49965516696</v>
      </c>
      <c r="GP186" s="1025">
        <f t="shared" si="425"/>
        <v>0.875</v>
      </c>
      <c r="GQ186" s="1024">
        <f t="shared" si="426"/>
        <v>3288396.9951723376</v>
      </c>
      <c r="GR186" s="1024">
        <f t="shared" si="427"/>
        <v>25494.906902494193</v>
      </c>
      <c r="GS186" s="1024">
        <f t="shared" si="428"/>
        <v>29557.04185047069</v>
      </c>
      <c r="GT186" s="1024">
        <f t="shared" si="429"/>
        <v>38181.077417655317</v>
      </c>
      <c r="GU186" s="1024">
        <f t="shared" si="430"/>
        <v>65114.201780896292</v>
      </c>
      <c r="GW186" s="1024">
        <f t="shared" si="431"/>
        <v>3758167.9944826714</v>
      </c>
      <c r="GX186" s="1025">
        <f t="shared" si="432"/>
        <v>0.125</v>
      </c>
      <c r="GY186" s="1024">
        <f t="shared" si="433"/>
        <v>469770.99931033392</v>
      </c>
      <c r="GZ186" s="1024">
        <f t="shared" si="434"/>
        <v>30000</v>
      </c>
      <c r="HA186" s="1024">
        <f t="shared" si="435"/>
        <v>439770.99931033392</v>
      </c>
      <c r="HB186" s="1026">
        <f t="shared" si="436"/>
        <v>25</v>
      </c>
      <c r="HC186" s="1009">
        <f t="shared" si="437"/>
        <v>17590.839972413356</v>
      </c>
      <c r="HD186" s="1027">
        <f t="shared" si="438"/>
        <v>0.875</v>
      </c>
      <c r="HE186" s="1009">
        <f t="shared" si="439"/>
        <v>3288396.9951723376</v>
      </c>
      <c r="HF186" s="1008">
        <f t="shared" si="440"/>
        <v>25494.906902494193</v>
      </c>
      <c r="HG186" s="1008">
        <f t="shared" si="441"/>
        <v>29557.04185047069</v>
      </c>
      <c r="HH186" s="1008">
        <f t="shared" si="442"/>
        <v>38181.077417655317</v>
      </c>
      <c r="HI186" s="1008">
        <f t="shared" si="443"/>
        <v>65114.201780896292</v>
      </c>
      <c r="HK186" s="1009">
        <f t="shared" si="444"/>
        <v>-202294.65968275361</v>
      </c>
      <c r="HR186" s="956">
        <f t="shared" si="445"/>
        <v>0</v>
      </c>
      <c r="HU186" s="956"/>
      <c r="HW186" s="956"/>
      <c r="HX186" s="956"/>
    </row>
    <row r="187" spans="1:232" ht="14.25" customHeight="1">
      <c r="A187" s="1018">
        <f t="shared" si="480"/>
        <v>181</v>
      </c>
      <c r="B187" s="716"/>
      <c r="C187" s="741">
        <f t="shared" si="522"/>
        <v>7</v>
      </c>
      <c r="D187" s="716" t="s">
        <v>297</v>
      </c>
      <c r="E187" s="743" t="str">
        <f t="shared" si="516"/>
        <v>12th Floor</v>
      </c>
      <c r="F187" s="1048"/>
      <c r="G187" s="745" t="s">
        <v>637</v>
      </c>
      <c r="H187" s="745" t="s">
        <v>310</v>
      </c>
      <c r="I187" s="745" t="s">
        <v>267</v>
      </c>
      <c r="J187" s="1005">
        <v>22</v>
      </c>
      <c r="K187" s="1049"/>
      <c r="L187" s="1006" t="s">
        <v>73</v>
      </c>
      <c r="M187" s="745" t="s">
        <v>240</v>
      </c>
      <c r="N187" s="1050">
        <v>95909.091</v>
      </c>
      <c r="O187" s="934">
        <f t="shared" si="455"/>
        <v>2110000.0019999999</v>
      </c>
      <c r="P187" s="934">
        <f t="shared" si="481"/>
        <v>22400</v>
      </c>
      <c r="Q187" s="934">
        <f t="shared" si="450"/>
        <v>50000</v>
      </c>
      <c r="R187" s="934"/>
      <c r="S187" s="934"/>
      <c r="T187" s="934"/>
      <c r="U187" s="934"/>
      <c r="V187" s="749"/>
      <c r="W187" s="749">
        <f>J187*$W$5</f>
        <v>22000</v>
      </c>
      <c r="X187" s="934"/>
      <c r="Y187" s="934">
        <f t="shared" si="523"/>
        <v>160000</v>
      </c>
      <c r="Z187" s="934">
        <f t="shared" si="456"/>
        <v>75000</v>
      </c>
      <c r="AA187" s="934"/>
      <c r="AB187" s="934"/>
      <c r="AC187" s="934"/>
      <c r="AD187" s="934"/>
      <c r="AE187" s="934">
        <f t="shared" si="365"/>
        <v>329400</v>
      </c>
      <c r="AF187" s="1005">
        <f t="shared" si="366"/>
        <v>2439400.0019999999</v>
      </c>
      <c r="AG187" s="1005">
        <f t="shared" si="380"/>
        <v>60985.000050000002</v>
      </c>
      <c r="AH187" s="1005">
        <f t="shared" si="381"/>
        <v>2500385.0020499998</v>
      </c>
      <c r="AI187" s="1005">
        <f t="shared" si="382"/>
        <v>62509.625051249997</v>
      </c>
      <c r="AJ187" s="1005">
        <f t="shared" si="383"/>
        <v>2562894.62710125</v>
      </c>
      <c r="AK187" s="1005">
        <f t="shared" si="384"/>
        <v>128144.73135506251</v>
      </c>
      <c r="AL187" s="1005">
        <f t="shared" si="457"/>
        <v>2691039.3584563127</v>
      </c>
      <c r="AM187" s="934">
        <f t="shared" si="385"/>
        <v>26910.393584563128</v>
      </c>
      <c r="AN187" s="934">
        <f t="shared" si="386"/>
        <v>27537.409960060559</v>
      </c>
      <c r="AO187" s="934"/>
      <c r="AP187" s="934">
        <f t="shared" si="458"/>
        <v>119632.40219609266</v>
      </c>
      <c r="AQ187" s="1005">
        <f t="shared" si="367"/>
        <v>2865119.5641970285</v>
      </c>
      <c r="AR187" s="1005">
        <f t="shared" si="387"/>
        <v>128930.38038886628</v>
      </c>
      <c r="AS187" s="1147">
        <f t="shared" si="388"/>
        <v>2994049.9445858947</v>
      </c>
      <c r="AT187" s="1148">
        <f t="shared" si="459"/>
        <v>2000000</v>
      </c>
      <c r="AU187" s="1148">
        <f t="shared" si="520"/>
        <v>45184.088390267942</v>
      </c>
      <c r="AV187" s="1148">
        <f t="shared" si="460"/>
        <v>994049.9445858947</v>
      </c>
      <c r="AW187" s="1148">
        <f t="shared" si="368"/>
        <v>119285.99335030736</v>
      </c>
      <c r="AX187" s="1148">
        <f t="shared" si="369"/>
        <v>1113335.9379362022</v>
      </c>
      <c r="AY187" s="1147">
        <f t="shared" si="389"/>
        <v>3113335.9379362022</v>
      </c>
      <c r="AZ187" s="934">
        <f t="shared" si="390"/>
        <v>38916.69922420253</v>
      </c>
      <c r="BA187" s="716">
        <v>13774.897733333333</v>
      </c>
      <c r="BB187" s="716">
        <f t="shared" si="370"/>
        <v>3166027.5348937381</v>
      </c>
      <c r="BC187" s="716">
        <v>2710.4000000000005</v>
      </c>
      <c r="BD187" s="716">
        <f t="shared" si="391"/>
        <v>118726.03255851517</v>
      </c>
      <c r="BE187" s="716">
        <f t="shared" si="392"/>
        <v>33600</v>
      </c>
      <c r="BF187" s="716">
        <f t="shared" si="393"/>
        <v>3321063.9674522532</v>
      </c>
      <c r="BG187" s="716">
        <v>5248.8000000000011</v>
      </c>
      <c r="BH187" s="716">
        <f t="shared" si="394"/>
        <v>3326312.767452253</v>
      </c>
      <c r="BI187" s="716"/>
      <c r="BJ187" s="716">
        <f t="shared" si="395"/>
        <v>3326312.767452253</v>
      </c>
      <c r="BK187" s="716">
        <v>5092.7923200000005</v>
      </c>
      <c r="BL187" s="716">
        <f t="shared" si="396"/>
        <v>3331405.559772253</v>
      </c>
      <c r="BM187" s="716"/>
      <c r="BN187" s="716">
        <f t="shared" si="371"/>
        <v>3331405.559772253</v>
      </c>
      <c r="BO187" s="716"/>
      <c r="BP187" s="716">
        <f t="shared" si="397"/>
        <v>3331405.559772253</v>
      </c>
      <c r="BQ187" s="716"/>
      <c r="BR187" s="716">
        <f t="shared" si="398"/>
        <v>3331405.559772253</v>
      </c>
      <c r="BS187" s="716"/>
      <c r="BT187" s="716">
        <f t="shared" si="399"/>
        <v>3331405.559772253</v>
      </c>
      <c r="BU187" s="716">
        <f>$BU$5/24</f>
        <v>546.00000000000011</v>
      </c>
      <c r="BV187" s="716">
        <f t="shared" si="372"/>
        <v>3331951.559772253</v>
      </c>
      <c r="BW187" s="716"/>
      <c r="BX187" s="716">
        <f t="shared" si="489"/>
        <v>31400</v>
      </c>
      <c r="BY187" s="716">
        <f t="shared" si="400"/>
        <v>3363351.559772253</v>
      </c>
      <c r="BZ187" s="716">
        <f>$BZ$5/20</f>
        <v>33654.337039807535</v>
      </c>
      <c r="CA187" s="716">
        <f t="shared" si="401"/>
        <v>3397005.8968120604</v>
      </c>
      <c r="CB187" s="1135">
        <f>CA187</f>
        <v>3397005.8968120604</v>
      </c>
      <c r="CC187" s="1164">
        <f t="shared" si="446"/>
        <v>3397005.8968120604</v>
      </c>
      <c r="CD187" s="1164"/>
      <c r="CE187" s="1164">
        <f t="shared" si="403"/>
        <v>0</v>
      </c>
      <c r="CF187" s="1164">
        <f t="shared" si="448"/>
        <v>0</v>
      </c>
      <c r="CG187" s="1164">
        <f t="shared" si="449"/>
        <v>0</v>
      </c>
      <c r="CH187" s="1154">
        <f t="shared" si="506"/>
        <v>3397005.8968120604</v>
      </c>
      <c r="CI187" s="935">
        <f t="shared" si="507"/>
        <v>3397005.8968120604</v>
      </c>
      <c r="CJ187" s="935">
        <f t="shared" si="404"/>
        <v>0</v>
      </c>
      <c r="CK187" s="935">
        <f t="shared" si="373"/>
        <v>348193.10442323616</v>
      </c>
      <c r="CL187" s="935">
        <f t="shared" si="374"/>
        <v>118895.20638842213</v>
      </c>
      <c r="CM187" s="1006">
        <f t="shared" si="461"/>
        <v>3864094.2076237188</v>
      </c>
      <c r="CN187" s="1007">
        <f t="shared" si="462"/>
        <v>0.125</v>
      </c>
      <c r="CO187" s="935">
        <f t="shared" si="498"/>
        <v>483011.77595296485</v>
      </c>
      <c r="CP187" s="935">
        <f t="shared" si="490"/>
        <v>30000</v>
      </c>
      <c r="CQ187" s="935">
        <f t="shared" si="499"/>
        <v>453011.77595296485</v>
      </c>
      <c r="CR187" s="745">
        <v>1</v>
      </c>
      <c r="CS187" s="935">
        <f t="shared" si="500"/>
        <v>453011.77595296485</v>
      </c>
      <c r="CT187" s="1007">
        <f t="shared" si="405"/>
        <v>0.875</v>
      </c>
      <c r="CU187" s="935">
        <f t="shared" si="406"/>
        <v>3381082.4316707538</v>
      </c>
      <c r="CV187" s="1008">
        <f t="shared" si="407"/>
        <v>26213.496105140119</v>
      </c>
      <c r="CW187" s="1008">
        <f t="shared" si="408"/>
        <v>30390.124756681427</v>
      </c>
      <c r="CX187" s="1008">
        <f t="shared" si="409"/>
        <v>39257.233925409862</v>
      </c>
      <c r="CY187" s="1008">
        <f t="shared" si="410"/>
        <v>66949.484510800394</v>
      </c>
      <c r="CZ187" s="1119">
        <f t="shared" si="411"/>
        <v>274656.07274342561</v>
      </c>
      <c r="DA187" s="1119">
        <f t="shared" si="412"/>
        <v>108680.07005802875</v>
      </c>
      <c r="DB187" s="1119">
        <f t="shared" si="413"/>
        <v>78498.075345932608</v>
      </c>
      <c r="DC187" s="1119">
        <f t="shared" si="414"/>
        <v>59740.649202995271</v>
      </c>
      <c r="DD187" s="1028">
        <f t="shared" si="451"/>
        <v>0.49702497229294734</v>
      </c>
      <c r="DE187" s="1028">
        <f t="shared" si="508"/>
        <v>0</v>
      </c>
      <c r="DF187" s="1009" t="s">
        <v>270</v>
      </c>
      <c r="DG187" s="1009" t="s">
        <v>271</v>
      </c>
      <c r="DH187" s="966">
        <f t="shared" si="447"/>
        <v>45658</v>
      </c>
      <c r="DI187" s="912">
        <f t="shared" si="415"/>
        <v>14</v>
      </c>
      <c r="DK187" s="913">
        <f t="shared" si="375"/>
        <v>45723</v>
      </c>
      <c r="DL187" s="912">
        <f t="shared" si="416"/>
        <v>16</v>
      </c>
      <c r="DM187" s="750" t="s">
        <v>272</v>
      </c>
      <c r="DN187" s="750" t="s">
        <v>273</v>
      </c>
      <c r="DO187" s="751">
        <f t="shared" si="376"/>
        <v>50606.178997100098</v>
      </c>
      <c r="DP187" s="751">
        <f t="shared" si="377"/>
        <v>1113335.9379362022</v>
      </c>
      <c r="DQ187" s="752">
        <f t="shared" si="452"/>
        <v>0.55666796896810111</v>
      </c>
      <c r="DS187" s="751">
        <f t="shared" si="453"/>
        <v>3397005.8968120604</v>
      </c>
      <c r="DT187" s="751">
        <f>'[4]INTERNAL PRICELIST'!N181</f>
        <v>0</v>
      </c>
      <c r="DU187" s="751">
        <f t="shared" si="378"/>
        <v>3397005.8968120604</v>
      </c>
      <c r="DW187" s="951">
        <f t="shared" si="454"/>
        <v>154409.35894600276</v>
      </c>
      <c r="DZ187" s="1010" t="s">
        <v>637</v>
      </c>
      <c r="EA187" s="1011" t="b">
        <f t="shared" si="379"/>
        <v>1</v>
      </c>
      <c r="EB187" s="1011"/>
      <c r="EC187" s="1011"/>
      <c r="ER187" s="1017" t="s">
        <v>243</v>
      </c>
      <c r="ES187" s="1391" t="s">
        <v>243</v>
      </c>
      <c r="ET187" s="1018" t="b">
        <f t="shared" si="417"/>
        <v>1</v>
      </c>
      <c r="EX187" s="1019">
        <v>3127644.5018586316</v>
      </c>
      <c r="EY187" s="1019">
        <f t="shared" si="464"/>
        <v>469146.67527879472</v>
      </c>
      <c r="EZ187" s="1019">
        <f t="shared" si="465"/>
        <v>2658497.8265798367</v>
      </c>
      <c r="FA187" s="1019">
        <f t="shared" si="466"/>
        <v>312764.45018586318</v>
      </c>
      <c r="FB187" s="1019">
        <f t="shared" si="467"/>
        <v>2814880.0516727683</v>
      </c>
      <c r="FC187" s="1019">
        <f t="shared" si="468"/>
        <v>156382.22509293165</v>
      </c>
      <c r="FD187" s="1020"/>
      <c r="FE187" s="1021"/>
      <c r="FF187" s="1022">
        <f t="shared" si="469"/>
        <v>2658497.8265798367</v>
      </c>
      <c r="FG187" s="1022">
        <f t="shared" si="470"/>
        <v>225972.31525928614</v>
      </c>
      <c r="FH187" s="1022">
        <f t="shared" si="471"/>
        <v>112986.15762964307</v>
      </c>
      <c r="FI187" s="1023">
        <f t="shared" si="472"/>
        <v>2814880.0516727683</v>
      </c>
      <c r="FJ187" s="1023">
        <f t="shared" si="473"/>
        <v>239264.80439218532</v>
      </c>
      <c r="FK187" s="1023">
        <f t="shared" si="474"/>
        <v>119632.40219609266</v>
      </c>
      <c r="FL187" s="1019">
        <f t="shared" si="475"/>
        <v>13292.48913289918</v>
      </c>
      <c r="FM187" s="1019">
        <f t="shared" si="476"/>
        <v>6646.2445664495899</v>
      </c>
      <c r="FN187" s="1019" t="str">
        <f t="shared" si="477"/>
        <v>VS</v>
      </c>
      <c r="FO187" s="1019">
        <f t="shared" si="478"/>
        <v>27537.409960060559</v>
      </c>
      <c r="FP187" s="1019">
        <f t="shared" si="479"/>
        <v>-20891.165393610969</v>
      </c>
      <c r="FQ187" s="1021"/>
      <c r="FR187" s="1021"/>
      <c r="FS187" s="1020"/>
      <c r="FT187" s="1055">
        <f t="shared" si="521"/>
        <v>2814880.0516727683</v>
      </c>
      <c r="FU187" s="1056"/>
      <c r="FV187" s="1056"/>
      <c r="GG187" s="956"/>
      <c r="GH187" s="1058"/>
      <c r="GI187" s="1024">
        <f t="shared" si="418"/>
        <v>3864094.2076237188</v>
      </c>
      <c r="GJ187" s="1025">
        <f t="shared" si="419"/>
        <v>0.125</v>
      </c>
      <c r="GK187" s="1024">
        <f t="shared" si="420"/>
        <v>483011.77595296485</v>
      </c>
      <c r="GL187" s="1024">
        <f t="shared" si="421"/>
        <v>30000</v>
      </c>
      <c r="GM187" s="1024">
        <f t="shared" si="422"/>
        <v>453011.77595296485</v>
      </c>
      <c r="GN187" s="1024">
        <f t="shared" si="423"/>
        <v>1</v>
      </c>
      <c r="GO187" s="1024">
        <f t="shared" si="424"/>
        <v>453011.77595296485</v>
      </c>
      <c r="GP187" s="1025">
        <f t="shared" si="425"/>
        <v>0.875</v>
      </c>
      <c r="GQ187" s="1024">
        <f t="shared" si="426"/>
        <v>3381082.4316707538</v>
      </c>
      <c r="GR187" s="1024">
        <f t="shared" si="427"/>
        <v>26213.496105140119</v>
      </c>
      <c r="GS187" s="1024">
        <f t="shared" si="428"/>
        <v>30390.124756681427</v>
      </c>
      <c r="GT187" s="1024">
        <f t="shared" si="429"/>
        <v>39257.233925409862</v>
      </c>
      <c r="GU187" s="1024">
        <f t="shared" si="430"/>
        <v>66949.484510800394</v>
      </c>
      <c r="GW187" s="1024">
        <f t="shared" si="431"/>
        <v>3864094.2076237188</v>
      </c>
      <c r="GX187" s="1025">
        <f t="shared" si="432"/>
        <v>0.125</v>
      </c>
      <c r="GY187" s="1024">
        <f t="shared" si="433"/>
        <v>483011.77595296485</v>
      </c>
      <c r="GZ187" s="1024">
        <f t="shared" si="434"/>
        <v>30000</v>
      </c>
      <c r="HA187" s="1024">
        <f t="shared" si="435"/>
        <v>453011.77595296485</v>
      </c>
      <c r="HB187" s="1026">
        <f t="shared" si="436"/>
        <v>25</v>
      </c>
      <c r="HC187" s="1009">
        <f t="shared" si="437"/>
        <v>18120.471038118594</v>
      </c>
      <c r="HD187" s="1027">
        <f t="shared" si="438"/>
        <v>0.875</v>
      </c>
      <c r="HE187" s="1009">
        <f t="shared" si="439"/>
        <v>3381082.4316707538</v>
      </c>
      <c r="HF187" s="1008">
        <f t="shared" si="440"/>
        <v>26213.496105140119</v>
      </c>
      <c r="HG187" s="1008">
        <f t="shared" si="441"/>
        <v>30390.124756681427</v>
      </c>
      <c r="HH187" s="1008">
        <f t="shared" si="442"/>
        <v>39257.233925409862</v>
      </c>
      <c r="HI187" s="1008">
        <f t="shared" si="443"/>
        <v>66949.484510800394</v>
      </c>
      <c r="HK187" s="1009">
        <f t="shared" si="444"/>
        <v>-434891.30491484626</v>
      </c>
      <c r="HR187" s="956">
        <f t="shared" si="445"/>
        <v>0</v>
      </c>
      <c r="HU187" s="956"/>
      <c r="HW187" s="956"/>
      <c r="HX187" s="956"/>
    </row>
    <row r="188" spans="1:232" ht="14.25" hidden="1" customHeight="1">
      <c r="A188" s="1018">
        <f t="shared" si="480"/>
        <v>182</v>
      </c>
      <c r="B188" s="716"/>
      <c r="C188" s="741">
        <f t="shared" si="522"/>
        <v>8</v>
      </c>
      <c r="D188" s="716" t="s">
        <v>297</v>
      </c>
      <c r="E188" s="743" t="str">
        <f t="shared" si="516"/>
        <v>12th Floor</v>
      </c>
      <c r="F188" s="1048"/>
      <c r="G188" s="745" t="s">
        <v>638</v>
      </c>
      <c r="H188" s="745" t="s">
        <v>316</v>
      </c>
      <c r="I188" s="745" t="s">
        <v>267</v>
      </c>
      <c r="J188" s="1005">
        <v>22</v>
      </c>
      <c r="K188" s="1049"/>
      <c r="L188" s="1006" t="s">
        <v>268</v>
      </c>
      <c r="M188" s="745" t="s">
        <v>65</v>
      </c>
      <c r="N188" s="1050">
        <v>95909.091</v>
      </c>
      <c r="O188" s="934">
        <f t="shared" si="455"/>
        <v>2110000.0019999999</v>
      </c>
      <c r="P188" s="934">
        <f t="shared" si="481"/>
        <v>22400</v>
      </c>
      <c r="Q188" s="934">
        <f t="shared" si="450"/>
        <v>50000</v>
      </c>
      <c r="R188" s="934"/>
      <c r="S188" s="934"/>
      <c r="T188" s="934"/>
      <c r="U188" s="934"/>
      <c r="V188" s="749">
        <f>J188*$V$5</f>
        <v>55000</v>
      </c>
      <c r="W188" s="934"/>
      <c r="X188" s="934"/>
      <c r="Y188" s="934">
        <f t="shared" si="523"/>
        <v>160000</v>
      </c>
      <c r="Z188" s="934">
        <f t="shared" si="456"/>
        <v>75000</v>
      </c>
      <c r="AA188" s="934"/>
      <c r="AB188" s="934"/>
      <c r="AC188" s="934"/>
      <c r="AD188" s="934"/>
      <c r="AE188" s="934">
        <f t="shared" si="365"/>
        <v>362400</v>
      </c>
      <c r="AF188" s="1005">
        <f t="shared" si="366"/>
        <v>2472400.0019999999</v>
      </c>
      <c r="AG188" s="1005">
        <f t="shared" si="380"/>
        <v>61810.000050000002</v>
      </c>
      <c r="AH188" s="1005">
        <f t="shared" si="381"/>
        <v>2534210.0020499998</v>
      </c>
      <c r="AI188" s="1005">
        <f t="shared" si="382"/>
        <v>63355.250051249997</v>
      </c>
      <c r="AJ188" s="1005">
        <f t="shared" si="383"/>
        <v>2597565.25210125</v>
      </c>
      <c r="AK188" s="1005">
        <f t="shared" si="384"/>
        <v>129878.26260506251</v>
      </c>
      <c r="AL188" s="1005">
        <f t="shared" si="457"/>
        <v>2727443.5147063127</v>
      </c>
      <c r="AM188" s="934">
        <f t="shared" si="385"/>
        <v>27274.435147063126</v>
      </c>
      <c r="AN188" s="934">
        <f t="shared" si="386"/>
        <v>27537.409960060559</v>
      </c>
      <c r="AO188" s="934"/>
      <c r="AP188" s="934">
        <f t="shared" si="458"/>
        <v>123593.15555070262</v>
      </c>
      <c r="AQ188" s="1005">
        <f t="shared" si="367"/>
        <v>2905848.5153641389</v>
      </c>
      <c r="AR188" s="1005">
        <f t="shared" si="387"/>
        <v>130763.18319138624</v>
      </c>
      <c r="AS188" s="1147">
        <f t="shared" si="388"/>
        <v>3036611.6985555249</v>
      </c>
      <c r="AT188" s="1148">
        <f>AS188</f>
        <v>3036611.6985555249</v>
      </c>
      <c r="AU188" s="1148"/>
      <c r="AV188" s="1148"/>
      <c r="AW188" s="1148"/>
      <c r="AX188" s="1148">
        <f t="shared" si="369"/>
        <v>0</v>
      </c>
      <c r="AY188" s="1147">
        <f t="shared" si="389"/>
        <v>3036611.6985555249</v>
      </c>
      <c r="AZ188" s="934">
        <f t="shared" si="390"/>
        <v>37957.646231944062</v>
      </c>
      <c r="BA188" s="716" t="s">
        <v>269</v>
      </c>
      <c r="BB188" s="716">
        <f t="shared" si="370"/>
        <v>3074569.3447874691</v>
      </c>
      <c r="BC188" s="716" t="s">
        <v>269</v>
      </c>
      <c r="BD188" s="716">
        <f t="shared" si="391"/>
        <v>115296.3504295301</v>
      </c>
      <c r="BE188" s="716">
        <f t="shared" si="392"/>
        <v>33600</v>
      </c>
      <c r="BF188" s="716">
        <f t="shared" si="393"/>
        <v>3223465.6952169994</v>
      </c>
      <c r="BG188" s="716"/>
      <c r="BH188" s="716">
        <f t="shared" si="394"/>
        <v>3223465.6952169994</v>
      </c>
      <c r="BI188" s="716"/>
      <c r="BJ188" s="716">
        <f t="shared" si="395"/>
        <v>3223465.6952169994</v>
      </c>
      <c r="BK188" s="716"/>
      <c r="BL188" s="716">
        <f t="shared" si="396"/>
        <v>3223465.6952169994</v>
      </c>
      <c r="BM188" s="716"/>
      <c r="BN188" s="716">
        <f t="shared" si="371"/>
        <v>3223465.6952169994</v>
      </c>
      <c r="BO188" s="716"/>
      <c r="BP188" s="716">
        <f t="shared" si="397"/>
        <v>3223465.6952169994</v>
      </c>
      <c r="BQ188" s="716"/>
      <c r="BR188" s="716">
        <f t="shared" si="398"/>
        <v>3223465.6952169994</v>
      </c>
      <c r="BS188" s="716"/>
      <c r="BT188" s="716">
        <f t="shared" si="399"/>
        <v>3223465.6952169994</v>
      </c>
      <c r="BU188" s="716"/>
      <c r="BV188" s="716">
        <f t="shared" si="372"/>
        <v>3223465.6952169994</v>
      </c>
      <c r="BW188" s="716"/>
      <c r="BX188" s="716">
        <f t="shared" si="489"/>
        <v>31400</v>
      </c>
      <c r="BY188" s="716">
        <f t="shared" si="400"/>
        <v>3254865.6952169994</v>
      </c>
      <c r="BZ188" s="716"/>
      <c r="CA188" s="716">
        <f t="shared" si="401"/>
        <v>3254865.6952169994</v>
      </c>
      <c r="CB188" s="1135">
        <f t="shared" si="402"/>
        <v>3254865.6952169994</v>
      </c>
      <c r="CC188" s="1164">
        <f t="shared" si="446"/>
        <v>3254865.6952169994</v>
      </c>
      <c r="CD188" s="1164"/>
      <c r="CE188" s="1164">
        <f t="shared" si="403"/>
        <v>0</v>
      </c>
      <c r="CF188" s="1164">
        <f t="shared" si="448"/>
        <v>0</v>
      </c>
      <c r="CG188" s="1164">
        <f t="shared" si="449"/>
        <v>0</v>
      </c>
      <c r="CH188" s="1154">
        <f t="shared" si="506"/>
        <v>3254865.6952169994</v>
      </c>
      <c r="CI188" s="935">
        <f t="shared" si="507"/>
        <v>3254865.6952169994</v>
      </c>
      <c r="CJ188" s="935">
        <f t="shared" si="404"/>
        <v>0</v>
      </c>
      <c r="CK188" s="935">
        <f t="shared" si="373"/>
        <v>333623.7337597424</v>
      </c>
      <c r="CL188" s="935">
        <f t="shared" si="374"/>
        <v>113920.29933259499</v>
      </c>
      <c r="CM188" s="1006">
        <f t="shared" si="461"/>
        <v>3702409.7283093366</v>
      </c>
      <c r="CN188" s="1007">
        <f t="shared" si="462"/>
        <v>0.125</v>
      </c>
      <c r="CO188" s="935">
        <f t="shared" si="498"/>
        <v>462801.21603866707</v>
      </c>
      <c r="CP188" s="935">
        <f t="shared" si="490"/>
        <v>30000</v>
      </c>
      <c r="CQ188" s="935">
        <f t="shared" si="499"/>
        <v>432801.21603866707</v>
      </c>
      <c r="CR188" s="745">
        <f t="shared" si="463"/>
        <v>2</v>
      </c>
      <c r="CS188" s="935">
        <f t="shared" si="500"/>
        <v>216400.60801933354</v>
      </c>
      <c r="CT188" s="1007">
        <f t="shared" si="405"/>
        <v>0.875</v>
      </c>
      <c r="CU188" s="935">
        <f t="shared" si="406"/>
        <v>3239608.5122706695</v>
      </c>
      <c r="CV188" s="1008">
        <f t="shared" si="407"/>
        <v>25116.650313852959</v>
      </c>
      <c r="CW188" s="1008">
        <f t="shared" si="408"/>
        <v>29118.517173230495</v>
      </c>
      <c r="CX188" s="1008">
        <f t="shared" si="409"/>
        <v>37614.601762345665</v>
      </c>
      <c r="CY188" s="1008">
        <f t="shared" si="410"/>
        <v>64148.131344477908</v>
      </c>
      <c r="CZ188" s="1119">
        <f t="shared" si="411"/>
        <v>263163.69659368286</v>
      </c>
      <c r="DA188" s="1119">
        <f t="shared" si="412"/>
        <v>104132.5927981539</v>
      </c>
      <c r="DB188" s="1119">
        <f t="shared" si="413"/>
        <v>75213.496927930377</v>
      </c>
      <c r="DC188" s="1119">
        <f t="shared" si="414"/>
        <v>57240.933812715106</v>
      </c>
      <c r="DD188" s="1028">
        <f t="shared" si="451"/>
        <v>0</v>
      </c>
      <c r="DE188" s="1028">
        <f t="shared" si="508"/>
        <v>0</v>
      </c>
      <c r="DF188" s="916" t="s">
        <v>512</v>
      </c>
      <c r="DG188" s="1009" t="s">
        <v>271</v>
      </c>
      <c r="DH188" s="966">
        <f t="shared" si="447"/>
        <v>45658</v>
      </c>
      <c r="DI188" s="912">
        <f t="shared" si="415"/>
        <v>14</v>
      </c>
      <c r="DK188" s="913">
        <f t="shared" si="375"/>
        <v>45723</v>
      </c>
      <c r="DL188" s="912">
        <f t="shared" si="416"/>
        <v>16</v>
      </c>
      <c r="DM188" s="750" t="s">
        <v>272</v>
      </c>
      <c r="DN188" s="750" t="s">
        <v>273</v>
      </c>
      <c r="DO188" s="751">
        <f t="shared" si="376"/>
        <v>0</v>
      </c>
      <c r="DP188" s="751">
        <f t="shared" si="377"/>
        <v>0</v>
      </c>
      <c r="DQ188" s="752">
        <f t="shared" si="452"/>
        <v>0</v>
      </c>
      <c r="DS188" s="751">
        <f t="shared" si="453"/>
        <v>3254865.6952169994</v>
      </c>
      <c r="DT188" s="751">
        <f>'[4]INTERNAL PRICELIST'!N182</f>
        <v>0</v>
      </c>
      <c r="DU188" s="751">
        <f t="shared" si="378"/>
        <v>3254865.6952169994</v>
      </c>
      <c r="DW188" s="951">
        <f t="shared" si="454"/>
        <v>147948.44069168178</v>
      </c>
      <c r="DZ188" s="1010" t="s">
        <v>638</v>
      </c>
      <c r="EA188" s="1011" t="b">
        <f t="shared" si="379"/>
        <v>1</v>
      </c>
      <c r="EB188" s="1011"/>
      <c r="EC188" s="1011"/>
      <c r="ER188" s="1017" t="s">
        <v>264</v>
      </c>
      <c r="ES188" s="1391" t="s">
        <v>264</v>
      </c>
      <c r="ET188" s="1018" t="b">
        <f t="shared" si="417"/>
        <v>1</v>
      </c>
      <c r="EX188" s="1019">
        <v>3231193.6091686958</v>
      </c>
      <c r="EY188" s="1019">
        <f t="shared" si="464"/>
        <v>484679.04137530434</v>
      </c>
      <c r="EZ188" s="1019">
        <f t="shared" si="465"/>
        <v>2746514.5677933912</v>
      </c>
      <c r="FA188" s="1019">
        <f t="shared" si="466"/>
        <v>323119.3609168696</v>
      </c>
      <c r="FB188" s="1019">
        <f t="shared" si="467"/>
        <v>2908074.248251826</v>
      </c>
      <c r="FC188" s="1019">
        <f t="shared" si="468"/>
        <v>161559.68045843486</v>
      </c>
      <c r="FD188" s="1020"/>
      <c r="FE188" s="1021"/>
      <c r="FF188" s="1022">
        <f t="shared" si="469"/>
        <v>2746514.5677933912</v>
      </c>
      <c r="FG188" s="1022">
        <f t="shared" si="470"/>
        <v>233453.73826243827</v>
      </c>
      <c r="FH188" s="1022">
        <f t="shared" si="471"/>
        <v>116726.86913121914</v>
      </c>
      <c r="FI188" s="1023">
        <f t="shared" si="472"/>
        <v>2908074.248251826</v>
      </c>
      <c r="FJ188" s="1023">
        <f t="shared" si="473"/>
        <v>247186.31110140524</v>
      </c>
      <c r="FK188" s="1023">
        <f t="shared" si="474"/>
        <v>123593.15555070262</v>
      </c>
      <c r="FL188" s="1019">
        <f t="shared" si="475"/>
        <v>13732.572838966968</v>
      </c>
      <c r="FM188" s="1019">
        <f t="shared" si="476"/>
        <v>6866.2864194834838</v>
      </c>
      <c r="FN188" s="1019" t="str">
        <f t="shared" si="477"/>
        <v>VS</v>
      </c>
      <c r="FO188" s="1019">
        <f t="shared" si="478"/>
        <v>27537.409960060559</v>
      </c>
      <c r="FP188" s="1019">
        <f t="shared" si="479"/>
        <v>-20671.123540577075</v>
      </c>
      <c r="FQ188" s="1021"/>
      <c r="FR188" s="1021"/>
      <c r="FS188" s="1020"/>
      <c r="FT188" s="503"/>
      <c r="FU188" s="956"/>
      <c r="FV188" s="503"/>
      <c r="GG188" s="956"/>
      <c r="GI188" s="1024">
        <f t="shared" si="418"/>
        <v>3702409.7283093366</v>
      </c>
      <c r="GJ188" s="1025">
        <f t="shared" si="419"/>
        <v>0.125</v>
      </c>
      <c r="GK188" s="1024">
        <f t="shared" si="420"/>
        <v>462801.21603866707</v>
      </c>
      <c r="GL188" s="1024">
        <f t="shared" si="421"/>
        <v>30000</v>
      </c>
      <c r="GM188" s="1024">
        <f t="shared" si="422"/>
        <v>432801.21603866707</v>
      </c>
      <c r="GN188" s="1024">
        <f t="shared" si="423"/>
        <v>2</v>
      </c>
      <c r="GO188" s="1024">
        <f t="shared" si="424"/>
        <v>216400.60801933354</v>
      </c>
      <c r="GP188" s="1025">
        <f t="shared" si="425"/>
        <v>0.875</v>
      </c>
      <c r="GQ188" s="1024">
        <f t="shared" si="426"/>
        <v>3239608.5122706695</v>
      </c>
      <c r="GR188" s="1024">
        <f t="shared" si="427"/>
        <v>25116.650313852959</v>
      </c>
      <c r="GS188" s="1024">
        <f t="shared" si="428"/>
        <v>29118.517173230495</v>
      </c>
      <c r="GT188" s="1024">
        <f t="shared" si="429"/>
        <v>37614.601762345665</v>
      </c>
      <c r="GU188" s="1024">
        <f t="shared" si="430"/>
        <v>64148.131344477908</v>
      </c>
      <c r="GW188" s="1024">
        <f t="shared" si="431"/>
        <v>3702409.7283093366</v>
      </c>
      <c r="GX188" s="1025">
        <f t="shared" si="432"/>
        <v>0.125</v>
      </c>
      <c r="GY188" s="1024">
        <f t="shared" si="433"/>
        <v>462801.21603866707</v>
      </c>
      <c r="GZ188" s="1024">
        <f t="shared" si="434"/>
        <v>30000</v>
      </c>
      <c r="HA188" s="1024">
        <f t="shared" si="435"/>
        <v>432801.21603866707</v>
      </c>
      <c r="HB188" s="1026">
        <f t="shared" si="436"/>
        <v>25</v>
      </c>
      <c r="HC188" s="1009">
        <f t="shared" si="437"/>
        <v>17312.048641546684</v>
      </c>
      <c r="HD188" s="1027">
        <f t="shared" si="438"/>
        <v>0.875</v>
      </c>
      <c r="HE188" s="1009">
        <f t="shared" si="439"/>
        <v>3239608.5122706695</v>
      </c>
      <c r="HF188" s="1008">
        <f t="shared" si="440"/>
        <v>25116.650313852959</v>
      </c>
      <c r="HG188" s="1008">
        <f t="shared" si="441"/>
        <v>29118.517173230495</v>
      </c>
      <c r="HH188" s="1008">
        <f t="shared" si="442"/>
        <v>37614.601762345665</v>
      </c>
      <c r="HI188" s="1008">
        <f t="shared" si="443"/>
        <v>64148.131344477908</v>
      </c>
      <c r="HK188" s="1009">
        <f t="shared" si="444"/>
        <v>-199088.55937778685</v>
      </c>
      <c r="HR188" s="956">
        <f t="shared" si="445"/>
        <v>0</v>
      </c>
      <c r="HU188" s="956"/>
      <c r="HW188" s="956"/>
      <c r="HX188" s="956"/>
    </row>
    <row r="189" spans="1:232" ht="14.25" hidden="1" customHeight="1">
      <c r="A189" s="1018">
        <f t="shared" si="480"/>
        <v>183</v>
      </c>
      <c r="B189" s="716"/>
      <c r="C189" s="741">
        <f t="shared" si="522"/>
        <v>9</v>
      </c>
      <c r="D189" s="716" t="s">
        <v>297</v>
      </c>
      <c r="E189" s="743" t="str">
        <f t="shared" si="516"/>
        <v>12th Floor</v>
      </c>
      <c r="F189" s="1048"/>
      <c r="G189" s="745" t="s">
        <v>639</v>
      </c>
      <c r="H189" s="745" t="s">
        <v>321</v>
      </c>
      <c r="I189" s="745" t="s">
        <v>267</v>
      </c>
      <c r="J189" s="1005">
        <v>22</v>
      </c>
      <c r="K189" s="1049"/>
      <c r="L189" s="1006" t="s">
        <v>268</v>
      </c>
      <c r="M189" s="745" t="s">
        <v>79</v>
      </c>
      <c r="N189" s="1050">
        <v>95909.091</v>
      </c>
      <c r="O189" s="934">
        <f t="shared" si="455"/>
        <v>2110000.0019999999</v>
      </c>
      <c r="P189" s="934">
        <f t="shared" si="481"/>
        <v>22400</v>
      </c>
      <c r="Q189" s="934">
        <f t="shared" si="450"/>
        <v>50000</v>
      </c>
      <c r="R189" s="934"/>
      <c r="S189" s="934"/>
      <c r="T189" s="934"/>
      <c r="U189" s="934"/>
      <c r="V189" s="749"/>
      <c r="W189" s="934"/>
      <c r="X189" s="934"/>
      <c r="Y189" s="934">
        <f t="shared" si="523"/>
        <v>160000</v>
      </c>
      <c r="Z189" s="934">
        <f t="shared" si="456"/>
        <v>75000</v>
      </c>
      <c r="AA189" s="934"/>
      <c r="AB189" s="934"/>
      <c r="AC189" s="934"/>
      <c r="AD189" s="934"/>
      <c r="AE189" s="934">
        <f t="shared" si="365"/>
        <v>307400</v>
      </c>
      <c r="AF189" s="1005">
        <f t="shared" si="366"/>
        <v>2417400.0019999999</v>
      </c>
      <c r="AG189" s="1005">
        <f t="shared" si="380"/>
        <v>60435.000050000002</v>
      </c>
      <c r="AH189" s="1005">
        <f t="shared" si="381"/>
        <v>2477835.0020499998</v>
      </c>
      <c r="AI189" s="1005">
        <f t="shared" si="382"/>
        <v>61945.875051249997</v>
      </c>
      <c r="AJ189" s="1005">
        <f t="shared" si="383"/>
        <v>2539780.87710125</v>
      </c>
      <c r="AK189" s="1005">
        <f t="shared" si="384"/>
        <v>126989.04385506251</v>
      </c>
      <c r="AL189" s="1005">
        <f t="shared" si="457"/>
        <v>2666769.9209563127</v>
      </c>
      <c r="AM189" s="934">
        <f t="shared" si="385"/>
        <v>26667.699209563129</v>
      </c>
      <c r="AN189" s="934">
        <f t="shared" si="386"/>
        <v>27537.409960060559</v>
      </c>
      <c r="AO189" s="934"/>
      <c r="AP189" s="934">
        <f t="shared" si="458"/>
        <v>118460.13739902392</v>
      </c>
      <c r="AQ189" s="1005">
        <f t="shared" si="367"/>
        <v>2839435.1675249599</v>
      </c>
      <c r="AR189" s="1005">
        <f t="shared" si="387"/>
        <v>127774.58253862319</v>
      </c>
      <c r="AS189" s="1147">
        <f t="shared" si="388"/>
        <v>2967209.7500635833</v>
      </c>
      <c r="AT189" s="1148">
        <f t="shared" si="459"/>
        <v>2000000</v>
      </c>
      <c r="AU189" s="1148">
        <f t="shared" ref="AU189:AU197" si="524">AV189/J189</f>
        <v>43964.079548344693</v>
      </c>
      <c r="AV189" s="1148">
        <f t="shared" si="460"/>
        <v>967209.75006358325</v>
      </c>
      <c r="AW189" s="1148">
        <f t="shared" si="368"/>
        <v>116065.17000762999</v>
      </c>
      <c r="AX189" s="1148">
        <f t="shared" si="369"/>
        <v>1083274.9200712133</v>
      </c>
      <c r="AY189" s="1147">
        <f t="shared" si="389"/>
        <v>3083274.920071213</v>
      </c>
      <c r="AZ189" s="934">
        <f t="shared" si="390"/>
        <v>38540.936500890166</v>
      </c>
      <c r="BA189" s="716" t="s">
        <v>269</v>
      </c>
      <c r="BB189" s="716">
        <f t="shared" si="370"/>
        <v>3121815.8565721032</v>
      </c>
      <c r="BC189" s="716" t="s">
        <v>269</v>
      </c>
      <c r="BD189" s="716">
        <f t="shared" si="391"/>
        <v>117068.09462145387</v>
      </c>
      <c r="BE189" s="716">
        <f t="shared" si="392"/>
        <v>33600</v>
      </c>
      <c r="BF189" s="716">
        <f t="shared" si="393"/>
        <v>3272483.9511935571</v>
      </c>
      <c r="BG189" s="716"/>
      <c r="BH189" s="716">
        <f t="shared" si="394"/>
        <v>3272483.9511935571</v>
      </c>
      <c r="BI189" s="716"/>
      <c r="BJ189" s="716">
        <f t="shared" si="395"/>
        <v>3272483.9511935571</v>
      </c>
      <c r="BK189" s="716"/>
      <c r="BL189" s="716">
        <f t="shared" si="396"/>
        <v>3272483.9511935571</v>
      </c>
      <c r="BM189" s="716"/>
      <c r="BN189" s="716">
        <f t="shared" si="371"/>
        <v>3272483.9511935571</v>
      </c>
      <c r="BO189" s="716"/>
      <c r="BP189" s="716">
        <f t="shared" si="397"/>
        <v>3272483.9511935571</v>
      </c>
      <c r="BQ189" s="716"/>
      <c r="BR189" s="716">
        <f t="shared" si="398"/>
        <v>3272483.9511935571</v>
      </c>
      <c r="BS189" s="716"/>
      <c r="BT189" s="716">
        <f t="shared" si="399"/>
        <v>3272483.9511935571</v>
      </c>
      <c r="BU189" s="716"/>
      <c r="BV189" s="716">
        <f t="shared" si="372"/>
        <v>3272483.9511935571</v>
      </c>
      <c r="BW189" s="716"/>
      <c r="BX189" s="716">
        <f t="shared" si="489"/>
        <v>31400</v>
      </c>
      <c r="BY189" s="716">
        <f t="shared" si="400"/>
        <v>3303883.9511935571</v>
      </c>
      <c r="BZ189" s="716"/>
      <c r="CA189" s="716">
        <f t="shared" si="401"/>
        <v>3303883.9511935571</v>
      </c>
      <c r="CB189" s="1135">
        <f t="shared" si="402"/>
        <v>3303883.9511935571</v>
      </c>
      <c r="CC189" s="1164">
        <f t="shared" si="446"/>
        <v>3303883.9511935571</v>
      </c>
      <c r="CD189" s="1164"/>
      <c r="CE189" s="1164">
        <f t="shared" si="403"/>
        <v>0</v>
      </c>
      <c r="CF189" s="1164">
        <f t="shared" si="448"/>
        <v>0</v>
      </c>
      <c r="CG189" s="1164">
        <f t="shared" si="449"/>
        <v>0</v>
      </c>
      <c r="CH189" s="1154">
        <f t="shared" si="506"/>
        <v>3303883.9511935571</v>
      </c>
      <c r="CI189" s="935">
        <f t="shared" si="507"/>
        <v>3303883.9511935571</v>
      </c>
      <c r="CJ189" s="935">
        <f t="shared" si="404"/>
        <v>0</v>
      </c>
      <c r="CK189" s="935">
        <f t="shared" si="373"/>
        <v>338648.1049973396</v>
      </c>
      <c r="CL189" s="935">
        <f t="shared" si="374"/>
        <v>115635.93829177451</v>
      </c>
      <c r="CM189" s="1006">
        <f t="shared" si="461"/>
        <v>3758167.9944826714</v>
      </c>
      <c r="CN189" s="1007">
        <f t="shared" si="462"/>
        <v>0.125</v>
      </c>
      <c r="CO189" s="935">
        <f t="shared" si="498"/>
        <v>469770.99931033392</v>
      </c>
      <c r="CP189" s="935">
        <f t="shared" si="490"/>
        <v>30000</v>
      </c>
      <c r="CQ189" s="935">
        <f t="shared" si="499"/>
        <v>439770.99931033392</v>
      </c>
      <c r="CR189" s="745">
        <f t="shared" si="463"/>
        <v>2</v>
      </c>
      <c r="CS189" s="935">
        <f t="shared" si="500"/>
        <v>219885.49965516696</v>
      </c>
      <c r="CT189" s="1007">
        <f t="shared" si="405"/>
        <v>0.875</v>
      </c>
      <c r="CU189" s="935">
        <f t="shared" si="406"/>
        <v>3288396.9951723376</v>
      </c>
      <c r="CV189" s="1008">
        <f t="shared" si="407"/>
        <v>25494.906902494193</v>
      </c>
      <c r="CW189" s="1008">
        <f t="shared" si="408"/>
        <v>29557.04185047069</v>
      </c>
      <c r="CX189" s="1008">
        <f t="shared" si="409"/>
        <v>38181.077417655317</v>
      </c>
      <c r="CY189" s="1008">
        <f t="shared" si="410"/>
        <v>65114.201780896292</v>
      </c>
      <c r="CZ189" s="1119">
        <f t="shared" si="411"/>
        <v>267126.94013467524</v>
      </c>
      <c r="DA189" s="1119">
        <f t="shared" si="412"/>
        <v>105700.82896125688</v>
      </c>
      <c r="DB189" s="1119">
        <f t="shared" si="413"/>
        <v>76346.211697305698</v>
      </c>
      <c r="DC189" s="1119">
        <f t="shared" si="414"/>
        <v>58102.981899704391</v>
      </c>
      <c r="DD189" s="1028">
        <f t="shared" si="451"/>
        <v>0.48360487503179161</v>
      </c>
      <c r="DE189" s="1028">
        <f t="shared" si="508"/>
        <v>0</v>
      </c>
      <c r="DF189" s="1009" t="s">
        <v>270</v>
      </c>
      <c r="DG189" s="1009" t="s">
        <v>271</v>
      </c>
      <c r="DH189" s="966">
        <f t="shared" si="447"/>
        <v>45658</v>
      </c>
      <c r="DI189" s="912">
        <f t="shared" si="415"/>
        <v>14</v>
      </c>
      <c r="DK189" s="913">
        <f t="shared" si="375"/>
        <v>45723</v>
      </c>
      <c r="DL189" s="912">
        <f t="shared" si="416"/>
        <v>16</v>
      </c>
      <c r="DM189" s="750" t="s">
        <v>272</v>
      </c>
      <c r="DN189" s="750" t="s">
        <v>273</v>
      </c>
      <c r="DO189" s="751">
        <f t="shared" si="376"/>
        <v>49239.769094146061</v>
      </c>
      <c r="DP189" s="751">
        <f t="shared" si="377"/>
        <v>1083274.9200712133</v>
      </c>
      <c r="DQ189" s="752">
        <f t="shared" si="452"/>
        <v>0.54163746003560664</v>
      </c>
      <c r="DS189" s="751">
        <f t="shared" si="453"/>
        <v>3303883.9511935571</v>
      </c>
      <c r="DT189" s="751">
        <f>'[4]INTERNAL PRICELIST'!N183</f>
        <v>0</v>
      </c>
      <c r="DU189" s="751">
        <f t="shared" si="378"/>
        <v>3303883.9511935571</v>
      </c>
      <c r="DW189" s="951">
        <f t="shared" si="454"/>
        <v>150176.54323607078</v>
      </c>
      <c r="DZ189" s="1010" t="s">
        <v>639</v>
      </c>
      <c r="EA189" s="1011" t="b">
        <f t="shared" si="379"/>
        <v>1</v>
      </c>
      <c r="EB189" s="1011"/>
      <c r="EC189" s="1011"/>
      <c r="ER189" s="1017" t="s">
        <v>264</v>
      </c>
      <c r="ES189" s="1391" t="s">
        <v>264</v>
      </c>
      <c r="ET189" s="1018" t="b">
        <f t="shared" si="417"/>
        <v>1</v>
      </c>
      <c r="EX189" s="1019">
        <v>3096997.0561836315</v>
      </c>
      <c r="EY189" s="1019">
        <f t="shared" si="464"/>
        <v>464549.55842754472</v>
      </c>
      <c r="EZ189" s="1019">
        <f t="shared" si="465"/>
        <v>2632447.4977560868</v>
      </c>
      <c r="FA189" s="1019">
        <f t="shared" si="466"/>
        <v>309699.70561836316</v>
      </c>
      <c r="FB189" s="1019">
        <f t="shared" si="467"/>
        <v>2787297.3505652687</v>
      </c>
      <c r="FC189" s="1019">
        <f t="shared" si="468"/>
        <v>154849.8528091819</v>
      </c>
      <c r="FD189" s="1020"/>
      <c r="FE189" s="1021"/>
      <c r="FF189" s="1022">
        <f t="shared" si="469"/>
        <v>2632447.4977560868</v>
      </c>
      <c r="FG189" s="1022">
        <f t="shared" si="470"/>
        <v>223758.03730926738</v>
      </c>
      <c r="FH189" s="1022">
        <f t="shared" si="471"/>
        <v>111879.01865463369</v>
      </c>
      <c r="FI189" s="1023">
        <f t="shared" si="472"/>
        <v>2787297.3505652687</v>
      </c>
      <c r="FJ189" s="1023">
        <f t="shared" si="473"/>
        <v>236920.27479804785</v>
      </c>
      <c r="FK189" s="1023">
        <f t="shared" si="474"/>
        <v>118460.13739902392</v>
      </c>
      <c r="FL189" s="1019">
        <f t="shared" si="475"/>
        <v>13162.237488780462</v>
      </c>
      <c r="FM189" s="1019">
        <f t="shared" si="476"/>
        <v>6581.1187443902309</v>
      </c>
      <c r="FN189" s="1019" t="str">
        <f t="shared" si="477"/>
        <v>VS</v>
      </c>
      <c r="FO189" s="1019">
        <f t="shared" si="478"/>
        <v>27537.409960060559</v>
      </c>
      <c r="FP189" s="1019">
        <f t="shared" si="479"/>
        <v>-20956.291215670328</v>
      </c>
      <c r="FQ189" s="1021"/>
      <c r="FR189" s="1021"/>
      <c r="FS189" s="1020"/>
      <c r="FT189" s="1055">
        <f t="shared" ref="FT189:FT191" si="525">FB189</f>
        <v>2787297.3505652687</v>
      </c>
      <c r="FU189" s="1056"/>
      <c r="FV189" s="1056"/>
      <c r="GG189" s="956"/>
      <c r="GI189" s="1024">
        <f t="shared" si="418"/>
        <v>3758167.9944826714</v>
      </c>
      <c r="GJ189" s="1025">
        <f t="shared" si="419"/>
        <v>0.125</v>
      </c>
      <c r="GK189" s="1024">
        <f t="shared" si="420"/>
        <v>469770.99931033392</v>
      </c>
      <c r="GL189" s="1024">
        <f t="shared" si="421"/>
        <v>30000</v>
      </c>
      <c r="GM189" s="1024">
        <f t="shared" si="422"/>
        <v>439770.99931033392</v>
      </c>
      <c r="GN189" s="1024">
        <f t="shared" si="423"/>
        <v>2</v>
      </c>
      <c r="GO189" s="1024">
        <f t="shared" si="424"/>
        <v>219885.49965516696</v>
      </c>
      <c r="GP189" s="1025">
        <f t="shared" si="425"/>
        <v>0.875</v>
      </c>
      <c r="GQ189" s="1024">
        <f t="shared" si="426"/>
        <v>3288396.9951723376</v>
      </c>
      <c r="GR189" s="1024">
        <f t="shared" si="427"/>
        <v>25494.906902494193</v>
      </c>
      <c r="GS189" s="1024">
        <f t="shared" si="428"/>
        <v>29557.04185047069</v>
      </c>
      <c r="GT189" s="1024">
        <f t="shared" si="429"/>
        <v>38181.077417655317</v>
      </c>
      <c r="GU189" s="1024">
        <f t="shared" si="430"/>
        <v>65114.201780896292</v>
      </c>
      <c r="GW189" s="1024">
        <f t="shared" si="431"/>
        <v>3758167.9944826714</v>
      </c>
      <c r="GX189" s="1025">
        <f t="shared" si="432"/>
        <v>0.125</v>
      </c>
      <c r="GY189" s="1024">
        <f t="shared" si="433"/>
        <v>469770.99931033392</v>
      </c>
      <c r="GZ189" s="1024">
        <f t="shared" si="434"/>
        <v>30000</v>
      </c>
      <c r="HA189" s="1024">
        <f t="shared" si="435"/>
        <v>439770.99931033392</v>
      </c>
      <c r="HB189" s="1026">
        <f t="shared" si="436"/>
        <v>25</v>
      </c>
      <c r="HC189" s="1009">
        <f t="shared" si="437"/>
        <v>17590.839972413356</v>
      </c>
      <c r="HD189" s="1027">
        <f t="shared" si="438"/>
        <v>0.875</v>
      </c>
      <c r="HE189" s="1009">
        <f t="shared" si="439"/>
        <v>3288396.9951723376</v>
      </c>
      <c r="HF189" s="1008">
        <f t="shared" si="440"/>
        <v>25494.906902494193</v>
      </c>
      <c r="HG189" s="1008">
        <f t="shared" si="441"/>
        <v>29557.04185047069</v>
      </c>
      <c r="HH189" s="1008">
        <f t="shared" si="442"/>
        <v>38181.077417655317</v>
      </c>
      <c r="HI189" s="1008">
        <f t="shared" si="443"/>
        <v>65114.201780896292</v>
      </c>
      <c r="HK189" s="1009">
        <f t="shared" si="444"/>
        <v>-202294.65968275361</v>
      </c>
      <c r="HR189" s="956">
        <f t="shared" si="445"/>
        <v>0</v>
      </c>
      <c r="HU189" s="956"/>
      <c r="HW189" s="956"/>
      <c r="HX189" s="956"/>
    </row>
    <row r="190" spans="1:232" ht="14.25" customHeight="1">
      <c r="A190" s="1018">
        <f t="shared" si="480"/>
        <v>184</v>
      </c>
      <c r="B190" s="716"/>
      <c r="C190" s="741">
        <f t="shared" si="522"/>
        <v>10</v>
      </c>
      <c r="D190" s="716" t="s">
        <v>297</v>
      </c>
      <c r="E190" s="743" t="str">
        <f t="shared" si="516"/>
        <v>12th Floor</v>
      </c>
      <c r="F190" s="1048"/>
      <c r="G190" s="745" t="s">
        <v>640</v>
      </c>
      <c r="H190" s="745" t="s">
        <v>325</v>
      </c>
      <c r="I190" s="745" t="s">
        <v>267</v>
      </c>
      <c r="J190" s="1005">
        <v>22</v>
      </c>
      <c r="K190" s="1049"/>
      <c r="L190" s="1006" t="s">
        <v>268</v>
      </c>
      <c r="M190" s="745" t="s">
        <v>79</v>
      </c>
      <c r="N190" s="1050">
        <v>95909.091</v>
      </c>
      <c r="O190" s="934">
        <f t="shared" si="455"/>
        <v>2110000.0019999999</v>
      </c>
      <c r="P190" s="934">
        <f t="shared" si="481"/>
        <v>22400</v>
      </c>
      <c r="Q190" s="934">
        <f t="shared" si="450"/>
        <v>50000</v>
      </c>
      <c r="R190" s="934"/>
      <c r="S190" s="934"/>
      <c r="T190" s="934"/>
      <c r="U190" s="934"/>
      <c r="V190" s="749"/>
      <c r="W190" s="934"/>
      <c r="X190" s="934"/>
      <c r="Y190" s="934">
        <f t="shared" si="523"/>
        <v>160000</v>
      </c>
      <c r="Z190" s="934">
        <f t="shared" si="456"/>
        <v>75000</v>
      </c>
      <c r="AA190" s="934"/>
      <c r="AB190" s="934"/>
      <c r="AC190" s="934"/>
      <c r="AD190" s="934"/>
      <c r="AE190" s="934">
        <f t="shared" si="365"/>
        <v>307400</v>
      </c>
      <c r="AF190" s="1005">
        <f t="shared" si="366"/>
        <v>2417400.0019999999</v>
      </c>
      <c r="AG190" s="1005">
        <f t="shared" si="380"/>
        <v>60435.000050000002</v>
      </c>
      <c r="AH190" s="1005">
        <f t="shared" si="381"/>
        <v>2477835.0020499998</v>
      </c>
      <c r="AI190" s="1005">
        <f t="shared" si="382"/>
        <v>61945.875051249997</v>
      </c>
      <c r="AJ190" s="1005">
        <f t="shared" si="383"/>
        <v>2539780.87710125</v>
      </c>
      <c r="AK190" s="1005">
        <f t="shared" si="384"/>
        <v>126989.04385506251</v>
      </c>
      <c r="AL190" s="1005">
        <f t="shared" si="457"/>
        <v>2666769.9209563127</v>
      </c>
      <c r="AM190" s="934">
        <f t="shared" si="385"/>
        <v>26667.699209563129</v>
      </c>
      <c r="AN190" s="934">
        <f t="shared" si="386"/>
        <v>27537.409960060559</v>
      </c>
      <c r="AO190" s="934"/>
      <c r="AP190" s="934">
        <f t="shared" si="458"/>
        <v>118460.13739902392</v>
      </c>
      <c r="AQ190" s="1005">
        <f t="shared" si="367"/>
        <v>2839435.1675249599</v>
      </c>
      <c r="AR190" s="1005">
        <f t="shared" si="387"/>
        <v>127774.58253862319</v>
      </c>
      <c r="AS190" s="1147">
        <f t="shared" si="388"/>
        <v>2967209.7500635833</v>
      </c>
      <c r="AT190" s="1148">
        <f t="shared" si="459"/>
        <v>2000000</v>
      </c>
      <c r="AU190" s="1148">
        <f t="shared" si="524"/>
        <v>43964.079548344693</v>
      </c>
      <c r="AV190" s="1148">
        <f t="shared" si="460"/>
        <v>967209.75006358325</v>
      </c>
      <c r="AW190" s="1148">
        <f t="shared" si="368"/>
        <v>116065.17000762999</v>
      </c>
      <c r="AX190" s="1148">
        <f t="shared" si="369"/>
        <v>1083274.9200712133</v>
      </c>
      <c r="AY190" s="1147">
        <f t="shared" si="389"/>
        <v>3083274.920071213</v>
      </c>
      <c r="AZ190" s="934">
        <f t="shared" si="390"/>
        <v>38540.936500890166</v>
      </c>
      <c r="BA190" s="716" t="s">
        <v>269</v>
      </c>
      <c r="BB190" s="716">
        <f t="shared" si="370"/>
        <v>3121815.8565721032</v>
      </c>
      <c r="BC190" s="716">
        <v>2710.4000000000005</v>
      </c>
      <c r="BD190" s="716">
        <f t="shared" si="391"/>
        <v>117068.09462145387</v>
      </c>
      <c r="BE190" s="716">
        <f t="shared" si="392"/>
        <v>33600</v>
      </c>
      <c r="BF190" s="716">
        <f t="shared" si="393"/>
        <v>3275194.351193557</v>
      </c>
      <c r="BG190" s="716">
        <v>5248.8000000000011</v>
      </c>
      <c r="BH190" s="716">
        <f t="shared" si="394"/>
        <v>3280443.1511935568</v>
      </c>
      <c r="BI190" s="716"/>
      <c r="BJ190" s="716">
        <f t="shared" si="395"/>
        <v>3280443.1511935568</v>
      </c>
      <c r="BK190" s="716">
        <v>5092.7923200000005</v>
      </c>
      <c r="BL190" s="716">
        <f t="shared" si="396"/>
        <v>3285535.9435135568</v>
      </c>
      <c r="BM190" s="716"/>
      <c r="BN190" s="716">
        <f t="shared" si="371"/>
        <v>3285535.9435135568</v>
      </c>
      <c r="BO190" s="716"/>
      <c r="BP190" s="716">
        <f t="shared" si="397"/>
        <v>3285535.9435135568</v>
      </c>
      <c r="BQ190" s="716"/>
      <c r="BR190" s="716">
        <f t="shared" si="398"/>
        <v>3285535.9435135568</v>
      </c>
      <c r="BS190" s="716"/>
      <c r="BT190" s="716">
        <f t="shared" si="399"/>
        <v>3285535.9435135568</v>
      </c>
      <c r="BU190" s="716">
        <f>$BU$5/24</f>
        <v>546.00000000000011</v>
      </c>
      <c r="BV190" s="716">
        <f t="shared" si="372"/>
        <v>3286081.9435135568</v>
      </c>
      <c r="BW190" s="716"/>
      <c r="BX190" s="716">
        <f t="shared" si="489"/>
        <v>31400</v>
      </c>
      <c r="BY190" s="716">
        <f t="shared" si="400"/>
        <v>3317481.9435135568</v>
      </c>
      <c r="BZ190" s="716">
        <f>$BZ$5/20</f>
        <v>33654.337039807535</v>
      </c>
      <c r="CA190" s="716">
        <f t="shared" si="401"/>
        <v>3351136.2805533642</v>
      </c>
      <c r="CB190" s="1135">
        <f>CA190</f>
        <v>3351136.2805533642</v>
      </c>
      <c r="CC190" s="1164">
        <f t="shared" si="446"/>
        <v>3351136.2805533642</v>
      </c>
      <c r="CD190" s="1164"/>
      <c r="CE190" s="1164">
        <f t="shared" si="403"/>
        <v>0</v>
      </c>
      <c r="CF190" s="1164">
        <f t="shared" si="448"/>
        <v>0</v>
      </c>
      <c r="CG190" s="1164">
        <f t="shared" si="449"/>
        <v>0</v>
      </c>
      <c r="CH190" s="1154">
        <f t="shared" si="506"/>
        <v>3351136.2805533642</v>
      </c>
      <c r="CI190" s="935">
        <f t="shared" si="507"/>
        <v>3351136.2805533642</v>
      </c>
      <c r="CJ190" s="935">
        <f t="shared" si="404"/>
        <v>0</v>
      </c>
      <c r="CK190" s="935">
        <f t="shared" si="373"/>
        <v>343491.46875671978</v>
      </c>
      <c r="CL190" s="935">
        <f t="shared" si="374"/>
        <v>117289.76981936776</v>
      </c>
      <c r="CM190" s="1006">
        <f t="shared" si="461"/>
        <v>3811917.5191294518</v>
      </c>
      <c r="CN190" s="1007">
        <f t="shared" si="462"/>
        <v>0.125</v>
      </c>
      <c r="CO190" s="935">
        <f t="shared" si="498"/>
        <v>476489.68989118148</v>
      </c>
      <c r="CP190" s="935">
        <f t="shared" si="490"/>
        <v>30000</v>
      </c>
      <c r="CQ190" s="935">
        <f t="shared" si="499"/>
        <v>446489.68989118148</v>
      </c>
      <c r="CR190" s="745">
        <v>1</v>
      </c>
      <c r="CS190" s="935">
        <f t="shared" si="500"/>
        <v>446489.68989118148</v>
      </c>
      <c r="CT190" s="1007">
        <f t="shared" si="405"/>
        <v>0.875</v>
      </c>
      <c r="CU190" s="935">
        <f t="shared" si="406"/>
        <v>3335427.8292382704</v>
      </c>
      <c r="CV190" s="1008">
        <f t="shared" si="407"/>
        <v>25859.536458420047</v>
      </c>
      <c r="CW190" s="1008">
        <f t="shared" si="408"/>
        <v>29979.768283072986</v>
      </c>
      <c r="CX190" s="1008">
        <f t="shared" si="409"/>
        <v>38727.145279633209</v>
      </c>
      <c r="CY190" s="1008">
        <f t="shared" si="410"/>
        <v>66045.468663754058</v>
      </c>
      <c r="CZ190" s="1119">
        <f t="shared" si="411"/>
        <v>270947.4042740289</v>
      </c>
      <c r="DA190" s="1119">
        <f t="shared" si="412"/>
        <v>107212.5680106498</v>
      </c>
      <c r="DB190" s="1119">
        <f t="shared" si="413"/>
        <v>77438.119401627875</v>
      </c>
      <c r="DC190" s="1119">
        <f t="shared" si="414"/>
        <v>58933.973931527995</v>
      </c>
      <c r="DD190" s="1028">
        <f t="shared" si="451"/>
        <v>0.48360487503179161</v>
      </c>
      <c r="DE190" s="1028">
        <f t="shared" si="508"/>
        <v>0</v>
      </c>
      <c r="DF190" s="1009" t="s">
        <v>270</v>
      </c>
      <c r="DG190" s="1009" t="s">
        <v>271</v>
      </c>
      <c r="DH190" s="966">
        <f t="shared" si="447"/>
        <v>45658</v>
      </c>
      <c r="DI190" s="912">
        <f t="shared" si="415"/>
        <v>14</v>
      </c>
      <c r="DK190" s="913">
        <f t="shared" si="375"/>
        <v>45723</v>
      </c>
      <c r="DL190" s="912">
        <f t="shared" si="416"/>
        <v>16</v>
      </c>
      <c r="DM190" s="750" t="s">
        <v>272</v>
      </c>
      <c r="DN190" s="750" t="s">
        <v>273</v>
      </c>
      <c r="DO190" s="751">
        <f t="shared" si="376"/>
        <v>49239.769094146061</v>
      </c>
      <c r="DP190" s="751">
        <f t="shared" si="377"/>
        <v>1083274.9200712133</v>
      </c>
      <c r="DQ190" s="752">
        <f t="shared" si="452"/>
        <v>0.54163746003560664</v>
      </c>
      <c r="DS190" s="751">
        <f t="shared" si="453"/>
        <v>3351136.2805533642</v>
      </c>
      <c r="DT190" s="751">
        <f>'[4]INTERNAL PRICELIST'!N184</f>
        <v>0</v>
      </c>
      <c r="DU190" s="751">
        <f t="shared" si="378"/>
        <v>3351136.2805533642</v>
      </c>
      <c r="DW190" s="951">
        <f t="shared" si="454"/>
        <v>152324.37638878927</v>
      </c>
      <c r="DZ190" s="1010" t="s">
        <v>640</v>
      </c>
      <c r="EA190" s="1011" t="b">
        <f t="shared" si="379"/>
        <v>1</v>
      </c>
      <c r="EB190" s="1011"/>
      <c r="EC190" s="1011"/>
      <c r="ER190" s="1017" t="s">
        <v>243</v>
      </c>
      <c r="ES190" s="1391" t="s">
        <v>243</v>
      </c>
      <c r="ET190" s="1018" t="b">
        <f t="shared" si="417"/>
        <v>1</v>
      </c>
      <c r="EX190" s="1019">
        <v>3096997.0561836315</v>
      </c>
      <c r="EY190" s="1019">
        <f t="shared" si="464"/>
        <v>464549.55842754472</v>
      </c>
      <c r="EZ190" s="1019">
        <f t="shared" si="465"/>
        <v>2632447.4977560868</v>
      </c>
      <c r="FA190" s="1019">
        <f t="shared" si="466"/>
        <v>309699.70561836316</v>
      </c>
      <c r="FB190" s="1019">
        <f t="shared" si="467"/>
        <v>2787297.3505652687</v>
      </c>
      <c r="FC190" s="1019">
        <f t="shared" si="468"/>
        <v>154849.8528091819</v>
      </c>
      <c r="FD190" s="1020"/>
      <c r="FE190" s="1021"/>
      <c r="FF190" s="1022">
        <f t="shared" si="469"/>
        <v>2632447.4977560868</v>
      </c>
      <c r="FG190" s="1022">
        <f t="shared" si="470"/>
        <v>223758.03730926738</v>
      </c>
      <c r="FH190" s="1022">
        <f t="shared" si="471"/>
        <v>111879.01865463369</v>
      </c>
      <c r="FI190" s="1023">
        <f t="shared" si="472"/>
        <v>2787297.3505652687</v>
      </c>
      <c r="FJ190" s="1023">
        <f t="shared" si="473"/>
        <v>236920.27479804785</v>
      </c>
      <c r="FK190" s="1023">
        <f t="shared" si="474"/>
        <v>118460.13739902392</v>
      </c>
      <c r="FL190" s="1019">
        <f t="shared" si="475"/>
        <v>13162.237488780462</v>
      </c>
      <c r="FM190" s="1019">
        <f t="shared" si="476"/>
        <v>6581.1187443902309</v>
      </c>
      <c r="FN190" s="1019" t="str">
        <f t="shared" si="477"/>
        <v>VS</v>
      </c>
      <c r="FO190" s="1019">
        <f t="shared" si="478"/>
        <v>27537.409960060559</v>
      </c>
      <c r="FP190" s="1019">
        <f t="shared" si="479"/>
        <v>-20956.291215670328</v>
      </c>
      <c r="FQ190" s="1021"/>
      <c r="FR190" s="1021"/>
      <c r="FS190" s="1020"/>
      <c r="FT190" s="1055">
        <f t="shared" si="525"/>
        <v>2787297.3505652687</v>
      </c>
      <c r="FU190" s="1056"/>
      <c r="FV190" s="1056"/>
      <c r="GG190" s="956"/>
      <c r="GI190" s="1024">
        <f t="shared" si="418"/>
        <v>3811917.5191294518</v>
      </c>
      <c r="GJ190" s="1025">
        <f t="shared" si="419"/>
        <v>0.125</v>
      </c>
      <c r="GK190" s="1024">
        <f t="shared" si="420"/>
        <v>476489.68989118148</v>
      </c>
      <c r="GL190" s="1024">
        <f t="shared" si="421"/>
        <v>30000</v>
      </c>
      <c r="GM190" s="1024">
        <f t="shared" si="422"/>
        <v>446489.68989118148</v>
      </c>
      <c r="GN190" s="1024">
        <f t="shared" si="423"/>
        <v>1</v>
      </c>
      <c r="GO190" s="1024">
        <f t="shared" si="424"/>
        <v>446489.68989118148</v>
      </c>
      <c r="GP190" s="1025">
        <f t="shared" si="425"/>
        <v>0.875</v>
      </c>
      <c r="GQ190" s="1024">
        <f t="shared" si="426"/>
        <v>3335427.8292382704</v>
      </c>
      <c r="GR190" s="1024">
        <f t="shared" si="427"/>
        <v>25859.536458420047</v>
      </c>
      <c r="GS190" s="1024">
        <f t="shared" si="428"/>
        <v>29979.768283072986</v>
      </c>
      <c r="GT190" s="1024">
        <f t="shared" si="429"/>
        <v>38727.145279633209</v>
      </c>
      <c r="GU190" s="1024">
        <f t="shared" si="430"/>
        <v>66045.468663754058</v>
      </c>
      <c r="GW190" s="1024">
        <f t="shared" si="431"/>
        <v>3811917.5191294518</v>
      </c>
      <c r="GX190" s="1025">
        <f t="shared" si="432"/>
        <v>0.125</v>
      </c>
      <c r="GY190" s="1024">
        <f t="shared" si="433"/>
        <v>476489.68989118148</v>
      </c>
      <c r="GZ190" s="1024">
        <f t="shared" si="434"/>
        <v>30000</v>
      </c>
      <c r="HA190" s="1024">
        <f t="shared" si="435"/>
        <v>446489.68989118148</v>
      </c>
      <c r="HB190" s="1026">
        <f t="shared" si="436"/>
        <v>25</v>
      </c>
      <c r="HC190" s="1009">
        <f t="shared" si="437"/>
        <v>17859.587595647259</v>
      </c>
      <c r="HD190" s="1027">
        <f t="shared" si="438"/>
        <v>0.875</v>
      </c>
      <c r="HE190" s="1009">
        <f t="shared" si="439"/>
        <v>3335427.8292382704</v>
      </c>
      <c r="HF190" s="1008">
        <f t="shared" si="440"/>
        <v>25859.536458420047</v>
      </c>
      <c r="HG190" s="1008">
        <f t="shared" si="441"/>
        <v>29979.768283072986</v>
      </c>
      <c r="HH190" s="1008">
        <f t="shared" si="442"/>
        <v>38727.145279633209</v>
      </c>
      <c r="HI190" s="1008">
        <f t="shared" si="443"/>
        <v>66045.468663754058</v>
      </c>
      <c r="HK190" s="1009">
        <f t="shared" si="444"/>
        <v>-428630.10229553422</v>
      </c>
      <c r="HR190" s="956">
        <f t="shared" si="445"/>
        <v>0</v>
      </c>
      <c r="HU190" s="956"/>
      <c r="HW190" s="956"/>
      <c r="HX190" s="956"/>
    </row>
    <row r="191" spans="1:232" ht="14.25" hidden="1" customHeight="1">
      <c r="A191" s="1018">
        <f t="shared" si="480"/>
        <v>185</v>
      </c>
      <c r="B191" s="716"/>
      <c r="C191" s="741">
        <f t="shared" si="522"/>
        <v>11</v>
      </c>
      <c r="D191" s="716" t="s">
        <v>297</v>
      </c>
      <c r="E191" s="743" t="str">
        <f t="shared" si="516"/>
        <v>12th Floor</v>
      </c>
      <c r="F191" s="1048"/>
      <c r="G191" s="745" t="s">
        <v>641</v>
      </c>
      <c r="H191" s="745" t="s">
        <v>328</v>
      </c>
      <c r="I191" s="745" t="s">
        <v>267</v>
      </c>
      <c r="J191" s="1005">
        <v>22</v>
      </c>
      <c r="K191" s="1049"/>
      <c r="L191" s="1006" t="s">
        <v>268</v>
      </c>
      <c r="M191" s="745" t="s">
        <v>79</v>
      </c>
      <c r="N191" s="1050">
        <v>95909.091</v>
      </c>
      <c r="O191" s="934">
        <f t="shared" si="455"/>
        <v>2110000.0019999999</v>
      </c>
      <c r="P191" s="934">
        <f t="shared" si="481"/>
        <v>22400</v>
      </c>
      <c r="Q191" s="934">
        <f t="shared" si="450"/>
        <v>50000</v>
      </c>
      <c r="R191" s="934"/>
      <c r="S191" s="934"/>
      <c r="T191" s="934"/>
      <c r="U191" s="934"/>
      <c r="V191" s="749"/>
      <c r="W191" s="934"/>
      <c r="X191" s="934"/>
      <c r="Y191" s="934">
        <f t="shared" si="523"/>
        <v>160000</v>
      </c>
      <c r="Z191" s="934">
        <f t="shared" si="456"/>
        <v>75000</v>
      </c>
      <c r="AA191" s="934"/>
      <c r="AB191" s="934"/>
      <c r="AC191" s="934"/>
      <c r="AD191" s="934"/>
      <c r="AE191" s="934">
        <f t="shared" si="365"/>
        <v>307400</v>
      </c>
      <c r="AF191" s="1005">
        <f t="shared" si="366"/>
        <v>2417400.0019999999</v>
      </c>
      <c r="AG191" s="1005">
        <f t="shared" si="380"/>
        <v>60435.000050000002</v>
      </c>
      <c r="AH191" s="1005">
        <f t="shared" si="381"/>
        <v>2477835.0020499998</v>
      </c>
      <c r="AI191" s="1005">
        <f t="shared" si="382"/>
        <v>61945.875051249997</v>
      </c>
      <c r="AJ191" s="1005">
        <f t="shared" si="383"/>
        <v>2539780.87710125</v>
      </c>
      <c r="AK191" s="1005">
        <f t="shared" si="384"/>
        <v>126989.04385506251</v>
      </c>
      <c r="AL191" s="1005">
        <f t="shared" si="457"/>
        <v>2666769.9209563127</v>
      </c>
      <c r="AM191" s="934">
        <f t="shared" si="385"/>
        <v>26667.699209563129</v>
      </c>
      <c r="AN191" s="934">
        <f t="shared" si="386"/>
        <v>27537.409960060559</v>
      </c>
      <c r="AO191" s="934"/>
      <c r="AP191" s="934">
        <f t="shared" si="458"/>
        <v>118460.13739902392</v>
      </c>
      <c r="AQ191" s="1005">
        <f t="shared" si="367"/>
        <v>2839435.1675249599</v>
      </c>
      <c r="AR191" s="1005">
        <f t="shared" si="387"/>
        <v>127774.58253862319</v>
      </c>
      <c r="AS191" s="1147">
        <f t="shared" si="388"/>
        <v>2967209.7500635833</v>
      </c>
      <c r="AT191" s="1148">
        <f t="shared" si="459"/>
        <v>2000000</v>
      </c>
      <c r="AU191" s="1148">
        <f t="shared" si="524"/>
        <v>43964.079548344693</v>
      </c>
      <c r="AV191" s="1148">
        <f t="shared" si="460"/>
        <v>967209.75006358325</v>
      </c>
      <c r="AW191" s="1148">
        <f t="shared" si="368"/>
        <v>116065.17000762999</v>
      </c>
      <c r="AX191" s="1148">
        <f t="shared" si="369"/>
        <v>1083274.9200712133</v>
      </c>
      <c r="AY191" s="1147">
        <f t="shared" si="389"/>
        <v>3083274.920071213</v>
      </c>
      <c r="AZ191" s="934">
        <f t="shared" si="390"/>
        <v>38540.936500890166</v>
      </c>
      <c r="BA191" s="716" t="s">
        <v>269</v>
      </c>
      <c r="BB191" s="716">
        <f t="shared" si="370"/>
        <v>3121815.8565721032</v>
      </c>
      <c r="BC191" s="716" t="s">
        <v>269</v>
      </c>
      <c r="BD191" s="716">
        <f t="shared" si="391"/>
        <v>117068.09462145387</v>
      </c>
      <c r="BE191" s="716">
        <f t="shared" si="392"/>
        <v>33600</v>
      </c>
      <c r="BF191" s="716">
        <f t="shared" si="393"/>
        <v>3272483.9511935571</v>
      </c>
      <c r="BG191" s="716"/>
      <c r="BH191" s="716">
        <f t="shared" si="394"/>
        <v>3272483.9511935571</v>
      </c>
      <c r="BI191" s="716"/>
      <c r="BJ191" s="716">
        <f t="shared" si="395"/>
        <v>3272483.9511935571</v>
      </c>
      <c r="BK191" s="716"/>
      <c r="BL191" s="716">
        <f t="shared" si="396"/>
        <v>3272483.9511935571</v>
      </c>
      <c r="BM191" s="716"/>
      <c r="BN191" s="716">
        <f t="shared" si="371"/>
        <v>3272483.9511935571</v>
      </c>
      <c r="BO191" s="716"/>
      <c r="BP191" s="716">
        <f t="shared" si="397"/>
        <v>3272483.9511935571</v>
      </c>
      <c r="BQ191" s="716"/>
      <c r="BR191" s="716">
        <f t="shared" si="398"/>
        <v>3272483.9511935571</v>
      </c>
      <c r="BS191" s="716"/>
      <c r="BT191" s="716">
        <f t="shared" si="399"/>
        <v>3272483.9511935571</v>
      </c>
      <c r="BU191" s="716"/>
      <c r="BV191" s="716">
        <f t="shared" si="372"/>
        <v>3272483.9511935571</v>
      </c>
      <c r="BW191" s="716"/>
      <c r="BX191" s="716">
        <f t="shared" si="489"/>
        <v>31400</v>
      </c>
      <c r="BY191" s="716">
        <f t="shared" si="400"/>
        <v>3303883.9511935571</v>
      </c>
      <c r="BZ191" s="716"/>
      <c r="CA191" s="716">
        <f t="shared" si="401"/>
        <v>3303883.9511935571</v>
      </c>
      <c r="CB191" s="1135">
        <f t="shared" si="402"/>
        <v>3303883.9511935571</v>
      </c>
      <c r="CC191" s="1164">
        <f t="shared" si="446"/>
        <v>3303883.9511935571</v>
      </c>
      <c r="CD191" s="1164"/>
      <c r="CE191" s="1164">
        <f t="shared" si="403"/>
        <v>0</v>
      </c>
      <c r="CF191" s="1164">
        <f t="shared" si="448"/>
        <v>0</v>
      </c>
      <c r="CG191" s="1164">
        <f t="shared" si="449"/>
        <v>0</v>
      </c>
      <c r="CH191" s="1154">
        <f t="shared" si="506"/>
        <v>3303883.9511935571</v>
      </c>
      <c r="CI191" s="935">
        <f t="shared" si="507"/>
        <v>3303883.9511935571</v>
      </c>
      <c r="CJ191" s="935">
        <f t="shared" si="404"/>
        <v>0</v>
      </c>
      <c r="CK191" s="935">
        <f t="shared" si="373"/>
        <v>338648.1049973396</v>
      </c>
      <c r="CL191" s="935">
        <f t="shared" si="374"/>
        <v>115635.93829177451</v>
      </c>
      <c r="CM191" s="1006">
        <f t="shared" si="461"/>
        <v>3758167.9944826714</v>
      </c>
      <c r="CN191" s="1007">
        <f t="shared" si="462"/>
        <v>0.125</v>
      </c>
      <c r="CO191" s="935">
        <f t="shared" si="498"/>
        <v>469770.99931033392</v>
      </c>
      <c r="CP191" s="935">
        <f t="shared" si="490"/>
        <v>30000</v>
      </c>
      <c r="CQ191" s="935">
        <f t="shared" si="499"/>
        <v>439770.99931033392</v>
      </c>
      <c r="CR191" s="745">
        <f t="shared" si="463"/>
        <v>2</v>
      </c>
      <c r="CS191" s="935">
        <f t="shared" si="500"/>
        <v>219885.49965516696</v>
      </c>
      <c r="CT191" s="1007">
        <f t="shared" si="405"/>
        <v>0.875</v>
      </c>
      <c r="CU191" s="935">
        <f t="shared" si="406"/>
        <v>3288396.9951723376</v>
      </c>
      <c r="CV191" s="1008">
        <f t="shared" si="407"/>
        <v>25494.906902494193</v>
      </c>
      <c r="CW191" s="1008">
        <f t="shared" si="408"/>
        <v>29557.04185047069</v>
      </c>
      <c r="CX191" s="1008">
        <f t="shared" si="409"/>
        <v>38181.077417655317</v>
      </c>
      <c r="CY191" s="1008">
        <f t="shared" si="410"/>
        <v>65114.201780896292</v>
      </c>
      <c r="CZ191" s="1119">
        <f t="shared" si="411"/>
        <v>267126.94013467524</v>
      </c>
      <c r="DA191" s="1119">
        <f t="shared" si="412"/>
        <v>105700.82896125688</v>
      </c>
      <c r="DB191" s="1119">
        <f t="shared" si="413"/>
        <v>76346.211697305698</v>
      </c>
      <c r="DC191" s="1119">
        <f t="shared" si="414"/>
        <v>58102.981899704391</v>
      </c>
      <c r="DD191" s="1028">
        <f t="shared" si="451"/>
        <v>0.48360487503179161</v>
      </c>
      <c r="DE191" s="1028">
        <f t="shared" si="508"/>
        <v>0</v>
      </c>
      <c r="DF191" s="1009" t="s">
        <v>270</v>
      </c>
      <c r="DG191" s="1009" t="s">
        <v>271</v>
      </c>
      <c r="DH191" s="966">
        <f t="shared" si="447"/>
        <v>45658</v>
      </c>
      <c r="DI191" s="912">
        <f t="shared" si="415"/>
        <v>14</v>
      </c>
      <c r="DK191" s="913">
        <f t="shared" si="375"/>
        <v>45723</v>
      </c>
      <c r="DL191" s="912">
        <f t="shared" si="416"/>
        <v>16</v>
      </c>
      <c r="DM191" s="750" t="s">
        <v>272</v>
      </c>
      <c r="DN191" s="750" t="s">
        <v>273</v>
      </c>
      <c r="DO191" s="751">
        <f t="shared" si="376"/>
        <v>49239.769094146061</v>
      </c>
      <c r="DP191" s="751">
        <f t="shared" si="377"/>
        <v>1083274.9200712133</v>
      </c>
      <c r="DQ191" s="752">
        <f t="shared" si="452"/>
        <v>0.54163746003560664</v>
      </c>
      <c r="DS191" s="751">
        <f t="shared" si="453"/>
        <v>3303883.9511935571</v>
      </c>
      <c r="DT191" s="751">
        <f>'[4]INTERNAL PRICELIST'!N185</f>
        <v>0</v>
      </c>
      <c r="DU191" s="751">
        <f t="shared" si="378"/>
        <v>3303883.9511935571</v>
      </c>
      <c r="DW191" s="951">
        <f t="shared" si="454"/>
        <v>150176.54323607078</v>
      </c>
      <c r="DZ191" s="1010" t="s">
        <v>641</v>
      </c>
      <c r="EA191" s="1011" t="b">
        <f t="shared" si="379"/>
        <v>1</v>
      </c>
      <c r="EB191" s="1011"/>
      <c r="EC191" s="1011"/>
      <c r="ER191" s="1017" t="s">
        <v>264</v>
      </c>
      <c r="ES191" s="1391" t="s">
        <v>264</v>
      </c>
      <c r="ET191" s="1018" t="b">
        <f t="shared" si="417"/>
        <v>1</v>
      </c>
      <c r="EX191" s="1019">
        <v>3096997.0561836315</v>
      </c>
      <c r="EY191" s="1019">
        <f t="shared" si="464"/>
        <v>464549.55842754472</v>
      </c>
      <c r="EZ191" s="1019">
        <f t="shared" si="465"/>
        <v>2632447.4977560868</v>
      </c>
      <c r="FA191" s="1019">
        <f t="shared" si="466"/>
        <v>309699.70561836316</v>
      </c>
      <c r="FB191" s="1019">
        <f t="shared" si="467"/>
        <v>2787297.3505652687</v>
      </c>
      <c r="FC191" s="1019">
        <f t="shared" si="468"/>
        <v>154849.8528091819</v>
      </c>
      <c r="FD191" s="1020"/>
      <c r="FE191" s="1021"/>
      <c r="FF191" s="1022">
        <f t="shared" si="469"/>
        <v>2632447.4977560868</v>
      </c>
      <c r="FG191" s="1022">
        <f t="shared" si="470"/>
        <v>223758.03730926738</v>
      </c>
      <c r="FH191" s="1022">
        <f t="shared" si="471"/>
        <v>111879.01865463369</v>
      </c>
      <c r="FI191" s="1023">
        <f t="shared" si="472"/>
        <v>2787297.3505652687</v>
      </c>
      <c r="FJ191" s="1023">
        <f t="shared" si="473"/>
        <v>236920.27479804785</v>
      </c>
      <c r="FK191" s="1023">
        <f t="shared" si="474"/>
        <v>118460.13739902392</v>
      </c>
      <c r="FL191" s="1019">
        <f t="shared" si="475"/>
        <v>13162.237488780462</v>
      </c>
      <c r="FM191" s="1019">
        <f t="shared" si="476"/>
        <v>6581.1187443902309</v>
      </c>
      <c r="FN191" s="1019" t="str">
        <f t="shared" si="477"/>
        <v>VS</v>
      </c>
      <c r="FO191" s="1019">
        <f t="shared" si="478"/>
        <v>27537.409960060559</v>
      </c>
      <c r="FP191" s="1019">
        <f t="shared" si="479"/>
        <v>-20956.291215670328</v>
      </c>
      <c r="FQ191" s="1021"/>
      <c r="FR191" s="1021"/>
      <c r="FS191" s="1020"/>
      <c r="FT191" s="1055">
        <f t="shared" si="525"/>
        <v>2787297.3505652687</v>
      </c>
      <c r="FU191" s="1056"/>
      <c r="FV191" s="1056"/>
      <c r="GG191" s="956"/>
      <c r="GH191" s="1058"/>
      <c r="GI191" s="1024">
        <f t="shared" si="418"/>
        <v>3758167.9944826714</v>
      </c>
      <c r="GJ191" s="1025">
        <f t="shared" si="419"/>
        <v>0.125</v>
      </c>
      <c r="GK191" s="1024">
        <f t="shared" si="420"/>
        <v>469770.99931033392</v>
      </c>
      <c r="GL191" s="1024">
        <f t="shared" si="421"/>
        <v>30000</v>
      </c>
      <c r="GM191" s="1024">
        <f t="shared" si="422"/>
        <v>439770.99931033392</v>
      </c>
      <c r="GN191" s="1024">
        <f t="shared" si="423"/>
        <v>2</v>
      </c>
      <c r="GO191" s="1024">
        <f t="shared" si="424"/>
        <v>219885.49965516696</v>
      </c>
      <c r="GP191" s="1025">
        <f t="shared" si="425"/>
        <v>0.875</v>
      </c>
      <c r="GQ191" s="1024">
        <f t="shared" si="426"/>
        <v>3288396.9951723376</v>
      </c>
      <c r="GR191" s="1024">
        <f t="shared" si="427"/>
        <v>25494.906902494193</v>
      </c>
      <c r="GS191" s="1024">
        <f t="shared" si="428"/>
        <v>29557.04185047069</v>
      </c>
      <c r="GT191" s="1024">
        <f t="shared" si="429"/>
        <v>38181.077417655317</v>
      </c>
      <c r="GU191" s="1024">
        <f t="shared" si="430"/>
        <v>65114.201780896292</v>
      </c>
      <c r="GW191" s="1024">
        <f t="shared" si="431"/>
        <v>3758167.9944826714</v>
      </c>
      <c r="GX191" s="1025">
        <f t="shared" si="432"/>
        <v>0.125</v>
      </c>
      <c r="GY191" s="1024">
        <f t="shared" si="433"/>
        <v>469770.99931033392</v>
      </c>
      <c r="GZ191" s="1024">
        <f t="shared" si="434"/>
        <v>30000</v>
      </c>
      <c r="HA191" s="1024">
        <f t="shared" si="435"/>
        <v>439770.99931033392</v>
      </c>
      <c r="HB191" s="1026">
        <f t="shared" si="436"/>
        <v>25</v>
      </c>
      <c r="HC191" s="1009">
        <f t="shared" si="437"/>
        <v>17590.839972413356</v>
      </c>
      <c r="HD191" s="1027">
        <f t="shared" si="438"/>
        <v>0.875</v>
      </c>
      <c r="HE191" s="1009">
        <f t="shared" si="439"/>
        <v>3288396.9951723376</v>
      </c>
      <c r="HF191" s="1008">
        <f t="shared" si="440"/>
        <v>25494.906902494193</v>
      </c>
      <c r="HG191" s="1008">
        <f t="shared" si="441"/>
        <v>29557.04185047069</v>
      </c>
      <c r="HH191" s="1008">
        <f t="shared" si="442"/>
        <v>38181.077417655317</v>
      </c>
      <c r="HI191" s="1008">
        <f t="shared" si="443"/>
        <v>65114.201780896292</v>
      </c>
      <c r="HK191" s="1009">
        <f t="shared" si="444"/>
        <v>-202294.65968275361</v>
      </c>
      <c r="HR191" s="956">
        <f t="shared" si="445"/>
        <v>0</v>
      </c>
      <c r="HU191" s="956"/>
      <c r="HW191" s="956"/>
      <c r="HX191" s="956"/>
    </row>
    <row r="192" spans="1:232" ht="14.25" hidden="1" customHeight="1">
      <c r="A192" s="1018">
        <f t="shared" si="480"/>
        <v>186</v>
      </c>
      <c r="B192" s="716"/>
      <c r="C192" s="741">
        <f t="shared" si="522"/>
        <v>12</v>
      </c>
      <c r="D192" s="716" t="s">
        <v>297</v>
      </c>
      <c r="E192" s="743" t="str">
        <f t="shared" si="516"/>
        <v>12th Floor</v>
      </c>
      <c r="F192" s="1048"/>
      <c r="G192" s="745" t="s">
        <v>642</v>
      </c>
      <c r="H192" s="745" t="s">
        <v>331</v>
      </c>
      <c r="I192" s="745" t="s">
        <v>267</v>
      </c>
      <c r="J192" s="1005">
        <v>22</v>
      </c>
      <c r="K192" s="1049"/>
      <c r="L192" s="1006" t="s">
        <v>268</v>
      </c>
      <c r="M192" s="745" t="s">
        <v>79</v>
      </c>
      <c r="N192" s="1050">
        <v>95909.091</v>
      </c>
      <c r="O192" s="934">
        <f t="shared" si="455"/>
        <v>2110000.0019999999</v>
      </c>
      <c r="P192" s="934">
        <f t="shared" si="481"/>
        <v>22400</v>
      </c>
      <c r="Q192" s="934">
        <f t="shared" si="450"/>
        <v>50000</v>
      </c>
      <c r="R192" s="934"/>
      <c r="S192" s="934"/>
      <c r="T192" s="934"/>
      <c r="U192" s="934"/>
      <c r="V192" s="749"/>
      <c r="W192" s="934"/>
      <c r="X192" s="934"/>
      <c r="Y192" s="934">
        <f t="shared" si="523"/>
        <v>160000</v>
      </c>
      <c r="Z192" s="934">
        <f t="shared" si="456"/>
        <v>75000</v>
      </c>
      <c r="AA192" s="934"/>
      <c r="AB192" s="934"/>
      <c r="AC192" s="934"/>
      <c r="AD192" s="934"/>
      <c r="AE192" s="934">
        <f t="shared" si="365"/>
        <v>307400</v>
      </c>
      <c r="AF192" s="1005">
        <f t="shared" si="366"/>
        <v>2417400.0019999999</v>
      </c>
      <c r="AG192" s="1005">
        <f t="shared" si="380"/>
        <v>60435.000050000002</v>
      </c>
      <c r="AH192" s="1005">
        <f t="shared" si="381"/>
        <v>2477835.0020499998</v>
      </c>
      <c r="AI192" s="1005">
        <f t="shared" si="382"/>
        <v>61945.875051249997</v>
      </c>
      <c r="AJ192" s="1005">
        <f t="shared" si="383"/>
        <v>2539780.87710125</v>
      </c>
      <c r="AK192" s="1005">
        <f t="shared" si="384"/>
        <v>126989.04385506251</v>
      </c>
      <c r="AL192" s="1005">
        <f t="shared" si="457"/>
        <v>2666769.9209563127</v>
      </c>
      <c r="AM192" s="934">
        <f t="shared" si="385"/>
        <v>26667.699209563129</v>
      </c>
      <c r="AN192" s="934">
        <f t="shared" si="386"/>
        <v>27537.409960060559</v>
      </c>
      <c r="AO192" s="934"/>
      <c r="AP192" s="934">
        <f t="shared" si="458"/>
        <v>118460.13739902392</v>
      </c>
      <c r="AQ192" s="1005">
        <f t="shared" si="367"/>
        <v>2839435.1675249599</v>
      </c>
      <c r="AR192" s="1005">
        <f t="shared" si="387"/>
        <v>127774.58253862319</v>
      </c>
      <c r="AS192" s="1147">
        <f t="shared" si="388"/>
        <v>2967209.7500635833</v>
      </c>
      <c r="AT192" s="1148">
        <f t="shared" si="459"/>
        <v>2000000</v>
      </c>
      <c r="AU192" s="1148">
        <f t="shared" si="524"/>
        <v>43964.079548344693</v>
      </c>
      <c r="AV192" s="1148">
        <f t="shared" si="460"/>
        <v>967209.75006358325</v>
      </c>
      <c r="AW192" s="1148">
        <f t="shared" si="368"/>
        <v>116065.17000762999</v>
      </c>
      <c r="AX192" s="1148">
        <f t="shared" si="369"/>
        <v>1083274.9200712133</v>
      </c>
      <c r="AY192" s="1147">
        <f t="shared" si="389"/>
        <v>3083274.920071213</v>
      </c>
      <c r="AZ192" s="934">
        <f t="shared" si="390"/>
        <v>38540.936500890166</v>
      </c>
      <c r="BA192" s="716" t="s">
        <v>269</v>
      </c>
      <c r="BB192" s="716">
        <f t="shared" si="370"/>
        <v>3121815.8565721032</v>
      </c>
      <c r="BC192" s="716" t="s">
        <v>269</v>
      </c>
      <c r="BD192" s="716">
        <f t="shared" si="391"/>
        <v>117068.09462145387</v>
      </c>
      <c r="BE192" s="716">
        <f t="shared" si="392"/>
        <v>33600</v>
      </c>
      <c r="BF192" s="716">
        <f t="shared" si="393"/>
        <v>3272483.9511935571</v>
      </c>
      <c r="BG192" s="716"/>
      <c r="BH192" s="716">
        <f t="shared" si="394"/>
        <v>3272483.9511935571</v>
      </c>
      <c r="BI192" s="716"/>
      <c r="BJ192" s="716">
        <f t="shared" si="395"/>
        <v>3272483.9511935571</v>
      </c>
      <c r="BK192" s="716"/>
      <c r="BL192" s="716">
        <f t="shared" si="396"/>
        <v>3272483.9511935571</v>
      </c>
      <c r="BM192" s="716"/>
      <c r="BN192" s="716">
        <f t="shared" si="371"/>
        <v>3272483.9511935571</v>
      </c>
      <c r="BO192" s="716"/>
      <c r="BP192" s="716">
        <f t="shared" si="397"/>
        <v>3272483.9511935571</v>
      </c>
      <c r="BQ192" s="716"/>
      <c r="BR192" s="716">
        <f t="shared" si="398"/>
        <v>3272483.9511935571</v>
      </c>
      <c r="BS192" s="716"/>
      <c r="BT192" s="716">
        <f t="shared" si="399"/>
        <v>3272483.9511935571</v>
      </c>
      <c r="BU192" s="716"/>
      <c r="BV192" s="716">
        <f t="shared" si="372"/>
        <v>3272483.9511935571</v>
      </c>
      <c r="BW192" s="716"/>
      <c r="BX192" s="716">
        <f t="shared" si="489"/>
        <v>31400</v>
      </c>
      <c r="BY192" s="716">
        <f t="shared" si="400"/>
        <v>3303883.9511935571</v>
      </c>
      <c r="BZ192" s="716"/>
      <c r="CA192" s="716">
        <f t="shared" si="401"/>
        <v>3303883.9511935571</v>
      </c>
      <c r="CB192" s="1135">
        <f t="shared" si="402"/>
        <v>3303883.9511935571</v>
      </c>
      <c r="CC192" s="1164">
        <f t="shared" si="446"/>
        <v>3303883.9511935571</v>
      </c>
      <c r="CD192" s="1164"/>
      <c r="CE192" s="1164">
        <f t="shared" si="403"/>
        <v>0</v>
      </c>
      <c r="CF192" s="1164">
        <f t="shared" si="448"/>
        <v>0</v>
      </c>
      <c r="CG192" s="1164">
        <f t="shared" si="449"/>
        <v>0</v>
      </c>
      <c r="CH192" s="1154">
        <f t="shared" si="506"/>
        <v>3303883.9511935571</v>
      </c>
      <c r="CI192" s="935">
        <f t="shared" si="507"/>
        <v>3303883.9511935571</v>
      </c>
      <c r="CJ192" s="935">
        <f t="shared" si="404"/>
        <v>0</v>
      </c>
      <c r="CK192" s="935">
        <f t="shared" si="373"/>
        <v>338648.1049973396</v>
      </c>
      <c r="CL192" s="935">
        <f t="shared" si="374"/>
        <v>115635.93829177451</v>
      </c>
      <c r="CM192" s="1006">
        <f t="shared" si="461"/>
        <v>3758167.9944826714</v>
      </c>
      <c r="CN192" s="1007">
        <f t="shared" si="462"/>
        <v>0.125</v>
      </c>
      <c r="CO192" s="935">
        <f t="shared" si="498"/>
        <v>469770.99931033392</v>
      </c>
      <c r="CP192" s="935">
        <f t="shared" si="490"/>
        <v>30000</v>
      </c>
      <c r="CQ192" s="935">
        <f t="shared" si="499"/>
        <v>439770.99931033392</v>
      </c>
      <c r="CR192" s="745">
        <f t="shared" si="463"/>
        <v>2</v>
      </c>
      <c r="CS192" s="935">
        <f t="shared" si="500"/>
        <v>219885.49965516696</v>
      </c>
      <c r="CT192" s="1007">
        <f t="shared" si="405"/>
        <v>0.875</v>
      </c>
      <c r="CU192" s="935">
        <f t="shared" si="406"/>
        <v>3288396.9951723376</v>
      </c>
      <c r="CV192" s="1008">
        <f t="shared" si="407"/>
        <v>25494.906902494193</v>
      </c>
      <c r="CW192" s="1008">
        <f t="shared" si="408"/>
        <v>29557.04185047069</v>
      </c>
      <c r="CX192" s="1008">
        <f t="shared" si="409"/>
        <v>38181.077417655317</v>
      </c>
      <c r="CY192" s="1008">
        <f t="shared" si="410"/>
        <v>65114.201780896292</v>
      </c>
      <c r="CZ192" s="1119">
        <f t="shared" si="411"/>
        <v>267126.94013467524</v>
      </c>
      <c r="DA192" s="1119">
        <f t="shared" si="412"/>
        <v>105700.82896125688</v>
      </c>
      <c r="DB192" s="1119">
        <f t="shared" si="413"/>
        <v>76346.211697305698</v>
      </c>
      <c r="DC192" s="1119">
        <f t="shared" si="414"/>
        <v>58102.981899704391</v>
      </c>
      <c r="DD192" s="1028">
        <f t="shared" si="451"/>
        <v>0.48360487503179161</v>
      </c>
      <c r="DE192" s="1028">
        <f t="shared" si="508"/>
        <v>0</v>
      </c>
      <c r="DF192" s="1009" t="s">
        <v>270</v>
      </c>
      <c r="DG192" s="1009" t="s">
        <v>271</v>
      </c>
      <c r="DH192" s="966">
        <f t="shared" si="447"/>
        <v>45658</v>
      </c>
      <c r="DI192" s="912">
        <f t="shared" si="415"/>
        <v>14</v>
      </c>
      <c r="DK192" s="913">
        <f t="shared" si="375"/>
        <v>45723</v>
      </c>
      <c r="DL192" s="912">
        <f t="shared" si="416"/>
        <v>16</v>
      </c>
      <c r="DM192" s="750" t="s">
        <v>272</v>
      </c>
      <c r="DN192" s="750" t="s">
        <v>273</v>
      </c>
      <c r="DO192" s="751">
        <f t="shared" si="376"/>
        <v>49239.769094146061</v>
      </c>
      <c r="DP192" s="751">
        <f t="shared" si="377"/>
        <v>1083274.9200712133</v>
      </c>
      <c r="DQ192" s="752">
        <f t="shared" si="452"/>
        <v>0.54163746003560664</v>
      </c>
      <c r="DS192" s="751">
        <f t="shared" si="453"/>
        <v>3303883.9511935571</v>
      </c>
      <c r="DT192" s="751">
        <f>'[4]INTERNAL PRICELIST'!N186</f>
        <v>0</v>
      </c>
      <c r="DU192" s="751">
        <f t="shared" si="378"/>
        <v>3303883.9511935571</v>
      </c>
      <c r="DW192" s="951">
        <f t="shared" si="454"/>
        <v>150176.54323607078</v>
      </c>
      <c r="DZ192" s="1010" t="s">
        <v>642</v>
      </c>
      <c r="EA192" s="1011" t="b">
        <f t="shared" si="379"/>
        <v>1</v>
      </c>
      <c r="EB192" s="1011"/>
      <c r="EC192" s="1011"/>
      <c r="ER192" s="1017" t="s">
        <v>264</v>
      </c>
      <c r="ES192" s="1391" t="s">
        <v>264</v>
      </c>
      <c r="ET192" s="1018" t="b">
        <f t="shared" si="417"/>
        <v>1</v>
      </c>
      <c r="EX192" s="1019">
        <v>3096997.0561836315</v>
      </c>
      <c r="EY192" s="1019">
        <f t="shared" si="464"/>
        <v>464549.55842754472</v>
      </c>
      <c r="EZ192" s="1019">
        <f t="shared" si="465"/>
        <v>2632447.4977560868</v>
      </c>
      <c r="FA192" s="1019">
        <f t="shared" si="466"/>
        <v>309699.70561836316</v>
      </c>
      <c r="FB192" s="1019">
        <f t="shared" si="467"/>
        <v>2787297.3505652687</v>
      </c>
      <c r="FC192" s="1019">
        <f t="shared" si="468"/>
        <v>154849.8528091819</v>
      </c>
      <c r="FD192" s="1020"/>
      <c r="FE192" s="1021"/>
      <c r="FF192" s="1022">
        <f t="shared" si="469"/>
        <v>2632447.4977560868</v>
      </c>
      <c r="FG192" s="1022">
        <f t="shared" si="470"/>
        <v>223758.03730926738</v>
      </c>
      <c r="FH192" s="1022">
        <f t="shared" si="471"/>
        <v>111879.01865463369</v>
      </c>
      <c r="FI192" s="1023">
        <f t="shared" si="472"/>
        <v>2787297.3505652687</v>
      </c>
      <c r="FJ192" s="1023">
        <f t="shared" si="473"/>
        <v>236920.27479804785</v>
      </c>
      <c r="FK192" s="1023">
        <f t="shared" si="474"/>
        <v>118460.13739902392</v>
      </c>
      <c r="FL192" s="1019">
        <f t="shared" si="475"/>
        <v>13162.237488780462</v>
      </c>
      <c r="FM192" s="1019">
        <f t="shared" si="476"/>
        <v>6581.1187443902309</v>
      </c>
      <c r="FN192" s="1019" t="str">
        <f t="shared" si="477"/>
        <v>VS</v>
      </c>
      <c r="FO192" s="1019">
        <f t="shared" si="478"/>
        <v>27537.409960060559</v>
      </c>
      <c r="FP192" s="1019">
        <f t="shared" si="479"/>
        <v>-20956.291215670328</v>
      </c>
      <c r="FQ192" s="1021"/>
      <c r="FR192" s="1021"/>
      <c r="FS192" s="1020"/>
      <c r="FT192" s="503"/>
      <c r="FU192" s="956"/>
      <c r="FV192" s="503"/>
      <c r="GG192" s="956"/>
      <c r="GI192" s="1024">
        <f t="shared" si="418"/>
        <v>3758167.9944826714</v>
      </c>
      <c r="GJ192" s="1025">
        <f t="shared" si="419"/>
        <v>0.125</v>
      </c>
      <c r="GK192" s="1024">
        <f t="shared" si="420"/>
        <v>469770.99931033392</v>
      </c>
      <c r="GL192" s="1024">
        <f t="shared" si="421"/>
        <v>30000</v>
      </c>
      <c r="GM192" s="1024">
        <f t="shared" si="422"/>
        <v>439770.99931033392</v>
      </c>
      <c r="GN192" s="1024">
        <f t="shared" si="423"/>
        <v>2</v>
      </c>
      <c r="GO192" s="1024">
        <f t="shared" si="424"/>
        <v>219885.49965516696</v>
      </c>
      <c r="GP192" s="1025">
        <f t="shared" si="425"/>
        <v>0.875</v>
      </c>
      <c r="GQ192" s="1024">
        <f t="shared" si="426"/>
        <v>3288396.9951723376</v>
      </c>
      <c r="GR192" s="1024">
        <f t="shared" si="427"/>
        <v>25494.906902494193</v>
      </c>
      <c r="GS192" s="1024">
        <f t="shared" si="428"/>
        <v>29557.04185047069</v>
      </c>
      <c r="GT192" s="1024">
        <f t="shared" si="429"/>
        <v>38181.077417655317</v>
      </c>
      <c r="GU192" s="1024">
        <f t="shared" si="430"/>
        <v>65114.201780896292</v>
      </c>
      <c r="GW192" s="1024">
        <f t="shared" si="431"/>
        <v>3758167.9944826714</v>
      </c>
      <c r="GX192" s="1025">
        <f t="shared" si="432"/>
        <v>0.125</v>
      </c>
      <c r="GY192" s="1024">
        <f t="shared" si="433"/>
        <v>469770.99931033392</v>
      </c>
      <c r="GZ192" s="1024">
        <f t="shared" si="434"/>
        <v>30000</v>
      </c>
      <c r="HA192" s="1024">
        <f t="shared" si="435"/>
        <v>439770.99931033392</v>
      </c>
      <c r="HB192" s="1026">
        <f t="shared" si="436"/>
        <v>25</v>
      </c>
      <c r="HC192" s="1009">
        <f t="shared" si="437"/>
        <v>17590.839972413356</v>
      </c>
      <c r="HD192" s="1027">
        <f t="shared" si="438"/>
        <v>0.875</v>
      </c>
      <c r="HE192" s="1009">
        <f t="shared" si="439"/>
        <v>3288396.9951723376</v>
      </c>
      <c r="HF192" s="1008">
        <f t="shared" si="440"/>
        <v>25494.906902494193</v>
      </c>
      <c r="HG192" s="1008">
        <f t="shared" si="441"/>
        <v>29557.04185047069</v>
      </c>
      <c r="HH192" s="1008">
        <f t="shared" si="442"/>
        <v>38181.077417655317</v>
      </c>
      <c r="HI192" s="1008">
        <f t="shared" si="443"/>
        <v>65114.201780896292</v>
      </c>
      <c r="HK192" s="1009">
        <f t="shared" si="444"/>
        <v>-202294.65968275361</v>
      </c>
      <c r="HR192" s="956">
        <f t="shared" si="445"/>
        <v>0</v>
      </c>
      <c r="HU192" s="956"/>
      <c r="HW192" s="956"/>
      <c r="HX192" s="956"/>
    </row>
    <row r="193" spans="1:232" ht="14.25" customHeight="1">
      <c r="A193" s="1018">
        <f t="shared" si="480"/>
        <v>187</v>
      </c>
      <c r="B193" s="716"/>
      <c r="C193" s="741">
        <f t="shared" si="522"/>
        <v>13</v>
      </c>
      <c r="D193" s="716" t="s">
        <v>297</v>
      </c>
      <c r="E193" s="743" t="str">
        <f t="shared" si="516"/>
        <v>12th Floor</v>
      </c>
      <c r="F193" s="1048"/>
      <c r="G193" s="745" t="s">
        <v>643</v>
      </c>
      <c r="H193" s="745" t="s">
        <v>336</v>
      </c>
      <c r="I193" s="745" t="s">
        <v>267</v>
      </c>
      <c r="J193" s="1005">
        <v>22</v>
      </c>
      <c r="K193" s="1049"/>
      <c r="L193" s="1006" t="s">
        <v>268</v>
      </c>
      <c r="M193" s="745" t="s">
        <v>79</v>
      </c>
      <c r="N193" s="1050">
        <v>95909.091</v>
      </c>
      <c r="O193" s="934">
        <f t="shared" si="455"/>
        <v>2110000.0019999999</v>
      </c>
      <c r="P193" s="934">
        <f t="shared" si="481"/>
        <v>22400</v>
      </c>
      <c r="Q193" s="934">
        <f t="shared" si="450"/>
        <v>50000</v>
      </c>
      <c r="R193" s="934"/>
      <c r="S193" s="934"/>
      <c r="T193" s="934"/>
      <c r="U193" s="934"/>
      <c r="V193" s="749"/>
      <c r="W193" s="934"/>
      <c r="X193" s="934"/>
      <c r="Y193" s="934">
        <f t="shared" si="523"/>
        <v>160000</v>
      </c>
      <c r="Z193" s="934">
        <f t="shared" si="456"/>
        <v>75000</v>
      </c>
      <c r="AA193" s="934"/>
      <c r="AB193" s="934"/>
      <c r="AC193" s="934"/>
      <c r="AD193" s="934"/>
      <c r="AE193" s="934">
        <f t="shared" si="365"/>
        <v>307400</v>
      </c>
      <c r="AF193" s="1005">
        <f t="shared" si="366"/>
        <v>2417400.0019999999</v>
      </c>
      <c r="AG193" s="1005">
        <f t="shared" si="380"/>
        <v>60435.000050000002</v>
      </c>
      <c r="AH193" s="1005">
        <f t="shared" si="381"/>
        <v>2477835.0020499998</v>
      </c>
      <c r="AI193" s="1005">
        <f t="shared" si="382"/>
        <v>61945.875051249997</v>
      </c>
      <c r="AJ193" s="1005">
        <f t="shared" si="383"/>
        <v>2539780.87710125</v>
      </c>
      <c r="AK193" s="1005">
        <f t="shared" si="384"/>
        <v>126989.04385506251</v>
      </c>
      <c r="AL193" s="1005">
        <f t="shared" si="457"/>
        <v>2666769.9209563127</v>
      </c>
      <c r="AM193" s="934">
        <f t="shared" si="385"/>
        <v>26667.699209563129</v>
      </c>
      <c r="AN193" s="934">
        <f t="shared" si="386"/>
        <v>27537.409960060559</v>
      </c>
      <c r="AO193" s="934"/>
      <c r="AP193" s="934">
        <f t="shared" si="458"/>
        <v>118460.13739902392</v>
      </c>
      <c r="AQ193" s="1005">
        <f t="shared" si="367"/>
        <v>2839435.1675249599</v>
      </c>
      <c r="AR193" s="1005">
        <f t="shared" si="387"/>
        <v>127774.58253862319</v>
      </c>
      <c r="AS193" s="1147">
        <f t="shared" si="388"/>
        <v>2967209.7500635833</v>
      </c>
      <c r="AT193" s="1148">
        <f t="shared" si="459"/>
        <v>2000000</v>
      </c>
      <c r="AU193" s="1148">
        <f t="shared" si="524"/>
        <v>43964.079548344693</v>
      </c>
      <c r="AV193" s="1148">
        <f t="shared" si="460"/>
        <v>967209.75006358325</v>
      </c>
      <c r="AW193" s="1148">
        <f t="shared" si="368"/>
        <v>116065.17000762999</v>
      </c>
      <c r="AX193" s="1148">
        <f t="shared" si="369"/>
        <v>1083274.9200712133</v>
      </c>
      <c r="AY193" s="1147">
        <f t="shared" si="389"/>
        <v>3083274.920071213</v>
      </c>
      <c r="AZ193" s="934">
        <f t="shared" si="390"/>
        <v>38540.936500890166</v>
      </c>
      <c r="BA193" s="716">
        <v>13774.897733333333</v>
      </c>
      <c r="BB193" s="716">
        <f t="shared" si="370"/>
        <v>3135590.7543054367</v>
      </c>
      <c r="BC193" s="716">
        <v>2710.4000000000005</v>
      </c>
      <c r="BD193" s="716">
        <f t="shared" si="391"/>
        <v>117584.65328645387</v>
      </c>
      <c r="BE193" s="716">
        <f t="shared" si="392"/>
        <v>33600</v>
      </c>
      <c r="BF193" s="716">
        <f t="shared" si="393"/>
        <v>3289485.8075918905</v>
      </c>
      <c r="BG193" s="716">
        <v>5248.8000000000011</v>
      </c>
      <c r="BH193" s="716">
        <f t="shared" si="394"/>
        <v>3294734.6075918903</v>
      </c>
      <c r="BI193" s="716"/>
      <c r="BJ193" s="716">
        <f t="shared" si="395"/>
        <v>3294734.6075918903</v>
      </c>
      <c r="BK193" s="716">
        <v>5092.7923200000005</v>
      </c>
      <c r="BL193" s="716">
        <f t="shared" si="396"/>
        <v>3299827.3999118903</v>
      </c>
      <c r="BM193" s="716"/>
      <c r="BN193" s="716">
        <f t="shared" si="371"/>
        <v>3299827.3999118903</v>
      </c>
      <c r="BO193" s="716"/>
      <c r="BP193" s="716">
        <f t="shared" si="397"/>
        <v>3299827.3999118903</v>
      </c>
      <c r="BQ193" s="716"/>
      <c r="BR193" s="716">
        <f t="shared" si="398"/>
        <v>3299827.3999118903</v>
      </c>
      <c r="BS193" s="716"/>
      <c r="BT193" s="716">
        <f t="shared" si="399"/>
        <v>3299827.3999118903</v>
      </c>
      <c r="BU193" s="716">
        <f>$BU$5/24</f>
        <v>546.00000000000011</v>
      </c>
      <c r="BV193" s="716">
        <f t="shared" si="372"/>
        <v>3300373.3999118903</v>
      </c>
      <c r="BW193" s="716"/>
      <c r="BX193" s="716">
        <f t="shared" si="489"/>
        <v>31400</v>
      </c>
      <c r="BY193" s="716">
        <f t="shared" si="400"/>
        <v>3331773.3999118903</v>
      </c>
      <c r="BZ193" s="716">
        <f>$BZ$5/20</f>
        <v>33654.337039807535</v>
      </c>
      <c r="CA193" s="716">
        <f t="shared" si="401"/>
        <v>3365427.7369516976</v>
      </c>
      <c r="CB193" s="1135">
        <f>CA193</f>
        <v>3365427.7369516976</v>
      </c>
      <c r="CC193" s="1164">
        <f t="shared" si="446"/>
        <v>3365427.7369516976</v>
      </c>
      <c r="CD193" s="1164"/>
      <c r="CE193" s="1164">
        <f t="shared" si="403"/>
        <v>0</v>
      </c>
      <c r="CF193" s="1164">
        <f t="shared" si="448"/>
        <v>0</v>
      </c>
      <c r="CG193" s="1164">
        <f t="shared" si="449"/>
        <v>0</v>
      </c>
      <c r="CH193" s="1154">
        <f t="shared" si="506"/>
        <v>3365427.7369516976</v>
      </c>
      <c r="CI193" s="935">
        <f t="shared" si="507"/>
        <v>3365427.7369516976</v>
      </c>
      <c r="CJ193" s="935">
        <f t="shared" si="404"/>
        <v>0</v>
      </c>
      <c r="CK193" s="935">
        <f t="shared" si="373"/>
        <v>344956.343037549</v>
      </c>
      <c r="CL193" s="935">
        <f t="shared" si="374"/>
        <v>117789.97079330943</v>
      </c>
      <c r="CM193" s="1006">
        <f t="shared" si="461"/>
        <v>3828174.0507825562</v>
      </c>
      <c r="CN193" s="1007">
        <f t="shared" si="462"/>
        <v>0.125</v>
      </c>
      <c r="CO193" s="935">
        <f t="shared" si="498"/>
        <v>478521.75634781952</v>
      </c>
      <c r="CP193" s="935">
        <f t="shared" si="490"/>
        <v>30000</v>
      </c>
      <c r="CQ193" s="935">
        <f t="shared" si="499"/>
        <v>448521.75634781952</v>
      </c>
      <c r="CR193" s="745">
        <v>1</v>
      </c>
      <c r="CS193" s="935">
        <f t="shared" si="500"/>
        <v>448521.75634781952</v>
      </c>
      <c r="CT193" s="1007">
        <f t="shared" si="405"/>
        <v>0.875</v>
      </c>
      <c r="CU193" s="935">
        <f t="shared" si="406"/>
        <v>3349652.2944347365</v>
      </c>
      <c r="CV193" s="1008">
        <f t="shared" si="407"/>
        <v>25969.818585685724</v>
      </c>
      <c r="CW193" s="1008">
        <f t="shared" si="408"/>
        <v>30107.621797636391</v>
      </c>
      <c r="CX193" s="1008">
        <f t="shared" si="409"/>
        <v>38892.303381799196</v>
      </c>
      <c r="CY193" s="1008">
        <f t="shared" si="410"/>
        <v>66327.130123239578</v>
      </c>
      <c r="CZ193" s="1119">
        <f t="shared" si="411"/>
        <v>272102.90279460372</v>
      </c>
      <c r="DA193" s="1119">
        <f t="shared" si="412"/>
        <v>107669.79314648479</v>
      </c>
      <c r="DB193" s="1119">
        <f t="shared" si="413"/>
        <v>77768.366641472909</v>
      </c>
      <c r="DC193" s="1119">
        <f t="shared" si="414"/>
        <v>59185.307284847753</v>
      </c>
      <c r="DD193" s="1028">
        <f t="shared" si="451"/>
        <v>0.48360487503179161</v>
      </c>
      <c r="DE193" s="1028">
        <f t="shared" si="508"/>
        <v>0</v>
      </c>
      <c r="DF193" s="1009" t="s">
        <v>270</v>
      </c>
      <c r="DG193" s="1009" t="s">
        <v>271</v>
      </c>
      <c r="DH193" s="966">
        <f t="shared" si="447"/>
        <v>45658</v>
      </c>
      <c r="DI193" s="912">
        <f t="shared" si="415"/>
        <v>14</v>
      </c>
      <c r="DK193" s="913">
        <f t="shared" si="375"/>
        <v>45723</v>
      </c>
      <c r="DL193" s="912">
        <f t="shared" si="416"/>
        <v>16</v>
      </c>
      <c r="DM193" s="750" t="s">
        <v>272</v>
      </c>
      <c r="DN193" s="750" t="s">
        <v>273</v>
      </c>
      <c r="DO193" s="751">
        <f t="shared" si="376"/>
        <v>49239.769094146061</v>
      </c>
      <c r="DP193" s="751">
        <f t="shared" si="377"/>
        <v>1083274.9200712133</v>
      </c>
      <c r="DQ193" s="752">
        <f t="shared" si="452"/>
        <v>0.54163746003560664</v>
      </c>
      <c r="DS193" s="751">
        <f t="shared" si="453"/>
        <v>3365427.7369516976</v>
      </c>
      <c r="DT193" s="751">
        <f>'[4]INTERNAL PRICELIST'!N187</f>
        <v>0</v>
      </c>
      <c r="DU193" s="751">
        <f t="shared" si="378"/>
        <v>3365427.7369516976</v>
      </c>
      <c r="DW193" s="951">
        <f t="shared" si="454"/>
        <v>152973.98804325899</v>
      </c>
      <c r="DZ193" s="1010" t="s">
        <v>643</v>
      </c>
      <c r="EA193" s="1011" t="b">
        <f t="shared" si="379"/>
        <v>1</v>
      </c>
      <c r="EB193" s="1011"/>
      <c r="EC193" s="1011"/>
      <c r="ER193" s="1017" t="s">
        <v>243</v>
      </c>
      <c r="ES193" s="1391" t="s">
        <v>243</v>
      </c>
      <c r="ET193" s="1018" t="b">
        <f t="shared" si="417"/>
        <v>1</v>
      </c>
      <c r="EX193" s="1019">
        <v>3096997.0561836315</v>
      </c>
      <c r="EY193" s="1019">
        <f t="shared" si="464"/>
        <v>464549.55842754472</v>
      </c>
      <c r="EZ193" s="1019">
        <f t="shared" si="465"/>
        <v>2632447.4977560868</v>
      </c>
      <c r="FA193" s="1019">
        <f t="shared" si="466"/>
        <v>309699.70561836316</v>
      </c>
      <c r="FB193" s="1019">
        <f t="shared" si="467"/>
        <v>2787297.3505652687</v>
      </c>
      <c r="FC193" s="1019">
        <f t="shared" si="468"/>
        <v>154849.8528091819</v>
      </c>
      <c r="FD193" s="1020"/>
      <c r="FE193" s="1021"/>
      <c r="FF193" s="1022">
        <f t="shared" si="469"/>
        <v>2632447.4977560868</v>
      </c>
      <c r="FG193" s="1022">
        <f t="shared" si="470"/>
        <v>223758.03730926738</v>
      </c>
      <c r="FH193" s="1022">
        <f t="shared" si="471"/>
        <v>111879.01865463369</v>
      </c>
      <c r="FI193" s="1023">
        <f t="shared" si="472"/>
        <v>2787297.3505652687</v>
      </c>
      <c r="FJ193" s="1023">
        <f t="shared" si="473"/>
        <v>236920.27479804785</v>
      </c>
      <c r="FK193" s="1023">
        <f t="shared" si="474"/>
        <v>118460.13739902392</v>
      </c>
      <c r="FL193" s="1019">
        <f t="shared" si="475"/>
        <v>13162.237488780462</v>
      </c>
      <c r="FM193" s="1019">
        <f t="shared" si="476"/>
        <v>6581.1187443902309</v>
      </c>
      <c r="FN193" s="1019" t="str">
        <f t="shared" si="477"/>
        <v>VS</v>
      </c>
      <c r="FO193" s="1019">
        <f t="shared" si="478"/>
        <v>27537.409960060559</v>
      </c>
      <c r="FP193" s="1019">
        <f t="shared" si="479"/>
        <v>-20956.291215670328</v>
      </c>
      <c r="FQ193" s="1021"/>
      <c r="FR193" s="1021"/>
      <c r="FS193" s="1020"/>
      <c r="FT193" s="1055">
        <f t="shared" ref="FT193:FT198" si="526">FB193</f>
        <v>2787297.3505652687</v>
      </c>
      <c r="FU193" s="1056"/>
      <c r="FV193" s="1056"/>
      <c r="GG193" s="956"/>
      <c r="GI193" s="1024">
        <f t="shared" si="418"/>
        <v>3828174.0507825562</v>
      </c>
      <c r="GJ193" s="1025">
        <f t="shared" si="419"/>
        <v>0.125</v>
      </c>
      <c r="GK193" s="1024">
        <f t="shared" si="420"/>
        <v>478521.75634781952</v>
      </c>
      <c r="GL193" s="1024">
        <f t="shared" si="421"/>
        <v>30000</v>
      </c>
      <c r="GM193" s="1024">
        <f t="shared" si="422"/>
        <v>448521.75634781952</v>
      </c>
      <c r="GN193" s="1024">
        <f t="shared" si="423"/>
        <v>1</v>
      </c>
      <c r="GO193" s="1024">
        <f t="shared" si="424"/>
        <v>448521.75634781952</v>
      </c>
      <c r="GP193" s="1025">
        <f t="shared" si="425"/>
        <v>0.875</v>
      </c>
      <c r="GQ193" s="1024">
        <f t="shared" si="426"/>
        <v>3349652.2944347365</v>
      </c>
      <c r="GR193" s="1024">
        <f t="shared" si="427"/>
        <v>25969.818585685724</v>
      </c>
      <c r="GS193" s="1024">
        <f t="shared" si="428"/>
        <v>30107.621797636391</v>
      </c>
      <c r="GT193" s="1024">
        <f t="shared" si="429"/>
        <v>38892.303381799196</v>
      </c>
      <c r="GU193" s="1024">
        <f t="shared" si="430"/>
        <v>66327.130123239578</v>
      </c>
      <c r="GW193" s="1024">
        <f t="shared" si="431"/>
        <v>3828174.0507825562</v>
      </c>
      <c r="GX193" s="1025">
        <f t="shared" si="432"/>
        <v>0.125</v>
      </c>
      <c r="GY193" s="1024">
        <f t="shared" si="433"/>
        <v>478521.75634781952</v>
      </c>
      <c r="GZ193" s="1024">
        <f t="shared" si="434"/>
        <v>30000</v>
      </c>
      <c r="HA193" s="1024">
        <f t="shared" si="435"/>
        <v>448521.75634781952</v>
      </c>
      <c r="HB193" s="1026">
        <f t="shared" si="436"/>
        <v>25</v>
      </c>
      <c r="HC193" s="1009">
        <f t="shared" si="437"/>
        <v>17940.870253912781</v>
      </c>
      <c r="HD193" s="1027">
        <f t="shared" si="438"/>
        <v>0.875</v>
      </c>
      <c r="HE193" s="1009">
        <f t="shared" si="439"/>
        <v>3349652.2944347365</v>
      </c>
      <c r="HF193" s="1008">
        <f t="shared" si="440"/>
        <v>25969.818585685724</v>
      </c>
      <c r="HG193" s="1008">
        <f t="shared" si="441"/>
        <v>30107.621797636391</v>
      </c>
      <c r="HH193" s="1008">
        <f t="shared" si="442"/>
        <v>38892.303381799196</v>
      </c>
      <c r="HI193" s="1008">
        <f t="shared" si="443"/>
        <v>66327.130123239578</v>
      </c>
      <c r="HK193" s="1009">
        <f t="shared" si="444"/>
        <v>-430580.88609390677</v>
      </c>
      <c r="HR193" s="956">
        <f t="shared" si="445"/>
        <v>0</v>
      </c>
      <c r="HU193" s="956"/>
      <c r="HW193" s="956"/>
      <c r="HX193" s="956"/>
    </row>
    <row r="194" spans="1:232" ht="14.25" hidden="1" customHeight="1">
      <c r="A194" s="1018">
        <f t="shared" si="480"/>
        <v>188</v>
      </c>
      <c r="B194" s="716"/>
      <c r="C194" s="741">
        <f t="shared" si="522"/>
        <v>14</v>
      </c>
      <c r="D194" s="716" t="s">
        <v>297</v>
      </c>
      <c r="E194" s="743" t="str">
        <f t="shared" si="516"/>
        <v>12th Floor</v>
      </c>
      <c r="F194" s="1048"/>
      <c r="G194" s="745" t="s">
        <v>644</v>
      </c>
      <c r="H194" s="745" t="s">
        <v>338</v>
      </c>
      <c r="I194" s="745" t="s">
        <v>267</v>
      </c>
      <c r="J194" s="1005">
        <v>22</v>
      </c>
      <c r="K194" s="1049"/>
      <c r="L194" s="1006" t="s">
        <v>268</v>
      </c>
      <c r="M194" s="745" t="s">
        <v>79</v>
      </c>
      <c r="N194" s="1050">
        <v>95909.091</v>
      </c>
      <c r="O194" s="934">
        <f t="shared" si="455"/>
        <v>2110000.0019999999</v>
      </c>
      <c r="P194" s="934">
        <f t="shared" si="481"/>
        <v>22400</v>
      </c>
      <c r="Q194" s="934">
        <f t="shared" si="450"/>
        <v>50000</v>
      </c>
      <c r="R194" s="934"/>
      <c r="S194" s="934"/>
      <c r="T194" s="934"/>
      <c r="U194" s="934"/>
      <c r="V194" s="749"/>
      <c r="W194" s="934"/>
      <c r="X194" s="934"/>
      <c r="Y194" s="934">
        <f t="shared" si="523"/>
        <v>160000</v>
      </c>
      <c r="Z194" s="934">
        <f t="shared" si="456"/>
        <v>75000</v>
      </c>
      <c r="AA194" s="934"/>
      <c r="AB194" s="934"/>
      <c r="AC194" s="934"/>
      <c r="AD194" s="934"/>
      <c r="AE194" s="934">
        <f t="shared" si="365"/>
        <v>307400</v>
      </c>
      <c r="AF194" s="1005">
        <f t="shared" si="366"/>
        <v>2417400.0019999999</v>
      </c>
      <c r="AG194" s="1005">
        <f t="shared" si="380"/>
        <v>60435.000050000002</v>
      </c>
      <c r="AH194" s="1005">
        <f t="shared" si="381"/>
        <v>2477835.0020499998</v>
      </c>
      <c r="AI194" s="1005">
        <f t="shared" si="382"/>
        <v>61945.875051249997</v>
      </c>
      <c r="AJ194" s="1005">
        <f t="shared" si="383"/>
        <v>2539780.87710125</v>
      </c>
      <c r="AK194" s="1005">
        <f t="shared" si="384"/>
        <v>126989.04385506251</v>
      </c>
      <c r="AL194" s="1005">
        <f t="shared" si="457"/>
        <v>2666769.9209563127</v>
      </c>
      <c r="AM194" s="934">
        <f t="shared" si="385"/>
        <v>26667.699209563129</v>
      </c>
      <c r="AN194" s="934">
        <f t="shared" si="386"/>
        <v>27537.409960060559</v>
      </c>
      <c r="AO194" s="934"/>
      <c r="AP194" s="934">
        <f t="shared" si="458"/>
        <v>118460.13739902392</v>
      </c>
      <c r="AQ194" s="1005">
        <f t="shared" si="367"/>
        <v>2839435.1675249599</v>
      </c>
      <c r="AR194" s="1005">
        <f t="shared" si="387"/>
        <v>127774.58253862319</v>
      </c>
      <c r="AS194" s="1147">
        <f t="shared" si="388"/>
        <v>2967209.7500635833</v>
      </c>
      <c r="AT194" s="1148">
        <f t="shared" si="459"/>
        <v>2000000</v>
      </c>
      <c r="AU194" s="1148">
        <f t="shared" si="524"/>
        <v>43964.079548344693</v>
      </c>
      <c r="AV194" s="1148">
        <f t="shared" si="460"/>
        <v>967209.75006358325</v>
      </c>
      <c r="AW194" s="1148">
        <f t="shared" si="368"/>
        <v>116065.17000762999</v>
      </c>
      <c r="AX194" s="1148">
        <f t="shared" si="369"/>
        <v>1083274.9200712133</v>
      </c>
      <c r="AY194" s="1147">
        <f t="shared" si="389"/>
        <v>3083274.920071213</v>
      </c>
      <c r="AZ194" s="934">
        <f t="shared" si="390"/>
        <v>38540.936500890166</v>
      </c>
      <c r="BA194" s="716" t="s">
        <v>269</v>
      </c>
      <c r="BB194" s="716">
        <f t="shared" si="370"/>
        <v>3121815.8565721032</v>
      </c>
      <c r="BC194" s="716" t="s">
        <v>269</v>
      </c>
      <c r="BD194" s="716">
        <f t="shared" si="391"/>
        <v>117068.09462145387</v>
      </c>
      <c r="BE194" s="716">
        <f t="shared" si="392"/>
        <v>33600</v>
      </c>
      <c r="BF194" s="716">
        <f t="shared" si="393"/>
        <v>3272483.9511935571</v>
      </c>
      <c r="BG194" s="716"/>
      <c r="BH194" s="716">
        <f t="shared" si="394"/>
        <v>3272483.9511935571</v>
      </c>
      <c r="BI194" s="716"/>
      <c r="BJ194" s="716">
        <f t="shared" si="395"/>
        <v>3272483.9511935571</v>
      </c>
      <c r="BK194" s="716"/>
      <c r="BL194" s="716">
        <f t="shared" si="396"/>
        <v>3272483.9511935571</v>
      </c>
      <c r="BM194" s="716"/>
      <c r="BN194" s="716">
        <f t="shared" si="371"/>
        <v>3272483.9511935571</v>
      </c>
      <c r="BO194" s="716"/>
      <c r="BP194" s="716">
        <f t="shared" si="397"/>
        <v>3272483.9511935571</v>
      </c>
      <c r="BQ194" s="716"/>
      <c r="BR194" s="716">
        <f t="shared" si="398"/>
        <v>3272483.9511935571</v>
      </c>
      <c r="BS194" s="716"/>
      <c r="BT194" s="716">
        <f t="shared" si="399"/>
        <v>3272483.9511935571</v>
      </c>
      <c r="BU194" s="716"/>
      <c r="BV194" s="716">
        <f t="shared" si="372"/>
        <v>3272483.9511935571</v>
      </c>
      <c r="BW194" s="716"/>
      <c r="BX194" s="716">
        <f t="shared" si="489"/>
        <v>31400</v>
      </c>
      <c r="BY194" s="716">
        <f t="shared" si="400"/>
        <v>3303883.9511935571</v>
      </c>
      <c r="BZ194" s="716"/>
      <c r="CA194" s="716">
        <f t="shared" si="401"/>
        <v>3303883.9511935571</v>
      </c>
      <c r="CB194" s="1135">
        <f t="shared" si="402"/>
        <v>3303883.9511935571</v>
      </c>
      <c r="CC194" s="1164">
        <f t="shared" si="446"/>
        <v>3303883.9511935571</v>
      </c>
      <c r="CD194" s="1164"/>
      <c r="CE194" s="1164">
        <f t="shared" si="403"/>
        <v>0</v>
      </c>
      <c r="CF194" s="1164">
        <f t="shared" si="448"/>
        <v>0</v>
      </c>
      <c r="CG194" s="1164">
        <f t="shared" si="449"/>
        <v>0</v>
      </c>
      <c r="CH194" s="1154">
        <f t="shared" si="506"/>
        <v>3303883.9511935571</v>
      </c>
      <c r="CI194" s="935">
        <f t="shared" si="507"/>
        <v>3303883.9511935571</v>
      </c>
      <c r="CJ194" s="935">
        <f t="shared" si="404"/>
        <v>0</v>
      </c>
      <c r="CK194" s="935">
        <f t="shared" si="373"/>
        <v>338648.1049973396</v>
      </c>
      <c r="CL194" s="935">
        <f t="shared" si="374"/>
        <v>115635.93829177451</v>
      </c>
      <c r="CM194" s="1006">
        <f t="shared" si="461"/>
        <v>3758167.9944826714</v>
      </c>
      <c r="CN194" s="1007">
        <f t="shared" si="462"/>
        <v>0.125</v>
      </c>
      <c r="CO194" s="935">
        <f t="shared" si="498"/>
        <v>469770.99931033392</v>
      </c>
      <c r="CP194" s="935">
        <f t="shared" si="490"/>
        <v>30000</v>
      </c>
      <c r="CQ194" s="935">
        <f t="shared" si="499"/>
        <v>439770.99931033392</v>
      </c>
      <c r="CR194" s="745">
        <f t="shared" si="463"/>
        <v>2</v>
      </c>
      <c r="CS194" s="935">
        <f t="shared" si="500"/>
        <v>219885.49965516696</v>
      </c>
      <c r="CT194" s="1007">
        <f t="shared" si="405"/>
        <v>0.875</v>
      </c>
      <c r="CU194" s="935">
        <f t="shared" si="406"/>
        <v>3288396.9951723376</v>
      </c>
      <c r="CV194" s="1008">
        <f t="shared" si="407"/>
        <v>25494.906902494193</v>
      </c>
      <c r="CW194" s="1008">
        <f t="shared" si="408"/>
        <v>29557.04185047069</v>
      </c>
      <c r="CX194" s="1008">
        <f t="shared" si="409"/>
        <v>38181.077417655317</v>
      </c>
      <c r="CY194" s="1008">
        <f t="shared" si="410"/>
        <v>65114.201780896292</v>
      </c>
      <c r="CZ194" s="1119">
        <f t="shared" si="411"/>
        <v>267126.94013467524</v>
      </c>
      <c r="DA194" s="1119">
        <f t="shared" si="412"/>
        <v>105700.82896125688</v>
      </c>
      <c r="DB194" s="1119">
        <f t="shared" si="413"/>
        <v>76346.211697305698</v>
      </c>
      <c r="DC194" s="1119">
        <f t="shared" si="414"/>
        <v>58102.981899704391</v>
      </c>
      <c r="DD194" s="1028">
        <f t="shared" si="451"/>
        <v>0.48360487503179161</v>
      </c>
      <c r="DE194" s="1028">
        <f t="shared" si="508"/>
        <v>0</v>
      </c>
      <c r="DF194" s="1009" t="s">
        <v>270</v>
      </c>
      <c r="DG194" s="1009" t="s">
        <v>271</v>
      </c>
      <c r="DH194" s="966">
        <f t="shared" si="447"/>
        <v>45658</v>
      </c>
      <c r="DI194" s="912">
        <f t="shared" si="415"/>
        <v>14</v>
      </c>
      <c r="DK194" s="913">
        <f t="shared" si="375"/>
        <v>45723</v>
      </c>
      <c r="DL194" s="912">
        <f t="shared" si="416"/>
        <v>16</v>
      </c>
      <c r="DM194" s="750" t="s">
        <v>272</v>
      </c>
      <c r="DN194" s="750" t="s">
        <v>273</v>
      </c>
      <c r="DO194" s="751">
        <f t="shared" si="376"/>
        <v>49239.769094146061</v>
      </c>
      <c r="DP194" s="751">
        <f t="shared" si="377"/>
        <v>1083274.9200712133</v>
      </c>
      <c r="DQ194" s="752">
        <f t="shared" si="452"/>
        <v>0.54163746003560664</v>
      </c>
      <c r="DS194" s="751">
        <f t="shared" si="453"/>
        <v>3303883.9511935571</v>
      </c>
      <c r="DT194" s="751">
        <f>'[4]INTERNAL PRICELIST'!N188</f>
        <v>0</v>
      </c>
      <c r="DU194" s="751">
        <f t="shared" si="378"/>
        <v>3303883.9511935571</v>
      </c>
      <c r="DW194" s="951">
        <f t="shared" si="454"/>
        <v>150176.54323607078</v>
      </c>
      <c r="DZ194" s="1010" t="s">
        <v>644</v>
      </c>
      <c r="EA194" s="1011" t="b">
        <f t="shared" si="379"/>
        <v>1</v>
      </c>
      <c r="EB194" s="1011"/>
      <c r="EC194" s="1011"/>
      <c r="ER194" s="1017" t="s">
        <v>264</v>
      </c>
      <c r="ES194" s="1391" t="s">
        <v>264</v>
      </c>
      <c r="ET194" s="1018" t="b">
        <f t="shared" si="417"/>
        <v>1</v>
      </c>
      <c r="EX194" s="1019">
        <v>3096997.0561836315</v>
      </c>
      <c r="EY194" s="1019">
        <f t="shared" si="464"/>
        <v>464549.55842754472</v>
      </c>
      <c r="EZ194" s="1019">
        <f t="shared" si="465"/>
        <v>2632447.4977560868</v>
      </c>
      <c r="FA194" s="1019">
        <f t="shared" si="466"/>
        <v>309699.70561836316</v>
      </c>
      <c r="FB194" s="1019">
        <f t="shared" si="467"/>
        <v>2787297.3505652687</v>
      </c>
      <c r="FC194" s="1019">
        <f t="shared" si="468"/>
        <v>154849.8528091819</v>
      </c>
      <c r="FD194" s="1020"/>
      <c r="FE194" s="1021"/>
      <c r="FF194" s="1022">
        <f t="shared" si="469"/>
        <v>2632447.4977560868</v>
      </c>
      <c r="FG194" s="1022">
        <f t="shared" si="470"/>
        <v>223758.03730926738</v>
      </c>
      <c r="FH194" s="1022">
        <f t="shared" si="471"/>
        <v>111879.01865463369</v>
      </c>
      <c r="FI194" s="1023">
        <f t="shared" si="472"/>
        <v>2787297.3505652687</v>
      </c>
      <c r="FJ194" s="1023">
        <f t="shared" si="473"/>
        <v>236920.27479804785</v>
      </c>
      <c r="FK194" s="1023">
        <f t="shared" si="474"/>
        <v>118460.13739902392</v>
      </c>
      <c r="FL194" s="1019">
        <f t="shared" si="475"/>
        <v>13162.237488780462</v>
      </c>
      <c r="FM194" s="1019">
        <f t="shared" si="476"/>
        <v>6581.1187443902309</v>
      </c>
      <c r="FN194" s="1019" t="str">
        <f t="shared" si="477"/>
        <v>VS</v>
      </c>
      <c r="FO194" s="1019">
        <f t="shared" si="478"/>
        <v>27537.409960060559</v>
      </c>
      <c r="FP194" s="1019">
        <f t="shared" si="479"/>
        <v>-20956.291215670328</v>
      </c>
      <c r="FQ194" s="1021"/>
      <c r="FR194" s="1021"/>
      <c r="FS194" s="1020"/>
      <c r="FT194" s="1055">
        <f t="shared" si="526"/>
        <v>2787297.3505652687</v>
      </c>
      <c r="FU194" s="1056"/>
      <c r="FV194" s="1056"/>
      <c r="GG194" s="956"/>
      <c r="GH194" s="1058"/>
      <c r="GI194" s="1024">
        <f t="shared" si="418"/>
        <v>3758167.9944826714</v>
      </c>
      <c r="GJ194" s="1025">
        <f t="shared" si="419"/>
        <v>0.125</v>
      </c>
      <c r="GK194" s="1024">
        <f t="shared" si="420"/>
        <v>469770.99931033392</v>
      </c>
      <c r="GL194" s="1024">
        <f t="shared" si="421"/>
        <v>30000</v>
      </c>
      <c r="GM194" s="1024">
        <f t="shared" si="422"/>
        <v>439770.99931033392</v>
      </c>
      <c r="GN194" s="1024">
        <f t="shared" si="423"/>
        <v>2</v>
      </c>
      <c r="GO194" s="1024">
        <f t="shared" si="424"/>
        <v>219885.49965516696</v>
      </c>
      <c r="GP194" s="1025">
        <f t="shared" si="425"/>
        <v>0.875</v>
      </c>
      <c r="GQ194" s="1024">
        <f t="shared" si="426"/>
        <v>3288396.9951723376</v>
      </c>
      <c r="GR194" s="1024">
        <f t="shared" si="427"/>
        <v>25494.906902494193</v>
      </c>
      <c r="GS194" s="1024">
        <f t="shared" si="428"/>
        <v>29557.04185047069</v>
      </c>
      <c r="GT194" s="1024">
        <f t="shared" si="429"/>
        <v>38181.077417655317</v>
      </c>
      <c r="GU194" s="1024">
        <f t="shared" si="430"/>
        <v>65114.201780896292</v>
      </c>
      <c r="GW194" s="1024">
        <f t="shared" si="431"/>
        <v>3758167.9944826714</v>
      </c>
      <c r="GX194" s="1025">
        <f t="shared" si="432"/>
        <v>0.125</v>
      </c>
      <c r="GY194" s="1024">
        <f t="shared" si="433"/>
        <v>469770.99931033392</v>
      </c>
      <c r="GZ194" s="1024">
        <f t="shared" si="434"/>
        <v>30000</v>
      </c>
      <c r="HA194" s="1024">
        <f t="shared" si="435"/>
        <v>439770.99931033392</v>
      </c>
      <c r="HB194" s="1026">
        <f t="shared" si="436"/>
        <v>25</v>
      </c>
      <c r="HC194" s="1009">
        <f t="shared" si="437"/>
        <v>17590.839972413356</v>
      </c>
      <c r="HD194" s="1027">
        <f t="shared" si="438"/>
        <v>0.875</v>
      </c>
      <c r="HE194" s="1009">
        <f t="shared" si="439"/>
        <v>3288396.9951723376</v>
      </c>
      <c r="HF194" s="1008">
        <f t="shared" si="440"/>
        <v>25494.906902494193</v>
      </c>
      <c r="HG194" s="1008">
        <f t="shared" si="441"/>
        <v>29557.04185047069</v>
      </c>
      <c r="HH194" s="1008">
        <f t="shared" si="442"/>
        <v>38181.077417655317</v>
      </c>
      <c r="HI194" s="1008">
        <f t="shared" si="443"/>
        <v>65114.201780896292</v>
      </c>
      <c r="HK194" s="1009">
        <f t="shared" si="444"/>
        <v>-202294.65968275361</v>
      </c>
      <c r="HR194" s="956">
        <f t="shared" si="445"/>
        <v>0</v>
      </c>
      <c r="HU194" s="956"/>
      <c r="HW194" s="956"/>
      <c r="HX194" s="956"/>
    </row>
    <row r="195" spans="1:232" ht="14.25" hidden="1" customHeight="1">
      <c r="A195" s="1018">
        <f t="shared" si="480"/>
        <v>189</v>
      </c>
      <c r="B195" s="716"/>
      <c r="C195" s="741">
        <f t="shared" si="522"/>
        <v>15</v>
      </c>
      <c r="D195" s="716" t="s">
        <v>297</v>
      </c>
      <c r="E195" s="743" t="str">
        <f t="shared" si="516"/>
        <v>12th Floor</v>
      </c>
      <c r="F195" s="1048"/>
      <c r="G195" s="745" t="s">
        <v>645</v>
      </c>
      <c r="H195" s="745" t="s">
        <v>342</v>
      </c>
      <c r="I195" s="745" t="s">
        <v>267</v>
      </c>
      <c r="J195" s="1005">
        <v>22</v>
      </c>
      <c r="K195" s="1049"/>
      <c r="L195" s="1006" t="s">
        <v>268</v>
      </c>
      <c r="M195" s="745" t="s">
        <v>79</v>
      </c>
      <c r="N195" s="1050">
        <v>95909.091</v>
      </c>
      <c r="O195" s="934">
        <f t="shared" si="455"/>
        <v>2110000.0019999999</v>
      </c>
      <c r="P195" s="934">
        <f t="shared" si="481"/>
        <v>22400</v>
      </c>
      <c r="Q195" s="934">
        <f t="shared" si="450"/>
        <v>50000</v>
      </c>
      <c r="R195" s="934"/>
      <c r="S195" s="934"/>
      <c r="T195" s="934"/>
      <c r="U195" s="934"/>
      <c r="V195" s="749"/>
      <c r="W195" s="934"/>
      <c r="X195" s="934"/>
      <c r="Y195" s="934">
        <f t="shared" si="523"/>
        <v>160000</v>
      </c>
      <c r="Z195" s="934">
        <f t="shared" si="456"/>
        <v>75000</v>
      </c>
      <c r="AA195" s="934"/>
      <c r="AB195" s="934"/>
      <c r="AC195" s="934"/>
      <c r="AD195" s="934"/>
      <c r="AE195" s="934">
        <f t="shared" si="365"/>
        <v>307400</v>
      </c>
      <c r="AF195" s="1005">
        <f t="shared" si="366"/>
        <v>2417400.0019999999</v>
      </c>
      <c r="AG195" s="1005">
        <f t="shared" si="380"/>
        <v>60435.000050000002</v>
      </c>
      <c r="AH195" s="1005">
        <f t="shared" si="381"/>
        <v>2477835.0020499998</v>
      </c>
      <c r="AI195" s="1005">
        <f t="shared" si="382"/>
        <v>61945.875051249997</v>
      </c>
      <c r="AJ195" s="1005">
        <f t="shared" si="383"/>
        <v>2539780.87710125</v>
      </c>
      <c r="AK195" s="1005">
        <f t="shared" si="384"/>
        <v>126989.04385506251</v>
      </c>
      <c r="AL195" s="1005">
        <f t="shared" si="457"/>
        <v>2666769.9209563127</v>
      </c>
      <c r="AM195" s="934">
        <f t="shared" si="385"/>
        <v>26667.699209563129</v>
      </c>
      <c r="AN195" s="934">
        <f t="shared" si="386"/>
        <v>27537.409960060559</v>
      </c>
      <c r="AO195" s="934"/>
      <c r="AP195" s="934">
        <f t="shared" si="458"/>
        <v>118460.13739902392</v>
      </c>
      <c r="AQ195" s="1005">
        <f t="shared" si="367"/>
        <v>2839435.1675249599</v>
      </c>
      <c r="AR195" s="1005">
        <f t="shared" si="387"/>
        <v>127774.58253862319</v>
      </c>
      <c r="AS195" s="1147">
        <f t="shared" si="388"/>
        <v>2967209.7500635833</v>
      </c>
      <c r="AT195" s="1148">
        <f t="shared" si="459"/>
        <v>2000000</v>
      </c>
      <c r="AU195" s="1148">
        <f t="shared" si="524"/>
        <v>43964.079548344693</v>
      </c>
      <c r="AV195" s="1148">
        <f t="shared" si="460"/>
        <v>967209.75006358325</v>
      </c>
      <c r="AW195" s="1148">
        <f t="shared" si="368"/>
        <v>116065.17000762999</v>
      </c>
      <c r="AX195" s="1148">
        <f t="shared" si="369"/>
        <v>1083274.9200712133</v>
      </c>
      <c r="AY195" s="1147">
        <f t="shared" si="389"/>
        <v>3083274.920071213</v>
      </c>
      <c r="AZ195" s="934">
        <f t="shared" si="390"/>
        <v>38540.936500890166</v>
      </c>
      <c r="BA195" s="716" t="s">
        <v>269</v>
      </c>
      <c r="BB195" s="716">
        <f t="shared" si="370"/>
        <v>3121815.8565721032</v>
      </c>
      <c r="BC195" s="716" t="s">
        <v>269</v>
      </c>
      <c r="BD195" s="716">
        <f t="shared" si="391"/>
        <v>117068.09462145387</v>
      </c>
      <c r="BE195" s="716">
        <f t="shared" si="392"/>
        <v>33600</v>
      </c>
      <c r="BF195" s="716">
        <f t="shared" si="393"/>
        <v>3272483.9511935571</v>
      </c>
      <c r="BG195" s="716"/>
      <c r="BH195" s="716">
        <f t="shared" si="394"/>
        <v>3272483.9511935571</v>
      </c>
      <c r="BI195" s="716"/>
      <c r="BJ195" s="716">
        <f t="shared" si="395"/>
        <v>3272483.9511935571</v>
      </c>
      <c r="BK195" s="716"/>
      <c r="BL195" s="716">
        <f t="shared" si="396"/>
        <v>3272483.9511935571</v>
      </c>
      <c r="BM195" s="716"/>
      <c r="BN195" s="716">
        <f t="shared" si="371"/>
        <v>3272483.9511935571</v>
      </c>
      <c r="BO195" s="716"/>
      <c r="BP195" s="716">
        <f t="shared" si="397"/>
        <v>3272483.9511935571</v>
      </c>
      <c r="BQ195" s="716"/>
      <c r="BR195" s="716">
        <f t="shared" si="398"/>
        <v>3272483.9511935571</v>
      </c>
      <c r="BS195" s="716"/>
      <c r="BT195" s="716">
        <f t="shared" si="399"/>
        <v>3272483.9511935571</v>
      </c>
      <c r="BU195" s="716"/>
      <c r="BV195" s="716">
        <f t="shared" si="372"/>
        <v>3272483.9511935571</v>
      </c>
      <c r="BW195" s="716"/>
      <c r="BX195" s="716">
        <f t="shared" si="489"/>
        <v>31400</v>
      </c>
      <c r="BY195" s="716">
        <f t="shared" si="400"/>
        <v>3303883.9511935571</v>
      </c>
      <c r="BZ195" s="716"/>
      <c r="CA195" s="716">
        <f t="shared" si="401"/>
        <v>3303883.9511935571</v>
      </c>
      <c r="CB195" s="1135">
        <f t="shared" si="402"/>
        <v>3303883.9511935571</v>
      </c>
      <c r="CC195" s="1164">
        <f t="shared" si="446"/>
        <v>3303883.9511935571</v>
      </c>
      <c r="CD195" s="1164"/>
      <c r="CE195" s="1164">
        <f t="shared" si="403"/>
        <v>0</v>
      </c>
      <c r="CF195" s="1164">
        <f t="shared" si="448"/>
        <v>0</v>
      </c>
      <c r="CG195" s="1164">
        <f t="shared" si="449"/>
        <v>0</v>
      </c>
      <c r="CH195" s="1154">
        <f t="shared" si="506"/>
        <v>3303883.9511935571</v>
      </c>
      <c r="CI195" s="935">
        <f t="shared" si="507"/>
        <v>3303883.9511935571</v>
      </c>
      <c r="CJ195" s="935">
        <f t="shared" si="404"/>
        <v>0</v>
      </c>
      <c r="CK195" s="935">
        <f t="shared" si="373"/>
        <v>338648.1049973396</v>
      </c>
      <c r="CL195" s="935">
        <f t="shared" si="374"/>
        <v>115635.93829177451</v>
      </c>
      <c r="CM195" s="1006">
        <f t="shared" si="461"/>
        <v>3758167.9944826714</v>
      </c>
      <c r="CN195" s="1007">
        <f t="shared" si="462"/>
        <v>0.125</v>
      </c>
      <c r="CO195" s="935">
        <f t="shared" si="498"/>
        <v>469770.99931033392</v>
      </c>
      <c r="CP195" s="935">
        <f t="shared" si="490"/>
        <v>30000</v>
      </c>
      <c r="CQ195" s="935">
        <f t="shared" si="499"/>
        <v>439770.99931033392</v>
      </c>
      <c r="CR195" s="745">
        <f t="shared" si="463"/>
        <v>2</v>
      </c>
      <c r="CS195" s="935">
        <f t="shared" si="500"/>
        <v>219885.49965516696</v>
      </c>
      <c r="CT195" s="1007">
        <f t="shared" si="405"/>
        <v>0.875</v>
      </c>
      <c r="CU195" s="935">
        <f t="shared" si="406"/>
        <v>3288396.9951723376</v>
      </c>
      <c r="CV195" s="1008">
        <f t="shared" si="407"/>
        <v>25494.906902494193</v>
      </c>
      <c r="CW195" s="1008">
        <f t="shared" si="408"/>
        <v>29557.04185047069</v>
      </c>
      <c r="CX195" s="1008">
        <f t="shared" si="409"/>
        <v>38181.077417655317</v>
      </c>
      <c r="CY195" s="1008">
        <f t="shared" si="410"/>
        <v>65114.201780896292</v>
      </c>
      <c r="CZ195" s="1119">
        <f t="shared" si="411"/>
        <v>267126.94013467524</v>
      </c>
      <c r="DA195" s="1119">
        <f t="shared" si="412"/>
        <v>105700.82896125688</v>
      </c>
      <c r="DB195" s="1119">
        <f t="shared" si="413"/>
        <v>76346.211697305698</v>
      </c>
      <c r="DC195" s="1119">
        <f t="shared" si="414"/>
        <v>58102.981899704391</v>
      </c>
      <c r="DD195" s="1028">
        <f t="shared" si="451"/>
        <v>0.48360487503179161</v>
      </c>
      <c r="DE195" s="1028">
        <f t="shared" si="508"/>
        <v>0</v>
      </c>
      <c r="DF195" s="1009" t="s">
        <v>270</v>
      </c>
      <c r="DG195" s="1009" t="s">
        <v>271</v>
      </c>
      <c r="DH195" s="966">
        <f t="shared" si="447"/>
        <v>45658</v>
      </c>
      <c r="DI195" s="912">
        <f t="shared" si="415"/>
        <v>14</v>
      </c>
      <c r="DK195" s="913">
        <f t="shared" si="375"/>
        <v>45723</v>
      </c>
      <c r="DL195" s="912">
        <f t="shared" si="416"/>
        <v>16</v>
      </c>
      <c r="DM195" s="750" t="s">
        <v>272</v>
      </c>
      <c r="DN195" s="750" t="s">
        <v>273</v>
      </c>
      <c r="DO195" s="751">
        <f t="shared" si="376"/>
        <v>49239.769094146061</v>
      </c>
      <c r="DP195" s="751">
        <f t="shared" si="377"/>
        <v>1083274.9200712133</v>
      </c>
      <c r="DQ195" s="752">
        <f t="shared" si="452"/>
        <v>0.54163746003560664</v>
      </c>
      <c r="DS195" s="751">
        <f t="shared" si="453"/>
        <v>3303883.9511935571</v>
      </c>
      <c r="DT195" s="751">
        <f>'[4]INTERNAL PRICELIST'!N189</f>
        <v>0</v>
      </c>
      <c r="DU195" s="751">
        <f t="shared" si="378"/>
        <v>3303883.9511935571</v>
      </c>
      <c r="DW195" s="951">
        <f t="shared" si="454"/>
        <v>150176.54323607078</v>
      </c>
      <c r="DZ195" s="1010" t="s">
        <v>645</v>
      </c>
      <c r="EA195" s="1011" t="b">
        <f t="shared" si="379"/>
        <v>1</v>
      </c>
      <c r="EB195" s="1011"/>
      <c r="EC195" s="1011"/>
      <c r="ER195" s="1017" t="s">
        <v>264</v>
      </c>
      <c r="ES195" s="1391" t="s">
        <v>264</v>
      </c>
      <c r="ET195" s="1018" t="b">
        <f t="shared" si="417"/>
        <v>1</v>
      </c>
      <c r="EX195" s="1019">
        <v>3096997.0561836315</v>
      </c>
      <c r="EY195" s="1019">
        <f t="shared" si="464"/>
        <v>464549.55842754472</v>
      </c>
      <c r="EZ195" s="1019">
        <f t="shared" si="465"/>
        <v>2632447.4977560868</v>
      </c>
      <c r="FA195" s="1019">
        <f t="shared" si="466"/>
        <v>309699.70561836316</v>
      </c>
      <c r="FB195" s="1019">
        <f t="shared" si="467"/>
        <v>2787297.3505652687</v>
      </c>
      <c r="FC195" s="1019">
        <f t="shared" si="468"/>
        <v>154849.8528091819</v>
      </c>
      <c r="FD195" s="1020"/>
      <c r="FE195" s="1021"/>
      <c r="FF195" s="1022">
        <f t="shared" si="469"/>
        <v>2632447.4977560868</v>
      </c>
      <c r="FG195" s="1022">
        <f t="shared" si="470"/>
        <v>223758.03730926738</v>
      </c>
      <c r="FH195" s="1022">
        <f t="shared" si="471"/>
        <v>111879.01865463369</v>
      </c>
      <c r="FI195" s="1023">
        <f t="shared" si="472"/>
        <v>2787297.3505652687</v>
      </c>
      <c r="FJ195" s="1023">
        <f t="shared" si="473"/>
        <v>236920.27479804785</v>
      </c>
      <c r="FK195" s="1023">
        <f t="shared" si="474"/>
        <v>118460.13739902392</v>
      </c>
      <c r="FL195" s="1019">
        <f t="shared" si="475"/>
        <v>13162.237488780462</v>
      </c>
      <c r="FM195" s="1019">
        <f t="shared" si="476"/>
        <v>6581.1187443902309</v>
      </c>
      <c r="FN195" s="1019" t="str">
        <f t="shared" si="477"/>
        <v>VS</v>
      </c>
      <c r="FO195" s="1019">
        <f t="shared" si="478"/>
        <v>27537.409960060559</v>
      </c>
      <c r="FP195" s="1019">
        <f t="shared" si="479"/>
        <v>-20956.291215670328</v>
      </c>
      <c r="FQ195" s="1021"/>
      <c r="FR195" s="1021"/>
      <c r="FS195" s="1020"/>
      <c r="FT195" s="1055">
        <f t="shared" si="526"/>
        <v>2787297.3505652687</v>
      </c>
      <c r="FU195" s="1056"/>
      <c r="FV195" s="1056"/>
      <c r="GG195" s="956"/>
      <c r="GH195" s="1058"/>
      <c r="GI195" s="1024">
        <f t="shared" si="418"/>
        <v>3758167.9944826714</v>
      </c>
      <c r="GJ195" s="1025">
        <f t="shared" si="419"/>
        <v>0.125</v>
      </c>
      <c r="GK195" s="1024">
        <f t="shared" si="420"/>
        <v>469770.99931033392</v>
      </c>
      <c r="GL195" s="1024">
        <f t="shared" si="421"/>
        <v>30000</v>
      </c>
      <c r="GM195" s="1024">
        <f t="shared" si="422"/>
        <v>439770.99931033392</v>
      </c>
      <c r="GN195" s="1024">
        <f t="shared" si="423"/>
        <v>2</v>
      </c>
      <c r="GO195" s="1024">
        <f t="shared" si="424"/>
        <v>219885.49965516696</v>
      </c>
      <c r="GP195" s="1025">
        <f t="shared" si="425"/>
        <v>0.875</v>
      </c>
      <c r="GQ195" s="1024">
        <f t="shared" si="426"/>
        <v>3288396.9951723376</v>
      </c>
      <c r="GR195" s="1024">
        <f t="shared" si="427"/>
        <v>25494.906902494193</v>
      </c>
      <c r="GS195" s="1024">
        <f t="shared" si="428"/>
        <v>29557.04185047069</v>
      </c>
      <c r="GT195" s="1024">
        <f t="shared" si="429"/>
        <v>38181.077417655317</v>
      </c>
      <c r="GU195" s="1024">
        <f t="shared" si="430"/>
        <v>65114.201780896292</v>
      </c>
      <c r="GW195" s="1024">
        <f t="shared" si="431"/>
        <v>3758167.9944826714</v>
      </c>
      <c r="GX195" s="1025">
        <f t="shared" si="432"/>
        <v>0.125</v>
      </c>
      <c r="GY195" s="1024">
        <f t="shared" si="433"/>
        <v>469770.99931033392</v>
      </c>
      <c r="GZ195" s="1024">
        <f t="shared" si="434"/>
        <v>30000</v>
      </c>
      <c r="HA195" s="1024">
        <f t="shared" si="435"/>
        <v>439770.99931033392</v>
      </c>
      <c r="HB195" s="1026">
        <f t="shared" si="436"/>
        <v>25</v>
      </c>
      <c r="HC195" s="1009">
        <f t="shared" si="437"/>
        <v>17590.839972413356</v>
      </c>
      <c r="HD195" s="1027">
        <f t="shared" si="438"/>
        <v>0.875</v>
      </c>
      <c r="HE195" s="1009">
        <f t="shared" si="439"/>
        <v>3288396.9951723376</v>
      </c>
      <c r="HF195" s="1008">
        <f t="shared" si="440"/>
        <v>25494.906902494193</v>
      </c>
      <c r="HG195" s="1008">
        <f t="shared" si="441"/>
        <v>29557.04185047069</v>
      </c>
      <c r="HH195" s="1008">
        <f t="shared" si="442"/>
        <v>38181.077417655317</v>
      </c>
      <c r="HI195" s="1008">
        <f t="shared" si="443"/>
        <v>65114.201780896292</v>
      </c>
      <c r="HK195" s="1009">
        <f t="shared" si="444"/>
        <v>-202294.65968275361</v>
      </c>
      <c r="HR195" s="956">
        <f t="shared" si="445"/>
        <v>0</v>
      </c>
      <c r="HU195" s="956"/>
      <c r="HW195" s="956"/>
      <c r="HX195" s="956"/>
    </row>
    <row r="196" spans="1:232" ht="14.25" hidden="1" customHeight="1">
      <c r="A196" s="1018">
        <f t="shared" si="480"/>
        <v>190</v>
      </c>
      <c r="B196" s="716"/>
      <c r="C196" s="741">
        <f t="shared" si="522"/>
        <v>16</v>
      </c>
      <c r="D196" s="716" t="s">
        <v>297</v>
      </c>
      <c r="E196" s="743" t="str">
        <f t="shared" si="516"/>
        <v>12th Floor</v>
      </c>
      <c r="F196" s="1048"/>
      <c r="G196" s="745" t="s">
        <v>646</v>
      </c>
      <c r="H196" s="745" t="s">
        <v>345</v>
      </c>
      <c r="I196" s="745" t="s">
        <v>267</v>
      </c>
      <c r="J196" s="1005">
        <v>22</v>
      </c>
      <c r="K196" s="1049"/>
      <c r="L196" s="1006" t="s">
        <v>268</v>
      </c>
      <c r="M196" s="745" t="s">
        <v>79</v>
      </c>
      <c r="N196" s="1050">
        <v>95909.091</v>
      </c>
      <c r="O196" s="934">
        <f t="shared" si="455"/>
        <v>2110000.0019999999</v>
      </c>
      <c r="P196" s="934">
        <f t="shared" si="481"/>
        <v>22400</v>
      </c>
      <c r="Q196" s="934">
        <f t="shared" si="450"/>
        <v>50000</v>
      </c>
      <c r="R196" s="934"/>
      <c r="S196" s="934"/>
      <c r="T196" s="934"/>
      <c r="U196" s="934"/>
      <c r="V196" s="749"/>
      <c r="W196" s="934"/>
      <c r="X196" s="934"/>
      <c r="Y196" s="934">
        <f t="shared" si="523"/>
        <v>160000</v>
      </c>
      <c r="Z196" s="934">
        <f t="shared" si="456"/>
        <v>75000</v>
      </c>
      <c r="AA196" s="934"/>
      <c r="AB196" s="934"/>
      <c r="AC196" s="934"/>
      <c r="AD196" s="934"/>
      <c r="AE196" s="934">
        <f t="shared" si="365"/>
        <v>307400</v>
      </c>
      <c r="AF196" s="1005">
        <f t="shared" si="366"/>
        <v>2417400.0019999999</v>
      </c>
      <c r="AG196" s="1005">
        <f t="shared" si="380"/>
        <v>60435.000050000002</v>
      </c>
      <c r="AH196" s="1005">
        <f t="shared" si="381"/>
        <v>2477835.0020499998</v>
      </c>
      <c r="AI196" s="1005">
        <f t="shared" si="382"/>
        <v>61945.875051249997</v>
      </c>
      <c r="AJ196" s="1005">
        <f t="shared" si="383"/>
        <v>2539780.87710125</v>
      </c>
      <c r="AK196" s="1005">
        <f t="shared" si="384"/>
        <v>126989.04385506251</v>
      </c>
      <c r="AL196" s="1005">
        <f t="shared" si="457"/>
        <v>2666769.9209563127</v>
      </c>
      <c r="AM196" s="934">
        <f t="shared" si="385"/>
        <v>26667.699209563129</v>
      </c>
      <c r="AN196" s="934">
        <f t="shared" si="386"/>
        <v>27537.409960060559</v>
      </c>
      <c r="AO196" s="934"/>
      <c r="AP196" s="934">
        <f t="shared" si="458"/>
        <v>118460.13739902392</v>
      </c>
      <c r="AQ196" s="1005">
        <f t="shared" si="367"/>
        <v>2839435.1675249599</v>
      </c>
      <c r="AR196" s="1005">
        <f t="shared" si="387"/>
        <v>127774.58253862319</v>
      </c>
      <c r="AS196" s="1147">
        <f t="shared" si="388"/>
        <v>2967209.7500635833</v>
      </c>
      <c r="AT196" s="1148">
        <f t="shared" si="459"/>
        <v>2000000</v>
      </c>
      <c r="AU196" s="1148">
        <f t="shared" si="524"/>
        <v>43964.079548344693</v>
      </c>
      <c r="AV196" s="1148">
        <f t="shared" si="460"/>
        <v>967209.75006358325</v>
      </c>
      <c r="AW196" s="1148">
        <f t="shared" si="368"/>
        <v>116065.17000762999</v>
      </c>
      <c r="AX196" s="1148">
        <f t="shared" si="369"/>
        <v>1083274.9200712133</v>
      </c>
      <c r="AY196" s="1147">
        <f t="shared" si="389"/>
        <v>3083274.920071213</v>
      </c>
      <c r="AZ196" s="934">
        <f t="shared" si="390"/>
        <v>38540.936500890166</v>
      </c>
      <c r="BA196" s="716" t="s">
        <v>269</v>
      </c>
      <c r="BB196" s="716">
        <f t="shared" si="370"/>
        <v>3121815.8565721032</v>
      </c>
      <c r="BC196" s="716" t="s">
        <v>269</v>
      </c>
      <c r="BD196" s="716">
        <f t="shared" si="391"/>
        <v>117068.09462145387</v>
      </c>
      <c r="BE196" s="716">
        <f t="shared" si="392"/>
        <v>33600</v>
      </c>
      <c r="BF196" s="716">
        <f t="shared" si="393"/>
        <v>3272483.9511935571</v>
      </c>
      <c r="BG196" s="716"/>
      <c r="BH196" s="716">
        <f t="shared" si="394"/>
        <v>3272483.9511935571</v>
      </c>
      <c r="BI196" s="716"/>
      <c r="BJ196" s="716">
        <f t="shared" si="395"/>
        <v>3272483.9511935571</v>
      </c>
      <c r="BK196" s="716"/>
      <c r="BL196" s="716">
        <f t="shared" si="396"/>
        <v>3272483.9511935571</v>
      </c>
      <c r="BM196" s="716"/>
      <c r="BN196" s="716">
        <f t="shared" si="371"/>
        <v>3272483.9511935571</v>
      </c>
      <c r="BO196" s="716"/>
      <c r="BP196" s="716">
        <f t="shared" si="397"/>
        <v>3272483.9511935571</v>
      </c>
      <c r="BQ196" s="716"/>
      <c r="BR196" s="716">
        <f t="shared" si="398"/>
        <v>3272483.9511935571</v>
      </c>
      <c r="BS196" s="716"/>
      <c r="BT196" s="716">
        <f t="shared" si="399"/>
        <v>3272483.9511935571</v>
      </c>
      <c r="BU196" s="716"/>
      <c r="BV196" s="716">
        <f t="shared" si="372"/>
        <v>3272483.9511935571</v>
      </c>
      <c r="BW196" s="716"/>
      <c r="BX196" s="716">
        <f t="shared" si="489"/>
        <v>31400</v>
      </c>
      <c r="BY196" s="716">
        <f t="shared" si="400"/>
        <v>3303883.9511935571</v>
      </c>
      <c r="BZ196" s="716"/>
      <c r="CA196" s="716">
        <f t="shared" si="401"/>
        <v>3303883.9511935571</v>
      </c>
      <c r="CB196" s="1135">
        <f t="shared" si="402"/>
        <v>3303883.9511935571</v>
      </c>
      <c r="CC196" s="1164">
        <f t="shared" si="446"/>
        <v>3303883.9511935571</v>
      </c>
      <c r="CD196" s="1164"/>
      <c r="CE196" s="1164">
        <f t="shared" si="403"/>
        <v>0</v>
      </c>
      <c r="CF196" s="1164">
        <f t="shared" si="448"/>
        <v>0</v>
      </c>
      <c r="CG196" s="1164">
        <f t="shared" si="449"/>
        <v>0</v>
      </c>
      <c r="CH196" s="1154">
        <f t="shared" si="506"/>
        <v>3303883.9511935571</v>
      </c>
      <c r="CI196" s="935">
        <f t="shared" si="507"/>
        <v>3303883.9511935571</v>
      </c>
      <c r="CJ196" s="935">
        <f t="shared" si="404"/>
        <v>0</v>
      </c>
      <c r="CK196" s="935">
        <f t="shared" si="373"/>
        <v>338648.1049973396</v>
      </c>
      <c r="CL196" s="935">
        <f t="shared" si="374"/>
        <v>115635.93829177451</v>
      </c>
      <c r="CM196" s="1006">
        <f t="shared" si="461"/>
        <v>3758167.9944826714</v>
      </c>
      <c r="CN196" s="1007">
        <f t="shared" si="462"/>
        <v>0.125</v>
      </c>
      <c r="CO196" s="935">
        <f t="shared" si="498"/>
        <v>469770.99931033392</v>
      </c>
      <c r="CP196" s="935">
        <f t="shared" si="490"/>
        <v>30000</v>
      </c>
      <c r="CQ196" s="935">
        <f t="shared" si="499"/>
        <v>439770.99931033392</v>
      </c>
      <c r="CR196" s="745">
        <f t="shared" si="463"/>
        <v>2</v>
      </c>
      <c r="CS196" s="935">
        <f t="shared" si="500"/>
        <v>219885.49965516696</v>
      </c>
      <c r="CT196" s="1007">
        <f t="shared" si="405"/>
        <v>0.875</v>
      </c>
      <c r="CU196" s="935">
        <f t="shared" si="406"/>
        <v>3288396.9951723376</v>
      </c>
      <c r="CV196" s="1008">
        <f t="shared" si="407"/>
        <v>25494.906902494193</v>
      </c>
      <c r="CW196" s="1008">
        <f t="shared" si="408"/>
        <v>29557.04185047069</v>
      </c>
      <c r="CX196" s="1008">
        <f t="shared" si="409"/>
        <v>38181.077417655317</v>
      </c>
      <c r="CY196" s="1008">
        <f t="shared" si="410"/>
        <v>65114.201780896292</v>
      </c>
      <c r="CZ196" s="1119">
        <f t="shared" si="411"/>
        <v>267126.94013467524</v>
      </c>
      <c r="DA196" s="1119">
        <f t="shared" si="412"/>
        <v>105700.82896125688</v>
      </c>
      <c r="DB196" s="1119">
        <f t="shared" si="413"/>
        <v>76346.211697305698</v>
      </c>
      <c r="DC196" s="1119">
        <f t="shared" si="414"/>
        <v>58102.981899704391</v>
      </c>
      <c r="DD196" s="1028">
        <f t="shared" si="451"/>
        <v>0.48360487503179161</v>
      </c>
      <c r="DE196" s="1028">
        <f t="shared" si="508"/>
        <v>0</v>
      </c>
      <c r="DF196" s="1009" t="s">
        <v>270</v>
      </c>
      <c r="DG196" s="1009" t="s">
        <v>271</v>
      </c>
      <c r="DH196" s="966">
        <f t="shared" si="447"/>
        <v>45658</v>
      </c>
      <c r="DI196" s="912">
        <f t="shared" si="415"/>
        <v>14</v>
      </c>
      <c r="DK196" s="913">
        <f t="shared" si="375"/>
        <v>45723</v>
      </c>
      <c r="DL196" s="912">
        <f t="shared" si="416"/>
        <v>16</v>
      </c>
      <c r="DM196" s="750" t="s">
        <v>272</v>
      </c>
      <c r="DN196" s="750" t="s">
        <v>273</v>
      </c>
      <c r="DO196" s="751">
        <f t="shared" si="376"/>
        <v>49239.769094146061</v>
      </c>
      <c r="DP196" s="751">
        <f t="shared" si="377"/>
        <v>1083274.9200712133</v>
      </c>
      <c r="DQ196" s="752">
        <f t="shared" si="452"/>
        <v>0.54163746003560664</v>
      </c>
      <c r="DS196" s="751">
        <f t="shared" si="453"/>
        <v>3303883.9511935571</v>
      </c>
      <c r="DT196" s="751">
        <f>'[4]INTERNAL PRICELIST'!N190</f>
        <v>0</v>
      </c>
      <c r="DU196" s="751">
        <f t="shared" si="378"/>
        <v>3303883.9511935571</v>
      </c>
      <c r="DW196" s="951">
        <f t="shared" si="454"/>
        <v>150176.54323607078</v>
      </c>
      <c r="DZ196" s="1010" t="s">
        <v>646</v>
      </c>
      <c r="EA196" s="1011" t="b">
        <f t="shared" si="379"/>
        <v>1</v>
      </c>
      <c r="EB196" s="1011"/>
      <c r="EC196" s="1011"/>
      <c r="ER196" s="1017" t="s">
        <v>264</v>
      </c>
      <c r="ES196" s="1391" t="s">
        <v>264</v>
      </c>
      <c r="ET196" s="1018" t="b">
        <f t="shared" si="417"/>
        <v>1</v>
      </c>
      <c r="EX196" s="1019">
        <v>3096997.0561836315</v>
      </c>
      <c r="EY196" s="1019">
        <f t="shared" si="464"/>
        <v>464549.55842754472</v>
      </c>
      <c r="EZ196" s="1019">
        <f t="shared" si="465"/>
        <v>2632447.4977560868</v>
      </c>
      <c r="FA196" s="1019">
        <f t="shared" si="466"/>
        <v>309699.70561836316</v>
      </c>
      <c r="FB196" s="1019">
        <f t="shared" si="467"/>
        <v>2787297.3505652687</v>
      </c>
      <c r="FC196" s="1019">
        <f t="shared" si="468"/>
        <v>154849.8528091819</v>
      </c>
      <c r="FD196" s="1020"/>
      <c r="FE196" s="1021"/>
      <c r="FF196" s="1022">
        <f t="shared" si="469"/>
        <v>2632447.4977560868</v>
      </c>
      <c r="FG196" s="1022">
        <f t="shared" si="470"/>
        <v>223758.03730926738</v>
      </c>
      <c r="FH196" s="1022">
        <f t="shared" si="471"/>
        <v>111879.01865463369</v>
      </c>
      <c r="FI196" s="1023">
        <f t="shared" si="472"/>
        <v>2787297.3505652687</v>
      </c>
      <c r="FJ196" s="1023">
        <f t="shared" si="473"/>
        <v>236920.27479804785</v>
      </c>
      <c r="FK196" s="1023">
        <f t="shared" si="474"/>
        <v>118460.13739902392</v>
      </c>
      <c r="FL196" s="1019">
        <f t="shared" si="475"/>
        <v>13162.237488780462</v>
      </c>
      <c r="FM196" s="1019">
        <f t="shared" si="476"/>
        <v>6581.1187443902309</v>
      </c>
      <c r="FN196" s="1019" t="str">
        <f t="shared" si="477"/>
        <v>VS</v>
      </c>
      <c r="FO196" s="1019">
        <f t="shared" si="478"/>
        <v>27537.409960060559</v>
      </c>
      <c r="FP196" s="1019">
        <f t="shared" si="479"/>
        <v>-20956.291215670328</v>
      </c>
      <c r="FQ196" s="1021"/>
      <c r="FR196" s="1021"/>
      <c r="FS196" s="1020"/>
      <c r="FT196" s="1055">
        <f t="shared" si="526"/>
        <v>2787297.3505652687</v>
      </c>
      <c r="FU196" s="1056"/>
      <c r="FV196" s="1056"/>
      <c r="GG196" s="956"/>
      <c r="GH196" s="1058"/>
      <c r="GI196" s="1024">
        <f t="shared" si="418"/>
        <v>3758167.9944826714</v>
      </c>
      <c r="GJ196" s="1025">
        <f t="shared" si="419"/>
        <v>0.125</v>
      </c>
      <c r="GK196" s="1024">
        <f t="shared" si="420"/>
        <v>469770.99931033392</v>
      </c>
      <c r="GL196" s="1024">
        <f t="shared" si="421"/>
        <v>30000</v>
      </c>
      <c r="GM196" s="1024">
        <f t="shared" si="422"/>
        <v>439770.99931033392</v>
      </c>
      <c r="GN196" s="1024">
        <f t="shared" si="423"/>
        <v>2</v>
      </c>
      <c r="GO196" s="1024">
        <f t="shared" si="424"/>
        <v>219885.49965516696</v>
      </c>
      <c r="GP196" s="1025">
        <f t="shared" si="425"/>
        <v>0.875</v>
      </c>
      <c r="GQ196" s="1024">
        <f t="shared" si="426"/>
        <v>3288396.9951723376</v>
      </c>
      <c r="GR196" s="1024">
        <f t="shared" si="427"/>
        <v>25494.906902494193</v>
      </c>
      <c r="GS196" s="1024">
        <f t="shared" si="428"/>
        <v>29557.04185047069</v>
      </c>
      <c r="GT196" s="1024">
        <f t="shared" si="429"/>
        <v>38181.077417655317</v>
      </c>
      <c r="GU196" s="1024">
        <f t="shared" si="430"/>
        <v>65114.201780896292</v>
      </c>
      <c r="GW196" s="1024">
        <f t="shared" si="431"/>
        <v>3758167.9944826714</v>
      </c>
      <c r="GX196" s="1025">
        <f t="shared" si="432"/>
        <v>0.125</v>
      </c>
      <c r="GY196" s="1024">
        <f t="shared" si="433"/>
        <v>469770.99931033392</v>
      </c>
      <c r="GZ196" s="1024">
        <f t="shared" si="434"/>
        <v>30000</v>
      </c>
      <c r="HA196" s="1024">
        <f t="shared" si="435"/>
        <v>439770.99931033392</v>
      </c>
      <c r="HB196" s="1026">
        <f t="shared" si="436"/>
        <v>25</v>
      </c>
      <c r="HC196" s="1009">
        <f t="shared" si="437"/>
        <v>17590.839972413356</v>
      </c>
      <c r="HD196" s="1027">
        <f t="shared" si="438"/>
        <v>0.875</v>
      </c>
      <c r="HE196" s="1009">
        <f t="shared" si="439"/>
        <v>3288396.9951723376</v>
      </c>
      <c r="HF196" s="1008">
        <f t="shared" si="440"/>
        <v>25494.906902494193</v>
      </c>
      <c r="HG196" s="1008">
        <f t="shared" si="441"/>
        <v>29557.04185047069</v>
      </c>
      <c r="HH196" s="1008">
        <f t="shared" si="442"/>
        <v>38181.077417655317</v>
      </c>
      <c r="HI196" s="1008">
        <f t="shared" si="443"/>
        <v>65114.201780896292</v>
      </c>
      <c r="HK196" s="1009">
        <f t="shared" si="444"/>
        <v>-202294.65968275361</v>
      </c>
      <c r="HR196" s="956">
        <f t="shared" si="445"/>
        <v>0</v>
      </c>
      <c r="HU196" s="956"/>
      <c r="HW196" s="956"/>
      <c r="HX196" s="956"/>
    </row>
    <row r="197" spans="1:232" ht="14.25" hidden="1" customHeight="1">
      <c r="A197" s="1018">
        <f t="shared" si="480"/>
        <v>191</v>
      </c>
      <c r="B197" s="716"/>
      <c r="C197" s="741">
        <f t="shared" si="522"/>
        <v>17</v>
      </c>
      <c r="D197" s="716" t="s">
        <v>297</v>
      </c>
      <c r="E197" s="743" t="str">
        <f t="shared" si="516"/>
        <v>12th Floor</v>
      </c>
      <c r="F197" s="1048"/>
      <c r="G197" s="745" t="s">
        <v>647</v>
      </c>
      <c r="H197" s="745" t="s">
        <v>349</v>
      </c>
      <c r="I197" s="745" t="s">
        <v>267</v>
      </c>
      <c r="J197" s="1005">
        <v>22</v>
      </c>
      <c r="K197" s="1049"/>
      <c r="L197" s="1006" t="s">
        <v>268</v>
      </c>
      <c r="M197" s="745" t="s">
        <v>79</v>
      </c>
      <c r="N197" s="1050">
        <v>95909.091</v>
      </c>
      <c r="O197" s="934">
        <f t="shared" si="455"/>
        <v>2110000.0019999999</v>
      </c>
      <c r="P197" s="934">
        <f t="shared" si="481"/>
        <v>22400</v>
      </c>
      <c r="Q197" s="934">
        <f t="shared" si="450"/>
        <v>50000</v>
      </c>
      <c r="R197" s="934"/>
      <c r="S197" s="934"/>
      <c r="T197" s="934"/>
      <c r="U197" s="934"/>
      <c r="V197" s="749"/>
      <c r="W197" s="934"/>
      <c r="X197" s="934"/>
      <c r="Y197" s="934">
        <f t="shared" si="523"/>
        <v>160000</v>
      </c>
      <c r="Z197" s="934">
        <f t="shared" si="456"/>
        <v>75000</v>
      </c>
      <c r="AA197" s="934"/>
      <c r="AB197" s="934"/>
      <c r="AC197" s="934"/>
      <c r="AD197" s="934"/>
      <c r="AE197" s="934">
        <f t="shared" si="365"/>
        <v>307400</v>
      </c>
      <c r="AF197" s="1005">
        <f t="shared" si="366"/>
        <v>2417400.0019999999</v>
      </c>
      <c r="AG197" s="1005">
        <f t="shared" si="380"/>
        <v>60435.000050000002</v>
      </c>
      <c r="AH197" s="1005">
        <f t="shared" si="381"/>
        <v>2477835.0020499998</v>
      </c>
      <c r="AI197" s="1005">
        <f t="shared" si="382"/>
        <v>61945.875051249997</v>
      </c>
      <c r="AJ197" s="1005">
        <f t="shared" si="383"/>
        <v>2539780.87710125</v>
      </c>
      <c r="AK197" s="1005">
        <f t="shared" si="384"/>
        <v>126989.04385506251</v>
      </c>
      <c r="AL197" s="1005">
        <f t="shared" si="457"/>
        <v>2666769.9209563127</v>
      </c>
      <c r="AM197" s="934">
        <f t="shared" si="385"/>
        <v>26667.699209563129</v>
      </c>
      <c r="AN197" s="934">
        <f t="shared" si="386"/>
        <v>27537.409960060559</v>
      </c>
      <c r="AO197" s="934"/>
      <c r="AP197" s="934">
        <f t="shared" si="458"/>
        <v>118460.13739902392</v>
      </c>
      <c r="AQ197" s="1005">
        <f t="shared" si="367"/>
        <v>2839435.1675249599</v>
      </c>
      <c r="AR197" s="1005">
        <f t="shared" si="387"/>
        <v>127774.58253862319</v>
      </c>
      <c r="AS197" s="1147">
        <f t="shared" si="388"/>
        <v>2967209.7500635833</v>
      </c>
      <c r="AT197" s="1148">
        <f t="shared" si="459"/>
        <v>2000000</v>
      </c>
      <c r="AU197" s="1148">
        <f t="shared" si="524"/>
        <v>43964.079548344693</v>
      </c>
      <c r="AV197" s="1148">
        <f t="shared" si="460"/>
        <v>967209.75006358325</v>
      </c>
      <c r="AW197" s="1148">
        <f t="shared" si="368"/>
        <v>116065.17000762999</v>
      </c>
      <c r="AX197" s="1148">
        <f t="shared" si="369"/>
        <v>1083274.9200712133</v>
      </c>
      <c r="AY197" s="1147">
        <f t="shared" si="389"/>
        <v>3083274.920071213</v>
      </c>
      <c r="AZ197" s="934">
        <f t="shared" si="390"/>
        <v>38540.936500890166</v>
      </c>
      <c r="BA197" s="716" t="s">
        <v>269</v>
      </c>
      <c r="BB197" s="716">
        <f t="shared" si="370"/>
        <v>3121815.8565721032</v>
      </c>
      <c r="BC197" s="716" t="s">
        <v>269</v>
      </c>
      <c r="BD197" s="716">
        <f t="shared" si="391"/>
        <v>117068.09462145387</v>
      </c>
      <c r="BE197" s="716">
        <f t="shared" si="392"/>
        <v>33600</v>
      </c>
      <c r="BF197" s="716">
        <f t="shared" si="393"/>
        <v>3272483.9511935571</v>
      </c>
      <c r="BG197" s="716"/>
      <c r="BH197" s="716">
        <f t="shared" si="394"/>
        <v>3272483.9511935571</v>
      </c>
      <c r="BI197" s="716"/>
      <c r="BJ197" s="716">
        <f t="shared" si="395"/>
        <v>3272483.9511935571</v>
      </c>
      <c r="BK197" s="716"/>
      <c r="BL197" s="716">
        <f t="shared" si="396"/>
        <v>3272483.9511935571</v>
      </c>
      <c r="BM197" s="716"/>
      <c r="BN197" s="716">
        <f t="shared" si="371"/>
        <v>3272483.9511935571</v>
      </c>
      <c r="BO197" s="716"/>
      <c r="BP197" s="716">
        <f t="shared" si="397"/>
        <v>3272483.9511935571</v>
      </c>
      <c r="BQ197" s="716"/>
      <c r="BR197" s="716">
        <f t="shared" si="398"/>
        <v>3272483.9511935571</v>
      </c>
      <c r="BS197" s="716"/>
      <c r="BT197" s="716">
        <f t="shared" si="399"/>
        <v>3272483.9511935571</v>
      </c>
      <c r="BU197" s="716"/>
      <c r="BV197" s="716">
        <f t="shared" si="372"/>
        <v>3272483.9511935571</v>
      </c>
      <c r="BW197" s="716"/>
      <c r="BX197" s="716">
        <f t="shared" si="489"/>
        <v>31400</v>
      </c>
      <c r="BY197" s="716">
        <f t="shared" si="400"/>
        <v>3303883.9511935571</v>
      </c>
      <c r="BZ197" s="716"/>
      <c r="CA197" s="716">
        <f t="shared" si="401"/>
        <v>3303883.9511935571</v>
      </c>
      <c r="CB197" s="1135">
        <f t="shared" si="402"/>
        <v>3303883.9511935571</v>
      </c>
      <c r="CC197" s="1164">
        <f t="shared" si="446"/>
        <v>3303883.9511935571</v>
      </c>
      <c r="CD197" s="1164"/>
      <c r="CE197" s="1164">
        <f t="shared" si="403"/>
        <v>0</v>
      </c>
      <c r="CF197" s="1164">
        <f t="shared" si="448"/>
        <v>0</v>
      </c>
      <c r="CG197" s="1164">
        <f t="shared" si="449"/>
        <v>0</v>
      </c>
      <c r="CH197" s="1154">
        <f t="shared" si="506"/>
        <v>3303883.9511935571</v>
      </c>
      <c r="CI197" s="935">
        <f t="shared" si="507"/>
        <v>3303883.9511935571</v>
      </c>
      <c r="CJ197" s="935">
        <f t="shared" si="404"/>
        <v>0</v>
      </c>
      <c r="CK197" s="935">
        <f t="shared" si="373"/>
        <v>338648.1049973396</v>
      </c>
      <c r="CL197" s="935">
        <f t="shared" si="374"/>
        <v>115635.93829177451</v>
      </c>
      <c r="CM197" s="1006">
        <f t="shared" si="461"/>
        <v>3758167.9944826714</v>
      </c>
      <c r="CN197" s="1007">
        <f t="shared" si="462"/>
        <v>0.125</v>
      </c>
      <c r="CO197" s="935">
        <f t="shared" si="498"/>
        <v>469770.99931033392</v>
      </c>
      <c r="CP197" s="935">
        <f t="shared" si="490"/>
        <v>30000</v>
      </c>
      <c r="CQ197" s="935">
        <f t="shared" si="499"/>
        <v>439770.99931033392</v>
      </c>
      <c r="CR197" s="745">
        <f t="shared" si="463"/>
        <v>2</v>
      </c>
      <c r="CS197" s="935">
        <f t="shared" si="500"/>
        <v>219885.49965516696</v>
      </c>
      <c r="CT197" s="1007">
        <f t="shared" si="405"/>
        <v>0.875</v>
      </c>
      <c r="CU197" s="935">
        <f t="shared" si="406"/>
        <v>3288396.9951723376</v>
      </c>
      <c r="CV197" s="1008">
        <f t="shared" si="407"/>
        <v>25494.906902494193</v>
      </c>
      <c r="CW197" s="1008">
        <f t="shared" si="408"/>
        <v>29557.04185047069</v>
      </c>
      <c r="CX197" s="1008">
        <f t="shared" si="409"/>
        <v>38181.077417655317</v>
      </c>
      <c r="CY197" s="1008">
        <f t="shared" si="410"/>
        <v>65114.201780896292</v>
      </c>
      <c r="CZ197" s="1119">
        <f t="shared" si="411"/>
        <v>267126.94013467524</v>
      </c>
      <c r="DA197" s="1119">
        <f t="shared" si="412"/>
        <v>105700.82896125688</v>
      </c>
      <c r="DB197" s="1119">
        <f t="shared" si="413"/>
        <v>76346.211697305698</v>
      </c>
      <c r="DC197" s="1119">
        <f t="shared" si="414"/>
        <v>58102.981899704391</v>
      </c>
      <c r="DD197" s="1028">
        <f t="shared" si="451"/>
        <v>0.48360487503179161</v>
      </c>
      <c r="DE197" s="1028">
        <f t="shared" si="508"/>
        <v>0</v>
      </c>
      <c r="DF197" s="1009" t="s">
        <v>270</v>
      </c>
      <c r="DG197" s="1009" t="s">
        <v>271</v>
      </c>
      <c r="DH197" s="966">
        <f t="shared" si="447"/>
        <v>45658</v>
      </c>
      <c r="DI197" s="912">
        <f t="shared" si="415"/>
        <v>14</v>
      </c>
      <c r="DK197" s="913">
        <f t="shared" si="375"/>
        <v>45723</v>
      </c>
      <c r="DL197" s="912">
        <f t="shared" si="416"/>
        <v>16</v>
      </c>
      <c r="DM197" s="750" t="s">
        <v>272</v>
      </c>
      <c r="DN197" s="750" t="s">
        <v>273</v>
      </c>
      <c r="DO197" s="751">
        <f t="shared" si="376"/>
        <v>49239.769094146061</v>
      </c>
      <c r="DP197" s="751">
        <f t="shared" si="377"/>
        <v>1083274.9200712133</v>
      </c>
      <c r="DQ197" s="752">
        <f t="shared" si="452"/>
        <v>0.54163746003560664</v>
      </c>
      <c r="DS197" s="751">
        <f t="shared" si="453"/>
        <v>3303883.9511935571</v>
      </c>
      <c r="DT197" s="751">
        <f>'[4]INTERNAL PRICELIST'!N191</f>
        <v>0</v>
      </c>
      <c r="DU197" s="751">
        <f t="shared" si="378"/>
        <v>3303883.9511935571</v>
      </c>
      <c r="DW197" s="951">
        <f t="shared" si="454"/>
        <v>150176.54323607078</v>
      </c>
      <c r="DZ197" s="1010" t="s">
        <v>647</v>
      </c>
      <c r="EA197" s="1011" t="b">
        <f t="shared" si="379"/>
        <v>1</v>
      </c>
      <c r="EB197" s="1011"/>
      <c r="EC197" s="1011"/>
      <c r="ER197" s="1017" t="s">
        <v>264</v>
      </c>
      <c r="ES197" s="1391" t="s">
        <v>264</v>
      </c>
      <c r="ET197" s="1018" t="b">
        <f t="shared" si="417"/>
        <v>1</v>
      </c>
      <c r="EX197" s="1019">
        <v>3096997.0561836315</v>
      </c>
      <c r="EY197" s="1019">
        <f t="shared" si="464"/>
        <v>464549.55842754472</v>
      </c>
      <c r="EZ197" s="1019">
        <f t="shared" si="465"/>
        <v>2632447.4977560868</v>
      </c>
      <c r="FA197" s="1019">
        <f t="shared" si="466"/>
        <v>309699.70561836316</v>
      </c>
      <c r="FB197" s="1019">
        <f t="shared" si="467"/>
        <v>2787297.3505652687</v>
      </c>
      <c r="FC197" s="1019">
        <f t="shared" si="468"/>
        <v>154849.8528091819</v>
      </c>
      <c r="FD197" s="1020"/>
      <c r="FE197" s="1021"/>
      <c r="FF197" s="1022">
        <f t="shared" si="469"/>
        <v>2632447.4977560868</v>
      </c>
      <c r="FG197" s="1022">
        <f t="shared" si="470"/>
        <v>223758.03730926738</v>
      </c>
      <c r="FH197" s="1022">
        <f t="shared" si="471"/>
        <v>111879.01865463369</v>
      </c>
      <c r="FI197" s="1023">
        <f t="shared" si="472"/>
        <v>2787297.3505652687</v>
      </c>
      <c r="FJ197" s="1023">
        <f t="shared" si="473"/>
        <v>236920.27479804785</v>
      </c>
      <c r="FK197" s="1023">
        <f t="shared" si="474"/>
        <v>118460.13739902392</v>
      </c>
      <c r="FL197" s="1019">
        <f t="shared" si="475"/>
        <v>13162.237488780462</v>
      </c>
      <c r="FM197" s="1019">
        <f t="shared" si="476"/>
        <v>6581.1187443902309</v>
      </c>
      <c r="FN197" s="1019" t="str">
        <f t="shared" si="477"/>
        <v>VS</v>
      </c>
      <c r="FO197" s="1019">
        <f t="shared" si="478"/>
        <v>27537.409960060559</v>
      </c>
      <c r="FP197" s="1019">
        <f t="shared" si="479"/>
        <v>-20956.291215670328</v>
      </c>
      <c r="FQ197" s="1021"/>
      <c r="FR197" s="1021"/>
      <c r="FS197" s="1020"/>
      <c r="FT197" s="1055">
        <f t="shared" si="526"/>
        <v>2787297.3505652687</v>
      </c>
      <c r="FU197" s="1056"/>
      <c r="FV197" s="1056"/>
      <c r="GG197" s="956"/>
      <c r="GH197" s="1058"/>
      <c r="GI197" s="1024">
        <f t="shared" si="418"/>
        <v>3758167.9944826714</v>
      </c>
      <c r="GJ197" s="1025">
        <f t="shared" si="419"/>
        <v>0.125</v>
      </c>
      <c r="GK197" s="1024">
        <f t="shared" si="420"/>
        <v>469770.99931033392</v>
      </c>
      <c r="GL197" s="1024">
        <f t="shared" si="421"/>
        <v>30000</v>
      </c>
      <c r="GM197" s="1024">
        <f t="shared" si="422"/>
        <v>439770.99931033392</v>
      </c>
      <c r="GN197" s="1024">
        <f t="shared" si="423"/>
        <v>2</v>
      </c>
      <c r="GO197" s="1024">
        <f t="shared" si="424"/>
        <v>219885.49965516696</v>
      </c>
      <c r="GP197" s="1025">
        <f t="shared" si="425"/>
        <v>0.875</v>
      </c>
      <c r="GQ197" s="1024">
        <f t="shared" si="426"/>
        <v>3288396.9951723376</v>
      </c>
      <c r="GR197" s="1024">
        <f t="shared" si="427"/>
        <v>25494.906902494193</v>
      </c>
      <c r="GS197" s="1024">
        <f t="shared" si="428"/>
        <v>29557.04185047069</v>
      </c>
      <c r="GT197" s="1024">
        <f t="shared" si="429"/>
        <v>38181.077417655317</v>
      </c>
      <c r="GU197" s="1024">
        <f t="shared" si="430"/>
        <v>65114.201780896292</v>
      </c>
      <c r="GW197" s="1024">
        <f t="shared" si="431"/>
        <v>3758167.9944826714</v>
      </c>
      <c r="GX197" s="1025">
        <f t="shared" si="432"/>
        <v>0.125</v>
      </c>
      <c r="GY197" s="1024">
        <f t="shared" si="433"/>
        <v>469770.99931033392</v>
      </c>
      <c r="GZ197" s="1024">
        <f t="shared" si="434"/>
        <v>30000</v>
      </c>
      <c r="HA197" s="1024">
        <f t="shared" si="435"/>
        <v>439770.99931033392</v>
      </c>
      <c r="HB197" s="1026">
        <f t="shared" si="436"/>
        <v>25</v>
      </c>
      <c r="HC197" s="1009">
        <f t="shared" si="437"/>
        <v>17590.839972413356</v>
      </c>
      <c r="HD197" s="1027">
        <f t="shared" si="438"/>
        <v>0.875</v>
      </c>
      <c r="HE197" s="1009">
        <f t="shared" si="439"/>
        <v>3288396.9951723376</v>
      </c>
      <c r="HF197" s="1008">
        <f t="shared" si="440"/>
        <v>25494.906902494193</v>
      </c>
      <c r="HG197" s="1008">
        <f t="shared" si="441"/>
        <v>29557.04185047069</v>
      </c>
      <c r="HH197" s="1008">
        <f t="shared" si="442"/>
        <v>38181.077417655317</v>
      </c>
      <c r="HI197" s="1008">
        <f t="shared" si="443"/>
        <v>65114.201780896292</v>
      </c>
      <c r="HK197" s="1009">
        <f t="shared" si="444"/>
        <v>-202294.65968275361</v>
      </c>
      <c r="HR197" s="956">
        <f t="shared" si="445"/>
        <v>0</v>
      </c>
      <c r="HU197" s="956"/>
      <c r="HW197" s="956"/>
      <c r="HX197" s="956"/>
    </row>
    <row r="198" spans="1:232" ht="14.25" hidden="1" customHeight="1">
      <c r="A198" s="1018">
        <f t="shared" si="480"/>
        <v>192</v>
      </c>
      <c r="B198" s="716"/>
      <c r="C198" s="741">
        <f t="shared" si="522"/>
        <v>18</v>
      </c>
      <c r="D198" s="716" t="s">
        <v>297</v>
      </c>
      <c r="E198" s="743" t="str">
        <f t="shared" si="516"/>
        <v>12th Floor</v>
      </c>
      <c r="F198" s="1048"/>
      <c r="G198" s="745" t="s">
        <v>648</v>
      </c>
      <c r="H198" s="745" t="s">
        <v>353</v>
      </c>
      <c r="I198" s="745" t="s">
        <v>267</v>
      </c>
      <c r="J198" s="1005">
        <v>22</v>
      </c>
      <c r="K198" s="1049"/>
      <c r="L198" s="1006" t="s">
        <v>268</v>
      </c>
      <c r="M198" s="745" t="s">
        <v>65</v>
      </c>
      <c r="N198" s="1050">
        <v>95909.091</v>
      </c>
      <c r="O198" s="934">
        <f t="shared" si="455"/>
        <v>2110000.0019999999</v>
      </c>
      <c r="P198" s="934">
        <f t="shared" si="481"/>
        <v>22400</v>
      </c>
      <c r="Q198" s="934">
        <f t="shared" si="450"/>
        <v>50000</v>
      </c>
      <c r="R198" s="934"/>
      <c r="S198" s="934"/>
      <c r="T198" s="934"/>
      <c r="U198" s="934"/>
      <c r="V198" s="749">
        <f t="shared" ref="V198:V199" si="527">J198*$V$5</f>
        <v>55000</v>
      </c>
      <c r="W198" s="934"/>
      <c r="X198" s="934"/>
      <c r="Y198" s="934">
        <f t="shared" si="523"/>
        <v>160000</v>
      </c>
      <c r="Z198" s="934">
        <f t="shared" si="456"/>
        <v>75000</v>
      </c>
      <c r="AA198" s="934"/>
      <c r="AB198" s="934"/>
      <c r="AC198" s="934"/>
      <c r="AD198" s="934"/>
      <c r="AE198" s="934">
        <f t="shared" si="365"/>
        <v>362400</v>
      </c>
      <c r="AF198" s="1005">
        <f t="shared" si="366"/>
        <v>2472400.0019999999</v>
      </c>
      <c r="AG198" s="1005">
        <f t="shared" si="380"/>
        <v>61810.000050000002</v>
      </c>
      <c r="AH198" s="1005">
        <f t="shared" si="381"/>
        <v>2534210.0020499998</v>
      </c>
      <c r="AI198" s="1005">
        <f t="shared" si="382"/>
        <v>63355.250051249997</v>
      </c>
      <c r="AJ198" s="1005">
        <f t="shared" si="383"/>
        <v>2597565.25210125</v>
      </c>
      <c r="AK198" s="1005">
        <f t="shared" si="384"/>
        <v>129878.26260506251</v>
      </c>
      <c r="AL198" s="1005">
        <f t="shared" si="457"/>
        <v>2727443.5147063127</v>
      </c>
      <c r="AM198" s="934">
        <f t="shared" si="385"/>
        <v>27274.435147063126</v>
      </c>
      <c r="AN198" s="934">
        <f t="shared" si="386"/>
        <v>27537.409960060559</v>
      </c>
      <c r="AO198" s="934"/>
      <c r="AP198" s="934">
        <f t="shared" si="458"/>
        <v>123593.15555070262</v>
      </c>
      <c r="AQ198" s="1005">
        <f t="shared" si="367"/>
        <v>2905848.5153641389</v>
      </c>
      <c r="AR198" s="1005">
        <f t="shared" si="387"/>
        <v>130763.18319138624</v>
      </c>
      <c r="AS198" s="1147">
        <f t="shared" si="388"/>
        <v>3036611.6985555249</v>
      </c>
      <c r="AT198" s="1148">
        <f t="shared" ref="AT198:AT203" si="528">AS198</f>
        <v>3036611.6985555249</v>
      </c>
      <c r="AU198" s="1148"/>
      <c r="AV198" s="1148"/>
      <c r="AW198" s="1148"/>
      <c r="AX198" s="1148">
        <f t="shared" si="369"/>
        <v>0</v>
      </c>
      <c r="AY198" s="1147">
        <f t="shared" si="389"/>
        <v>3036611.6985555249</v>
      </c>
      <c r="AZ198" s="934">
        <f t="shared" si="390"/>
        <v>37957.646231944062</v>
      </c>
      <c r="BA198" s="716" t="s">
        <v>269</v>
      </c>
      <c r="BB198" s="716">
        <f t="shared" si="370"/>
        <v>3074569.3447874691</v>
      </c>
      <c r="BC198" s="716" t="s">
        <v>269</v>
      </c>
      <c r="BD198" s="716">
        <f t="shared" si="391"/>
        <v>115296.3504295301</v>
      </c>
      <c r="BE198" s="716">
        <f t="shared" si="392"/>
        <v>33600</v>
      </c>
      <c r="BF198" s="716">
        <f t="shared" si="393"/>
        <v>3223465.6952169994</v>
      </c>
      <c r="BG198" s="716"/>
      <c r="BH198" s="716">
        <f t="shared" si="394"/>
        <v>3223465.6952169994</v>
      </c>
      <c r="BI198" s="716"/>
      <c r="BJ198" s="716">
        <f t="shared" si="395"/>
        <v>3223465.6952169994</v>
      </c>
      <c r="BK198" s="716"/>
      <c r="BL198" s="716">
        <f t="shared" si="396"/>
        <v>3223465.6952169994</v>
      </c>
      <c r="BM198" s="716"/>
      <c r="BN198" s="716">
        <f t="shared" si="371"/>
        <v>3223465.6952169994</v>
      </c>
      <c r="BO198" s="716"/>
      <c r="BP198" s="716">
        <f t="shared" si="397"/>
        <v>3223465.6952169994</v>
      </c>
      <c r="BQ198" s="716"/>
      <c r="BR198" s="716">
        <f t="shared" si="398"/>
        <v>3223465.6952169994</v>
      </c>
      <c r="BS198" s="716"/>
      <c r="BT198" s="716">
        <f t="shared" si="399"/>
        <v>3223465.6952169994</v>
      </c>
      <c r="BU198" s="716"/>
      <c r="BV198" s="716">
        <f t="shared" si="372"/>
        <v>3223465.6952169994</v>
      </c>
      <c r="BW198" s="716"/>
      <c r="BX198" s="716">
        <f t="shared" si="489"/>
        <v>31400</v>
      </c>
      <c r="BY198" s="716">
        <f t="shared" si="400"/>
        <v>3254865.6952169994</v>
      </c>
      <c r="BZ198" s="716"/>
      <c r="CA198" s="716">
        <f t="shared" si="401"/>
        <v>3254865.6952169994</v>
      </c>
      <c r="CB198" s="1135">
        <f t="shared" si="402"/>
        <v>3254865.6952169994</v>
      </c>
      <c r="CC198" s="1164">
        <f t="shared" si="446"/>
        <v>3254865.6952169994</v>
      </c>
      <c r="CD198" s="1164"/>
      <c r="CE198" s="1164">
        <f t="shared" si="403"/>
        <v>0</v>
      </c>
      <c r="CF198" s="1164">
        <f t="shared" si="448"/>
        <v>0</v>
      </c>
      <c r="CG198" s="1164">
        <f t="shared" si="449"/>
        <v>0</v>
      </c>
      <c r="CH198" s="1154">
        <f t="shared" si="506"/>
        <v>3254865.6952169994</v>
      </c>
      <c r="CI198" s="935">
        <f t="shared" si="507"/>
        <v>3254865.6952169994</v>
      </c>
      <c r="CJ198" s="935">
        <f t="shared" si="404"/>
        <v>0</v>
      </c>
      <c r="CK198" s="935">
        <f t="shared" si="373"/>
        <v>333623.7337597424</v>
      </c>
      <c r="CL198" s="935">
        <f t="shared" si="374"/>
        <v>113920.29933259499</v>
      </c>
      <c r="CM198" s="1006">
        <f t="shared" si="461"/>
        <v>3702409.7283093366</v>
      </c>
      <c r="CN198" s="1007">
        <f t="shared" si="462"/>
        <v>0.125</v>
      </c>
      <c r="CO198" s="935">
        <f t="shared" si="498"/>
        <v>462801.21603866707</v>
      </c>
      <c r="CP198" s="935">
        <f t="shared" si="490"/>
        <v>30000</v>
      </c>
      <c r="CQ198" s="935">
        <f t="shared" si="499"/>
        <v>432801.21603866707</v>
      </c>
      <c r="CR198" s="745">
        <f t="shared" si="463"/>
        <v>2</v>
      </c>
      <c r="CS198" s="935">
        <f t="shared" si="500"/>
        <v>216400.60801933354</v>
      </c>
      <c r="CT198" s="1007">
        <f t="shared" si="405"/>
        <v>0.875</v>
      </c>
      <c r="CU198" s="935">
        <f t="shared" si="406"/>
        <v>3239608.5122706695</v>
      </c>
      <c r="CV198" s="1008">
        <f t="shared" si="407"/>
        <v>25116.650313852959</v>
      </c>
      <c r="CW198" s="1008">
        <f t="shared" si="408"/>
        <v>29118.517173230495</v>
      </c>
      <c r="CX198" s="1008">
        <f t="shared" si="409"/>
        <v>37614.601762345665</v>
      </c>
      <c r="CY198" s="1008">
        <f t="shared" si="410"/>
        <v>64148.131344477908</v>
      </c>
      <c r="CZ198" s="1119">
        <f t="shared" si="411"/>
        <v>263163.69659368286</v>
      </c>
      <c r="DA198" s="1119">
        <f t="shared" si="412"/>
        <v>104132.5927981539</v>
      </c>
      <c r="DB198" s="1119">
        <f t="shared" si="413"/>
        <v>75213.496927930377</v>
      </c>
      <c r="DC198" s="1119">
        <f t="shared" si="414"/>
        <v>57240.933812715106</v>
      </c>
      <c r="DD198" s="1028">
        <f t="shared" si="451"/>
        <v>0</v>
      </c>
      <c r="DE198" s="1028">
        <f t="shared" si="508"/>
        <v>0</v>
      </c>
      <c r="DF198" s="916" t="s">
        <v>512</v>
      </c>
      <c r="DG198" s="1009" t="s">
        <v>271</v>
      </c>
      <c r="DH198" s="966">
        <f t="shared" si="447"/>
        <v>45658</v>
      </c>
      <c r="DI198" s="912">
        <f t="shared" si="415"/>
        <v>14</v>
      </c>
      <c r="DK198" s="913">
        <f t="shared" si="375"/>
        <v>45723</v>
      </c>
      <c r="DL198" s="912">
        <f t="shared" si="416"/>
        <v>16</v>
      </c>
      <c r="DM198" s="750" t="s">
        <v>272</v>
      </c>
      <c r="DN198" s="750" t="s">
        <v>273</v>
      </c>
      <c r="DO198" s="751">
        <f t="shared" si="376"/>
        <v>0</v>
      </c>
      <c r="DP198" s="751">
        <f t="shared" si="377"/>
        <v>0</v>
      </c>
      <c r="DQ198" s="752">
        <f t="shared" si="452"/>
        <v>0</v>
      </c>
      <c r="DS198" s="751">
        <f t="shared" si="453"/>
        <v>3254865.6952169994</v>
      </c>
      <c r="DT198" s="751">
        <f>'[4]INTERNAL PRICELIST'!N192</f>
        <v>0</v>
      </c>
      <c r="DU198" s="751">
        <f t="shared" si="378"/>
        <v>3254865.6952169994</v>
      </c>
      <c r="DW198" s="951">
        <f t="shared" si="454"/>
        <v>147948.44069168178</v>
      </c>
      <c r="DZ198" s="1010" t="s">
        <v>648</v>
      </c>
      <c r="EA198" s="1011" t="b">
        <f t="shared" si="379"/>
        <v>1</v>
      </c>
      <c r="EB198" s="1011"/>
      <c r="EC198" s="1011"/>
      <c r="ER198" s="1017" t="s">
        <v>264</v>
      </c>
      <c r="ES198" s="1391" t="s">
        <v>264</v>
      </c>
      <c r="ET198" s="1018" t="b">
        <f t="shared" si="417"/>
        <v>1</v>
      </c>
      <c r="EX198" s="1019">
        <v>3231193.6091686958</v>
      </c>
      <c r="EY198" s="1019">
        <f t="shared" si="464"/>
        <v>484679.04137530434</v>
      </c>
      <c r="EZ198" s="1019">
        <f t="shared" si="465"/>
        <v>2746514.5677933912</v>
      </c>
      <c r="FA198" s="1019">
        <f t="shared" si="466"/>
        <v>323119.3609168696</v>
      </c>
      <c r="FB198" s="1019">
        <f t="shared" si="467"/>
        <v>2908074.248251826</v>
      </c>
      <c r="FC198" s="1019">
        <f t="shared" si="468"/>
        <v>161559.68045843486</v>
      </c>
      <c r="FD198" s="1020"/>
      <c r="FE198" s="1021"/>
      <c r="FF198" s="1022">
        <f t="shared" si="469"/>
        <v>2746514.5677933912</v>
      </c>
      <c r="FG198" s="1022">
        <f t="shared" si="470"/>
        <v>233453.73826243827</v>
      </c>
      <c r="FH198" s="1022">
        <f t="shared" si="471"/>
        <v>116726.86913121914</v>
      </c>
      <c r="FI198" s="1023">
        <f t="shared" si="472"/>
        <v>2908074.248251826</v>
      </c>
      <c r="FJ198" s="1023">
        <f t="shared" si="473"/>
        <v>247186.31110140524</v>
      </c>
      <c r="FK198" s="1023">
        <f t="shared" si="474"/>
        <v>123593.15555070262</v>
      </c>
      <c r="FL198" s="1019">
        <f t="shared" si="475"/>
        <v>13732.572838966968</v>
      </c>
      <c r="FM198" s="1019">
        <f t="shared" si="476"/>
        <v>6866.2864194834838</v>
      </c>
      <c r="FN198" s="1019" t="str">
        <f t="shared" si="477"/>
        <v>VS</v>
      </c>
      <c r="FO198" s="1019">
        <f t="shared" si="478"/>
        <v>27537.409960060559</v>
      </c>
      <c r="FP198" s="1019">
        <f t="shared" si="479"/>
        <v>-20671.123540577075</v>
      </c>
      <c r="FQ198" s="1021"/>
      <c r="FR198" s="1021"/>
      <c r="FS198" s="1020"/>
      <c r="FT198" s="1055">
        <f t="shared" si="526"/>
        <v>2908074.248251826</v>
      </c>
      <c r="FU198" s="1056"/>
      <c r="FV198" s="1056"/>
      <c r="GG198" s="956"/>
      <c r="GH198" s="1058"/>
      <c r="GI198" s="1024">
        <f t="shared" si="418"/>
        <v>3702409.7283093366</v>
      </c>
      <c r="GJ198" s="1025">
        <f t="shared" si="419"/>
        <v>0.125</v>
      </c>
      <c r="GK198" s="1024">
        <f t="shared" si="420"/>
        <v>462801.21603866707</v>
      </c>
      <c r="GL198" s="1024">
        <f t="shared" si="421"/>
        <v>30000</v>
      </c>
      <c r="GM198" s="1024">
        <f t="shared" si="422"/>
        <v>432801.21603866707</v>
      </c>
      <c r="GN198" s="1024">
        <f t="shared" si="423"/>
        <v>2</v>
      </c>
      <c r="GO198" s="1024">
        <f t="shared" si="424"/>
        <v>216400.60801933354</v>
      </c>
      <c r="GP198" s="1025">
        <f t="shared" si="425"/>
        <v>0.875</v>
      </c>
      <c r="GQ198" s="1024">
        <f t="shared" si="426"/>
        <v>3239608.5122706695</v>
      </c>
      <c r="GR198" s="1024">
        <f t="shared" si="427"/>
        <v>25116.650313852959</v>
      </c>
      <c r="GS198" s="1024">
        <f t="shared" si="428"/>
        <v>29118.517173230495</v>
      </c>
      <c r="GT198" s="1024">
        <f t="shared" si="429"/>
        <v>37614.601762345665</v>
      </c>
      <c r="GU198" s="1024">
        <f t="shared" si="430"/>
        <v>64148.131344477908</v>
      </c>
      <c r="GW198" s="1024">
        <f t="shared" si="431"/>
        <v>3702409.7283093366</v>
      </c>
      <c r="GX198" s="1025">
        <f t="shared" si="432"/>
        <v>0.125</v>
      </c>
      <c r="GY198" s="1024">
        <f t="shared" si="433"/>
        <v>462801.21603866707</v>
      </c>
      <c r="GZ198" s="1024">
        <f t="shared" si="434"/>
        <v>30000</v>
      </c>
      <c r="HA198" s="1024">
        <f t="shared" si="435"/>
        <v>432801.21603866707</v>
      </c>
      <c r="HB198" s="1026">
        <f t="shared" si="436"/>
        <v>25</v>
      </c>
      <c r="HC198" s="1009">
        <f t="shared" si="437"/>
        <v>17312.048641546684</v>
      </c>
      <c r="HD198" s="1027">
        <f t="shared" si="438"/>
        <v>0.875</v>
      </c>
      <c r="HE198" s="1009">
        <f t="shared" si="439"/>
        <v>3239608.5122706695</v>
      </c>
      <c r="HF198" s="1008">
        <f t="shared" si="440"/>
        <v>25116.650313852959</v>
      </c>
      <c r="HG198" s="1008">
        <f t="shared" si="441"/>
        <v>29118.517173230495</v>
      </c>
      <c r="HH198" s="1008">
        <f t="shared" si="442"/>
        <v>37614.601762345665</v>
      </c>
      <c r="HI198" s="1008">
        <f t="shared" si="443"/>
        <v>64148.131344477908</v>
      </c>
      <c r="HK198" s="1009">
        <f t="shared" si="444"/>
        <v>-199088.55937778685</v>
      </c>
      <c r="HR198" s="956">
        <f t="shared" si="445"/>
        <v>0</v>
      </c>
      <c r="HU198" s="956"/>
      <c r="HW198" s="956"/>
      <c r="HX198" s="956"/>
    </row>
    <row r="199" spans="1:232" ht="14.25" hidden="1" customHeight="1">
      <c r="A199" s="1018">
        <f t="shared" si="480"/>
        <v>193</v>
      </c>
      <c r="B199" s="716"/>
      <c r="C199" s="741">
        <v>1</v>
      </c>
      <c r="D199" s="716" t="s">
        <v>649</v>
      </c>
      <c r="E199" s="746" t="s">
        <v>299</v>
      </c>
      <c r="F199" s="1048"/>
      <c r="G199" s="745" t="s">
        <v>650</v>
      </c>
      <c r="H199" s="745" t="s">
        <v>266</v>
      </c>
      <c r="I199" s="745" t="s">
        <v>267</v>
      </c>
      <c r="J199" s="1005">
        <v>22</v>
      </c>
      <c r="K199" s="1049"/>
      <c r="L199" s="1006" t="s">
        <v>73</v>
      </c>
      <c r="M199" s="745" t="s">
        <v>65</v>
      </c>
      <c r="N199" s="1050">
        <v>95909.091</v>
      </c>
      <c r="O199" s="934">
        <f t="shared" si="455"/>
        <v>2110000.0019999999</v>
      </c>
      <c r="P199" s="934">
        <f t="shared" si="481"/>
        <v>22400</v>
      </c>
      <c r="Q199" s="934">
        <f t="shared" si="450"/>
        <v>50000</v>
      </c>
      <c r="R199" s="934"/>
      <c r="S199" s="934"/>
      <c r="T199" s="934"/>
      <c r="U199" s="934"/>
      <c r="V199" s="749">
        <f t="shared" si="527"/>
        <v>55000</v>
      </c>
      <c r="W199" s="934"/>
      <c r="X199" s="934"/>
      <c r="Y199" s="934">
        <f>Y198+Y5</f>
        <v>180000</v>
      </c>
      <c r="Z199" s="934">
        <f t="shared" si="456"/>
        <v>75000</v>
      </c>
      <c r="AA199" s="934"/>
      <c r="AB199" s="934"/>
      <c r="AC199" s="934"/>
      <c r="AD199" s="934"/>
      <c r="AE199" s="934">
        <f t="shared" ref="AE199:AE216" si="529">SUM(P199:AD199)</f>
        <v>382400</v>
      </c>
      <c r="AF199" s="1005">
        <f t="shared" ref="AF199:AF216" si="530">O199+AE199</f>
        <v>2492400.0019999999</v>
      </c>
      <c r="AG199" s="1005">
        <f t="shared" si="380"/>
        <v>62310.000050000002</v>
      </c>
      <c r="AH199" s="1005">
        <f t="shared" si="381"/>
        <v>2554710.0020499998</v>
      </c>
      <c r="AI199" s="1005">
        <f t="shared" si="382"/>
        <v>63867.750051249997</v>
      </c>
      <c r="AJ199" s="1005">
        <f t="shared" si="383"/>
        <v>2618577.75210125</v>
      </c>
      <c r="AK199" s="1005">
        <f t="shared" si="384"/>
        <v>130928.88760506251</v>
      </c>
      <c r="AL199" s="1005">
        <f t="shared" si="457"/>
        <v>2749506.6397063127</v>
      </c>
      <c r="AM199" s="934">
        <f t="shared" si="385"/>
        <v>27495.066397063129</v>
      </c>
      <c r="AN199" s="934">
        <f t="shared" si="386"/>
        <v>27537.409960060559</v>
      </c>
      <c r="AO199" s="934"/>
      <c r="AP199" s="934">
        <f t="shared" si="458"/>
        <v>124658.85082076512</v>
      </c>
      <c r="AQ199" s="1005">
        <f t="shared" ref="AQ199:AQ216" si="531">AL199+AM199+AP199+AN199+AO199</f>
        <v>2929197.9668842009</v>
      </c>
      <c r="AR199" s="1005">
        <f t="shared" si="387"/>
        <v>131813.90850978903</v>
      </c>
      <c r="AS199" s="1147">
        <f t="shared" si="388"/>
        <v>3061011.87539399</v>
      </c>
      <c r="AT199" s="1148">
        <f t="shared" si="528"/>
        <v>3061011.87539399</v>
      </c>
      <c r="AU199" s="1148"/>
      <c r="AV199" s="1148"/>
      <c r="AW199" s="1148"/>
      <c r="AX199" s="1148">
        <f t="shared" ref="AX199:AX215" si="532">AV199+AW199</f>
        <v>0</v>
      </c>
      <c r="AY199" s="1147">
        <f t="shared" si="389"/>
        <v>3061011.87539399</v>
      </c>
      <c r="AZ199" s="934">
        <f t="shared" si="390"/>
        <v>38262.648442424877</v>
      </c>
      <c r="BA199" s="716" t="s">
        <v>269</v>
      </c>
      <c r="BB199" s="716">
        <f t="shared" ref="BB199:BB215" si="533">SUM(AY199:BA199)</f>
        <v>3099274.5238364148</v>
      </c>
      <c r="BC199" s="716" t="s">
        <v>269</v>
      </c>
      <c r="BD199" s="716">
        <f t="shared" si="391"/>
        <v>116222.79464386555</v>
      </c>
      <c r="BE199" s="716">
        <f t="shared" si="392"/>
        <v>33600</v>
      </c>
      <c r="BF199" s="716">
        <f t="shared" si="393"/>
        <v>3249097.3184802802</v>
      </c>
      <c r="BG199" s="716"/>
      <c r="BH199" s="716">
        <f t="shared" si="394"/>
        <v>3249097.3184802802</v>
      </c>
      <c r="BI199" s="716"/>
      <c r="BJ199" s="716">
        <f t="shared" si="395"/>
        <v>3249097.3184802802</v>
      </c>
      <c r="BK199" s="716"/>
      <c r="BL199" s="716">
        <f t="shared" si="396"/>
        <v>3249097.3184802802</v>
      </c>
      <c r="BM199" s="716"/>
      <c r="BN199" s="716">
        <f t="shared" ref="BN199:BN216" si="534">BL199+BM199</f>
        <v>3249097.3184802802</v>
      </c>
      <c r="BO199" s="716"/>
      <c r="BP199" s="716">
        <f t="shared" si="397"/>
        <v>3249097.3184802802</v>
      </c>
      <c r="BQ199" s="716"/>
      <c r="BR199" s="716">
        <f t="shared" si="398"/>
        <v>3249097.3184802802</v>
      </c>
      <c r="BS199" s="716"/>
      <c r="BT199" s="716">
        <f t="shared" si="399"/>
        <v>3249097.3184802802</v>
      </c>
      <c r="BU199" s="716"/>
      <c r="BV199" s="716">
        <f t="shared" ref="BV199:BV215" si="535">BT199+BU199</f>
        <v>3249097.3184802802</v>
      </c>
      <c r="BW199" s="716"/>
      <c r="BX199" s="716">
        <f t="shared" si="489"/>
        <v>31400</v>
      </c>
      <c r="BY199" s="716">
        <f t="shared" si="400"/>
        <v>3280497.3184802802</v>
      </c>
      <c r="BZ199" s="716"/>
      <c r="CA199" s="716">
        <f t="shared" si="401"/>
        <v>3280497.3184802802</v>
      </c>
      <c r="CB199" s="1135">
        <f t="shared" si="402"/>
        <v>3280497.3184802802</v>
      </c>
      <c r="CC199" s="1164">
        <f t="shared" si="446"/>
        <v>3280497.3184802802</v>
      </c>
      <c r="CD199" s="1164"/>
      <c r="CE199" s="1164">
        <f t="shared" si="403"/>
        <v>0</v>
      </c>
      <c r="CF199" s="1164">
        <f t="shared" si="448"/>
        <v>0</v>
      </c>
      <c r="CG199" s="1164">
        <f t="shared" si="449"/>
        <v>0</v>
      </c>
      <c r="CH199" s="1154">
        <f t="shared" si="506"/>
        <v>3280497.3184802802</v>
      </c>
      <c r="CI199" s="935">
        <f t="shared" si="507"/>
        <v>3280497.3184802802</v>
      </c>
      <c r="CJ199" s="935">
        <f t="shared" si="404"/>
        <v>0</v>
      </c>
      <c r="CK199" s="935">
        <f t="shared" ref="CK199:CK216" si="536">CI199*CK$5</f>
        <v>336250.97514422872</v>
      </c>
      <c r="CL199" s="935">
        <f t="shared" ref="CL199:CL216" si="537">CI199*CL$5</f>
        <v>114817.40614680982</v>
      </c>
      <c r="CM199" s="1006">
        <f t="shared" si="461"/>
        <v>3731565.6997713191</v>
      </c>
      <c r="CN199" s="1007">
        <f t="shared" si="462"/>
        <v>0.125</v>
      </c>
      <c r="CO199" s="935">
        <f t="shared" si="498"/>
        <v>466445.71247141488</v>
      </c>
      <c r="CP199" s="935">
        <f t="shared" si="490"/>
        <v>30000</v>
      </c>
      <c r="CQ199" s="935">
        <f t="shared" si="499"/>
        <v>436445.71247141488</v>
      </c>
      <c r="CR199" s="745">
        <f t="shared" si="463"/>
        <v>2</v>
      </c>
      <c r="CS199" s="935">
        <f t="shared" si="500"/>
        <v>218222.85623570744</v>
      </c>
      <c r="CT199" s="1007">
        <f t="shared" si="405"/>
        <v>0.875</v>
      </c>
      <c r="CU199" s="935">
        <f t="shared" si="406"/>
        <v>3265119.9872999042</v>
      </c>
      <c r="CV199" s="1008">
        <f t="shared" si="407"/>
        <v>25314.440508215288</v>
      </c>
      <c r="CW199" s="1008">
        <f t="shared" si="408"/>
        <v>29347.821523104711</v>
      </c>
      <c r="CX199" s="1008">
        <f t="shared" si="409"/>
        <v>37910.811619172498</v>
      </c>
      <c r="CY199" s="1008">
        <f t="shared" si="410"/>
        <v>64653.289126588956</v>
      </c>
      <c r="CZ199" s="1119">
        <f t="shared" si="411"/>
        <v>265236.0747988954</v>
      </c>
      <c r="DA199" s="1119">
        <f t="shared" si="412"/>
        <v>104952.62275882268</v>
      </c>
      <c r="DB199" s="1119">
        <f t="shared" si="413"/>
        <v>75805.792954277524</v>
      </c>
      <c r="DC199" s="1119">
        <f t="shared" si="414"/>
        <v>57691.698356666006</v>
      </c>
      <c r="DD199" s="1028">
        <f t="shared" si="451"/>
        <v>0</v>
      </c>
      <c r="DE199" s="1028">
        <f t="shared" si="508"/>
        <v>0</v>
      </c>
      <c r="DF199" s="916" t="s">
        <v>512</v>
      </c>
      <c r="DG199" s="1009" t="s">
        <v>271</v>
      </c>
      <c r="DH199" s="966">
        <f t="shared" si="447"/>
        <v>45658</v>
      </c>
      <c r="DI199" s="912">
        <f t="shared" si="415"/>
        <v>14</v>
      </c>
      <c r="DK199" s="913">
        <f t="shared" ref="DK199:DK216" si="538">DH199+65</f>
        <v>45723</v>
      </c>
      <c r="DL199" s="912">
        <f t="shared" si="416"/>
        <v>16</v>
      </c>
      <c r="DM199" s="750" t="s">
        <v>272</v>
      </c>
      <c r="DN199" s="750" t="s">
        <v>273</v>
      </c>
      <c r="DO199" s="751">
        <f t="shared" ref="DO199:DO216" si="539">DP199/J199</f>
        <v>0</v>
      </c>
      <c r="DP199" s="751">
        <f t="shared" ref="DP199:DP216" si="540">AX199</f>
        <v>0</v>
      </c>
      <c r="DQ199" s="752">
        <f t="shared" si="452"/>
        <v>0</v>
      </c>
      <c r="DS199" s="751">
        <f t="shared" si="453"/>
        <v>3280497.3184802802</v>
      </c>
      <c r="DT199" s="751">
        <f>'[4]INTERNAL PRICELIST'!N193</f>
        <v>0</v>
      </c>
      <c r="DU199" s="751">
        <f t="shared" ref="DU199:DU216" si="541">DS199-DT199</f>
        <v>3280497.3184802802</v>
      </c>
      <c r="DW199" s="951">
        <f t="shared" si="454"/>
        <v>149113.51447637638</v>
      </c>
      <c r="DZ199" s="1010" t="s">
        <v>650</v>
      </c>
      <c r="EA199" s="1011" t="b">
        <f t="shared" ref="EA199:EA216" si="542">G199=DZ199</f>
        <v>1</v>
      </c>
      <c r="EB199" s="1011"/>
      <c r="EC199" s="1011"/>
      <c r="ER199" s="1017" t="s">
        <v>264</v>
      </c>
      <c r="ES199" s="1391" t="s">
        <v>264</v>
      </c>
      <c r="ET199" s="1018" t="b">
        <f t="shared" si="417"/>
        <v>1</v>
      </c>
      <c r="EX199" s="1019">
        <v>3259054.9234186956</v>
      </c>
      <c r="EY199" s="1019">
        <f t="shared" si="464"/>
        <v>488858.23851280432</v>
      </c>
      <c r="EZ199" s="1019">
        <f t="shared" si="465"/>
        <v>2770196.6849058913</v>
      </c>
      <c r="FA199" s="1019">
        <f t="shared" si="466"/>
        <v>325905.49234186957</v>
      </c>
      <c r="FB199" s="1019">
        <f t="shared" si="467"/>
        <v>2933149.4310768261</v>
      </c>
      <c r="FC199" s="1019">
        <f t="shared" si="468"/>
        <v>162952.74617093476</v>
      </c>
      <c r="FD199" s="1020"/>
      <c r="FE199" s="1021"/>
      <c r="FF199" s="1022">
        <f t="shared" si="469"/>
        <v>2770196.6849058913</v>
      </c>
      <c r="FG199" s="1022">
        <f t="shared" si="470"/>
        <v>235466.71821700077</v>
      </c>
      <c r="FH199" s="1022">
        <f t="shared" si="471"/>
        <v>117733.35910850039</v>
      </c>
      <c r="FI199" s="1023">
        <f t="shared" si="472"/>
        <v>2933149.4310768261</v>
      </c>
      <c r="FJ199" s="1023">
        <f t="shared" si="473"/>
        <v>249317.70164153024</v>
      </c>
      <c r="FK199" s="1023">
        <f t="shared" si="474"/>
        <v>124658.85082076512</v>
      </c>
      <c r="FL199" s="1019">
        <f t="shared" si="475"/>
        <v>13850.983424529462</v>
      </c>
      <c r="FM199" s="1019">
        <f t="shared" si="476"/>
        <v>6925.4917122647312</v>
      </c>
      <c r="FN199" s="1019" t="str">
        <f t="shared" si="477"/>
        <v>VS</v>
      </c>
      <c r="FO199" s="1019">
        <f t="shared" si="478"/>
        <v>27537.409960060559</v>
      </c>
      <c r="FP199" s="1019">
        <f t="shared" si="479"/>
        <v>-20611.918247795827</v>
      </c>
      <c r="FQ199" s="1021"/>
      <c r="FR199" s="1021"/>
      <c r="FS199" s="1020"/>
      <c r="FT199" s="503"/>
      <c r="FU199" s="956"/>
      <c r="FV199" s="503"/>
      <c r="GG199" s="956"/>
      <c r="GI199" s="1024">
        <f t="shared" si="418"/>
        <v>3731565.6997713191</v>
      </c>
      <c r="GJ199" s="1025">
        <f t="shared" si="419"/>
        <v>0.125</v>
      </c>
      <c r="GK199" s="1024">
        <f t="shared" si="420"/>
        <v>466445.71247141488</v>
      </c>
      <c r="GL199" s="1024">
        <f t="shared" si="421"/>
        <v>30000</v>
      </c>
      <c r="GM199" s="1024">
        <f t="shared" si="422"/>
        <v>436445.71247141488</v>
      </c>
      <c r="GN199" s="1024">
        <f t="shared" si="423"/>
        <v>2</v>
      </c>
      <c r="GO199" s="1024">
        <f t="shared" si="424"/>
        <v>218222.85623570744</v>
      </c>
      <c r="GP199" s="1025">
        <f t="shared" si="425"/>
        <v>0.875</v>
      </c>
      <c r="GQ199" s="1024">
        <f t="shared" si="426"/>
        <v>3265119.9872999042</v>
      </c>
      <c r="GR199" s="1024">
        <f t="shared" si="427"/>
        <v>25314.440508215288</v>
      </c>
      <c r="GS199" s="1024">
        <f t="shared" si="428"/>
        <v>29347.821523104711</v>
      </c>
      <c r="GT199" s="1024">
        <f t="shared" si="429"/>
        <v>37910.811619172498</v>
      </c>
      <c r="GU199" s="1024">
        <f t="shared" si="430"/>
        <v>64653.289126588956</v>
      </c>
      <c r="GW199" s="1024">
        <f t="shared" si="431"/>
        <v>3731565.6997713191</v>
      </c>
      <c r="GX199" s="1025">
        <f t="shared" si="432"/>
        <v>0.125</v>
      </c>
      <c r="GY199" s="1024">
        <f t="shared" si="433"/>
        <v>466445.71247141488</v>
      </c>
      <c r="GZ199" s="1024">
        <f t="shared" si="434"/>
        <v>30000</v>
      </c>
      <c r="HA199" s="1024">
        <f t="shared" si="435"/>
        <v>436445.71247141488</v>
      </c>
      <c r="HB199" s="1026">
        <f t="shared" si="436"/>
        <v>25</v>
      </c>
      <c r="HC199" s="1009">
        <f t="shared" si="437"/>
        <v>17457.828498856594</v>
      </c>
      <c r="HD199" s="1027">
        <f t="shared" si="438"/>
        <v>0.875</v>
      </c>
      <c r="HE199" s="1009">
        <f t="shared" si="439"/>
        <v>3265119.9872999042</v>
      </c>
      <c r="HF199" s="1008">
        <f t="shared" si="440"/>
        <v>25314.440508215288</v>
      </c>
      <c r="HG199" s="1008">
        <f t="shared" si="441"/>
        <v>29347.821523104711</v>
      </c>
      <c r="HH199" s="1008">
        <f t="shared" si="442"/>
        <v>37910.811619172498</v>
      </c>
      <c r="HI199" s="1008">
        <f t="shared" si="443"/>
        <v>64653.289126588956</v>
      </c>
      <c r="HK199" s="1009">
        <f t="shared" si="444"/>
        <v>-200765.02773685084</v>
      </c>
      <c r="HR199" s="956">
        <f t="shared" si="445"/>
        <v>0</v>
      </c>
      <c r="HU199" s="956"/>
      <c r="HW199" s="956"/>
      <c r="HX199" s="956"/>
    </row>
    <row r="200" spans="1:232" ht="14.25" hidden="1" customHeight="1">
      <c r="A200" s="1018">
        <f t="shared" si="480"/>
        <v>194</v>
      </c>
      <c r="B200" s="716"/>
      <c r="C200" s="741">
        <f>C199+1</f>
        <v>2</v>
      </c>
      <c r="D200" s="716" t="s">
        <v>649</v>
      </c>
      <c r="E200" s="746" t="s">
        <v>299</v>
      </c>
      <c r="F200" s="1048"/>
      <c r="G200" s="745" t="s">
        <v>651</v>
      </c>
      <c r="H200" s="745" t="s">
        <v>278</v>
      </c>
      <c r="I200" s="745" t="s">
        <v>267</v>
      </c>
      <c r="J200" s="1005">
        <v>22</v>
      </c>
      <c r="K200" s="1049"/>
      <c r="L200" s="1006" t="s">
        <v>73</v>
      </c>
      <c r="M200" s="745" t="s">
        <v>240</v>
      </c>
      <c r="N200" s="1050">
        <v>95909.091</v>
      </c>
      <c r="O200" s="934">
        <f t="shared" si="455"/>
        <v>2110000.0019999999</v>
      </c>
      <c r="P200" s="934">
        <f t="shared" si="481"/>
        <v>22400</v>
      </c>
      <c r="Q200" s="934">
        <f t="shared" si="450"/>
        <v>50000</v>
      </c>
      <c r="R200" s="934"/>
      <c r="S200" s="934"/>
      <c r="T200" s="934"/>
      <c r="U200" s="934"/>
      <c r="V200" s="749"/>
      <c r="W200" s="749">
        <f t="shared" ref="W200:W203" si="543">J200*$W$5</f>
        <v>22000</v>
      </c>
      <c r="X200" s="934"/>
      <c r="Y200" s="934">
        <f>$Y$199</f>
        <v>180000</v>
      </c>
      <c r="Z200" s="934">
        <f t="shared" si="456"/>
        <v>75000</v>
      </c>
      <c r="AA200" s="934"/>
      <c r="AB200" s="934"/>
      <c r="AC200" s="934"/>
      <c r="AD200" s="934"/>
      <c r="AE200" s="934">
        <f t="shared" si="529"/>
        <v>349400</v>
      </c>
      <c r="AF200" s="1005">
        <f t="shared" si="530"/>
        <v>2459400.0019999999</v>
      </c>
      <c r="AG200" s="1005">
        <f t="shared" ref="AG200:AG216" si="544">AF200*$AG$5</f>
        <v>61485.000050000002</v>
      </c>
      <c r="AH200" s="1005">
        <f t="shared" ref="AH200:AH216" si="545">AF200+AG200</f>
        <v>2520885.0020499998</v>
      </c>
      <c r="AI200" s="1005">
        <f t="shared" ref="AI200:AI216" si="546">AH200*$AI$5</f>
        <v>63022.125051249997</v>
      </c>
      <c r="AJ200" s="1005">
        <f t="shared" ref="AJ200:AJ216" si="547">AH200+AI200</f>
        <v>2583907.12710125</v>
      </c>
      <c r="AK200" s="1005">
        <f t="shared" ref="AK200:AK216" si="548">AJ200*$AK$5</f>
        <v>129195.35635506251</v>
      </c>
      <c r="AL200" s="1005">
        <f t="shared" si="457"/>
        <v>2713102.4834563127</v>
      </c>
      <c r="AM200" s="934">
        <f t="shared" ref="AM200:AM216" si="549">AL200*$AM$5</f>
        <v>27131.024834563126</v>
      </c>
      <c r="AN200" s="934">
        <f t="shared" ref="AN200:AN216" si="550">$AN$5</f>
        <v>27537.409960060559</v>
      </c>
      <c r="AO200" s="934"/>
      <c r="AP200" s="934">
        <f t="shared" si="458"/>
        <v>120698.09746615516</v>
      </c>
      <c r="AQ200" s="1005">
        <f t="shared" si="531"/>
        <v>2888469.015717091</v>
      </c>
      <c r="AR200" s="1005">
        <f t="shared" ref="AR200:AR216" si="551">AQ200*$AR$5</f>
        <v>129981.10570726909</v>
      </c>
      <c r="AS200" s="1147">
        <f t="shared" ref="AS200:AS216" si="552">AQ200+AR200</f>
        <v>3018450.1214243602</v>
      </c>
      <c r="AT200" s="1148">
        <f t="shared" si="528"/>
        <v>3018450.1214243602</v>
      </c>
      <c r="AU200" s="1148"/>
      <c r="AV200" s="1148"/>
      <c r="AW200" s="1148"/>
      <c r="AX200" s="1148">
        <f t="shared" si="532"/>
        <v>0</v>
      </c>
      <c r="AY200" s="1147">
        <f t="shared" ref="AY200:AY216" si="553">AS200+AW200</f>
        <v>3018450.1214243602</v>
      </c>
      <c r="AZ200" s="934">
        <f t="shared" ref="AZ200:AZ215" si="554">AY200*$AZ$5</f>
        <v>37730.626517804507</v>
      </c>
      <c r="BA200" s="716" t="s">
        <v>269</v>
      </c>
      <c r="BB200" s="716">
        <f t="shared" si="533"/>
        <v>3056180.7479421645</v>
      </c>
      <c r="BC200" s="716" t="s">
        <v>269</v>
      </c>
      <c r="BD200" s="716">
        <f t="shared" ref="BD200:BD216" si="555">BB200*$BD$5</f>
        <v>114606.77804783116</v>
      </c>
      <c r="BE200" s="716">
        <f t="shared" ref="BE200:BE216" si="556">$BE$5*1.12</f>
        <v>33600</v>
      </c>
      <c r="BF200" s="716">
        <f t="shared" ref="BF200:BF216" si="557">BB200+BC200+BD200+BE200</f>
        <v>3204387.5259899958</v>
      </c>
      <c r="BG200" s="716"/>
      <c r="BH200" s="716">
        <f t="shared" ref="BH200:BH216" si="558">BF200+BG200</f>
        <v>3204387.5259899958</v>
      </c>
      <c r="BI200" s="716"/>
      <c r="BJ200" s="716">
        <f t="shared" ref="BJ200:BJ216" si="559">BH200+BI200</f>
        <v>3204387.5259899958</v>
      </c>
      <c r="BK200" s="716"/>
      <c r="BL200" s="716">
        <f t="shared" ref="BL200:BL216" si="560">BJ200+BK200</f>
        <v>3204387.5259899958</v>
      </c>
      <c r="BM200" s="716"/>
      <c r="BN200" s="716">
        <f t="shared" si="534"/>
        <v>3204387.5259899958</v>
      </c>
      <c r="BO200" s="716"/>
      <c r="BP200" s="716">
        <f t="shared" ref="BP200:BP216" si="561">BN200+BO200</f>
        <v>3204387.5259899958</v>
      </c>
      <c r="BQ200" s="716"/>
      <c r="BR200" s="716">
        <f t="shared" ref="BR200:BR216" si="562">BP200+BQ200</f>
        <v>3204387.5259899958</v>
      </c>
      <c r="BS200" s="716"/>
      <c r="BT200" s="716">
        <f t="shared" ref="BT200:BT216" si="563">BR200+BS200</f>
        <v>3204387.5259899958</v>
      </c>
      <c r="BU200" s="716"/>
      <c r="BV200" s="716">
        <f t="shared" si="535"/>
        <v>3204387.5259899958</v>
      </c>
      <c r="BW200" s="716"/>
      <c r="BX200" s="716">
        <f t="shared" si="489"/>
        <v>31400</v>
      </c>
      <c r="BY200" s="716">
        <f t="shared" ref="BY200:BY216" si="564">SUM(BV200:BX200)</f>
        <v>3235787.5259899958</v>
      </c>
      <c r="BZ200" s="716"/>
      <c r="CA200" s="716">
        <f t="shared" ref="CA200:CA217" si="565">BY200+BZ200</f>
        <v>3235787.5259899958</v>
      </c>
      <c r="CB200" s="1135">
        <f t="shared" ref="CB200:CB216" si="566">BY200</f>
        <v>3235787.5259899958</v>
      </c>
      <c r="CC200" s="1164">
        <f t="shared" si="446"/>
        <v>3235787.5259899958</v>
      </c>
      <c r="CD200" s="1164"/>
      <c r="CE200" s="1164">
        <f t="shared" ref="CE200:CE216" si="567">CD200*J200</f>
        <v>0</v>
      </c>
      <c r="CF200" s="1164">
        <f t="shared" si="448"/>
        <v>0</v>
      </c>
      <c r="CG200" s="1164">
        <f t="shared" si="449"/>
        <v>0</v>
      </c>
      <c r="CH200" s="1154">
        <f t="shared" si="506"/>
        <v>3235787.5259899958</v>
      </c>
      <c r="CI200" s="935">
        <f t="shared" si="507"/>
        <v>3235787.5259899958</v>
      </c>
      <c r="CJ200" s="935">
        <f t="shared" ref="CJ200:CJ216" si="568">IF(CC200&lt;=$CC$3,0,12%*CC200)</f>
        <v>0</v>
      </c>
      <c r="CK200" s="935">
        <f t="shared" si="536"/>
        <v>331668.22141397453</v>
      </c>
      <c r="CL200" s="935">
        <f t="shared" si="537"/>
        <v>113252.56340964987</v>
      </c>
      <c r="CM200" s="1006">
        <f t="shared" si="461"/>
        <v>3680708.3108136202</v>
      </c>
      <c r="CN200" s="1007">
        <f t="shared" si="462"/>
        <v>0.125</v>
      </c>
      <c r="CO200" s="935">
        <f t="shared" si="498"/>
        <v>460088.53885170253</v>
      </c>
      <c r="CP200" s="935">
        <f t="shared" si="490"/>
        <v>30000</v>
      </c>
      <c r="CQ200" s="935">
        <f t="shared" si="499"/>
        <v>430088.53885170253</v>
      </c>
      <c r="CR200" s="745">
        <f t="shared" si="463"/>
        <v>2</v>
      </c>
      <c r="CS200" s="935">
        <f t="shared" si="500"/>
        <v>215044.26942585126</v>
      </c>
      <c r="CT200" s="1007">
        <f t="shared" ref="CT200:CT216" si="569">100%-CN200</f>
        <v>0.875</v>
      </c>
      <c r="CU200" s="935">
        <f t="shared" ref="CU200:CU216" si="570">CM200*CT200</f>
        <v>3220619.7719619176</v>
      </c>
      <c r="CV200" s="1008">
        <f t="shared" ref="CV200:CV216" si="571">-PMT($CV$5/12,240,CU200,0)</f>
        <v>24969.430812351773</v>
      </c>
      <c r="CW200" s="1008">
        <f t="shared" ref="CW200:CW216" si="572">-PMT($CV$5/12,180,CU200,0)</f>
        <v>28947.841007056682</v>
      </c>
      <c r="CX200" s="1008">
        <f t="shared" ref="CX200:CX216" si="573">-PMT($CV$5/12,120,CU200,0)</f>
        <v>37394.126386393007</v>
      </c>
      <c r="CY200" s="1008">
        <f t="shared" ref="CY200:CY216" si="574">-PMT($CV$5/12,60,CU200,0)</f>
        <v>63772.131527593177</v>
      </c>
      <c r="CZ200" s="1119">
        <f t="shared" ref="CZ200:CZ216" si="575">(CM200*80%)*$CZ$5</f>
        <v>261621.18086242062</v>
      </c>
      <c r="DA200" s="1119">
        <f t="shared" ref="DA200:DA216" si="576">(CM200*80%)*$DA$5</f>
        <v>103522.22683731896</v>
      </c>
      <c r="DB200" s="1119">
        <f t="shared" ref="DB200:DB216" si="577">(CM200*80%)*$DB$5</f>
        <v>74772.638239151187</v>
      </c>
      <c r="DC200" s="1119">
        <f t="shared" ref="DC200:DC216" si="578">(CM200*80%)*$DC$5</f>
        <v>56905.420054468348</v>
      </c>
      <c r="DD200" s="1028">
        <f t="shared" si="451"/>
        <v>0</v>
      </c>
      <c r="DE200" s="1028">
        <f t="shared" si="508"/>
        <v>0</v>
      </c>
      <c r="DF200" s="916" t="s">
        <v>512</v>
      </c>
      <c r="DG200" s="1009" t="s">
        <v>271</v>
      </c>
      <c r="DH200" s="966">
        <f t="shared" si="447"/>
        <v>45658</v>
      </c>
      <c r="DI200" s="912">
        <f t="shared" ref="DI200:DI216" si="579">(YEAR(DH200)-YEAR($DI$5))*12+MONTH(DH200)-MONTH($DI$5)</f>
        <v>14</v>
      </c>
      <c r="DK200" s="913">
        <f t="shared" si="538"/>
        <v>45723</v>
      </c>
      <c r="DL200" s="912">
        <f t="shared" ref="DL200:DL216" si="580">(YEAR(DK200)-YEAR($DL$5))*12+MONTH(DK200)-MONTH($DL$5)+$DL$4+$DL$3</f>
        <v>16</v>
      </c>
      <c r="DM200" s="750" t="s">
        <v>272</v>
      </c>
      <c r="DN200" s="750" t="s">
        <v>273</v>
      </c>
      <c r="DO200" s="751">
        <f t="shared" si="539"/>
        <v>0</v>
      </c>
      <c r="DP200" s="751">
        <f t="shared" si="540"/>
        <v>0</v>
      </c>
      <c r="DQ200" s="752">
        <f t="shared" si="452"/>
        <v>0</v>
      </c>
      <c r="DS200" s="751">
        <f t="shared" si="453"/>
        <v>3235787.5259899958</v>
      </c>
      <c r="DT200" s="751">
        <f>'[4]INTERNAL PRICELIST'!N194</f>
        <v>0</v>
      </c>
      <c r="DU200" s="751">
        <f t="shared" si="541"/>
        <v>3235787.5259899958</v>
      </c>
      <c r="DW200" s="951">
        <f t="shared" si="454"/>
        <v>147081.25118136345</v>
      </c>
      <c r="DZ200" s="1010" t="s">
        <v>651</v>
      </c>
      <c r="EA200" s="1011" t="b">
        <f t="shared" si="542"/>
        <v>1</v>
      </c>
      <c r="EB200" s="1011"/>
      <c r="EC200" s="1011"/>
      <c r="ER200" s="1017" t="s">
        <v>264</v>
      </c>
      <c r="ES200" s="1391" t="s">
        <v>264</v>
      </c>
      <c r="ET200" s="1018" t="b">
        <f t="shared" ref="ET200:ET216" si="581">ER200=ES200</f>
        <v>1</v>
      </c>
      <c r="EX200" s="1019">
        <v>3155505.8161086314</v>
      </c>
      <c r="EY200" s="1019">
        <f t="shared" si="464"/>
        <v>473325.8724162947</v>
      </c>
      <c r="EZ200" s="1019">
        <f t="shared" si="465"/>
        <v>2682179.9436923368</v>
      </c>
      <c r="FA200" s="1019">
        <f t="shared" si="466"/>
        <v>315550.58161086316</v>
      </c>
      <c r="FB200" s="1019">
        <f t="shared" si="467"/>
        <v>2839955.2344977683</v>
      </c>
      <c r="FC200" s="1019">
        <f t="shared" si="468"/>
        <v>157775.29080543155</v>
      </c>
      <c r="FD200" s="1020"/>
      <c r="FE200" s="1021"/>
      <c r="FF200" s="1022">
        <f t="shared" si="469"/>
        <v>2682179.9436923368</v>
      </c>
      <c r="FG200" s="1022">
        <f t="shared" si="470"/>
        <v>227985.29521384864</v>
      </c>
      <c r="FH200" s="1022">
        <f t="shared" si="471"/>
        <v>113992.64760692432</v>
      </c>
      <c r="FI200" s="1023">
        <f t="shared" si="472"/>
        <v>2839955.2344977683</v>
      </c>
      <c r="FJ200" s="1023">
        <f t="shared" si="473"/>
        <v>241396.19493231032</v>
      </c>
      <c r="FK200" s="1023">
        <f t="shared" si="474"/>
        <v>120698.09746615516</v>
      </c>
      <c r="FL200" s="1019">
        <f t="shared" si="475"/>
        <v>13410.899718461675</v>
      </c>
      <c r="FM200" s="1019">
        <f t="shared" si="476"/>
        <v>6705.4498592308373</v>
      </c>
      <c r="FN200" s="1019" t="str">
        <f t="shared" si="477"/>
        <v>VS</v>
      </c>
      <c r="FO200" s="1019">
        <f t="shared" si="478"/>
        <v>27537.409960060559</v>
      </c>
      <c r="FP200" s="1019">
        <f t="shared" si="479"/>
        <v>-20831.960100829721</v>
      </c>
      <c r="FQ200" s="1021"/>
      <c r="FR200" s="1021"/>
      <c r="FS200" s="1020"/>
      <c r="FT200" s="1055">
        <f t="shared" ref="FT200:FT202" si="582">FB200</f>
        <v>2839955.2344977683</v>
      </c>
      <c r="FU200" s="1056"/>
      <c r="FV200" s="1056"/>
      <c r="GG200" s="956"/>
      <c r="GH200" s="1058"/>
      <c r="GI200" s="1024">
        <f t="shared" ref="GI200:GI216" si="583">CM200</f>
        <v>3680708.3108136202</v>
      </c>
      <c r="GJ200" s="1025">
        <f t="shared" ref="GJ200:GJ216" si="584">CN200</f>
        <v>0.125</v>
      </c>
      <c r="GK200" s="1024">
        <f t="shared" ref="GK200:GK216" si="585">CO200</f>
        <v>460088.53885170253</v>
      </c>
      <c r="GL200" s="1024">
        <f t="shared" ref="GL200:GL216" si="586">CP200</f>
        <v>30000</v>
      </c>
      <c r="GM200" s="1024">
        <f t="shared" ref="GM200:GM216" si="587">CQ200</f>
        <v>430088.53885170253</v>
      </c>
      <c r="GN200" s="1024">
        <f t="shared" ref="GN200:GN216" si="588">CR200</f>
        <v>2</v>
      </c>
      <c r="GO200" s="1024">
        <f t="shared" ref="GO200:GO216" si="589">CS200</f>
        <v>215044.26942585126</v>
      </c>
      <c r="GP200" s="1025">
        <f t="shared" ref="GP200:GP216" si="590">CT200</f>
        <v>0.875</v>
      </c>
      <c r="GQ200" s="1024">
        <f t="shared" ref="GQ200:GQ216" si="591">CU200</f>
        <v>3220619.7719619176</v>
      </c>
      <c r="GR200" s="1024">
        <f t="shared" ref="GR200:GR216" si="592">CV200</f>
        <v>24969.430812351773</v>
      </c>
      <c r="GS200" s="1024">
        <f t="shared" ref="GS200:GS216" si="593">CW200</f>
        <v>28947.841007056682</v>
      </c>
      <c r="GT200" s="1024">
        <f t="shared" ref="GT200:GT216" si="594">CX200</f>
        <v>37394.126386393007</v>
      </c>
      <c r="GU200" s="1024">
        <f t="shared" ref="GU200:GU216" si="595">CY200</f>
        <v>63772.131527593177</v>
      </c>
      <c r="GW200" s="1024">
        <f t="shared" ref="GW200:GW216" si="596">GI200</f>
        <v>3680708.3108136202</v>
      </c>
      <c r="GX200" s="1025">
        <f t="shared" ref="GX200:GX216" si="597">GJ200</f>
        <v>0.125</v>
      </c>
      <c r="GY200" s="1024">
        <f t="shared" ref="GY200:GY216" si="598">GK200</f>
        <v>460088.53885170253</v>
      </c>
      <c r="GZ200" s="1024">
        <f t="shared" ref="GZ200:GZ216" si="599">GL200</f>
        <v>30000</v>
      </c>
      <c r="HA200" s="1024">
        <f t="shared" ref="HA200:HA216" si="600">GM200</f>
        <v>430088.53885170253</v>
      </c>
      <c r="HB200" s="1026">
        <f t="shared" ref="HB200:HB216" si="601">$HB$5</f>
        <v>25</v>
      </c>
      <c r="HC200" s="1009">
        <f t="shared" ref="HC200:HC216" si="602">HA200/HB200</f>
        <v>17203.541554068102</v>
      </c>
      <c r="HD200" s="1027">
        <f t="shared" ref="HD200:HD216" si="603">100%-GX200</f>
        <v>0.875</v>
      </c>
      <c r="HE200" s="1009">
        <f t="shared" ref="HE200:HE216" si="604">GW200*HD200</f>
        <v>3220619.7719619176</v>
      </c>
      <c r="HF200" s="1008">
        <f t="shared" ref="HF200:HF216" si="605">-PMT(7%/12,240,HE200,0)</f>
        <v>24969.430812351773</v>
      </c>
      <c r="HG200" s="1008">
        <f t="shared" ref="HG200:HG216" si="606">-PMT(7%/12,180,HE200,0)</f>
        <v>28947.841007056682</v>
      </c>
      <c r="HH200" s="1008">
        <f t="shared" ref="HH200:HH216" si="607">-PMT(7%/12,120,HE200,0)</f>
        <v>37394.126386393007</v>
      </c>
      <c r="HI200" s="1008">
        <f t="shared" ref="HI200:HI216" si="608">-PMT(7%/12,60,HE200,0)</f>
        <v>63772.131527593177</v>
      </c>
      <c r="HK200" s="1009">
        <f t="shared" ref="HK200:HK216" si="609">HC200-GO200</f>
        <v>-197840.72787178317</v>
      </c>
      <c r="HR200" s="956">
        <f t="shared" ref="HR200:HR216" si="610">CB200-CH200</f>
        <v>0</v>
      </c>
      <c r="HU200" s="956"/>
      <c r="HW200" s="956"/>
      <c r="HX200" s="956"/>
    </row>
    <row r="201" spans="1:232" ht="14.25" hidden="1" customHeight="1">
      <c r="A201" s="1018">
        <f t="shared" si="480"/>
        <v>195</v>
      </c>
      <c r="B201" s="716"/>
      <c r="C201" s="741">
        <f t="shared" ref="C201:C216" si="611">C200+1</f>
        <v>3</v>
      </c>
      <c r="D201" s="716" t="s">
        <v>649</v>
      </c>
      <c r="E201" s="746" t="s">
        <v>299</v>
      </c>
      <c r="F201" s="1048"/>
      <c r="G201" s="745" t="s">
        <v>652</v>
      </c>
      <c r="H201" s="745" t="s">
        <v>283</v>
      </c>
      <c r="I201" s="745" t="s">
        <v>267</v>
      </c>
      <c r="J201" s="1005">
        <v>22</v>
      </c>
      <c r="K201" s="1049"/>
      <c r="L201" s="1006" t="s">
        <v>73</v>
      </c>
      <c r="M201" s="745" t="s">
        <v>240</v>
      </c>
      <c r="N201" s="1050">
        <v>95909.091</v>
      </c>
      <c r="O201" s="934">
        <f t="shared" si="455"/>
        <v>2110000.0019999999</v>
      </c>
      <c r="P201" s="934">
        <f t="shared" si="481"/>
        <v>22400</v>
      </c>
      <c r="Q201" s="934">
        <f t="shared" si="450"/>
        <v>50000</v>
      </c>
      <c r="R201" s="934"/>
      <c r="S201" s="934"/>
      <c r="T201" s="934"/>
      <c r="U201" s="934"/>
      <c r="V201" s="749"/>
      <c r="W201" s="749">
        <f t="shared" si="543"/>
        <v>22000</v>
      </c>
      <c r="X201" s="934"/>
      <c r="Y201" s="934">
        <f t="shared" ref="Y201:Y216" si="612">$Y$199</f>
        <v>180000</v>
      </c>
      <c r="Z201" s="934">
        <f t="shared" si="456"/>
        <v>75000</v>
      </c>
      <c r="AA201" s="934"/>
      <c r="AB201" s="934"/>
      <c r="AC201" s="934"/>
      <c r="AD201" s="934"/>
      <c r="AE201" s="934">
        <f t="shared" si="529"/>
        <v>349400</v>
      </c>
      <c r="AF201" s="1005">
        <f t="shared" si="530"/>
        <v>2459400.0019999999</v>
      </c>
      <c r="AG201" s="1005">
        <f t="shared" si="544"/>
        <v>61485.000050000002</v>
      </c>
      <c r="AH201" s="1005">
        <f t="shared" si="545"/>
        <v>2520885.0020499998</v>
      </c>
      <c r="AI201" s="1005">
        <f t="shared" si="546"/>
        <v>63022.125051249997</v>
      </c>
      <c r="AJ201" s="1005">
        <f t="shared" si="547"/>
        <v>2583907.12710125</v>
      </c>
      <c r="AK201" s="1005">
        <f t="shared" si="548"/>
        <v>129195.35635506251</v>
      </c>
      <c r="AL201" s="1005">
        <f t="shared" si="457"/>
        <v>2713102.4834563127</v>
      </c>
      <c r="AM201" s="934">
        <f t="shared" si="549"/>
        <v>27131.024834563126</v>
      </c>
      <c r="AN201" s="934">
        <f t="shared" si="550"/>
        <v>27537.409960060559</v>
      </c>
      <c r="AO201" s="934"/>
      <c r="AP201" s="934">
        <f t="shared" si="458"/>
        <v>120698.09746615516</v>
      </c>
      <c r="AQ201" s="1005">
        <f t="shared" si="531"/>
        <v>2888469.015717091</v>
      </c>
      <c r="AR201" s="1005">
        <f t="shared" si="551"/>
        <v>129981.10570726909</v>
      </c>
      <c r="AS201" s="1147">
        <f t="shared" si="552"/>
        <v>3018450.1214243602</v>
      </c>
      <c r="AT201" s="1148">
        <f t="shared" si="528"/>
        <v>3018450.1214243602</v>
      </c>
      <c r="AU201" s="1148"/>
      <c r="AV201" s="1148"/>
      <c r="AW201" s="1148"/>
      <c r="AX201" s="1148">
        <f t="shared" si="532"/>
        <v>0</v>
      </c>
      <c r="AY201" s="1147">
        <f t="shared" si="553"/>
        <v>3018450.1214243602</v>
      </c>
      <c r="AZ201" s="934">
        <f t="shared" si="554"/>
        <v>37730.626517804507</v>
      </c>
      <c r="BA201" s="716" t="s">
        <v>269</v>
      </c>
      <c r="BB201" s="716">
        <f t="shared" si="533"/>
        <v>3056180.7479421645</v>
      </c>
      <c r="BC201" s="716" t="s">
        <v>269</v>
      </c>
      <c r="BD201" s="716">
        <f t="shared" si="555"/>
        <v>114606.77804783116</v>
      </c>
      <c r="BE201" s="716">
        <f t="shared" si="556"/>
        <v>33600</v>
      </c>
      <c r="BF201" s="716">
        <f t="shared" si="557"/>
        <v>3204387.5259899958</v>
      </c>
      <c r="BG201" s="716"/>
      <c r="BH201" s="716">
        <f t="shared" si="558"/>
        <v>3204387.5259899958</v>
      </c>
      <c r="BI201" s="716"/>
      <c r="BJ201" s="716">
        <f t="shared" si="559"/>
        <v>3204387.5259899958</v>
      </c>
      <c r="BK201" s="716"/>
      <c r="BL201" s="716">
        <f t="shared" si="560"/>
        <v>3204387.5259899958</v>
      </c>
      <c r="BM201" s="716"/>
      <c r="BN201" s="716">
        <f t="shared" si="534"/>
        <v>3204387.5259899958</v>
      </c>
      <c r="BO201" s="716"/>
      <c r="BP201" s="716">
        <f t="shared" si="561"/>
        <v>3204387.5259899958</v>
      </c>
      <c r="BQ201" s="716"/>
      <c r="BR201" s="716">
        <f t="shared" si="562"/>
        <v>3204387.5259899958</v>
      </c>
      <c r="BS201" s="716"/>
      <c r="BT201" s="716">
        <f t="shared" si="563"/>
        <v>3204387.5259899958</v>
      </c>
      <c r="BU201" s="716"/>
      <c r="BV201" s="716">
        <f t="shared" si="535"/>
        <v>3204387.5259899958</v>
      </c>
      <c r="BW201" s="716"/>
      <c r="BX201" s="716">
        <f t="shared" si="489"/>
        <v>31400</v>
      </c>
      <c r="BY201" s="716">
        <f t="shared" si="564"/>
        <v>3235787.5259899958</v>
      </c>
      <c r="BZ201" s="716"/>
      <c r="CA201" s="716">
        <f t="shared" si="565"/>
        <v>3235787.5259899958</v>
      </c>
      <c r="CB201" s="1135">
        <f t="shared" si="566"/>
        <v>3235787.5259899958</v>
      </c>
      <c r="CC201" s="1164">
        <f t="shared" ref="CC201:CC216" si="613">CB201-CE201-CF201</f>
        <v>3235787.5259899958</v>
      </c>
      <c r="CD201" s="1164"/>
      <c r="CE201" s="1164">
        <f t="shared" si="567"/>
        <v>0</v>
      </c>
      <c r="CF201" s="1164">
        <f t="shared" si="448"/>
        <v>0</v>
      </c>
      <c r="CG201" s="1164">
        <f t="shared" si="449"/>
        <v>0</v>
      </c>
      <c r="CH201" s="1154">
        <f t="shared" si="506"/>
        <v>3235787.5259899958</v>
      </c>
      <c r="CI201" s="935">
        <f t="shared" si="507"/>
        <v>3235787.5259899958</v>
      </c>
      <c r="CJ201" s="935">
        <f t="shared" si="568"/>
        <v>0</v>
      </c>
      <c r="CK201" s="935">
        <f t="shared" si="536"/>
        <v>331668.22141397453</v>
      </c>
      <c r="CL201" s="935">
        <f t="shared" si="537"/>
        <v>113252.56340964987</v>
      </c>
      <c r="CM201" s="1006">
        <f t="shared" si="461"/>
        <v>3680708.3108136202</v>
      </c>
      <c r="CN201" s="1007">
        <f t="shared" si="462"/>
        <v>0.125</v>
      </c>
      <c r="CO201" s="935">
        <f t="shared" si="498"/>
        <v>460088.53885170253</v>
      </c>
      <c r="CP201" s="935">
        <f t="shared" si="490"/>
        <v>30000</v>
      </c>
      <c r="CQ201" s="935">
        <f t="shared" si="499"/>
        <v>430088.53885170253</v>
      </c>
      <c r="CR201" s="745">
        <f t="shared" si="463"/>
        <v>2</v>
      </c>
      <c r="CS201" s="935">
        <f t="shared" si="500"/>
        <v>215044.26942585126</v>
      </c>
      <c r="CT201" s="1007">
        <f t="shared" si="569"/>
        <v>0.875</v>
      </c>
      <c r="CU201" s="935">
        <f t="shared" si="570"/>
        <v>3220619.7719619176</v>
      </c>
      <c r="CV201" s="1008">
        <f t="shared" si="571"/>
        <v>24969.430812351773</v>
      </c>
      <c r="CW201" s="1008">
        <f t="shared" si="572"/>
        <v>28947.841007056682</v>
      </c>
      <c r="CX201" s="1008">
        <f t="shared" si="573"/>
        <v>37394.126386393007</v>
      </c>
      <c r="CY201" s="1008">
        <f t="shared" si="574"/>
        <v>63772.131527593177</v>
      </c>
      <c r="CZ201" s="1119">
        <f t="shared" si="575"/>
        <v>261621.18086242062</v>
      </c>
      <c r="DA201" s="1119">
        <f t="shared" si="576"/>
        <v>103522.22683731896</v>
      </c>
      <c r="DB201" s="1119">
        <f t="shared" si="577"/>
        <v>74772.638239151187</v>
      </c>
      <c r="DC201" s="1119">
        <f t="shared" si="578"/>
        <v>56905.420054468348</v>
      </c>
      <c r="DD201" s="1028">
        <f t="shared" si="451"/>
        <v>0</v>
      </c>
      <c r="DE201" s="1028">
        <f t="shared" si="508"/>
        <v>0</v>
      </c>
      <c r="DF201" s="916" t="s">
        <v>512</v>
      </c>
      <c r="DG201" s="1009" t="s">
        <v>271</v>
      </c>
      <c r="DH201" s="966">
        <f t="shared" ref="DH201:DH216" si="614">$DH$7</f>
        <v>45658</v>
      </c>
      <c r="DI201" s="912">
        <f t="shared" si="579"/>
        <v>14</v>
      </c>
      <c r="DK201" s="913">
        <f t="shared" si="538"/>
        <v>45723</v>
      </c>
      <c r="DL201" s="912">
        <f t="shared" si="580"/>
        <v>16</v>
      </c>
      <c r="DM201" s="750" t="s">
        <v>272</v>
      </c>
      <c r="DN201" s="750" t="s">
        <v>273</v>
      </c>
      <c r="DO201" s="751">
        <f t="shared" si="539"/>
        <v>0</v>
      </c>
      <c r="DP201" s="751">
        <f t="shared" si="540"/>
        <v>0</v>
      </c>
      <c r="DQ201" s="752">
        <f t="shared" si="452"/>
        <v>0</v>
      </c>
      <c r="DS201" s="751">
        <f t="shared" si="453"/>
        <v>3235787.5259899958</v>
      </c>
      <c r="DT201" s="751">
        <f>'[4]INTERNAL PRICELIST'!N195</f>
        <v>0</v>
      </c>
      <c r="DU201" s="751">
        <f t="shared" si="541"/>
        <v>3235787.5259899958</v>
      </c>
      <c r="DW201" s="951">
        <f t="shared" si="454"/>
        <v>147081.25118136345</v>
      </c>
      <c r="DZ201" s="1010" t="s">
        <v>652</v>
      </c>
      <c r="EA201" s="1011" t="b">
        <f t="shared" si="542"/>
        <v>1</v>
      </c>
      <c r="EB201" s="1011"/>
      <c r="EC201" s="1011"/>
      <c r="ER201" s="1017" t="s">
        <v>264</v>
      </c>
      <c r="ES201" s="1391" t="s">
        <v>264</v>
      </c>
      <c r="ET201" s="1018" t="b">
        <f t="shared" si="581"/>
        <v>1</v>
      </c>
      <c r="EX201" s="1019">
        <v>3155505.8161086314</v>
      </c>
      <c r="EY201" s="1019">
        <f t="shared" si="464"/>
        <v>473325.8724162947</v>
      </c>
      <c r="EZ201" s="1019">
        <f t="shared" si="465"/>
        <v>2682179.9436923368</v>
      </c>
      <c r="FA201" s="1019">
        <f t="shared" si="466"/>
        <v>315550.58161086316</v>
      </c>
      <c r="FB201" s="1019">
        <f t="shared" si="467"/>
        <v>2839955.2344977683</v>
      </c>
      <c r="FC201" s="1019">
        <f t="shared" si="468"/>
        <v>157775.29080543155</v>
      </c>
      <c r="FD201" s="1020"/>
      <c r="FE201" s="1021"/>
      <c r="FF201" s="1022">
        <f t="shared" si="469"/>
        <v>2682179.9436923368</v>
      </c>
      <c r="FG201" s="1022">
        <f t="shared" si="470"/>
        <v>227985.29521384864</v>
      </c>
      <c r="FH201" s="1022">
        <f t="shared" si="471"/>
        <v>113992.64760692432</v>
      </c>
      <c r="FI201" s="1023">
        <f t="shared" si="472"/>
        <v>2839955.2344977683</v>
      </c>
      <c r="FJ201" s="1023">
        <f t="shared" si="473"/>
        <v>241396.19493231032</v>
      </c>
      <c r="FK201" s="1023">
        <f t="shared" si="474"/>
        <v>120698.09746615516</v>
      </c>
      <c r="FL201" s="1019">
        <f t="shared" si="475"/>
        <v>13410.899718461675</v>
      </c>
      <c r="FM201" s="1019">
        <f t="shared" si="476"/>
        <v>6705.4498592308373</v>
      </c>
      <c r="FN201" s="1019" t="str">
        <f t="shared" si="477"/>
        <v>VS</v>
      </c>
      <c r="FO201" s="1019">
        <f t="shared" si="478"/>
        <v>27537.409960060559</v>
      </c>
      <c r="FP201" s="1019">
        <f t="shared" si="479"/>
        <v>-20831.960100829721</v>
      </c>
      <c r="FQ201" s="1021"/>
      <c r="FR201" s="1021"/>
      <c r="FS201" s="1020"/>
      <c r="FT201" s="1055">
        <f t="shared" si="582"/>
        <v>2839955.2344977683</v>
      </c>
      <c r="FU201" s="1056"/>
      <c r="FV201" s="1056"/>
      <c r="GG201" s="956"/>
      <c r="GH201" s="1058"/>
      <c r="GI201" s="1024">
        <f t="shared" si="583"/>
        <v>3680708.3108136202</v>
      </c>
      <c r="GJ201" s="1025">
        <f t="shared" si="584"/>
        <v>0.125</v>
      </c>
      <c r="GK201" s="1024">
        <f t="shared" si="585"/>
        <v>460088.53885170253</v>
      </c>
      <c r="GL201" s="1024">
        <f t="shared" si="586"/>
        <v>30000</v>
      </c>
      <c r="GM201" s="1024">
        <f t="shared" si="587"/>
        <v>430088.53885170253</v>
      </c>
      <c r="GN201" s="1024">
        <f t="shared" si="588"/>
        <v>2</v>
      </c>
      <c r="GO201" s="1024">
        <f t="shared" si="589"/>
        <v>215044.26942585126</v>
      </c>
      <c r="GP201" s="1025">
        <f t="shared" si="590"/>
        <v>0.875</v>
      </c>
      <c r="GQ201" s="1024">
        <f t="shared" si="591"/>
        <v>3220619.7719619176</v>
      </c>
      <c r="GR201" s="1024">
        <f t="shared" si="592"/>
        <v>24969.430812351773</v>
      </c>
      <c r="GS201" s="1024">
        <f t="shared" si="593"/>
        <v>28947.841007056682</v>
      </c>
      <c r="GT201" s="1024">
        <f t="shared" si="594"/>
        <v>37394.126386393007</v>
      </c>
      <c r="GU201" s="1024">
        <f t="shared" si="595"/>
        <v>63772.131527593177</v>
      </c>
      <c r="GW201" s="1024">
        <f t="shared" si="596"/>
        <v>3680708.3108136202</v>
      </c>
      <c r="GX201" s="1025">
        <f t="shared" si="597"/>
        <v>0.125</v>
      </c>
      <c r="GY201" s="1024">
        <f t="shared" si="598"/>
        <v>460088.53885170253</v>
      </c>
      <c r="GZ201" s="1024">
        <f t="shared" si="599"/>
        <v>30000</v>
      </c>
      <c r="HA201" s="1024">
        <f t="shared" si="600"/>
        <v>430088.53885170253</v>
      </c>
      <c r="HB201" s="1026">
        <f t="shared" si="601"/>
        <v>25</v>
      </c>
      <c r="HC201" s="1009">
        <f t="shared" si="602"/>
        <v>17203.541554068102</v>
      </c>
      <c r="HD201" s="1027">
        <f t="shared" si="603"/>
        <v>0.875</v>
      </c>
      <c r="HE201" s="1009">
        <f t="shared" si="604"/>
        <v>3220619.7719619176</v>
      </c>
      <c r="HF201" s="1008">
        <f t="shared" si="605"/>
        <v>24969.430812351773</v>
      </c>
      <c r="HG201" s="1008">
        <f t="shared" si="606"/>
        <v>28947.841007056682</v>
      </c>
      <c r="HH201" s="1008">
        <f t="shared" si="607"/>
        <v>37394.126386393007</v>
      </c>
      <c r="HI201" s="1008">
        <f t="shared" si="608"/>
        <v>63772.131527593177</v>
      </c>
      <c r="HK201" s="1009">
        <f t="shared" si="609"/>
        <v>-197840.72787178317</v>
      </c>
      <c r="HR201" s="956">
        <f t="shared" si="610"/>
        <v>0</v>
      </c>
      <c r="HU201" s="956"/>
      <c r="HW201" s="956"/>
      <c r="HX201" s="956"/>
    </row>
    <row r="202" spans="1:232" ht="14.25" hidden="1" customHeight="1">
      <c r="A202" s="1018">
        <f t="shared" si="480"/>
        <v>196</v>
      </c>
      <c r="B202" s="716"/>
      <c r="C202" s="741">
        <f t="shared" si="611"/>
        <v>4</v>
      </c>
      <c r="D202" s="716" t="s">
        <v>649</v>
      </c>
      <c r="E202" s="746" t="s">
        <v>299</v>
      </c>
      <c r="F202" s="1048"/>
      <c r="G202" s="745" t="s">
        <v>653</v>
      </c>
      <c r="H202" s="745" t="s">
        <v>288</v>
      </c>
      <c r="I202" s="745" t="s">
        <v>267</v>
      </c>
      <c r="J202" s="1005">
        <v>22</v>
      </c>
      <c r="K202" s="1049"/>
      <c r="L202" s="1006" t="s">
        <v>73</v>
      </c>
      <c r="M202" s="745" t="s">
        <v>240</v>
      </c>
      <c r="N202" s="1050">
        <v>95909.091</v>
      </c>
      <c r="O202" s="934">
        <f t="shared" si="455"/>
        <v>2110000.0019999999</v>
      </c>
      <c r="P202" s="934">
        <f t="shared" si="481"/>
        <v>22400</v>
      </c>
      <c r="Q202" s="934">
        <f t="shared" si="450"/>
        <v>50000</v>
      </c>
      <c r="R202" s="934"/>
      <c r="S202" s="934"/>
      <c r="T202" s="934"/>
      <c r="U202" s="934"/>
      <c r="V202" s="749"/>
      <c r="W202" s="749">
        <f t="shared" si="543"/>
        <v>22000</v>
      </c>
      <c r="X202" s="934"/>
      <c r="Y202" s="934">
        <f t="shared" si="612"/>
        <v>180000</v>
      </c>
      <c r="Z202" s="934">
        <f t="shared" si="456"/>
        <v>75000</v>
      </c>
      <c r="AA202" s="934"/>
      <c r="AB202" s="934"/>
      <c r="AC202" s="934"/>
      <c r="AD202" s="934"/>
      <c r="AE202" s="934">
        <f t="shared" si="529"/>
        <v>349400</v>
      </c>
      <c r="AF202" s="1005">
        <f t="shared" si="530"/>
        <v>2459400.0019999999</v>
      </c>
      <c r="AG202" s="1005">
        <f t="shared" si="544"/>
        <v>61485.000050000002</v>
      </c>
      <c r="AH202" s="1005">
        <f t="shared" si="545"/>
        <v>2520885.0020499998</v>
      </c>
      <c r="AI202" s="1005">
        <f t="shared" si="546"/>
        <v>63022.125051249997</v>
      </c>
      <c r="AJ202" s="1005">
        <f t="shared" si="547"/>
        <v>2583907.12710125</v>
      </c>
      <c r="AK202" s="1005">
        <f t="shared" si="548"/>
        <v>129195.35635506251</v>
      </c>
      <c r="AL202" s="1005">
        <f t="shared" si="457"/>
        <v>2713102.4834563127</v>
      </c>
      <c r="AM202" s="934">
        <f t="shared" si="549"/>
        <v>27131.024834563126</v>
      </c>
      <c r="AN202" s="934">
        <f t="shared" si="550"/>
        <v>27537.409960060559</v>
      </c>
      <c r="AO202" s="934"/>
      <c r="AP202" s="934">
        <f t="shared" si="458"/>
        <v>120698.09746615516</v>
      </c>
      <c r="AQ202" s="1005">
        <f t="shared" si="531"/>
        <v>2888469.015717091</v>
      </c>
      <c r="AR202" s="1005">
        <f t="shared" si="551"/>
        <v>129981.10570726909</v>
      </c>
      <c r="AS202" s="1147">
        <f t="shared" si="552"/>
        <v>3018450.1214243602</v>
      </c>
      <c r="AT202" s="1148">
        <f t="shared" si="528"/>
        <v>3018450.1214243602</v>
      </c>
      <c r="AU202" s="1148"/>
      <c r="AV202" s="1148"/>
      <c r="AW202" s="1148"/>
      <c r="AX202" s="1148">
        <f t="shared" si="532"/>
        <v>0</v>
      </c>
      <c r="AY202" s="1147">
        <f t="shared" si="553"/>
        <v>3018450.1214243602</v>
      </c>
      <c r="AZ202" s="934">
        <f t="shared" si="554"/>
        <v>37730.626517804507</v>
      </c>
      <c r="BA202" s="716" t="s">
        <v>269</v>
      </c>
      <c r="BB202" s="716">
        <f t="shared" si="533"/>
        <v>3056180.7479421645</v>
      </c>
      <c r="BC202" s="716" t="s">
        <v>269</v>
      </c>
      <c r="BD202" s="716">
        <f t="shared" si="555"/>
        <v>114606.77804783116</v>
      </c>
      <c r="BE202" s="716">
        <f t="shared" si="556"/>
        <v>33600</v>
      </c>
      <c r="BF202" s="716">
        <f t="shared" si="557"/>
        <v>3204387.5259899958</v>
      </c>
      <c r="BG202" s="716"/>
      <c r="BH202" s="716">
        <f t="shared" si="558"/>
        <v>3204387.5259899958</v>
      </c>
      <c r="BI202" s="716"/>
      <c r="BJ202" s="716">
        <f t="shared" si="559"/>
        <v>3204387.5259899958</v>
      </c>
      <c r="BK202" s="716"/>
      <c r="BL202" s="716">
        <f t="shared" si="560"/>
        <v>3204387.5259899958</v>
      </c>
      <c r="BM202" s="716"/>
      <c r="BN202" s="716">
        <f t="shared" si="534"/>
        <v>3204387.5259899958</v>
      </c>
      <c r="BO202" s="716"/>
      <c r="BP202" s="716">
        <f t="shared" si="561"/>
        <v>3204387.5259899958</v>
      </c>
      <c r="BQ202" s="716"/>
      <c r="BR202" s="716">
        <f t="shared" si="562"/>
        <v>3204387.5259899958</v>
      </c>
      <c r="BS202" s="716"/>
      <c r="BT202" s="716">
        <f t="shared" si="563"/>
        <v>3204387.5259899958</v>
      </c>
      <c r="BU202" s="716"/>
      <c r="BV202" s="716">
        <f t="shared" si="535"/>
        <v>3204387.5259899958</v>
      </c>
      <c r="BW202" s="716"/>
      <c r="BX202" s="716">
        <f t="shared" si="489"/>
        <v>31400</v>
      </c>
      <c r="BY202" s="716">
        <f t="shared" si="564"/>
        <v>3235787.5259899958</v>
      </c>
      <c r="BZ202" s="716"/>
      <c r="CA202" s="716">
        <f t="shared" si="565"/>
        <v>3235787.5259899958</v>
      </c>
      <c r="CB202" s="1135">
        <f t="shared" si="566"/>
        <v>3235787.5259899958</v>
      </c>
      <c r="CC202" s="1164">
        <f t="shared" si="613"/>
        <v>3235787.5259899958</v>
      </c>
      <c r="CD202" s="1164"/>
      <c r="CE202" s="1164">
        <f t="shared" si="567"/>
        <v>0</v>
      </c>
      <c r="CF202" s="1164">
        <f t="shared" si="448"/>
        <v>0</v>
      </c>
      <c r="CG202" s="1164">
        <f t="shared" si="449"/>
        <v>0</v>
      </c>
      <c r="CH202" s="1154">
        <f t="shared" si="506"/>
        <v>3235787.5259899958</v>
      </c>
      <c r="CI202" s="935">
        <f t="shared" si="507"/>
        <v>3235787.5259899958</v>
      </c>
      <c r="CJ202" s="935">
        <f t="shared" si="568"/>
        <v>0</v>
      </c>
      <c r="CK202" s="935">
        <f t="shared" si="536"/>
        <v>331668.22141397453</v>
      </c>
      <c r="CL202" s="935">
        <f t="shared" si="537"/>
        <v>113252.56340964987</v>
      </c>
      <c r="CM202" s="1006">
        <f t="shared" si="461"/>
        <v>3680708.3108136202</v>
      </c>
      <c r="CN202" s="1007">
        <f t="shared" si="462"/>
        <v>0.125</v>
      </c>
      <c r="CO202" s="935">
        <f t="shared" si="498"/>
        <v>460088.53885170253</v>
      </c>
      <c r="CP202" s="935">
        <f t="shared" si="490"/>
        <v>30000</v>
      </c>
      <c r="CQ202" s="935">
        <f t="shared" si="499"/>
        <v>430088.53885170253</v>
      </c>
      <c r="CR202" s="745">
        <f t="shared" si="463"/>
        <v>2</v>
      </c>
      <c r="CS202" s="935">
        <f t="shared" si="500"/>
        <v>215044.26942585126</v>
      </c>
      <c r="CT202" s="1007">
        <f t="shared" si="569"/>
        <v>0.875</v>
      </c>
      <c r="CU202" s="935">
        <f t="shared" si="570"/>
        <v>3220619.7719619176</v>
      </c>
      <c r="CV202" s="1008">
        <f t="shared" si="571"/>
        <v>24969.430812351773</v>
      </c>
      <c r="CW202" s="1008">
        <f t="shared" si="572"/>
        <v>28947.841007056682</v>
      </c>
      <c r="CX202" s="1008">
        <f t="shared" si="573"/>
        <v>37394.126386393007</v>
      </c>
      <c r="CY202" s="1008">
        <f t="shared" si="574"/>
        <v>63772.131527593177</v>
      </c>
      <c r="CZ202" s="1119">
        <f t="shared" si="575"/>
        <v>261621.18086242062</v>
      </c>
      <c r="DA202" s="1119">
        <f t="shared" si="576"/>
        <v>103522.22683731896</v>
      </c>
      <c r="DB202" s="1119">
        <f t="shared" si="577"/>
        <v>74772.638239151187</v>
      </c>
      <c r="DC202" s="1119">
        <f t="shared" si="578"/>
        <v>56905.420054468348</v>
      </c>
      <c r="DD202" s="1028">
        <f t="shared" si="451"/>
        <v>0</v>
      </c>
      <c r="DE202" s="1028">
        <f t="shared" si="508"/>
        <v>0</v>
      </c>
      <c r="DF202" s="916" t="s">
        <v>512</v>
      </c>
      <c r="DG202" s="1009" t="s">
        <v>271</v>
      </c>
      <c r="DH202" s="966">
        <f t="shared" si="614"/>
        <v>45658</v>
      </c>
      <c r="DI202" s="912">
        <f t="shared" si="579"/>
        <v>14</v>
      </c>
      <c r="DK202" s="913">
        <f t="shared" si="538"/>
        <v>45723</v>
      </c>
      <c r="DL202" s="912">
        <f t="shared" si="580"/>
        <v>16</v>
      </c>
      <c r="DM202" s="750" t="s">
        <v>272</v>
      </c>
      <c r="DN202" s="750" t="s">
        <v>273</v>
      </c>
      <c r="DO202" s="751">
        <f t="shared" si="539"/>
        <v>0</v>
      </c>
      <c r="DP202" s="751">
        <f t="shared" si="540"/>
        <v>0</v>
      </c>
      <c r="DQ202" s="752">
        <f t="shared" si="452"/>
        <v>0</v>
      </c>
      <c r="DS202" s="751">
        <f t="shared" si="453"/>
        <v>3235787.5259899958</v>
      </c>
      <c r="DT202" s="751">
        <f>'[4]INTERNAL PRICELIST'!N196</f>
        <v>0</v>
      </c>
      <c r="DU202" s="751">
        <f t="shared" si="541"/>
        <v>3235787.5259899958</v>
      </c>
      <c r="DW202" s="951">
        <f t="shared" si="454"/>
        <v>147081.25118136345</v>
      </c>
      <c r="DZ202" s="1010" t="s">
        <v>653</v>
      </c>
      <c r="EA202" s="1011" t="b">
        <f t="shared" si="542"/>
        <v>1</v>
      </c>
      <c r="EB202" s="1011"/>
      <c r="EC202" s="1011"/>
      <c r="ER202" s="1017" t="s">
        <v>264</v>
      </c>
      <c r="ES202" s="1391" t="s">
        <v>264</v>
      </c>
      <c r="ET202" s="1018" t="b">
        <f t="shared" si="581"/>
        <v>1</v>
      </c>
      <c r="EX202" s="1019">
        <v>3155505.8161086314</v>
      </c>
      <c r="EY202" s="1019">
        <f t="shared" si="464"/>
        <v>473325.8724162947</v>
      </c>
      <c r="EZ202" s="1019">
        <f t="shared" si="465"/>
        <v>2682179.9436923368</v>
      </c>
      <c r="FA202" s="1019">
        <f t="shared" si="466"/>
        <v>315550.58161086316</v>
      </c>
      <c r="FB202" s="1019">
        <f t="shared" si="467"/>
        <v>2839955.2344977683</v>
      </c>
      <c r="FC202" s="1019">
        <f t="shared" si="468"/>
        <v>157775.29080543155</v>
      </c>
      <c r="FD202" s="1020"/>
      <c r="FE202" s="1021"/>
      <c r="FF202" s="1022">
        <f t="shared" si="469"/>
        <v>2682179.9436923368</v>
      </c>
      <c r="FG202" s="1022">
        <f t="shared" si="470"/>
        <v>227985.29521384864</v>
      </c>
      <c r="FH202" s="1022">
        <f t="shared" si="471"/>
        <v>113992.64760692432</v>
      </c>
      <c r="FI202" s="1023">
        <f t="shared" si="472"/>
        <v>2839955.2344977683</v>
      </c>
      <c r="FJ202" s="1023">
        <f t="shared" si="473"/>
        <v>241396.19493231032</v>
      </c>
      <c r="FK202" s="1023">
        <f t="shared" si="474"/>
        <v>120698.09746615516</v>
      </c>
      <c r="FL202" s="1019">
        <f t="shared" si="475"/>
        <v>13410.899718461675</v>
      </c>
      <c r="FM202" s="1019">
        <f t="shared" si="476"/>
        <v>6705.4498592308373</v>
      </c>
      <c r="FN202" s="1019" t="str">
        <f t="shared" si="477"/>
        <v>VS</v>
      </c>
      <c r="FO202" s="1019">
        <f t="shared" si="478"/>
        <v>27537.409960060559</v>
      </c>
      <c r="FP202" s="1019">
        <f t="shared" si="479"/>
        <v>-20831.960100829721</v>
      </c>
      <c r="FQ202" s="1021"/>
      <c r="FR202" s="1021"/>
      <c r="FS202" s="1020"/>
      <c r="FT202" s="1055">
        <f t="shared" si="582"/>
        <v>2839955.2344977683</v>
      </c>
      <c r="FU202" s="1056"/>
      <c r="FV202" s="1056"/>
      <c r="GG202" s="956"/>
      <c r="GH202" s="1058"/>
      <c r="GI202" s="1024">
        <f t="shared" si="583"/>
        <v>3680708.3108136202</v>
      </c>
      <c r="GJ202" s="1025">
        <f t="shared" si="584"/>
        <v>0.125</v>
      </c>
      <c r="GK202" s="1024">
        <f t="shared" si="585"/>
        <v>460088.53885170253</v>
      </c>
      <c r="GL202" s="1024">
        <f t="shared" si="586"/>
        <v>30000</v>
      </c>
      <c r="GM202" s="1024">
        <f t="shared" si="587"/>
        <v>430088.53885170253</v>
      </c>
      <c r="GN202" s="1024">
        <f t="shared" si="588"/>
        <v>2</v>
      </c>
      <c r="GO202" s="1024">
        <f t="shared" si="589"/>
        <v>215044.26942585126</v>
      </c>
      <c r="GP202" s="1025">
        <f t="shared" si="590"/>
        <v>0.875</v>
      </c>
      <c r="GQ202" s="1024">
        <f t="shared" si="591"/>
        <v>3220619.7719619176</v>
      </c>
      <c r="GR202" s="1024">
        <f t="shared" si="592"/>
        <v>24969.430812351773</v>
      </c>
      <c r="GS202" s="1024">
        <f t="shared" si="593"/>
        <v>28947.841007056682</v>
      </c>
      <c r="GT202" s="1024">
        <f t="shared" si="594"/>
        <v>37394.126386393007</v>
      </c>
      <c r="GU202" s="1024">
        <f t="shared" si="595"/>
        <v>63772.131527593177</v>
      </c>
      <c r="GW202" s="1024">
        <f t="shared" si="596"/>
        <v>3680708.3108136202</v>
      </c>
      <c r="GX202" s="1025">
        <f t="shared" si="597"/>
        <v>0.125</v>
      </c>
      <c r="GY202" s="1024">
        <f t="shared" si="598"/>
        <v>460088.53885170253</v>
      </c>
      <c r="GZ202" s="1024">
        <f t="shared" si="599"/>
        <v>30000</v>
      </c>
      <c r="HA202" s="1024">
        <f t="shared" si="600"/>
        <v>430088.53885170253</v>
      </c>
      <c r="HB202" s="1026">
        <f t="shared" si="601"/>
        <v>25</v>
      </c>
      <c r="HC202" s="1009">
        <f t="shared" si="602"/>
        <v>17203.541554068102</v>
      </c>
      <c r="HD202" s="1027">
        <f t="shared" si="603"/>
        <v>0.875</v>
      </c>
      <c r="HE202" s="1009">
        <f t="shared" si="604"/>
        <v>3220619.7719619176</v>
      </c>
      <c r="HF202" s="1008">
        <f t="shared" si="605"/>
        <v>24969.430812351773</v>
      </c>
      <c r="HG202" s="1008">
        <f t="shared" si="606"/>
        <v>28947.841007056682</v>
      </c>
      <c r="HH202" s="1008">
        <f t="shared" si="607"/>
        <v>37394.126386393007</v>
      </c>
      <c r="HI202" s="1008">
        <f t="shared" si="608"/>
        <v>63772.131527593177</v>
      </c>
      <c r="HK202" s="1009">
        <f t="shared" si="609"/>
        <v>-197840.72787178317</v>
      </c>
      <c r="HR202" s="956">
        <f t="shared" si="610"/>
        <v>0</v>
      </c>
      <c r="HU202" s="956"/>
      <c r="HW202" s="956"/>
      <c r="HX202" s="956"/>
    </row>
    <row r="203" spans="1:232" ht="14.25" hidden="1" customHeight="1">
      <c r="A203" s="1018">
        <f t="shared" si="480"/>
        <v>197</v>
      </c>
      <c r="B203" s="716"/>
      <c r="C203" s="741">
        <f t="shared" si="611"/>
        <v>5</v>
      </c>
      <c r="D203" s="716" t="s">
        <v>649</v>
      </c>
      <c r="E203" s="746" t="s">
        <v>299</v>
      </c>
      <c r="F203" s="1048"/>
      <c r="G203" s="745" t="s">
        <v>654</v>
      </c>
      <c r="H203" s="745" t="s">
        <v>292</v>
      </c>
      <c r="I203" s="745" t="s">
        <v>267</v>
      </c>
      <c r="J203" s="1005">
        <v>22</v>
      </c>
      <c r="K203" s="1049"/>
      <c r="L203" s="1006" t="s">
        <v>73</v>
      </c>
      <c r="M203" s="745" t="s">
        <v>240</v>
      </c>
      <c r="N203" s="1050">
        <v>95909.091</v>
      </c>
      <c r="O203" s="934">
        <f t="shared" si="455"/>
        <v>2110000.0019999999</v>
      </c>
      <c r="P203" s="934">
        <f t="shared" si="481"/>
        <v>22400</v>
      </c>
      <c r="Q203" s="934">
        <f t="shared" si="450"/>
        <v>50000</v>
      </c>
      <c r="R203" s="934"/>
      <c r="S203" s="934"/>
      <c r="T203" s="934"/>
      <c r="U203" s="934"/>
      <c r="V203" s="749"/>
      <c r="W203" s="749">
        <f t="shared" si="543"/>
        <v>22000</v>
      </c>
      <c r="X203" s="934"/>
      <c r="Y203" s="934">
        <f t="shared" si="612"/>
        <v>180000</v>
      </c>
      <c r="Z203" s="934">
        <f t="shared" si="456"/>
        <v>75000</v>
      </c>
      <c r="AA203" s="934"/>
      <c r="AB203" s="934"/>
      <c r="AC203" s="934"/>
      <c r="AD203" s="934"/>
      <c r="AE203" s="934">
        <f t="shared" si="529"/>
        <v>349400</v>
      </c>
      <c r="AF203" s="1005">
        <f t="shared" si="530"/>
        <v>2459400.0019999999</v>
      </c>
      <c r="AG203" s="1005">
        <f t="shared" si="544"/>
        <v>61485.000050000002</v>
      </c>
      <c r="AH203" s="1005">
        <f t="shared" si="545"/>
        <v>2520885.0020499998</v>
      </c>
      <c r="AI203" s="1005">
        <f t="shared" si="546"/>
        <v>63022.125051249997</v>
      </c>
      <c r="AJ203" s="1005">
        <f t="shared" si="547"/>
        <v>2583907.12710125</v>
      </c>
      <c r="AK203" s="1005">
        <f t="shared" si="548"/>
        <v>129195.35635506251</v>
      </c>
      <c r="AL203" s="1005">
        <f t="shared" si="457"/>
        <v>2713102.4834563127</v>
      </c>
      <c r="AM203" s="934">
        <f t="shared" si="549"/>
        <v>27131.024834563126</v>
      </c>
      <c r="AN203" s="934">
        <f t="shared" si="550"/>
        <v>27537.409960060559</v>
      </c>
      <c r="AO203" s="934"/>
      <c r="AP203" s="934">
        <f t="shared" si="458"/>
        <v>120698.09746615516</v>
      </c>
      <c r="AQ203" s="1005">
        <f t="shared" si="531"/>
        <v>2888469.015717091</v>
      </c>
      <c r="AR203" s="1005">
        <f t="shared" si="551"/>
        <v>129981.10570726909</v>
      </c>
      <c r="AS203" s="1147">
        <f t="shared" si="552"/>
        <v>3018450.1214243602</v>
      </c>
      <c r="AT203" s="1148">
        <f t="shared" si="528"/>
        <v>3018450.1214243602</v>
      </c>
      <c r="AU203" s="1148"/>
      <c r="AV203" s="1148"/>
      <c r="AW203" s="1148"/>
      <c r="AX203" s="1148">
        <f t="shared" si="532"/>
        <v>0</v>
      </c>
      <c r="AY203" s="1147">
        <f t="shared" si="553"/>
        <v>3018450.1214243602</v>
      </c>
      <c r="AZ203" s="934">
        <f t="shared" si="554"/>
        <v>37730.626517804507</v>
      </c>
      <c r="BA203" s="716" t="s">
        <v>269</v>
      </c>
      <c r="BB203" s="716">
        <f t="shared" si="533"/>
        <v>3056180.7479421645</v>
      </c>
      <c r="BC203" s="716" t="s">
        <v>269</v>
      </c>
      <c r="BD203" s="716">
        <f t="shared" si="555"/>
        <v>114606.77804783116</v>
      </c>
      <c r="BE203" s="716">
        <f t="shared" si="556"/>
        <v>33600</v>
      </c>
      <c r="BF203" s="716">
        <f t="shared" si="557"/>
        <v>3204387.5259899958</v>
      </c>
      <c r="BG203" s="716"/>
      <c r="BH203" s="716">
        <f t="shared" si="558"/>
        <v>3204387.5259899958</v>
      </c>
      <c r="BI203" s="716"/>
      <c r="BJ203" s="716">
        <f t="shared" si="559"/>
        <v>3204387.5259899958</v>
      </c>
      <c r="BK203" s="716"/>
      <c r="BL203" s="716">
        <f t="shared" si="560"/>
        <v>3204387.5259899958</v>
      </c>
      <c r="BM203" s="716"/>
      <c r="BN203" s="716">
        <f t="shared" si="534"/>
        <v>3204387.5259899958</v>
      </c>
      <c r="BO203" s="716"/>
      <c r="BP203" s="716">
        <f t="shared" si="561"/>
        <v>3204387.5259899958</v>
      </c>
      <c r="BQ203" s="716"/>
      <c r="BR203" s="716">
        <f t="shared" si="562"/>
        <v>3204387.5259899958</v>
      </c>
      <c r="BS203" s="716"/>
      <c r="BT203" s="716">
        <f t="shared" si="563"/>
        <v>3204387.5259899958</v>
      </c>
      <c r="BU203" s="716"/>
      <c r="BV203" s="716">
        <f t="shared" si="535"/>
        <v>3204387.5259899958</v>
      </c>
      <c r="BW203" s="716"/>
      <c r="BX203" s="716">
        <f t="shared" si="489"/>
        <v>31400</v>
      </c>
      <c r="BY203" s="716">
        <f t="shared" si="564"/>
        <v>3235787.5259899958</v>
      </c>
      <c r="BZ203" s="716"/>
      <c r="CA203" s="716">
        <f t="shared" si="565"/>
        <v>3235787.5259899958</v>
      </c>
      <c r="CB203" s="1135">
        <f t="shared" si="566"/>
        <v>3235787.5259899958</v>
      </c>
      <c r="CC203" s="1164">
        <f t="shared" si="613"/>
        <v>3235787.5259899958</v>
      </c>
      <c r="CD203" s="1164"/>
      <c r="CE203" s="1164">
        <f t="shared" si="567"/>
        <v>0</v>
      </c>
      <c r="CF203" s="1164">
        <f t="shared" ref="CF203:CF216" si="615">CE203*$AW$5</f>
        <v>0</v>
      </c>
      <c r="CG203" s="1164">
        <f t="shared" ref="CG203:CG216" si="616">CE203+CF203</f>
        <v>0</v>
      </c>
      <c r="CH203" s="1154">
        <f t="shared" si="506"/>
        <v>3235787.5259899958</v>
      </c>
      <c r="CI203" s="935">
        <f t="shared" si="507"/>
        <v>3235787.5259899958</v>
      </c>
      <c r="CJ203" s="935">
        <f t="shared" si="568"/>
        <v>0</v>
      </c>
      <c r="CK203" s="935">
        <f t="shared" si="536"/>
        <v>331668.22141397453</v>
      </c>
      <c r="CL203" s="935">
        <f t="shared" si="537"/>
        <v>113252.56340964987</v>
      </c>
      <c r="CM203" s="1006">
        <f t="shared" si="461"/>
        <v>3680708.3108136202</v>
      </c>
      <c r="CN203" s="1007">
        <f t="shared" si="462"/>
        <v>0.125</v>
      </c>
      <c r="CO203" s="935">
        <f t="shared" si="498"/>
        <v>460088.53885170253</v>
      </c>
      <c r="CP203" s="935">
        <f t="shared" si="490"/>
        <v>30000</v>
      </c>
      <c r="CQ203" s="935">
        <f t="shared" si="499"/>
        <v>430088.53885170253</v>
      </c>
      <c r="CR203" s="745">
        <f t="shared" si="463"/>
        <v>2</v>
      </c>
      <c r="CS203" s="935">
        <f t="shared" si="500"/>
        <v>215044.26942585126</v>
      </c>
      <c r="CT203" s="1007">
        <f t="shared" si="569"/>
        <v>0.875</v>
      </c>
      <c r="CU203" s="935">
        <f t="shared" si="570"/>
        <v>3220619.7719619176</v>
      </c>
      <c r="CV203" s="1008">
        <f t="shared" si="571"/>
        <v>24969.430812351773</v>
      </c>
      <c r="CW203" s="1008">
        <f t="shared" si="572"/>
        <v>28947.841007056682</v>
      </c>
      <c r="CX203" s="1008">
        <f t="shared" si="573"/>
        <v>37394.126386393007</v>
      </c>
      <c r="CY203" s="1008">
        <f t="shared" si="574"/>
        <v>63772.131527593177</v>
      </c>
      <c r="CZ203" s="1119">
        <f t="shared" si="575"/>
        <v>261621.18086242062</v>
      </c>
      <c r="DA203" s="1119">
        <f t="shared" si="576"/>
        <v>103522.22683731896</v>
      </c>
      <c r="DB203" s="1119">
        <f t="shared" si="577"/>
        <v>74772.638239151187</v>
      </c>
      <c r="DC203" s="1119">
        <f t="shared" si="578"/>
        <v>56905.420054468348</v>
      </c>
      <c r="DD203" s="1028">
        <f t="shared" si="451"/>
        <v>0</v>
      </c>
      <c r="DE203" s="1028">
        <f t="shared" si="508"/>
        <v>0</v>
      </c>
      <c r="DF203" s="916" t="s">
        <v>512</v>
      </c>
      <c r="DG203" s="1009" t="s">
        <v>271</v>
      </c>
      <c r="DH203" s="966">
        <f t="shared" si="614"/>
        <v>45658</v>
      </c>
      <c r="DI203" s="912">
        <f t="shared" si="579"/>
        <v>14</v>
      </c>
      <c r="DK203" s="913">
        <f t="shared" si="538"/>
        <v>45723</v>
      </c>
      <c r="DL203" s="912">
        <f t="shared" si="580"/>
        <v>16</v>
      </c>
      <c r="DM203" s="750" t="s">
        <v>272</v>
      </c>
      <c r="DN203" s="750" t="s">
        <v>273</v>
      </c>
      <c r="DO203" s="751">
        <f t="shared" si="539"/>
        <v>0</v>
      </c>
      <c r="DP203" s="751">
        <f t="shared" si="540"/>
        <v>0</v>
      </c>
      <c r="DQ203" s="752">
        <f t="shared" si="452"/>
        <v>0</v>
      </c>
      <c r="DS203" s="751">
        <f t="shared" si="453"/>
        <v>3235787.5259899958</v>
      </c>
      <c r="DT203" s="751">
        <f>'[4]INTERNAL PRICELIST'!N197</f>
        <v>0</v>
      </c>
      <c r="DU203" s="751">
        <f t="shared" si="541"/>
        <v>3235787.5259899958</v>
      </c>
      <c r="DW203" s="951">
        <f t="shared" si="454"/>
        <v>147081.25118136345</v>
      </c>
      <c r="DZ203" s="1010" t="s">
        <v>654</v>
      </c>
      <c r="EA203" s="1011" t="b">
        <f t="shared" si="542"/>
        <v>1</v>
      </c>
      <c r="EB203" s="1011"/>
      <c r="EC203" s="1011"/>
      <c r="ER203" s="1017" t="s">
        <v>264</v>
      </c>
      <c r="ES203" s="1391" t="s">
        <v>264</v>
      </c>
      <c r="ET203" s="1018" t="b">
        <f t="shared" si="581"/>
        <v>1</v>
      </c>
      <c r="EX203" s="1019">
        <v>3155505.8161086314</v>
      </c>
      <c r="EY203" s="1019">
        <f t="shared" si="464"/>
        <v>473325.8724162947</v>
      </c>
      <c r="EZ203" s="1019">
        <f t="shared" si="465"/>
        <v>2682179.9436923368</v>
      </c>
      <c r="FA203" s="1019">
        <f t="shared" si="466"/>
        <v>315550.58161086316</v>
      </c>
      <c r="FB203" s="1019">
        <f t="shared" si="467"/>
        <v>2839955.2344977683</v>
      </c>
      <c r="FC203" s="1019">
        <f t="shared" si="468"/>
        <v>157775.29080543155</v>
      </c>
      <c r="FD203" s="1020"/>
      <c r="FE203" s="1021"/>
      <c r="FF203" s="1022">
        <f t="shared" si="469"/>
        <v>2682179.9436923368</v>
      </c>
      <c r="FG203" s="1022">
        <f t="shared" si="470"/>
        <v>227985.29521384864</v>
      </c>
      <c r="FH203" s="1022">
        <f t="shared" si="471"/>
        <v>113992.64760692432</v>
      </c>
      <c r="FI203" s="1023">
        <f t="shared" si="472"/>
        <v>2839955.2344977683</v>
      </c>
      <c r="FJ203" s="1023">
        <f t="shared" si="473"/>
        <v>241396.19493231032</v>
      </c>
      <c r="FK203" s="1023">
        <f t="shared" si="474"/>
        <v>120698.09746615516</v>
      </c>
      <c r="FL203" s="1019">
        <f t="shared" si="475"/>
        <v>13410.899718461675</v>
      </c>
      <c r="FM203" s="1019">
        <f t="shared" si="476"/>
        <v>6705.4498592308373</v>
      </c>
      <c r="FN203" s="1019" t="str">
        <f t="shared" si="477"/>
        <v>VS</v>
      </c>
      <c r="FO203" s="1019">
        <f t="shared" si="478"/>
        <v>27537.409960060559</v>
      </c>
      <c r="FP203" s="1019">
        <f t="shared" si="479"/>
        <v>-20831.960100829721</v>
      </c>
      <c r="FQ203" s="1021"/>
      <c r="FR203" s="1021"/>
      <c r="FS203" s="1020"/>
      <c r="FT203" s="503"/>
      <c r="FU203" s="956"/>
      <c r="FV203" s="503"/>
      <c r="GG203" s="956"/>
      <c r="GI203" s="1024">
        <f t="shared" si="583"/>
        <v>3680708.3108136202</v>
      </c>
      <c r="GJ203" s="1025">
        <f t="shared" si="584"/>
        <v>0.125</v>
      </c>
      <c r="GK203" s="1024">
        <f t="shared" si="585"/>
        <v>460088.53885170253</v>
      </c>
      <c r="GL203" s="1024">
        <f t="shared" si="586"/>
        <v>30000</v>
      </c>
      <c r="GM203" s="1024">
        <f t="shared" si="587"/>
        <v>430088.53885170253</v>
      </c>
      <c r="GN203" s="1024">
        <f t="shared" si="588"/>
        <v>2</v>
      </c>
      <c r="GO203" s="1024">
        <f t="shared" si="589"/>
        <v>215044.26942585126</v>
      </c>
      <c r="GP203" s="1025">
        <f t="shared" si="590"/>
        <v>0.875</v>
      </c>
      <c r="GQ203" s="1024">
        <f t="shared" si="591"/>
        <v>3220619.7719619176</v>
      </c>
      <c r="GR203" s="1024">
        <f t="shared" si="592"/>
        <v>24969.430812351773</v>
      </c>
      <c r="GS203" s="1024">
        <f t="shared" si="593"/>
        <v>28947.841007056682</v>
      </c>
      <c r="GT203" s="1024">
        <f t="shared" si="594"/>
        <v>37394.126386393007</v>
      </c>
      <c r="GU203" s="1024">
        <f t="shared" si="595"/>
        <v>63772.131527593177</v>
      </c>
      <c r="GW203" s="1024">
        <f t="shared" si="596"/>
        <v>3680708.3108136202</v>
      </c>
      <c r="GX203" s="1025">
        <f t="shared" si="597"/>
        <v>0.125</v>
      </c>
      <c r="GY203" s="1024">
        <f t="shared" si="598"/>
        <v>460088.53885170253</v>
      </c>
      <c r="GZ203" s="1024">
        <f t="shared" si="599"/>
        <v>30000</v>
      </c>
      <c r="HA203" s="1024">
        <f t="shared" si="600"/>
        <v>430088.53885170253</v>
      </c>
      <c r="HB203" s="1026">
        <f t="shared" si="601"/>
        <v>25</v>
      </c>
      <c r="HC203" s="1009">
        <f t="shared" si="602"/>
        <v>17203.541554068102</v>
      </c>
      <c r="HD203" s="1027">
        <f t="shared" si="603"/>
        <v>0.875</v>
      </c>
      <c r="HE203" s="1009">
        <f t="shared" si="604"/>
        <v>3220619.7719619176</v>
      </c>
      <c r="HF203" s="1008">
        <f t="shared" si="605"/>
        <v>24969.430812351773</v>
      </c>
      <c r="HG203" s="1008">
        <f t="shared" si="606"/>
        <v>28947.841007056682</v>
      </c>
      <c r="HH203" s="1008">
        <f t="shared" si="607"/>
        <v>37394.126386393007</v>
      </c>
      <c r="HI203" s="1008">
        <f t="shared" si="608"/>
        <v>63772.131527593177</v>
      </c>
      <c r="HK203" s="1009">
        <f t="shared" si="609"/>
        <v>-197840.72787178317</v>
      </c>
      <c r="HR203" s="956">
        <f t="shared" si="610"/>
        <v>0</v>
      </c>
      <c r="HU203" s="956"/>
      <c r="HW203" s="956"/>
      <c r="HX203" s="956"/>
    </row>
    <row r="204" spans="1:232" ht="14.25" hidden="1" customHeight="1">
      <c r="A204" s="1018">
        <f t="shared" si="480"/>
        <v>198</v>
      </c>
      <c r="B204" s="716"/>
      <c r="C204" s="741">
        <f t="shared" si="611"/>
        <v>6</v>
      </c>
      <c r="D204" s="716" t="s">
        <v>649</v>
      </c>
      <c r="E204" s="746" t="s">
        <v>299</v>
      </c>
      <c r="F204" s="1048"/>
      <c r="G204" s="745" t="s">
        <v>655</v>
      </c>
      <c r="H204" s="745" t="s">
        <v>296</v>
      </c>
      <c r="I204" s="745" t="s">
        <v>267</v>
      </c>
      <c r="J204" s="1005">
        <v>22</v>
      </c>
      <c r="K204" s="1049"/>
      <c r="L204" s="1006" t="s">
        <v>73</v>
      </c>
      <c r="M204" s="745" t="s">
        <v>79</v>
      </c>
      <c r="N204" s="1050">
        <v>95909.091</v>
      </c>
      <c r="O204" s="934">
        <f t="shared" si="455"/>
        <v>2110000.0019999999</v>
      </c>
      <c r="P204" s="934">
        <f t="shared" si="481"/>
        <v>22400</v>
      </c>
      <c r="Q204" s="934">
        <f t="shared" si="450"/>
        <v>50000</v>
      </c>
      <c r="R204" s="934"/>
      <c r="S204" s="934"/>
      <c r="T204" s="934"/>
      <c r="U204" s="934"/>
      <c r="V204" s="749"/>
      <c r="W204" s="934"/>
      <c r="X204" s="934"/>
      <c r="Y204" s="934">
        <f t="shared" si="612"/>
        <v>180000</v>
      </c>
      <c r="Z204" s="934">
        <f t="shared" si="456"/>
        <v>75000</v>
      </c>
      <c r="AA204" s="934"/>
      <c r="AB204" s="934"/>
      <c r="AC204" s="934"/>
      <c r="AD204" s="934"/>
      <c r="AE204" s="934">
        <f t="shared" si="529"/>
        <v>327400</v>
      </c>
      <c r="AF204" s="1005">
        <f t="shared" si="530"/>
        <v>2437400.0019999999</v>
      </c>
      <c r="AG204" s="1005">
        <f t="shared" si="544"/>
        <v>60935.000050000002</v>
      </c>
      <c r="AH204" s="1005">
        <f t="shared" si="545"/>
        <v>2498335.0020499998</v>
      </c>
      <c r="AI204" s="1005">
        <f t="shared" si="546"/>
        <v>62458.375051249997</v>
      </c>
      <c r="AJ204" s="1005">
        <f t="shared" si="547"/>
        <v>2560793.37710125</v>
      </c>
      <c r="AK204" s="1005">
        <f t="shared" si="548"/>
        <v>128039.66885506251</v>
      </c>
      <c r="AL204" s="1005">
        <f t="shared" si="457"/>
        <v>2688833.0459563127</v>
      </c>
      <c r="AM204" s="934">
        <f t="shared" si="549"/>
        <v>26888.330459563127</v>
      </c>
      <c r="AN204" s="934">
        <f t="shared" si="550"/>
        <v>27537.409960060559</v>
      </c>
      <c r="AO204" s="934"/>
      <c r="AP204" s="934">
        <f t="shared" si="458"/>
        <v>119525.83266908643</v>
      </c>
      <c r="AQ204" s="1005">
        <f t="shared" si="531"/>
        <v>2862784.6190450224</v>
      </c>
      <c r="AR204" s="1005">
        <f t="shared" si="551"/>
        <v>128825.307857026</v>
      </c>
      <c r="AS204" s="1147">
        <f>AQ204+AR204</f>
        <v>2991609.9269020483</v>
      </c>
      <c r="AT204" s="1148">
        <f t="shared" si="459"/>
        <v>2000000</v>
      </c>
      <c r="AU204" s="1148">
        <f>AV204/J204</f>
        <v>45073.178495547647</v>
      </c>
      <c r="AV204" s="1148">
        <f t="shared" si="460"/>
        <v>991609.92690204829</v>
      </c>
      <c r="AW204" s="1148">
        <f t="shared" ref="AW204:AW215" si="617">AV204*$AW$5</f>
        <v>118993.19122824579</v>
      </c>
      <c r="AX204" s="1148">
        <f t="shared" si="532"/>
        <v>1110603.1181302941</v>
      </c>
      <c r="AY204" s="1147">
        <f t="shared" si="553"/>
        <v>3110603.1181302941</v>
      </c>
      <c r="AZ204" s="934">
        <f t="shared" si="554"/>
        <v>38882.538976628675</v>
      </c>
      <c r="BA204" s="716" t="s">
        <v>269</v>
      </c>
      <c r="BB204" s="716">
        <f t="shared" si="533"/>
        <v>3149485.6571069229</v>
      </c>
      <c r="BC204" s="716" t="s">
        <v>269</v>
      </c>
      <c r="BD204" s="716">
        <f t="shared" si="555"/>
        <v>118105.7121415096</v>
      </c>
      <c r="BE204" s="716">
        <f t="shared" si="556"/>
        <v>33600</v>
      </c>
      <c r="BF204" s="716">
        <f t="shared" si="557"/>
        <v>3301191.3692484326</v>
      </c>
      <c r="BG204" s="716"/>
      <c r="BH204" s="716">
        <f t="shared" si="558"/>
        <v>3301191.3692484326</v>
      </c>
      <c r="BI204" s="716"/>
      <c r="BJ204" s="716">
        <f t="shared" si="559"/>
        <v>3301191.3692484326</v>
      </c>
      <c r="BK204" s="716"/>
      <c r="BL204" s="716">
        <f t="shared" si="560"/>
        <v>3301191.3692484326</v>
      </c>
      <c r="BM204" s="716"/>
      <c r="BN204" s="716">
        <f t="shared" si="534"/>
        <v>3301191.3692484326</v>
      </c>
      <c r="BO204" s="716"/>
      <c r="BP204" s="716">
        <f t="shared" si="561"/>
        <v>3301191.3692484326</v>
      </c>
      <c r="BQ204" s="716"/>
      <c r="BR204" s="716">
        <f t="shared" si="562"/>
        <v>3301191.3692484326</v>
      </c>
      <c r="BS204" s="716"/>
      <c r="BT204" s="716">
        <f t="shared" si="563"/>
        <v>3301191.3692484326</v>
      </c>
      <c r="BU204" s="716"/>
      <c r="BV204" s="716">
        <f t="shared" si="535"/>
        <v>3301191.3692484326</v>
      </c>
      <c r="BW204" s="716"/>
      <c r="BX204" s="716">
        <f t="shared" si="489"/>
        <v>31400</v>
      </c>
      <c r="BY204" s="716">
        <f t="shared" si="564"/>
        <v>3332591.3692484326</v>
      </c>
      <c r="BZ204" s="716"/>
      <c r="CA204" s="716">
        <f t="shared" si="565"/>
        <v>3332591.3692484326</v>
      </c>
      <c r="CB204" s="1135">
        <f t="shared" si="566"/>
        <v>3332591.3692484326</v>
      </c>
      <c r="CC204" s="1164">
        <f t="shared" si="613"/>
        <v>3332591.3692484326</v>
      </c>
      <c r="CD204" s="1164"/>
      <c r="CE204" s="1164">
        <f t="shared" si="567"/>
        <v>0</v>
      </c>
      <c r="CF204" s="1164">
        <f t="shared" si="615"/>
        <v>0</v>
      </c>
      <c r="CG204" s="1164">
        <f t="shared" si="616"/>
        <v>0</v>
      </c>
      <c r="CH204" s="1154">
        <f t="shared" si="506"/>
        <v>3332591.3692484326</v>
      </c>
      <c r="CI204" s="935">
        <f t="shared" si="507"/>
        <v>3332591.3692484326</v>
      </c>
      <c r="CJ204" s="935">
        <f t="shared" si="568"/>
        <v>0</v>
      </c>
      <c r="CK204" s="935">
        <f t="shared" si="536"/>
        <v>341590.61534796434</v>
      </c>
      <c r="CL204" s="935">
        <f t="shared" si="537"/>
        <v>116640.69792369514</v>
      </c>
      <c r="CM204" s="1006">
        <f t="shared" si="461"/>
        <v>3790822.682520092</v>
      </c>
      <c r="CN204" s="1007">
        <f t="shared" si="462"/>
        <v>0.125</v>
      </c>
      <c r="CO204" s="935">
        <f t="shared" si="498"/>
        <v>473852.8353150115</v>
      </c>
      <c r="CP204" s="935">
        <f t="shared" si="490"/>
        <v>30000</v>
      </c>
      <c r="CQ204" s="935">
        <f t="shared" si="499"/>
        <v>443852.8353150115</v>
      </c>
      <c r="CR204" s="745">
        <f t="shared" si="463"/>
        <v>2</v>
      </c>
      <c r="CS204" s="935">
        <f t="shared" si="500"/>
        <v>221926.41765750575</v>
      </c>
      <c r="CT204" s="1007">
        <f t="shared" si="569"/>
        <v>0.875</v>
      </c>
      <c r="CU204" s="935">
        <f t="shared" si="570"/>
        <v>3316969.8472050806</v>
      </c>
      <c r="CV204" s="1008">
        <f t="shared" si="571"/>
        <v>25716.431920179999</v>
      </c>
      <c r="CW204" s="1008">
        <f t="shared" si="572"/>
        <v>29813.862722329817</v>
      </c>
      <c r="CX204" s="1008">
        <f t="shared" si="573"/>
        <v>38512.832457301374</v>
      </c>
      <c r="CY204" s="1008">
        <f t="shared" si="574"/>
        <v>65679.978496860655</v>
      </c>
      <c r="CZ204" s="1119">
        <f t="shared" si="575"/>
        <v>269448.00372451334</v>
      </c>
      <c r="DA204" s="1119">
        <f t="shared" si="576"/>
        <v>106619.26251720592</v>
      </c>
      <c r="DB204" s="1119">
        <f t="shared" si="577"/>
        <v>77009.583246814509</v>
      </c>
      <c r="DC204" s="1119">
        <f t="shared" si="578"/>
        <v>58607.838188929411</v>
      </c>
      <c r="DD204" s="1028">
        <f t="shared" si="451"/>
        <v>0.49580496345102415</v>
      </c>
      <c r="DE204" s="1028">
        <f t="shared" si="508"/>
        <v>0</v>
      </c>
      <c r="DF204" s="1009" t="s">
        <v>270</v>
      </c>
      <c r="DG204" s="1009" t="s">
        <v>271</v>
      </c>
      <c r="DH204" s="966">
        <f t="shared" si="614"/>
        <v>45658</v>
      </c>
      <c r="DI204" s="912">
        <f t="shared" si="579"/>
        <v>14</v>
      </c>
      <c r="DK204" s="913">
        <f t="shared" si="538"/>
        <v>45723</v>
      </c>
      <c r="DL204" s="912">
        <f t="shared" si="580"/>
        <v>16</v>
      </c>
      <c r="DM204" s="750" t="s">
        <v>272</v>
      </c>
      <c r="DN204" s="750" t="s">
        <v>273</v>
      </c>
      <c r="DO204" s="751">
        <f t="shared" si="539"/>
        <v>50481.959915013373</v>
      </c>
      <c r="DP204" s="751">
        <f t="shared" si="540"/>
        <v>1110603.1181302941</v>
      </c>
      <c r="DQ204" s="752">
        <f t="shared" si="452"/>
        <v>0.55530155906514711</v>
      </c>
      <c r="DS204" s="751">
        <f t="shared" si="453"/>
        <v>3332591.3692484326</v>
      </c>
      <c r="DT204" s="751">
        <f>'[4]INTERNAL PRICELIST'!N198</f>
        <v>0</v>
      </c>
      <c r="DU204" s="751">
        <f t="shared" si="541"/>
        <v>3332591.3692484326</v>
      </c>
      <c r="DW204" s="951">
        <f t="shared" si="454"/>
        <v>151481.42587492874</v>
      </c>
      <c r="DZ204" s="1010" t="s">
        <v>655</v>
      </c>
      <c r="EA204" s="1011" t="b">
        <f t="shared" si="542"/>
        <v>1</v>
      </c>
      <c r="EB204" s="1011"/>
      <c r="EC204" s="1011"/>
      <c r="ER204" s="1017" t="s">
        <v>264</v>
      </c>
      <c r="ES204" s="1391" t="s">
        <v>264</v>
      </c>
      <c r="ET204" s="1018" t="b">
        <f t="shared" si="581"/>
        <v>1</v>
      </c>
      <c r="EX204" s="1019">
        <v>3124858.3704336318</v>
      </c>
      <c r="EY204" s="1019">
        <f t="shared" si="464"/>
        <v>468728.75556504476</v>
      </c>
      <c r="EZ204" s="1019">
        <f t="shared" si="465"/>
        <v>2656129.6148685869</v>
      </c>
      <c r="FA204" s="1019">
        <f t="shared" si="466"/>
        <v>312485.83704336319</v>
      </c>
      <c r="FB204" s="1019">
        <f t="shared" si="467"/>
        <v>2812372.5333902687</v>
      </c>
      <c r="FC204" s="1019">
        <f t="shared" si="468"/>
        <v>156242.9185216818</v>
      </c>
      <c r="FD204" s="1020"/>
      <c r="FE204" s="1021"/>
      <c r="FF204" s="1022">
        <f t="shared" si="469"/>
        <v>2656129.6148685869</v>
      </c>
      <c r="FG204" s="1022">
        <f t="shared" si="470"/>
        <v>225771.01726382991</v>
      </c>
      <c r="FH204" s="1022">
        <f t="shared" si="471"/>
        <v>112885.50863191496</v>
      </c>
      <c r="FI204" s="1023">
        <f t="shared" si="472"/>
        <v>2812372.5333902687</v>
      </c>
      <c r="FJ204" s="1023">
        <f t="shared" si="473"/>
        <v>239051.66533817287</v>
      </c>
      <c r="FK204" s="1023">
        <f t="shared" si="474"/>
        <v>119525.83266908643</v>
      </c>
      <c r="FL204" s="1019">
        <f t="shared" si="475"/>
        <v>13280.648074342957</v>
      </c>
      <c r="FM204" s="1019">
        <f t="shared" si="476"/>
        <v>6640.3240371714783</v>
      </c>
      <c r="FN204" s="1019" t="str">
        <f t="shared" si="477"/>
        <v>VS</v>
      </c>
      <c r="FO204" s="1019">
        <f t="shared" si="478"/>
        <v>27537.409960060559</v>
      </c>
      <c r="FP204" s="1019">
        <f t="shared" si="479"/>
        <v>-20897.08592288908</v>
      </c>
      <c r="FQ204" s="1021"/>
      <c r="FR204" s="1021"/>
      <c r="FS204" s="1020"/>
      <c r="FT204" s="1055">
        <f t="shared" ref="FT204:FT209" si="618">FB204</f>
        <v>2812372.5333902687</v>
      </c>
      <c r="FU204" s="1056"/>
      <c r="FV204" s="1056"/>
      <c r="GG204" s="956"/>
      <c r="GH204" s="1058"/>
      <c r="GI204" s="1024">
        <f t="shared" si="583"/>
        <v>3790822.682520092</v>
      </c>
      <c r="GJ204" s="1025">
        <f t="shared" si="584"/>
        <v>0.125</v>
      </c>
      <c r="GK204" s="1024">
        <f t="shared" si="585"/>
        <v>473852.8353150115</v>
      </c>
      <c r="GL204" s="1024">
        <f t="shared" si="586"/>
        <v>30000</v>
      </c>
      <c r="GM204" s="1024">
        <f t="shared" si="587"/>
        <v>443852.8353150115</v>
      </c>
      <c r="GN204" s="1024">
        <f t="shared" si="588"/>
        <v>2</v>
      </c>
      <c r="GO204" s="1024">
        <f t="shared" si="589"/>
        <v>221926.41765750575</v>
      </c>
      <c r="GP204" s="1025">
        <f t="shared" si="590"/>
        <v>0.875</v>
      </c>
      <c r="GQ204" s="1024">
        <f t="shared" si="591"/>
        <v>3316969.8472050806</v>
      </c>
      <c r="GR204" s="1024">
        <f t="shared" si="592"/>
        <v>25716.431920179999</v>
      </c>
      <c r="GS204" s="1024">
        <f t="shared" si="593"/>
        <v>29813.862722329817</v>
      </c>
      <c r="GT204" s="1024">
        <f t="shared" si="594"/>
        <v>38512.832457301374</v>
      </c>
      <c r="GU204" s="1024">
        <f t="shared" si="595"/>
        <v>65679.978496860655</v>
      </c>
      <c r="GW204" s="1024">
        <f t="shared" si="596"/>
        <v>3790822.682520092</v>
      </c>
      <c r="GX204" s="1025">
        <f t="shared" si="597"/>
        <v>0.125</v>
      </c>
      <c r="GY204" s="1024">
        <f t="shared" si="598"/>
        <v>473852.8353150115</v>
      </c>
      <c r="GZ204" s="1024">
        <f t="shared" si="599"/>
        <v>30000</v>
      </c>
      <c r="HA204" s="1024">
        <f t="shared" si="600"/>
        <v>443852.8353150115</v>
      </c>
      <c r="HB204" s="1026">
        <f t="shared" si="601"/>
        <v>25</v>
      </c>
      <c r="HC204" s="1009">
        <f t="shared" si="602"/>
        <v>17754.113412600462</v>
      </c>
      <c r="HD204" s="1027">
        <f t="shared" si="603"/>
        <v>0.875</v>
      </c>
      <c r="HE204" s="1009">
        <f t="shared" si="604"/>
        <v>3316969.8472050806</v>
      </c>
      <c r="HF204" s="1008">
        <f t="shared" si="605"/>
        <v>25716.431920179999</v>
      </c>
      <c r="HG204" s="1008">
        <f t="shared" si="606"/>
        <v>29813.862722329817</v>
      </c>
      <c r="HH204" s="1008">
        <f t="shared" si="607"/>
        <v>38512.832457301374</v>
      </c>
      <c r="HI204" s="1008">
        <f t="shared" si="608"/>
        <v>65679.978496860655</v>
      </c>
      <c r="HK204" s="1009">
        <f t="shared" si="609"/>
        <v>-204172.3042449053</v>
      </c>
      <c r="HR204" s="956">
        <f t="shared" si="610"/>
        <v>0</v>
      </c>
      <c r="HU204" s="956"/>
      <c r="HW204" s="956"/>
      <c r="HX204" s="956"/>
    </row>
    <row r="205" spans="1:232" ht="14.25" hidden="1" customHeight="1">
      <c r="A205" s="1018">
        <f t="shared" si="480"/>
        <v>199</v>
      </c>
      <c r="B205" s="716"/>
      <c r="C205" s="741">
        <f t="shared" si="611"/>
        <v>7</v>
      </c>
      <c r="D205" s="716" t="s">
        <v>649</v>
      </c>
      <c r="E205" s="746" t="s">
        <v>299</v>
      </c>
      <c r="F205" s="1048"/>
      <c r="G205" s="745" t="s">
        <v>656</v>
      </c>
      <c r="H205" s="745" t="s">
        <v>310</v>
      </c>
      <c r="I205" s="745" t="s">
        <v>267</v>
      </c>
      <c r="J205" s="1005">
        <v>22</v>
      </c>
      <c r="K205" s="1049"/>
      <c r="L205" s="1006" t="s">
        <v>73</v>
      </c>
      <c r="M205" s="745" t="s">
        <v>240</v>
      </c>
      <c r="N205" s="1050">
        <v>95909.091</v>
      </c>
      <c r="O205" s="934">
        <f t="shared" si="455"/>
        <v>2110000.0019999999</v>
      </c>
      <c r="P205" s="934">
        <f t="shared" si="481"/>
        <v>22400</v>
      </c>
      <c r="Q205" s="934">
        <f t="shared" ref="Q205:Q216" si="619">$Q$5</f>
        <v>50000</v>
      </c>
      <c r="R205" s="934"/>
      <c r="S205" s="934"/>
      <c r="T205" s="934"/>
      <c r="U205" s="934"/>
      <c r="V205" s="749"/>
      <c r="W205" s="749">
        <f>J205*$W$5</f>
        <v>22000</v>
      </c>
      <c r="X205" s="934"/>
      <c r="Y205" s="934">
        <f t="shared" si="612"/>
        <v>180000</v>
      </c>
      <c r="Z205" s="934">
        <f t="shared" si="456"/>
        <v>75000</v>
      </c>
      <c r="AA205" s="934"/>
      <c r="AB205" s="934"/>
      <c r="AC205" s="934"/>
      <c r="AD205" s="934"/>
      <c r="AE205" s="934">
        <f t="shared" si="529"/>
        <v>349400</v>
      </c>
      <c r="AF205" s="1005">
        <f t="shared" si="530"/>
        <v>2459400.0019999999</v>
      </c>
      <c r="AG205" s="1005">
        <f t="shared" si="544"/>
        <v>61485.000050000002</v>
      </c>
      <c r="AH205" s="1005">
        <f t="shared" si="545"/>
        <v>2520885.0020499998</v>
      </c>
      <c r="AI205" s="1005">
        <f t="shared" si="546"/>
        <v>63022.125051249997</v>
      </c>
      <c r="AJ205" s="1005">
        <f t="shared" si="547"/>
        <v>2583907.12710125</v>
      </c>
      <c r="AK205" s="1005">
        <f t="shared" si="548"/>
        <v>129195.35635506251</v>
      </c>
      <c r="AL205" s="1005">
        <f t="shared" si="457"/>
        <v>2713102.4834563127</v>
      </c>
      <c r="AM205" s="934">
        <f t="shared" si="549"/>
        <v>27131.024834563126</v>
      </c>
      <c r="AN205" s="934">
        <f t="shared" si="550"/>
        <v>27537.409960060559</v>
      </c>
      <c r="AO205" s="934"/>
      <c r="AP205" s="934">
        <f t="shared" si="458"/>
        <v>120698.09746615516</v>
      </c>
      <c r="AQ205" s="1005">
        <f t="shared" si="531"/>
        <v>2888469.015717091</v>
      </c>
      <c r="AR205" s="1005">
        <f t="shared" si="551"/>
        <v>129981.10570726909</v>
      </c>
      <c r="AS205" s="1147">
        <f t="shared" si="552"/>
        <v>3018450.1214243602</v>
      </c>
      <c r="AT205" s="1148">
        <f t="shared" ref="AT205:AT206" si="620">AS205</f>
        <v>3018450.1214243602</v>
      </c>
      <c r="AU205" s="1148"/>
      <c r="AV205" s="1148"/>
      <c r="AW205" s="1148"/>
      <c r="AX205" s="1148">
        <f t="shared" si="532"/>
        <v>0</v>
      </c>
      <c r="AY205" s="1147">
        <f t="shared" si="553"/>
        <v>3018450.1214243602</v>
      </c>
      <c r="AZ205" s="934">
        <f t="shared" si="554"/>
        <v>37730.626517804507</v>
      </c>
      <c r="BA205" s="716" t="s">
        <v>269</v>
      </c>
      <c r="BB205" s="716">
        <f t="shared" si="533"/>
        <v>3056180.7479421645</v>
      </c>
      <c r="BC205" s="716" t="s">
        <v>269</v>
      </c>
      <c r="BD205" s="716">
        <f t="shared" si="555"/>
        <v>114606.77804783116</v>
      </c>
      <c r="BE205" s="716">
        <f t="shared" si="556"/>
        <v>33600</v>
      </c>
      <c r="BF205" s="716">
        <f t="shared" si="557"/>
        <v>3204387.5259899958</v>
      </c>
      <c r="BG205" s="716"/>
      <c r="BH205" s="716">
        <f t="shared" si="558"/>
        <v>3204387.5259899958</v>
      </c>
      <c r="BI205" s="716"/>
      <c r="BJ205" s="716">
        <f t="shared" si="559"/>
        <v>3204387.5259899958</v>
      </c>
      <c r="BK205" s="716"/>
      <c r="BL205" s="716">
        <f t="shared" si="560"/>
        <v>3204387.5259899958</v>
      </c>
      <c r="BM205" s="716"/>
      <c r="BN205" s="716">
        <f t="shared" si="534"/>
        <v>3204387.5259899958</v>
      </c>
      <c r="BO205" s="716"/>
      <c r="BP205" s="716">
        <f t="shared" si="561"/>
        <v>3204387.5259899958</v>
      </c>
      <c r="BQ205" s="716"/>
      <c r="BR205" s="716">
        <f t="shared" si="562"/>
        <v>3204387.5259899958</v>
      </c>
      <c r="BS205" s="716"/>
      <c r="BT205" s="716">
        <f t="shared" si="563"/>
        <v>3204387.5259899958</v>
      </c>
      <c r="BU205" s="716"/>
      <c r="BV205" s="716">
        <f t="shared" si="535"/>
        <v>3204387.5259899958</v>
      </c>
      <c r="BW205" s="716"/>
      <c r="BX205" s="716">
        <f t="shared" si="489"/>
        <v>31400</v>
      </c>
      <c r="BY205" s="716">
        <f t="shared" si="564"/>
        <v>3235787.5259899958</v>
      </c>
      <c r="BZ205" s="716"/>
      <c r="CA205" s="716">
        <f t="shared" si="565"/>
        <v>3235787.5259899958</v>
      </c>
      <c r="CB205" s="1135">
        <f t="shared" si="566"/>
        <v>3235787.5259899958</v>
      </c>
      <c r="CC205" s="1164">
        <f t="shared" si="613"/>
        <v>3235787.5259899958</v>
      </c>
      <c r="CD205" s="1164"/>
      <c r="CE205" s="1164">
        <f t="shared" si="567"/>
        <v>0</v>
      </c>
      <c r="CF205" s="1164">
        <f t="shared" si="615"/>
        <v>0</v>
      </c>
      <c r="CG205" s="1164">
        <f t="shared" si="616"/>
        <v>0</v>
      </c>
      <c r="CH205" s="1154">
        <f t="shared" si="506"/>
        <v>3235787.5259899958</v>
      </c>
      <c r="CI205" s="935">
        <f t="shared" si="507"/>
        <v>3235787.5259899958</v>
      </c>
      <c r="CJ205" s="935">
        <f t="shared" si="568"/>
        <v>0</v>
      </c>
      <c r="CK205" s="935">
        <f t="shared" si="536"/>
        <v>331668.22141397453</v>
      </c>
      <c r="CL205" s="935">
        <f t="shared" si="537"/>
        <v>113252.56340964987</v>
      </c>
      <c r="CM205" s="1006">
        <f t="shared" si="461"/>
        <v>3680708.3108136202</v>
      </c>
      <c r="CN205" s="1007">
        <f t="shared" si="462"/>
        <v>0.125</v>
      </c>
      <c r="CO205" s="935">
        <f t="shared" si="498"/>
        <v>460088.53885170253</v>
      </c>
      <c r="CP205" s="935">
        <f t="shared" si="490"/>
        <v>30000</v>
      </c>
      <c r="CQ205" s="935">
        <f t="shared" si="499"/>
        <v>430088.53885170253</v>
      </c>
      <c r="CR205" s="745">
        <f t="shared" si="463"/>
        <v>2</v>
      </c>
      <c r="CS205" s="935">
        <f t="shared" si="500"/>
        <v>215044.26942585126</v>
      </c>
      <c r="CT205" s="1007">
        <f t="shared" si="569"/>
        <v>0.875</v>
      </c>
      <c r="CU205" s="935">
        <f t="shared" si="570"/>
        <v>3220619.7719619176</v>
      </c>
      <c r="CV205" s="1008">
        <f t="shared" si="571"/>
        <v>24969.430812351773</v>
      </c>
      <c r="CW205" s="1008">
        <f t="shared" si="572"/>
        <v>28947.841007056682</v>
      </c>
      <c r="CX205" s="1008">
        <f t="shared" si="573"/>
        <v>37394.126386393007</v>
      </c>
      <c r="CY205" s="1008">
        <f t="shared" si="574"/>
        <v>63772.131527593177</v>
      </c>
      <c r="CZ205" s="1119">
        <f t="shared" si="575"/>
        <v>261621.18086242062</v>
      </c>
      <c r="DA205" s="1119">
        <f t="shared" si="576"/>
        <v>103522.22683731896</v>
      </c>
      <c r="DB205" s="1119">
        <f t="shared" si="577"/>
        <v>74772.638239151187</v>
      </c>
      <c r="DC205" s="1119">
        <f t="shared" si="578"/>
        <v>56905.420054468348</v>
      </c>
      <c r="DD205" s="1028">
        <f t="shared" ref="DD205:DD216" si="621">AV205/AT205</f>
        <v>0</v>
      </c>
      <c r="DE205" s="1028">
        <f t="shared" si="508"/>
        <v>0</v>
      </c>
      <c r="DF205" s="916" t="s">
        <v>512</v>
      </c>
      <c r="DG205" s="1009" t="s">
        <v>271</v>
      </c>
      <c r="DH205" s="966">
        <f t="shared" si="614"/>
        <v>45658</v>
      </c>
      <c r="DI205" s="912">
        <f t="shared" si="579"/>
        <v>14</v>
      </c>
      <c r="DK205" s="913">
        <f t="shared" si="538"/>
        <v>45723</v>
      </c>
      <c r="DL205" s="912">
        <f t="shared" si="580"/>
        <v>16</v>
      </c>
      <c r="DM205" s="750" t="s">
        <v>272</v>
      </c>
      <c r="DN205" s="750" t="s">
        <v>273</v>
      </c>
      <c r="DO205" s="751">
        <f t="shared" si="539"/>
        <v>0</v>
      </c>
      <c r="DP205" s="751">
        <f t="shared" si="540"/>
        <v>0</v>
      </c>
      <c r="DQ205" s="752">
        <f t="shared" ref="DQ205:DQ216" si="622">AX205/AT205</f>
        <v>0</v>
      </c>
      <c r="DS205" s="751">
        <f t="shared" ref="DS205:DS216" si="623">CI205</f>
        <v>3235787.5259899958</v>
      </c>
      <c r="DT205" s="751">
        <f>'[4]INTERNAL PRICELIST'!N199</f>
        <v>0</v>
      </c>
      <c r="DU205" s="751">
        <f t="shared" si="541"/>
        <v>3235787.5259899958</v>
      </c>
      <c r="DW205" s="951">
        <f t="shared" ref="DW205:DW216" si="624">DS205/J205</f>
        <v>147081.25118136345</v>
      </c>
      <c r="DZ205" s="1010" t="s">
        <v>656</v>
      </c>
      <c r="EA205" s="1011" t="b">
        <f t="shared" si="542"/>
        <v>1</v>
      </c>
      <c r="EB205" s="1011"/>
      <c r="EC205" s="1011"/>
      <c r="ER205" s="1017" t="s">
        <v>264</v>
      </c>
      <c r="ES205" s="1391" t="s">
        <v>264</v>
      </c>
      <c r="ET205" s="1018" t="b">
        <f t="shared" si="581"/>
        <v>1</v>
      </c>
      <c r="EX205" s="1019">
        <v>3155505.8161086314</v>
      </c>
      <c r="EY205" s="1019">
        <f t="shared" si="464"/>
        <v>473325.8724162947</v>
      </c>
      <c r="EZ205" s="1019">
        <f t="shared" si="465"/>
        <v>2682179.9436923368</v>
      </c>
      <c r="FA205" s="1019">
        <f t="shared" si="466"/>
        <v>315550.58161086316</v>
      </c>
      <c r="FB205" s="1019">
        <f t="shared" si="467"/>
        <v>2839955.2344977683</v>
      </c>
      <c r="FC205" s="1019">
        <f t="shared" si="468"/>
        <v>157775.29080543155</v>
      </c>
      <c r="FD205" s="1020"/>
      <c r="FE205" s="1021"/>
      <c r="FF205" s="1022">
        <f t="shared" si="469"/>
        <v>2682179.9436923368</v>
      </c>
      <c r="FG205" s="1022">
        <f t="shared" si="470"/>
        <v>227985.29521384864</v>
      </c>
      <c r="FH205" s="1022">
        <f t="shared" si="471"/>
        <v>113992.64760692432</v>
      </c>
      <c r="FI205" s="1023">
        <f t="shared" si="472"/>
        <v>2839955.2344977683</v>
      </c>
      <c r="FJ205" s="1023">
        <f t="shared" si="473"/>
        <v>241396.19493231032</v>
      </c>
      <c r="FK205" s="1023">
        <f t="shared" si="474"/>
        <v>120698.09746615516</v>
      </c>
      <c r="FL205" s="1019">
        <f t="shared" si="475"/>
        <v>13410.899718461675</v>
      </c>
      <c r="FM205" s="1019">
        <f t="shared" si="476"/>
        <v>6705.4498592308373</v>
      </c>
      <c r="FN205" s="1019" t="str">
        <f t="shared" si="477"/>
        <v>VS</v>
      </c>
      <c r="FO205" s="1019">
        <f t="shared" si="478"/>
        <v>27537.409960060559</v>
      </c>
      <c r="FP205" s="1019">
        <f t="shared" si="479"/>
        <v>-20831.960100829721</v>
      </c>
      <c r="FQ205" s="1021"/>
      <c r="FR205" s="1021"/>
      <c r="FS205" s="1020"/>
      <c r="FT205" s="1055">
        <f t="shared" si="618"/>
        <v>2839955.2344977683</v>
      </c>
      <c r="FU205" s="1056"/>
      <c r="FV205" s="1056"/>
      <c r="GG205" s="956"/>
      <c r="GH205" s="1058"/>
      <c r="GI205" s="1024">
        <f t="shared" si="583"/>
        <v>3680708.3108136202</v>
      </c>
      <c r="GJ205" s="1025">
        <f t="shared" si="584"/>
        <v>0.125</v>
      </c>
      <c r="GK205" s="1024">
        <f t="shared" si="585"/>
        <v>460088.53885170253</v>
      </c>
      <c r="GL205" s="1024">
        <f t="shared" si="586"/>
        <v>30000</v>
      </c>
      <c r="GM205" s="1024">
        <f t="shared" si="587"/>
        <v>430088.53885170253</v>
      </c>
      <c r="GN205" s="1024">
        <f t="shared" si="588"/>
        <v>2</v>
      </c>
      <c r="GO205" s="1024">
        <f t="shared" si="589"/>
        <v>215044.26942585126</v>
      </c>
      <c r="GP205" s="1025">
        <f t="shared" si="590"/>
        <v>0.875</v>
      </c>
      <c r="GQ205" s="1024">
        <f t="shared" si="591"/>
        <v>3220619.7719619176</v>
      </c>
      <c r="GR205" s="1024">
        <f t="shared" si="592"/>
        <v>24969.430812351773</v>
      </c>
      <c r="GS205" s="1024">
        <f t="shared" si="593"/>
        <v>28947.841007056682</v>
      </c>
      <c r="GT205" s="1024">
        <f t="shared" si="594"/>
        <v>37394.126386393007</v>
      </c>
      <c r="GU205" s="1024">
        <f t="shared" si="595"/>
        <v>63772.131527593177</v>
      </c>
      <c r="GW205" s="1024">
        <f t="shared" si="596"/>
        <v>3680708.3108136202</v>
      </c>
      <c r="GX205" s="1025">
        <f t="shared" si="597"/>
        <v>0.125</v>
      </c>
      <c r="GY205" s="1024">
        <f t="shared" si="598"/>
        <v>460088.53885170253</v>
      </c>
      <c r="GZ205" s="1024">
        <f t="shared" si="599"/>
        <v>30000</v>
      </c>
      <c r="HA205" s="1024">
        <f t="shared" si="600"/>
        <v>430088.53885170253</v>
      </c>
      <c r="HB205" s="1026">
        <f t="shared" si="601"/>
        <v>25</v>
      </c>
      <c r="HC205" s="1009">
        <f t="shared" si="602"/>
        <v>17203.541554068102</v>
      </c>
      <c r="HD205" s="1027">
        <f t="shared" si="603"/>
        <v>0.875</v>
      </c>
      <c r="HE205" s="1009">
        <f t="shared" si="604"/>
        <v>3220619.7719619176</v>
      </c>
      <c r="HF205" s="1008">
        <f t="shared" si="605"/>
        <v>24969.430812351773</v>
      </c>
      <c r="HG205" s="1008">
        <f t="shared" si="606"/>
        <v>28947.841007056682</v>
      </c>
      <c r="HH205" s="1008">
        <f t="shared" si="607"/>
        <v>37394.126386393007</v>
      </c>
      <c r="HI205" s="1008">
        <f t="shared" si="608"/>
        <v>63772.131527593177</v>
      </c>
      <c r="HK205" s="1009">
        <f t="shared" si="609"/>
        <v>-197840.72787178317</v>
      </c>
      <c r="HR205" s="956">
        <f t="shared" si="610"/>
        <v>0</v>
      </c>
      <c r="HU205" s="956"/>
      <c r="HW205" s="956"/>
      <c r="HX205" s="956"/>
    </row>
    <row r="206" spans="1:232" ht="14.25" hidden="1" customHeight="1">
      <c r="A206" s="1018">
        <f t="shared" si="480"/>
        <v>200</v>
      </c>
      <c r="B206" s="716"/>
      <c r="C206" s="741">
        <f t="shared" si="611"/>
        <v>8</v>
      </c>
      <c r="D206" s="716" t="s">
        <v>649</v>
      </c>
      <c r="E206" s="746" t="s">
        <v>299</v>
      </c>
      <c r="F206" s="1048"/>
      <c r="G206" s="745" t="s">
        <v>657</v>
      </c>
      <c r="H206" s="745" t="s">
        <v>316</v>
      </c>
      <c r="I206" s="745" t="s">
        <v>267</v>
      </c>
      <c r="J206" s="1005">
        <v>22</v>
      </c>
      <c r="K206" s="1049"/>
      <c r="L206" s="1006" t="s">
        <v>268</v>
      </c>
      <c r="M206" s="745" t="s">
        <v>65</v>
      </c>
      <c r="N206" s="1050">
        <v>95909.091</v>
      </c>
      <c r="O206" s="934">
        <f t="shared" ref="O206:O216" si="625">J206*N206</f>
        <v>2110000.0019999999</v>
      </c>
      <c r="P206" s="934">
        <f t="shared" si="481"/>
        <v>22400</v>
      </c>
      <c r="Q206" s="934">
        <f t="shared" si="619"/>
        <v>50000</v>
      </c>
      <c r="R206" s="934"/>
      <c r="S206" s="934"/>
      <c r="T206" s="934"/>
      <c r="U206" s="934"/>
      <c r="V206" s="749">
        <f>J206*$V$5</f>
        <v>55000</v>
      </c>
      <c r="W206" s="934"/>
      <c r="X206" s="934"/>
      <c r="Y206" s="934">
        <f t="shared" si="612"/>
        <v>180000</v>
      </c>
      <c r="Z206" s="934">
        <f t="shared" ref="Z206:Z216" si="626">$Z$5</f>
        <v>75000</v>
      </c>
      <c r="AA206" s="934"/>
      <c r="AB206" s="934"/>
      <c r="AC206" s="934"/>
      <c r="AD206" s="934"/>
      <c r="AE206" s="934">
        <f t="shared" si="529"/>
        <v>382400</v>
      </c>
      <c r="AF206" s="1005">
        <f t="shared" si="530"/>
        <v>2492400.0019999999</v>
      </c>
      <c r="AG206" s="1005">
        <f t="shared" si="544"/>
        <v>62310.000050000002</v>
      </c>
      <c r="AH206" s="1005">
        <f t="shared" si="545"/>
        <v>2554710.0020499998</v>
      </c>
      <c r="AI206" s="1005">
        <f t="shared" si="546"/>
        <v>63867.750051249997</v>
      </c>
      <c r="AJ206" s="1005">
        <f t="shared" si="547"/>
        <v>2618577.75210125</v>
      </c>
      <c r="AK206" s="1005">
        <f t="shared" si="548"/>
        <v>130928.88760506251</v>
      </c>
      <c r="AL206" s="1005">
        <f t="shared" ref="AL206:AL215" si="627">AJ206+AK206</f>
        <v>2749506.6397063127</v>
      </c>
      <c r="AM206" s="934">
        <f t="shared" si="549"/>
        <v>27495.066397063129</v>
      </c>
      <c r="AN206" s="934">
        <f t="shared" si="550"/>
        <v>27537.409960060559</v>
      </c>
      <c r="AO206" s="934"/>
      <c r="AP206" s="934">
        <f t="shared" ref="AP206:AP216" si="628">FK206</f>
        <v>124658.85082076512</v>
      </c>
      <c r="AQ206" s="1005">
        <f t="shared" si="531"/>
        <v>2929197.9668842009</v>
      </c>
      <c r="AR206" s="1005">
        <f t="shared" si="551"/>
        <v>131813.90850978903</v>
      </c>
      <c r="AS206" s="1147">
        <f t="shared" si="552"/>
        <v>3061011.87539399</v>
      </c>
      <c r="AT206" s="1148">
        <f t="shared" si="620"/>
        <v>3061011.87539399</v>
      </c>
      <c r="AU206" s="1148"/>
      <c r="AV206" s="1148"/>
      <c r="AW206" s="1148"/>
      <c r="AX206" s="1148">
        <f t="shared" si="532"/>
        <v>0</v>
      </c>
      <c r="AY206" s="1147">
        <f t="shared" si="553"/>
        <v>3061011.87539399</v>
      </c>
      <c r="AZ206" s="934">
        <f t="shared" si="554"/>
        <v>38262.648442424877</v>
      </c>
      <c r="BA206" s="716" t="s">
        <v>269</v>
      </c>
      <c r="BB206" s="716">
        <f t="shared" si="533"/>
        <v>3099274.5238364148</v>
      </c>
      <c r="BC206" s="716" t="s">
        <v>269</v>
      </c>
      <c r="BD206" s="716">
        <f t="shared" si="555"/>
        <v>116222.79464386555</v>
      </c>
      <c r="BE206" s="716">
        <f t="shared" si="556"/>
        <v>33600</v>
      </c>
      <c r="BF206" s="716">
        <f t="shared" si="557"/>
        <v>3249097.3184802802</v>
      </c>
      <c r="BG206" s="716"/>
      <c r="BH206" s="716">
        <f t="shared" si="558"/>
        <v>3249097.3184802802</v>
      </c>
      <c r="BI206" s="716"/>
      <c r="BJ206" s="716">
        <f t="shared" si="559"/>
        <v>3249097.3184802802</v>
      </c>
      <c r="BK206" s="716"/>
      <c r="BL206" s="716">
        <f t="shared" si="560"/>
        <v>3249097.3184802802</v>
      </c>
      <c r="BM206" s="716"/>
      <c r="BN206" s="716">
        <f t="shared" si="534"/>
        <v>3249097.3184802802</v>
      </c>
      <c r="BO206" s="716"/>
      <c r="BP206" s="716">
        <f t="shared" si="561"/>
        <v>3249097.3184802802</v>
      </c>
      <c r="BQ206" s="716"/>
      <c r="BR206" s="716">
        <f t="shared" si="562"/>
        <v>3249097.3184802802</v>
      </c>
      <c r="BS206" s="716"/>
      <c r="BT206" s="716">
        <f t="shared" si="563"/>
        <v>3249097.3184802802</v>
      </c>
      <c r="BU206" s="716"/>
      <c r="BV206" s="716">
        <f t="shared" si="535"/>
        <v>3249097.3184802802</v>
      </c>
      <c r="BW206" s="716"/>
      <c r="BX206" s="716">
        <f t="shared" si="489"/>
        <v>31400</v>
      </c>
      <c r="BY206" s="716">
        <f t="shared" si="564"/>
        <v>3280497.3184802802</v>
      </c>
      <c r="BZ206" s="716"/>
      <c r="CA206" s="716">
        <f t="shared" si="565"/>
        <v>3280497.3184802802</v>
      </c>
      <c r="CB206" s="1135">
        <f t="shared" si="566"/>
        <v>3280497.3184802802</v>
      </c>
      <c r="CC206" s="1164">
        <f t="shared" si="613"/>
        <v>3280497.3184802802</v>
      </c>
      <c r="CD206" s="1164"/>
      <c r="CE206" s="1164">
        <f t="shared" si="567"/>
        <v>0</v>
      </c>
      <c r="CF206" s="1164">
        <f t="shared" si="615"/>
        <v>0</v>
      </c>
      <c r="CG206" s="1164">
        <f t="shared" si="616"/>
        <v>0</v>
      </c>
      <c r="CH206" s="1154">
        <f t="shared" si="506"/>
        <v>3280497.3184802802</v>
      </c>
      <c r="CI206" s="935">
        <f t="shared" si="507"/>
        <v>3280497.3184802802</v>
      </c>
      <c r="CJ206" s="935">
        <f t="shared" si="568"/>
        <v>0</v>
      </c>
      <c r="CK206" s="935">
        <f t="shared" si="536"/>
        <v>336250.97514422872</v>
      </c>
      <c r="CL206" s="935">
        <f t="shared" si="537"/>
        <v>114817.40614680982</v>
      </c>
      <c r="CM206" s="1006">
        <f t="shared" ref="CM206:CM216" si="629">SUM(CI206:CL206)</f>
        <v>3731565.6997713191</v>
      </c>
      <c r="CN206" s="1007">
        <f t="shared" ref="CN206:CN216" si="630">$CN$5</f>
        <v>0.125</v>
      </c>
      <c r="CO206" s="935">
        <f t="shared" si="498"/>
        <v>466445.71247141488</v>
      </c>
      <c r="CP206" s="935">
        <f t="shared" si="490"/>
        <v>30000</v>
      </c>
      <c r="CQ206" s="935">
        <f t="shared" si="499"/>
        <v>436445.71247141488</v>
      </c>
      <c r="CR206" s="745">
        <f t="shared" ref="CR206:CR216" si="631">VLOOKUP(E206,$IC$6:$IE$19,3,FALSE)</f>
        <v>2</v>
      </c>
      <c r="CS206" s="935">
        <f t="shared" si="500"/>
        <v>218222.85623570744</v>
      </c>
      <c r="CT206" s="1007">
        <f t="shared" si="569"/>
        <v>0.875</v>
      </c>
      <c r="CU206" s="935">
        <f t="shared" si="570"/>
        <v>3265119.9872999042</v>
      </c>
      <c r="CV206" s="1008">
        <f t="shared" si="571"/>
        <v>25314.440508215288</v>
      </c>
      <c r="CW206" s="1008">
        <f t="shared" si="572"/>
        <v>29347.821523104711</v>
      </c>
      <c r="CX206" s="1008">
        <f t="shared" si="573"/>
        <v>37910.811619172498</v>
      </c>
      <c r="CY206" s="1008">
        <f t="shared" si="574"/>
        <v>64653.289126588956</v>
      </c>
      <c r="CZ206" s="1119">
        <f t="shared" si="575"/>
        <v>265236.0747988954</v>
      </c>
      <c r="DA206" s="1119">
        <f t="shared" si="576"/>
        <v>104952.62275882268</v>
      </c>
      <c r="DB206" s="1119">
        <f t="shared" si="577"/>
        <v>75805.792954277524</v>
      </c>
      <c r="DC206" s="1119">
        <f t="shared" si="578"/>
        <v>57691.698356666006</v>
      </c>
      <c r="DD206" s="1028">
        <f t="shared" si="621"/>
        <v>0</v>
      </c>
      <c r="DE206" s="1028">
        <f t="shared" si="508"/>
        <v>0</v>
      </c>
      <c r="DF206" s="916" t="s">
        <v>512</v>
      </c>
      <c r="DG206" s="1009" t="s">
        <v>271</v>
      </c>
      <c r="DH206" s="966">
        <f t="shared" si="614"/>
        <v>45658</v>
      </c>
      <c r="DI206" s="912">
        <f t="shared" si="579"/>
        <v>14</v>
      </c>
      <c r="DK206" s="913">
        <f t="shared" si="538"/>
        <v>45723</v>
      </c>
      <c r="DL206" s="912">
        <f t="shared" si="580"/>
        <v>16</v>
      </c>
      <c r="DM206" s="750" t="s">
        <v>272</v>
      </c>
      <c r="DN206" s="750" t="s">
        <v>273</v>
      </c>
      <c r="DO206" s="751">
        <f t="shared" si="539"/>
        <v>0</v>
      </c>
      <c r="DP206" s="751">
        <f t="shared" si="540"/>
        <v>0</v>
      </c>
      <c r="DQ206" s="752">
        <f t="shared" si="622"/>
        <v>0</v>
      </c>
      <c r="DS206" s="751">
        <f t="shared" si="623"/>
        <v>3280497.3184802802</v>
      </c>
      <c r="DT206" s="751">
        <f>'[4]INTERNAL PRICELIST'!N200</f>
        <v>0</v>
      </c>
      <c r="DU206" s="751">
        <f t="shared" si="541"/>
        <v>3280497.3184802802</v>
      </c>
      <c r="DW206" s="951">
        <f t="shared" si="624"/>
        <v>149113.51447637638</v>
      </c>
      <c r="DZ206" s="1010" t="s">
        <v>657</v>
      </c>
      <c r="EA206" s="1011" t="b">
        <f t="shared" si="542"/>
        <v>1</v>
      </c>
      <c r="EB206" s="1011"/>
      <c r="EC206" s="1011"/>
      <c r="ER206" s="1017" t="s">
        <v>264</v>
      </c>
      <c r="ES206" s="1391" t="s">
        <v>264</v>
      </c>
      <c r="ET206" s="1018" t="b">
        <f t="shared" si="581"/>
        <v>1</v>
      </c>
      <c r="EX206" s="1019">
        <v>3259054.9234186956</v>
      </c>
      <c r="EY206" s="1019">
        <f t="shared" ref="EY206:EY216" si="632">EX206*$EY$5</f>
        <v>488858.23851280432</v>
      </c>
      <c r="EZ206" s="1019">
        <f t="shared" ref="EZ206:EZ216" si="633">EX206*$EZ$5</f>
        <v>2770196.6849058913</v>
      </c>
      <c r="FA206" s="1019">
        <f t="shared" ref="FA206:FA216" si="634">EX206*$FA$5</f>
        <v>325905.49234186957</v>
      </c>
      <c r="FB206" s="1019">
        <f t="shared" ref="FB206:FB216" si="635">EX206*$FB$5</f>
        <v>2933149.4310768261</v>
      </c>
      <c r="FC206" s="1019">
        <f t="shared" ref="FC206:FC216" si="636">FB206-EZ206</f>
        <v>162952.74617093476</v>
      </c>
      <c r="FD206" s="1020"/>
      <c r="FE206" s="1021"/>
      <c r="FF206" s="1022">
        <f t="shared" ref="FF206:FF216" si="637">EZ206</f>
        <v>2770196.6849058913</v>
      </c>
      <c r="FG206" s="1022">
        <f t="shared" ref="FG206:FG216" si="638">FF206*$FG$5</f>
        <v>235466.71821700077</v>
      </c>
      <c r="FH206" s="1022">
        <f t="shared" ref="FH206:FH216" si="639">FG206*(6/12)</f>
        <v>117733.35910850039</v>
      </c>
      <c r="FI206" s="1023">
        <f t="shared" ref="FI206:FI216" si="640">FB206</f>
        <v>2933149.4310768261</v>
      </c>
      <c r="FJ206" s="1023">
        <f t="shared" ref="FJ206:FJ216" si="641">FI206*$FJ$5</f>
        <v>249317.70164153024</v>
      </c>
      <c r="FK206" s="1023">
        <f t="shared" ref="FK206:FK216" si="642">FJ206*(6/12)</f>
        <v>124658.85082076512</v>
      </c>
      <c r="FL206" s="1019">
        <f t="shared" ref="FL206:FL215" si="643">FJ206-FG206</f>
        <v>13850.983424529462</v>
      </c>
      <c r="FM206" s="1019">
        <f t="shared" ref="FM206:FM215" si="644">FK206-FH206</f>
        <v>6925.4917122647312</v>
      </c>
      <c r="FN206" s="1019" t="str">
        <f t="shared" ref="FN206:FN216" si="645">$FN$6</f>
        <v>VS</v>
      </c>
      <c r="FO206" s="1019">
        <f t="shared" ref="FO206:FO216" si="646">$FO$5</f>
        <v>27537.409960060559</v>
      </c>
      <c r="FP206" s="1019">
        <f t="shared" ref="FP206:FP215" si="647">FM206-FO206</f>
        <v>-20611.918247795827</v>
      </c>
      <c r="FQ206" s="1021"/>
      <c r="FR206" s="1021"/>
      <c r="FS206" s="1020"/>
      <c r="FT206" s="1055">
        <f t="shared" si="618"/>
        <v>2933149.4310768261</v>
      </c>
      <c r="FU206" s="1056"/>
      <c r="FV206" s="1056"/>
      <c r="GG206" s="956"/>
      <c r="GH206" s="1058"/>
      <c r="GI206" s="1024">
        <f t="shared" si="583"/>
        <v>3731565.6997713191</v>
      </c>
      <c r="GJ206" s="1025">
        <f t="shared" si="584"/>
        <v>0.125</v>
      </c>
      <c r="GK206" s="1024">
        <f t="shared" si="585"/>
        <v>466445.71247141488</v>
      </c>
      <c r="GL206" s="1024">
        <f t="shared" si="586"/>
        <v>30000</v>
      </c>
      <c r="GM206" s="1024">
        <f t="shared" si="587"/>
        <v>436445.71247141488</v>
      </c>
      <c r="GN206" s="1024">
        <f t="shared" si="588"/>
        <v>2</v>
      </c>
      <c r="GO206" s="1024">
        <f t="shared" si="589"/>
        <v>218222.85623570744</v>
      </c>
      <c r="GP206" s="1025">
        <f t="shared" si="590"/>
        <v>0.875</v>
      </c>
      <c r="GQ206" s="1024">
        <f t="shared" si="591"/>
        <v>3265119.9872999042</v>
      </c>
      <c r="GR206" s="1024">
        <f t="shared" si="592"/>
        <v>25314.440508215288</v>
      </c>
      <c r="GS206" s="1024">
        <f t="shared" si="593"/>
        <v>29347.821523104711</v>
      </c>
      <c r="GT206" s="1024">
        <f t="shared" si="594"/>
        <v>37910.811619172498</v>
      </c>
      <c r="GU206" s="1024">
        <f t="shared" si="595"/>
        <v>64653.289126588956</v>
      </c>
      <c r="GW206" s="1024">
        <f t="shared" si="596"/>
        <v>3731565.6997713191</v>
      </c>
      <c r="GX206" s="1025">
        <f t="shared" si="597"/>
        <v>0.125</v>
      </c>
      <c r="GY206" s="1024">
        <f t="shared" si="598"/>
        <v>466445.71247141488</v>
      </c>
      <c r="GZ206" s="1024">
        <f t="shared" si="599"/>
        <v>30000</v>
      </c>
      <c r="HA206" s="1024">
        <f t="shared" si="600"/>
        <v>436445.71247141488</v>
      </c>
      <c r="HB206" s="1026">
        <f t="shared" si="601"/>
        <v>25</v>
      </c>
      <c r="HC206" s="1009">
        <f t="shared" si="602"/>
        <v>17457.828498856594</v>
      </c>
      <c r="HD206" s="1027">
        <f t="shared" si="603"/>
        <v>0.875</v>
      </c>
      <c r="HE206" s="1009">
        <f t="shared" si="604"/>
        <v>3265119.9872999042</v>
      </c>
      <c r="HF206" s="1008">
        <f t="shared" si="605"/>
        <v>25314.440508215288</v>
      </c>
      <c r="HG206" s="1008">
        <f t="shared" si="606"/>
        <v>29347.821523104711</v>
      </c>
      <c r="HH206" s="1008">
        <f t="shared" si="607"/>
        <v>37910.811619172498</v>
      </c>
      <c r="HI206" s="1008">
        <f t="shared" si="608"/>
        <v>64653.289126588956</v>
      </c>
      <c r="HK206" s="1009">
        <f t="shared" si="609"/>
        <v>-200765.02773685084</v>
      </c>
      <c r="HR206" s="956">
        <f t="shared" si="610"/>
        <v>0</v>
      </c>
      <c r="HU206" s="956"/>
      <c r="HW206" s="956"/>
      <c r="HX206" s="956"/>
    </row>
    <row r="207" spans="1:232" ht="14.25" hidden="1" customHeight="1">
      <c r="A207" s="1018">
        <f t="shared" ref="A207:A216" si="648">A206+1</f>
        <v>201</v>
      </c>
      <c r="B207" s="716"/>
      <c r="C207" s="741">
        <f t="shared" si="611"/>
        <v>9</v>
      </c>
      <c r="D207" s="716" t="s">
        <v>649</v>
      </c>
      <c r="E207" s="746" t="s">
        <v>299</v>
      </c>
      <c r="F207" s="1048"/>
      <c r="G207" s="745" t="s">
        <v>658</v>
      </c>
      <c r="H207" s="745" t="s">
        <v>321</v>
      </c>
      <c r="I207" s="745" t="s">
        <v>267</v>
      </c>
      <c r="J207" s="1005">
        <v>22</v>
      </c>
      <c r="K207" s="1049"/>
      <c r="L207" s="1006" t="s">
        <v>268</v>
      </c>
      <c r="M207" s="745" t="s">
        <v>79</v>
      </c>
      <c r="N207" s="1050">
        <v>95909.091</v>
      </c>
      <c r="O207" s="934">
        <f t="shared" si="625"/>
        <v>2110000.0019999999</v>
      </c>
      <c r="P207" s="934">
        <f t="shared" ref="P207:P216" si="649">$P$13</f>
        <v>22400</v>
      </c>
      <c r="Q207" s="934">
        <f t="shared" si="619"/>
        <v>50000</v>
      </c>
      <c r="R207" s="934"/>
      <c r="S207" s="934"/>
      <c r="T207" s="934"/>
      <c r="U207" s="934"/>
      <c r="V207" s="749"/>
      <c r="W207" s="934"/>
      <c r="X207" s="934"/>
      <c r="Y207" s="934">
        <f t="shared" si="612"/>
        <v>180000</v>
      </c>
      <c r="Z207" s="934">
        <f t="shared" si="626"/>
        <v>75000</v>
      </c>
      <c r="AA207" s="934"/>
      <c r="AB207" s="934"/>
      <c r="AC207" s="934"/>
      <c r="AD207" s="934"/>
      <c r="AE207" s="934">
        <f t="shared" si="529"/>
        <v>327400</v>
      </c>
      <c r="AF207" s="1005">
        <f t="shared" si="530"/>
        <v>2437400.0019999999</v>
      </c>
      <c r="AG207" s="1005">
        <f t="shared" si="544"/>
        <v>60935.000050000002</v>
      </c>
      <c r="AH207" s="1005">
        <f t="shared" si="545"/>
        <v>2498335.0020499998</v>
      </c>
      <c r="AI207" s="1005">
        <f t="shared" si="546"/>
        <v>62458.375051249997</v>
      </c>
      <c r="AJ207" s="1005">
        <f t="shared" si="547"/>
        <v>2560793.37710125</v>
      </c>
      <c r="AK207" s="1005">
        <f t="shared" si="548"/>
        <v>128039.66885506251</v>
      </c>
      <c r="AL207" s="1005">
        <f t="shared" si="627"/>
        <v>2688833.0459563127</v>
      </c>
      <c r="AM207" s="934">
        <f t="shared" si="549"/>
        <v>26888.330459563127</v>
      </c>
      <c r="AN207" s="934">
        <f t="shared" si="550"/>
        <v>27537.409960060559</v>
      </c>
      <c r="AO207" s="934"/>
      <c r="AP207" s="934">
        <f t="shared" si="628"/>
        <v>119525.83266908643</v>
      </c>
      <c r="AQ207" s="1005">
        <f t="shared" si="531"/>
        <v>2862784.6190450224</v>
      </c>
      <c r="AR207" s="1005">
        <f t="shared" si="551"/>
        <v>128825.307857026</v>
      </c>
      <c r="AS207" s="1147">
        <f t="shared" si="552"/>
        <v>2991609.9269020483</v>
      </c>
      <c r="AT207" s="1148">
        <f t="shared" ref="AT207:AT215" si="650">$AT$5</f>
        <v>2000000</v>
      </c>
      <c r="AU207" s="1148">
        <f t="shared" ref="AU207:AU215" si="651">AV207/J207</f>
        <v>45073.178495547647</v>
      </c>
      <c r="AV207" s="1148">
        <f t="shared" ref="AV207:AV215" si="652">AS207-AT207</f>
        <v>991609.92690204829</v>
      </c>
      <c r="AW207" s="1148">
        <f t="shared" si="617"/>
        <v>118993.19122824579</v>
      </c>
      <c r="AX207" s="1148">
        <f t="shared" si="532"/>
        <v>1110603.1181302941</v>
      </c>
      <c r="AY207" s="1147">
        <f t="shared" si="553"/>
        <v>3110603.1181302941</v>
      </c>
      <c r="AZ207" s="934">
        <f t="shared" si="554"/>
        <v>38882.538976628675</v>
      </c>
      <c r="BA207" s="716" t="s">
        <v>269</v>
      </c>
      <c r="BB207" s="716">
        <f t="shared" si="533"/>
        <v>3149485.6571069229</v>
      </c>
      <c r="BC207" s="716" t="s">
        <v>269</v>
      </c>
      <c r="BD207" s="716">
        <f t="shared" si="555"/>
        <v>118105.7121415096</v>
      </c>
      <c r="BE207" s="716">
        <f t="shared" si="556"/>
        <v>33600</v>
      </c>
      <c r="BF207" s="716">
        <f t="shared" si="557"/>
        <v>3301191.3692484326</v>
      </c>
      <c r="BG207" s="716"/>
      <c r="BH207" s="716">
        <f t="shared" si="558"/>
        <v>3301191.3692484326</v>
      </c>
      <c r="BI207" s="716"/>
      <c r="BJ207" s="716">
        <f t="shared" si="559"/>
        <v>3301191.3692484326</v>
      </c>
      <c r="BK207" s="716"/>
      <c r="BL207" s="716">
        <f t="shared" si="560"/>
        <v>3301191.3692484326</v>
      </c>
      <c r="BM207" s="716"/>
      <c r="BN207" s="716">
        <f t="shared" si="534"/>
        <v>3301191.3692484326</v>
      </c>
      <c r="BO207" s="716"/>
      <c r="BP207" s="716">
        <f t="shared" si="561"/>
        <v>3301191.3692484326</v>
      </c>
      <c r="BQ207" s="716"/>
      <c r="BR207" s="716">
        <f t="shared" si="562"/>
        <v>3301191.3692484326</v>
      </c>
      <c r="BS207" s="716"/>
      <c r="BT207" s="716">
        <f t="shared" si="563"/>
        <v>3301191.3692484326</v>
      </c>
      <c r="BU207" s="716"/>
      <c r="BV207" s="716">
        <f t="shared" si="535"/>
        <v>3301191.3692484326</v>
      </c>
      <c r="BW207" s="716"/>
      <c r="BX207" s="716">
        <f t="shared" si="489"/>
        <v>31400</v>
      </c>
      <c r="BY207" s="716">
        <f t="shared" si="564"/>
        <v>3332591.3692484326</v>
      </c>
      <c r="BZ207" s="716"/>
      <c r="CA207" s="716">
        <f t="shared" si="565"/>
        <v>3332591.3692484326</v>
      </c>
      <c r="CB207" s="1135">
        <f t="shared" si="566"/>
        <v>3332591.3692484326</v>
      </c>
      <c r="CC207" s="1164">
        <f t="shared" si="613"/>
        <v>3332591.3692484326</v>
      </c>
      <c r="CD207" s="1164"/>
      <c r="CE207" s="1164">
        <f t="shared" si="567"/>
        <v>0</v>
      </c>
      <c r="CF207" s="1164">
        <f t="shared" si="615"/>
        <v>0</v>
      </c>
      <c r="CG207" s="1164">
        <f t="shared" si="616"/>
        <v>0</v>
      </c>
      <c r="CH207" s="1154">
        <f t="shared" si="506"/>
        <v>3332591.3692484326</v>
      </c>
      <c r="CI207" s="935">
        <f t="shared" si="507"/>
        <v>3332591.3692484326</v>
      </c>
      <c r="CJ207" s="935">
        <f t="shared" si="568"/>
        <v>0</v>
      </c>
      <c r="CK207" s="935">
        <f t="shared" si="536"/>
        <v>341590.61534796434</v>
      </c>
      <c r="CL207" s="935">
        <f t="shared" si="537"/>
        <v>116640.69792369514</v>
      </c>
      <c r="CM207" s="1006">
        <f t="shared" si="629"/>
        <v>3790822.682520092</v>
      </c>
      <c r="CN207" s="1007">
        <f t="shared" si="630"/>
        <v>0.125</v>
      </c>
      <c r="CO207" s="935">
        <f t="shared" si="498"/>
        <v>473852.8353150115</v>
      </c>
      <c r="CP207" s="935">
        <f t="shared" si="490"/>
        <v>30000</v>
      </c>
      <c r="CQ207" s="935">
        <f t="shared" si="499"/>
        <v>443852.8353150115</v>
      </c>
      <c r="CR207" s="745">
        <f t="shared" si="631"/>
        <v>2</v>
      </c>
      <c r="CS207" s="935">
        <f t="shared" si="500"/>
        <v>221926.41765750575</v>
      </c>
      <c r="CT207" s="1007">
        <f t="shared" si="569"/>
        <v>0.875</v>
      </c>
      <c r="CU207" s="935">
        <f t="shared" si="570"/>
        <v>3316969.8472050806</v>
      </c>
      <c r="CV207" s="1008">
        <f t="shared" si="571"/>
        <v>25716.431920179999</v>
      </c>
      <c r="CW207" s="1008">
        <f t="shared" si="572"/>
        <v>29813.862722329817</v>
      </c>
      <c r="CX207" s="1008">
        <f t="shared" si="573"/>
        <v>38512.832457301374</v>
      </c>
      <c r="CY207" s="1008">
        <f t="shared" si="574"/>
        <v>65679.978496860655</v>
      </c>
      <c r="CZ207" s="1119">
        <f t="shared" si="575"/>
        <v>269448.00372451334</v>
      </c>
      <c r="DA207" s="1119">
        <f t="shared" si="576"/>
        <v>106619.26251720592</v>
      </c>
      <c r="DB207" s="1119">
        <f t="shared" si="577"/>
        <v>77009.583246814509</v>
      </c>
      <c r="DC207" s="1119">
        <f t="shared" si="578"/>
        <v>58607.838188929411</v>
      </c>
      <c r="DD207" s="1028">
        <f t="shared" si="621"/>
        <v>0.49580496345102415</v>
      </c>
      <c r="DE207" s="1028">
        <f t="shared" si="508"/>
        <v>0</v>
      </c>
      <c r="DF207" s="1009" t="s">
        <v>270</v>
      </c>
      <c r="DG207" s="1009" t="s">
        <v>271</v>
      </c>
      <c r="DH207" s="966">
        <f t="shared" si="614"/>
        <v>45658</v>
      </c>
      <c r="DI207" s="912">
        <f t="shared" si="579"/>
        <v>14</v>
      </c>
      <c r="DK207" s="913">
        <f t="shared" si="538"/>
        <v>45723</v>
      </c>
      <c r="DL207" s="912">
        <f t="shared" si="580"/>
        <v>16</v>
      </c>
      <c r="DM207" s="750" t="s">
        <v>272</v>
      </c>
      <c r="DN207" s="750" t="s">
        <v>273</v>
      </c>
      <c r="DO207" s="751">
        <f t="shared" si="539"/>
        <v>50481.959915013373</v>
      </c>
      <c r="DP207" s="751">
        <f t="shared" si="540"/>
        <v>1110603.1181302941</v>
      </c>
      <c r="DQ207" s="752">
        <f t="shared" si="622"/>
        <v>0.55530155906514711</v>
      </c>
      <c r="DS207" s="751">
        <f t="shared" si="623"/>
        <v>3332591.3692484326</v>
      </c>
      <c r="DT207" s="751">
        <f>'[4]INTERNAL PRICELIST'!N201</f>
        <v>0</v>
      </c>
      <c r="DU207" s="751">
        <f t="shared" si="541"/>
        <v>3332591.3692484326</v>
      </c>
      <c r="DW207" s="951">
        <f t="shared" si="624"/>
        <v>151481.42587492874</v>
      </c>
      <c r="DZ207" s="1010" t="s">
        <v>658</v>
      </c>
      <c r="EA207" s="1011" t="b">
        <f t="shared" si="542"/>
        <v>1</v>
      </c>
      <c r="EB207" s="1011"/>
      <c r="EC207" s="1011"/>
      <c r="ER207" s="1017" t="s">
        <v>264</v>
      </c>
      <c r="ES207" s="1391" t="s">
        <v>264</v>
      </c>
      <c r="ET207" s="1018" t="b">
        <f t="shared" si="581"/>
        <v>1</v>
      </c>
      <c r="EX207" s="1019">
        <v>3124858.3704336318</v>
      </c>
      <c r="EY207" s="1019">
        <f t="shared" si="632"/>
        <v>468728.75556504476</v>
      </c>
      <c r="EZ207" s="1019">
        <f t="shared" si="633"/>
        <v>2656129.6148685869</v>
      </c>
      <c r="FA207" s="1019">
        <f t="shared" si="634"/>
        <v>312485.83704336319</v>
      </c>
      <c r="FB207" s="1019">
        <f t="shared" si="635"/>
        <v>2812372.5333902687</v>
      </c>
      <c r="FC207" s="1019">
        <f t="shared" si="636"/>
        <v>156242.9185216818</v>
      </c>
      <c r="FD207" s="1020"/>
      <c r="FE207" s="1021"/>
      <c r="FF207" s="1022">
        <f t="shared" si="637"/>
        <v>2656129.6148685869</v>
      </c>
      <c r="FG207" s="1022">
        <f t="shared" si="638"/>
        <v>225771.01726382991</v>
      </c>
      <c r="FH207" s="1022">
        <f t="shared" si="639"/>
        <v>112885.50863191496</v>
      </c>
      <c r="FI207" s="1023">
        <f t="shared" si="640"/>
        <v>2812372.5333902687</v>
      </c>
      <c r="FJ207" s="1023">
        <f t="shared" si="641"/>
        <v>239051.66533817287</v>
      </c>
      <c r="FK207" s="1023">
        <f t="shared" si="642"/>
        <v>119525.83266908643</v>
      </c>
      <c r="FL207" s="1019">
        <f t="shared" si="643"/>
        <v>13280.648074342957</v>
      </c>
      <c r="FM207" s="1019">
        <f>FK207-FH207</f>
        <v>6640.3240371714783</v>
      </c>
      <c r="FN207" s="1019" t="str">
        <f t="shared" si="645"/>
        <v>VS</v>
      </c>
      <c r="FO207" s="1019">
        <f t="shared" si="646"/>
        <v>27537.409960060559</v>
      </c>
      <c r="FP207" s="1019">
        <f t="shared" si="647"/>
        <v>-20897.08592288908</v>
      </c>
      <c r="FQ207" s="1021"/>
      <c r="FR207" s="1021"/>
      <c r="FS207" s="1020"/>
      <c r="FT207" s="1055">
        <f t="shared" si="618"/>
        <v>2812372.5333902687</v>
      </c>
      <c r="FU207" s="1056"/>
      <c r="FV207" s="1056"/>
      <c r="GG207" s="956"/>
      <c r="GH207" s="1058"/>
      <c r="GI207" s="1024">
        <f t="shared" si="583"/>
        <v>3790822.682520092</v>
      </c>
      <c r="GJ207" s="1025">
        <f t="shared" si="584"/>
        <v>0.125</v>
      </c>
      <c r="GK207" s="1024">
        <f t="shared" si="585"/>
        <v>473852.8353150115</v>
      </c>
      <c r="GL207" s="1024">
        <f t="shared" si="586"/>
        <v>30000</v>
      </c>
      <c r="GM207" s="1024">
        <f t="shared" si="587"/>
        <v>443852.8353150115</v>
      </c>
      <c r="GN207" s="1024">
        <f t="shared" si="588"/>
        <v>2</v>
      </c>
      <c r="GO207" s="1024">
        <f t="shared" si="589"/>
        <v>221926.41765750575</v>
      </c>
      <c r="GP207" s="1025">
        <f t="shared" si="590"/>
        <v>0.875</v>
      </c>
      <c r="GQ207" s="1024">
        <f t="shared" si="591"/>
        <v>3316969.8472050806</v>
      </c>
      <c r="GR207" s="1024">
        <f t="shared" si="592"/>
        <v>25716.431920179999</v>
      </c>
      <c r="GS207" s="1024">
        <f t="shared" si="593"/>
        <v>29813.862722329817</v>
      </c>
      <c r="GT207" s="1024">
        <f t="shared" si="594"/>
        <v>38512.832457301374</v>
      </c>
      <c r="GU207" s="1024">
        <f t="shared" si="595"/>
        <v>65679.978496860655</v>
      </c>
      <c r="GW207" s="1024">
        <f t="shared" si="596"/>
        <v>3790822.682520092</v>
      </c>
      <c r="GX207" s="1025">
        <f t="shared" si="597"/>
        <v>0.125</v>
      </c>
      <c r="GY207" s="1024">
        <f t="shared" si="598"/>
        <v>473852.8353150115</v>
      </c>
      <c r="GZ207" s="1024">
        <f t="shared" si="599"/>
        <v>30000</v>
      </c>
      <c r="HA207" s="1024">
        <f t="shared" si="600"/>
        <v>443852.8353150115</v>
      </c>
      <c r="HB207" s="1026">
        <f t="shared" si="601"/>
        <v>25</v>
      </c>
      <c r="HC207" s="1009">
        <f t="shared" si="602"/>
        <v>17754.113412600462</v>
      </c>
      <c r="HD207" s="1027">
        <f t="shared" si="603"/>
        <v>0.875</v>
      </c>
      <c r="HE207" s="1009">
        <f t="shared" si="604"/>
        <v>3316969.8472050806</v>
      </c>
      <c r="HF207" s="1008">
        <f t="shared" si="605"/>
        <v>25716.431920179999</v>
      </c>
      <c r="HG207" s="1008">
        <f t="shared" si="606"/>
        <v>29813.862722329817</v>
      </c>
      <c r="HH207" s="1008">
        <f t="shared" si="607"/>
        <v>38512.832457301374</v>
      </c>
      <c r="HI207" s="1008">
        <f t="shared" si="608"/>
        <v>65679.978496860655</v>
      </c>
      <c r="HK207" s="1009">
        <f t="shared" si="609"/>
        <v>-204172.3042449053</v>
      </c>
      <c r="HR207" s="956">
        <f t="shared" si="610"/>
        <v>0</v>
      </c>
      <c r="HU207" s="956"/>
      <c r="HW207" s="956"/>
      <c r="HX207" s="956"/>
    </row>
    <row r="208" spans="1:232" ht="14.25" hidden="1" customHeight="1">
      <c r="A208" s="1018">
        <f t="shared" si="648"/>
        <v>202</v>
      </c>
      <c r="B208" s="716"/>
      <c r="C208" s="741">
        <f t="shared" si="611"/>
        <v>10</v>
      </c>
      <c r="D208" s="716" t="s">
        <v>649</v>
      </c>
      <c r="E208" s="746" t="s">
        <v>299</v>
      </c>
      <c r="F208" s="1048"/>
      <c r="G208" s="745" t="s">
        <v>659</v>
      </c>
      <c r="H208" s="745" t="s">
        <v>325</v>
      </c>
      <c r="I208" s="745" t="s">
        <v>267</v>
      </c>
      <c r="J208" s="1005">
        <v>22</v>
      </c>
      <c r="K208" s="1049"/>
      <c r="L208" s="1006" t="s">
        <v>268</v>
      </c>
      <c r="M208" s="745" t="s">
        <v>79</v>
      </c>
      <c r="N208" s="1050">
        <v>95909.091</v>
      </c>
      <c r="O208" s="934">
        <f t="shared" si="625"/>
        <v>2110000.0019999999</v>
      </c>
      <c r="P208" s="934">
        <f t="shared" si="649"/>
        <v>22400</v>
      </c>
      <c r="Q208" s="934">
        <f t="shared" si="619"/>
        <v>50000</v>
      </c>
      <c r="R208" s="934"/>
      <c r="S208" s="934"/>
      <c r="T208" s="934"/>
      <c r="U208" s="934"/>
      <c r="V208" s="749"/>
      <c r="W208" s="934"/>
      <c r="X208" s="934"/>
      <c r="Y208" s="934">
        <f t="shared" si="612"/>
        <v>180000</v>
      </c>
      <c r="Z208" s="934">
        <f t="shared" si="626"/>
        <v>75000</v>
      </c>
      <c r="AA208" s="934"/>
      <c r="AB208" s="934"/>
      <c r="AC208" s="934"/>
      <c r="AD208" s="934"/>
      <c r="AE208" s="934">
        <f t="shared" si="529"/>
        <v>327400</v>
      </c>
      <c r="AF208" s="1005">
        <f t="shared" si="530"/>
        <v>2437400.0019999999</v>
      </c>
      <c r="AG208" s="1005">
        <f t="shared" si="544"/>
        <v>60935.000050000002</v>
      </c>
      <c r="AH208" s="1005">
        <f t="shared" si="545"/>
        <v>2498335.0020499998</v>
      </c>
      <c r="AI208" s="1005">
        <f t="shared" si="546"/>
        <v>62458.375051249997</v>
      </c>
      <c r="AJ208" s="1005">
        <f t="shared" si="547"/>
        <v>2560793.37710125</v>
      </c>
      <c r="AK208" s="1005">
        <f t="shared" si="548"/>
        <v>128039.66885506251</v>
      </c>
      <c r="AL208" s="1005">
        <f t="shared" si="627"/>
        <v>2688833.0459563127</v>
      </c>
      <c r="AM208" s="934">
        <f t="shared" si="549"/>
        <v>26888.330459563127</v>
      </c>
      <c r="AN208" s="934">
        <f t="shared" si="550"/>
        <v>27537.409960060559</v>
      </c>
      <c r="AO208" s="934"/>
      <c r="AP208" s="934">
        <f t="shared" si="628"/>
        <v>119525.83266908643</v>
      </c>
      <c r="AQ208" s="1005">
        <f t="shared" si="531"/>
        <v>2862784.6190450224</v>
      </c>
      <c r="AR208" s="1005">
        <f t="shared" si="551"/>
        <v>128825.307857026</v>
      </c>
      <c r="AS208" s="1147">
        <f t="shared" si="552"/>
        <v>2991609.9269020483</v>
      </c>
      <c r="AT208" s="1148">
        <f t="shared" si="650"/>
        <v>2000000</v>
      </c>
      <c r="AU208" s="1148">
        <f t="shared" si="651"/>
        <v>45073.178495547647</v>
      </c>
      <c r="AV208" s="1148">
        <f t="shared" si="652"/>
        <v>991609.92690204829</v>
      </c>
      <c r="AW208" s="1148">
        <f t="shared" si="617"/>
        <v>118993.19122824579</v>
      </c>
      <c r="AX208" s="1148">
        <f t="shared" si="532"/>
        <v>1110603.1181302941</v>
      </c>
      <c r="AY208" s="1147">
        <f t="shared" si="553"/>
        <v>3110603.1181302941</v>
      </c>
      <c r="AZ208" s="934">
        <f t="shared" si="554"/>
        <v>38882.538976628675</v>
      </c>
      <c r="BA208" s="716" t="s">
        <v>269</v>
      </c>
      <c r="BB208" s="716">
        <f t="shared" si="533"/>
        <v>3149485.6571069229</v>
      </c>
      <c r="BC208" s="716" t="s">
        <v>269</v>
      </c>
      <c r="BD208" s="716">
        <f t="shared" si="555"/>
        <v>118105.7121415096</v>
      </c>
      <c r="BE208" s="716">
        <f t="shared" si="556"/>
        <v>33600</v>
      </c>
      <c r="BF208" s="716">
        <f t="shared" si="557"/>
        <v>3301191.3692484326</v>
      </c>
      <c r="BG208" s="716"/>
      <c r="BH208" s="716">
        <f t="shared" si="558"/>
        <v>3301191.3692484326</v>
      </c>
      <c r="BI208" s="716"/>
      <c r="BJ208" s="716">
        <f t="shared" si="559"/>
        <v>3301191.3692484326</v>
      </c>
      <c r="BK208" s="716"/>
      <c r="BL208" s="716">
        <f t="shared" si="560"/>
        <v>3301191.3692484326</v>
      </c>
      <c r="BM208" s="716"/>
      <c r="BN208" s="716">
        <f t="shared" si="534"/>
        <v>3301191.3692484326</v>
      </c>
      <c r="BO208" s="716"/>
      <c r="BP208" s="716">
        <f t="shared" si="561"/>
        <v>3301191.3692484326</v>
      </c>
      <c r="BQ208" s="716"/>
      <c r="BR208" s="716">
        <f t="shared" si="562"/>
        <v>3301191.3692484326</v>
      </c>
      <c r="BS208" s="716"/>
      <c r="BT208" s="716">
        <f t="shared" si="563"/>
        <v>3301191.3692484326</v>
      </c>
      <c r="BU208" s="716"/>
      <c r="BV208" s="716">
        <f t="shared" si="535"/>
        <v>3301191.3692484326</v>
      </c>
      <c r="BW208" s="716"/>
      <c r="BX208" s="716">
        <f t="shared" si="489"/>
        <v>31400</v>
      </c>
      <c r="BY208" s="716">
        <f t="shared" si="564"/>
        <v>3332591.3692484326</v>
      </c>
      <c r="BZ208" s="716"/>
      <c r="CA208" s="716">
        <f t="shared" si="565"/>
        <v>3332591.3692484326</v>
      </c>
      <c r="CB208" s="1135">
        <f t="shared" si="566"/>
        <v>3332591.3692484326</v>
      </c>
      <c r="CC208" s="1164">
        <f>CB208-CE208-CF208</f>
        <v>3332591.3692484326</v>
      </c>
      <c r="CD208" s="1164"/>
      <c r="CE208" s="1164">
        <f t="shared" si="567"/>
        <v>0</v>
      </c>
      <c r="CF208" s="1164">
        <f t="shared" si="615"/>
        <v>0</v>
      </c>
      <c r="CG208" s="1164">
        <f t="shared" si="616"/>
        <v>0</v>
      </c>
      <c r="CH208" s="1154">
        <f t="shared" si="506"/>
        <v>3332591.3692484326</v>
      </c>
      <c r="CI208" s="935">
        <f t="shared" si="507"/>
        <v>3332591.3692484326</v>
      </c>
      <c r="CJ208" s="935">
        <f t="shared" si="568"/>
        <v>0</v>
      </c>
      <c r="CK208" s="935">
        <f t="shared" si="536"/>
        <v>341590.61534796434</v>
      </c>
      <c r="CL208" s="935">
        <f t="shared" si="537"/>
        <v>116640.69792369514</v>
      </c>
      <c r="CM208" s="1006">
        <f t="shared" si="629"/>
        <v>3790822.682520092</v>
      </c>
      <c r="CN208" s="1007">
        <f t="shared" si="630"/>
        <v>0.125</v>
      </c>
      <c r="CO208" s="935">
        <f t="shared" si="498"/>
        <v>473852.8353150115</v>
      </c>
      <c r="CP208" s="935">
        <f t="shared" si="490"/>
        <v>30000</v>
      </c>
      <c r="CQ208" s="935">
        <f t="shared" si="499"/>
        <v>443852.8353150115</v>
      </c>
      <c r="CR208" s="745">
        <f t="shared" si="631"/>
        <v>2</v>
      </c>
      <c r="CS208" s="935">
        <f t="shared" si="500"/>
        <v>221926.41765750575</v>
      </c>
      <c r="CT208" s="1007">
        <f t="shared" si="569"/>
        <v>0.875</v>
      </c>
      <c r="CU208" s="935">
        <f t="shared" si="570"/>
        <v>3316969.8472050806</v>
      </c>
      <c r="CV208" s="1008">
        <f t="shared" si="571"/>
        <v>25716.431920179999</v>
      </c>
      <c r="CW208" s="1008">
        <f t="shared" si="572"/>
        <v>29813.862722329817</v>
      </c>
      <c r="CX208" s="1008">
        <f t="shared" si="573"/>
        <v>38512.832457301374</v>
      </c>
      <c r="CY208" s="1008">
        <f t="shared" si="574"/>
        <v>65679.978496860655</v>
      </c>
      <c r="CZ208" s="1119">
        <f t="shared" si="575"/>
        <v>269448.00372451334</v>
      </c>
      <c r="DA208" s="1119">
        <f t="shared" si="576"/>
        <v>106619.26251720592</v>
      </c>
      <c r="DB208" s="1119">
        <f t="shared" si="577"/>
        <v>77009.583246814509</v>
      </c>
      <c r="DC208" s="1119">
        <f t="shared" si="578"/>
        <v>58607.838188929411</v>
      </c>
      <c r="DD208" s="1028">
        <f t="shared" si="621"/>
        <v>0.49580496345102415</v>
      </c>
      <c r="DE208" s="1028">
        <f t="shared" si="508"/>
        <v>0</v>
      </c>
      <c r="DF208" s="1009" t="s">
        <v>270</v>
      </c>
      <c r="DG208" s="1009" t="s">
        <v>271</v>
      </c>
      <c r="DH208" s="966">
        <f t="shared" si="614"/>
        <v>45658</v>
      </c>
      <c r="DI208" s="912">
        <f t="shared" si="579"/>
        <v>14</v>
      </c>
      <c r="DK208" s="913">
        <f t="shared" si="538"/>
        <v>45723</v>
      </c>
      <c r="DL208" s="912">
        <f t="shared" si="580"/>
        <v>16</v>
      </c>
      <c r="DM208" s="750" t="s">
        <v>272</v>
      </c>
      <c r="DN208" s="750" t="s">
        <v>273</v>
      </c>
      <c r="DO208" s="751">
        <f t="shared" si="539"/>
        <v>50481.959915013373</v>
      </c>
      <c r="DP208" s="751">
        <f t="shared" si="540"/>
        <v>1110603.1181302941</v>
      </c>
      <c r="DQ208" s="752">
        <f t="shared" si="622"/>
        <v>0.55530155906514711</v>
      </c>
      <c r="DS208" s="751">
        <f t="shared" si="623"/>
        <v>3332591.3692484326</v>
      </c>
      <c r="DT208" s="751">
        <f>'[4]INTERNAL PRICELIST'!N202</f>
        <v>0</v>
      </c>
      <c r="DU208" s="751">
        <f t="shared" si="541"/>
        <v>3332591.3692484326</v>
      </c>
      <c r="DW208" s="951">
        <f t="shared" si="624"/>
        <v>151481.42587492874</v>
      </c>
      <c r="DZ208" s="1010" t="s">
        <v>659</v>
      </c>
      <c r="EA208" s="1011" t="b">
        <f t="shared" si="542"/>
        <v>1</v>
      </c>
      <c r="EB208" s="1011"/>
      <c r="EC208" s="1011"/>
      <c r="ER208" s="1017" t="s">
        <v>264</v>
      </c>
      <c r="ES208" s="1391" t="s">
        <v>264</v>
      </c>
      <c r="ET208" s="1018" t="b">
        <f t="shared" si="581"/>
        <v>1</v>
      </c>
      <c r="EX208" s="1019">
        <v>3124858.3704336318</v>
      </c>
      <c r="EY208" s="1019">
        <f t="shared" si="632"/>
        <v>468728.75556504476</v>
      </c>
      <c r="EZ208" s="1019">
        <f t="shared" si="633"/>
        <v>2656129.6148685869</v>
      </c>
      <c r="FA208" s="1019">
        <f t="shared" si="634"/>
        <v>312485.83704336319</v>
      </c>
      <c r="FB208" s="1019">
        <f t="shared" si="635"/>
        <v>2812372.5333902687</v>
      </c>
      <c r="FC208" s="1019">
        <f t="shared" si="636"/>
        <v>156242.9185216818</v>
      </c>
      <c r="FD208" s="1020"/>
      <c r="FE208" s="1021"/>
      <c r="FF208" s="1022">
        <f t="shared" si="637"/>
        <v>2656129.6148685869</v>
      </c>
      <c r="FG208" s="1022">
        <f t="shared" si="638"/>
        <v>225771.01726382991</v>
      </c>
      <c r="FH208" s="1022">
        <f t="shared" si="639"/>
        <v>112885.50863191496</v>
      </c>
      <c r="FI208" s="1023">
        <f t="shared" si="640"/>
        <v>2812372.5333902687</v>
      </c>
      <c r="FJ208" s="1023">
        <f t="shared" si="641"/>
        <v>239051.66533817287</v>
      </c>
      <c r="FK208" s="1023">
        <f t="shared" si="642"/>
        <v>119525.83266908643</v>
      </c>
      <c r="FL208" s="1019">
        <f t="shared" si="643"/>
        <v>13280.648074342957</v>
      </c>
      <c r="FM208" s="1019">
        <f>FK208-FH208</f>
        <v>6640.3240371714783</v>
      </c>
      <c r="FN208" s="1019" t="str">
        <f t="shared" si="645"/>
        <v>VS</v>
      </c>
      <c r="FO208" s="1019">
        <f t="shared" si="646"/>
        <v>27537.409960060559</v>
      </c>
      <c r="FP208" s="1019">
        <f t="shared" si="647"/>
        <v>-20897.08592288908</v>
      </c>
      <c r="FQ208" s="1021"/>
      <c r="FR208" s="1021"/>
      <c r="FS208" s="1020"/>
      <c r="FT208" s="1055">
        <f t="shared" si="618"/>
        <v>2812372.5333902687</v>
      </c>
      <c r="FU208" s="1056"/>
      <c r="FV208" s="1056"/>
      <c r="GG208" s="956"/>
      <c r="GI208" s="1024">
        <f t="shared" si="583"/>
        <v>3790822.682520092</v>
      </c>
      <c r="GJ208" s="1025">
        <f t="shared" si="584"/>
        <v>0.125</v>
      </c>
      <c r="GK208" s="1024">
        <f t="shared" si="585"/>
        <v>473852.8353150115</v>
      </c>
      <c r="GL208" s="1024">
        <f t="shared" si="586"/>
        <v>30000</v>
      </c>
      <c r="GM208" s="1024">
        <f t="shared" si="587"/>
        <v>443852.8353150115</v>
      </c>
      <c r="GN208" s="1024">
        <f t="shared" si="588"/>
        <v>2</v>
      </c>
      <c r="GO208" s="1024">
        <f t="shared" si="589"/>
        <v>221926.41765750575</v>
      </c>
      <c r="GP208" s="1025">
        <f t="shared" si="590"/>
        <v>0.875</v>
      </c>
      <c r="GQ208" s="1024">
        <f t="shared" si="591"/>
        <v>3316969.8472050806</v>
      </c>
      <c r="GR208" s="1024">
        <f t="shared" si="592"/>
        <v>25716.431920179999</v>
      </c>
      <c r="GS208" s="1024">
        <f t="shared" si="593"/>
        <v>29813.862722329817</v>
      </c>
      <c r="GT208" s="1024">
        <f t="shared" si="594"/>
        <v>38512.832457301374</v>
      </c>
      <c r="GU208" s="1024">
        <f t="shared" si="595"/>
        <v>65679.978496860655</v>
      </c>
      <c r="GW208" s="1024">
        <f t="shared" si="596"/>
        <v>3790822.682520092</v>
      </c>
      <c r="GX208" s="1025">
        <f t="shared" si="597"/>
        <v>0.125</v>
      </c>
      <c r="GY208" s="1024">
        <f t="shared" si="598"/>
        <v>473852.8353150115</v>
      </c>
      <c r="GZ208" s="1024">
        <f t="shared" si="599"/>
        <v>30000</v>
      </c>
      <c r="HA208" s="1024">
        <f t="shared" si="600"/>
        <v>443852.8353150115</v>
      </c>
      <c r="HB208" s="1026">
        <f t="shared" si="601"/>
        <v>25</v>
      </c>
      <c r="HC208" s="1009">
        <f t="shared" si="602"/>
        <v>17754.113412600462</v>
      </c>
      <c r="HD208" s="1027">
        <f t="shared" si="603"/>
        <v>0.875</v>
      </c>
      <c r="HE208" s="1009">
        <f t="shared" si="604"/>
        <v>3316969.8472050806</v>
      </c>
      <c r="HF208" s="1008">
        <f t="shared" si="605"/>
        <v>25716.431920179999</v>
      </c>
      <c r="HG208" s="1008">
        <f t="shared" si="606"/>
        <v>29813.862722329817</v>
      </c>
      <c r="HH208" s="1008">
        <f t="shared" si="607"/>
        <v>38512.832457301374</v>
      </c>
      <c r="HI208" s="1008">
        <f t="shared" si="608"/>
        <v>65679.978496860655</v>
      </c>
      <c r="HK208" s="1009">
        <f t="shared" si="609"/>
        <v>-204172.3042449053</v>
      </c>
      <c r="HR208" s="956">
        <f t="shared" si="610"/>
        <v>0</v>
      </c>
      <c r="HU208" s="956"/>
      <c r="HW208" s="956"/>
      <c r="HX208" s="956"/>
    </row>
    <row r="209" spans="1:232" ht="14.25" hidden="1" customHeight="1">
      <c r="A209" s="1018">
        <f t="shared" si="648"/>
        <v>203</v>
      </c>
      <c r="B209" s="716"/>
      <c r="C209" s="741">
        <f t="shared" si="611"/>
        <v>11</v>
      </c>
      <c r="D209" s="716" t="s">
        <v>649</v>
      </c>
      <c r="E209" s="746" t="s">
        <v>299</v>
      </c>
      <c r="F209" s="1048"/>
      <c r="G209" s="745" t="s">
        <v>660</v>
      </c>
      <c r="H209" s="745" t="s">
        <v>328</v>
      </c>
      <c r="I209" s="745" t="s">
        <v>267</v>
      </c>
      <c r="J209" s="1005">
        <v>22</v>
      </c>
      <c r="K209" s="1049"/>
      <c r="L209" s="1006" t="s">
        <v>268</v>
      </c>
      <c r="M209" s="745" t="s">
        <v>79</v>
      </c>
      <c r="N209" s="1050">
        <v>95909.091</v>
      </c>
      <c r="O209" s="934">
        <f t="shared" si="625"/>
        <v>2110000.0019999999</v>
      </c>
      <c r="P209" s="934">
        <f t="shared" si="649"/>
        <v>22400</v>
      </c>
      <c r="Q209" s="934">
        <f t="shared" si="619"/>
        <v>50000</v>
      </c>
      <c r="R209" s="934"/>
      <c r="S209" s="934"/>
      <c r="T209" s="934"/>
      <c r="U209" s="934"/>
      <c r="V209" s="749"/>
      <c r="W209" s="934"/>
      <c r="X209" s="934"/>
      <c r="Y209" s="934">
        <f t="shared" si="612"/>
        <v>180000</v>
      </c>
      <c r="Z209" s="934">
        <f t="shared" si="626"/>
        <v>75000</v>
      </c>
      <c r="AA209" s="934"/>
      <c r="AB209" s="934"/>
      <c r="AC209" s="934"/>
      <c r="AD209" s="934"/>
      <c r="AE209" s="934">
        <f t="shared" si="529"/>
        <v>327400</v>
      </c>
      <c r="AF209" s="1005">
        <f t="shared" si="530"/>
        <v>2437400.0019999999</v>
      </c>
      <c r="AG209" s="1005">
        <f t="shared" si="544"/>
        <v>60935.000050000002</v>
      </c>
      <c r="AH209" s="1005">
        <f t="shared" si="545"/>
        <v>2498335.0020499998</v>
      </c>
      <c r="AI209" s="1005">
        <f t="shared" si="546"/>
        <v>62458.375051249997</v>
      </c>
      <c r="AJ209" s="1005">
        <f t="shared" si="547"/>
        <v>2560793.37710125</v>
      </c>
      <c r="AK209" s="1005">
        <f t="shared" si="548"/>
        <v>128039.66885506251</v>
      </c>
      <c r="AL209" s="1005">
        <f t="shared" si="627"/>
        <v>2688833.0459563127</v>
      </c>
      <c r="AM209" s="934">
        <f t="shared" si="549"/>
        <v>26888.330459563127</v>
      </c>
      <c r="AN209" s="934">
        <f t="shared" si="550"/>
        <v>27537.409960060559</v>
      </c>
      <c r="AO209" s="934"/>
      <c r="AP209" s="934">
        <f t="shared" si="628"/>
        <v>119525.83266908643</v>
      </c>
      <c r="AQ209" s="1005">
        <f t="shared" si="531"/>
        <v>2862784.6190450224</v>
      </c>
      <c r="AR209" s="1005">
        <f t="shared" si="551"/>
        <v>128825.307857026</v>
      </c>
      <c r="AS209" s="1147">
        <f t="shared" si="552"/>
        <v>2991609.9269020483</v>
      </c>
      <c r="AT209" s="1148">
        <f t="shared" si="650"/>
        <v>2000000</v>
      </c>
      <c r="AU209" s="1148">
        <f t="shared" si="651"/>
        <v>45073.178495547647</v>
      </c>
      <c r="AV209" s="1148">
        <f t="shared" si="652"/>
        <v>991609.92690204829</v>
      </c>
      <c r="AW209" s="1148">
        <f t="shared" si="617"/>
        <v>118993.19122824579</v>
      </c>
      <c r="AX209" s="1148">
        <f t="shared" si="532"/>
        <v>1110603.1181302941</v>
      </c>
      <c r="AY209" s="1147">
        <f t="shared" si="553"/>
        <v>3110603.1181302941</v>
      </c>
      <c r="AZ209" s="934">
        <f t="shared" si="554"/>
        <v>38882.538976628675</v>
      </c>
      <c r="BA209" s="716" t="s">
        <v>269</v>
      </c>
      <c r="BB209" s="716">
        <f t="shared" si="533"/>
        <v>3149485.6571069229</v>
      </c>
      <c r="BC209" s="716" t="s">
        <v>269</v>
      </c>
      <c r="BD209" s="716">
        <f t="shared" si="555"/>
        <v>118105.7121415096</v>
      </c>
      <c r="BE209" s="716">
        <f t="shared" si="556"/>
        <v>33600</v>
      </c>
      <c r="BF209" s="716">
        <f t="shared" si="557"/>
        <v>3301191.3692484326</v>
      </c>
      <c r="BG209" s="716"/>
      <c r="BH209" s="716">
        <f t="shared" si="558"/>
        <v>3301191.3692484326</v>
      </c>
      <c r="BI209" s="716"/>
      <c r="BJ209" s="716">
        <f t="shared" si="559"/>
        <v>3301191.3692484326</v>
      </c>
      <c r="BK209" s="716"/>
      <c r="BL209" s="716">
        <f t="shared" si="560"/>
        <v>3301191.3692484326</v>
      </c>
      <c r="BM209" s="716"/>
      <c r="BN209" s="716">
        <f t="shared" si="534"/>
        <v>3301191.3692484326</v>
      </c>
      <c r="BO209" s="716"/>
      <c r="BP209" s="716">
        <f t="shared" si="561"/>
        <v>3301191.3692484326</v>
      </c>
      <c r="BQ209" s="716"/>
      <c r="BR209" s="716">
        <f t="shared" si="562"/>
        <v>3301191.3692484326</v>
      </c>
      <c r="BS209" s="716"/>
      <c r="BT209" s="716">
        <f t="shared" si="563"/>
        <v>3301191.3692484326</v>
      </c>
      <c r="BU209" s="716"/>
      <c r="BV209" s="716">
        <f t="shared" si="535"/>
        <v>3301191.3692484326</v>
      </c>
      <c r="BW209" s="716"/>
      <c r="BX209" s="716">
        <f t="shared" si="489"/>
        <v>31400</v>
      </c>
      <c r="BY209" s="716">
        <f t="shared" si="564"/>
        <v>3332591.3692484326</v>
      </c>
      <c r="BZ209" s="716"/>
      <c r="CA209" s="716">
        <f t="shared" si="565"/>
        <v>3332591.3692484326</v>
      </c>
      <c r="CB209" s="1135">
        <f t="shared" si="566"/>
        <v>3332591.3692484326</v>
      </c>
      <c r="CC209" s="1164">
        <f t="shared" si="613"/>
        <v>3332591.3692484326</v>
      </c>
      <c r="CD209" s="1164"/>
      <c r="CE209" s="1164">
        <f t="shared" si="567"/>
        <v>0</v>
      </c>
      <c r="CF209" s="1164">
        <f t="shared" si="615"/>
        <v>0</v>
      </c>
      <c r="CG209" s="1164">
        <f t="shared" si="616"/>
        <v>0</v>
      </c>
      <c r="CH209" s="1154">
        <f t="shared" si="506"/>
        <v>3332591.3692484326</v>
      </c>
      <c r="CI209" s="935">
        <f t="shared" si="507"/>
        <v>3332591.3692484326</v>
      </c>
      <c r="CJ209" s="935">
        <f t="shared" si="568"/>
        <v>0</v>
      </c>
      <c r="CK209" s="935">
        <f t="shared" si="536"/>
        <v>341590.61534796434</v>
      </c>
      <c r="CL209" s="935">
        <f t="shared" si="537"/>
        <v>116640.69792369514</v>
      </c>
      <c r="CM209" s="1006">
        <f t="shared" si="629"/>
        <v>3790822.682520092</v>
      </c>
      <c r="CN209" s="1007">
        <f t="shared" si="630"/>
        <v>0.125</v>
      </c>
      <c r="CO209" s="935">
        <f t="shared" si="498"/>
        <v>473852.8353150115</v>
      </c>
      <c r="CP209" s="935">
        <f t="shared" si="490"/>
        <v>30000</v>
      </c>
      <c r="CQ209" s="935">
        <f t="shared" si="499"/>
        <v>443852.8353150115</v>
      </c>
      <c r="CR209" s="745">
        <f t="shared" si="631"/>
        <v>2</v>
      </c>
      <c r="CS209" s="935">
        <f t="shared" si="500"/>
        <v>221926.41765750575</v>
      </c>
      <c r="CT209" s="1007">
        <f t="shared" si="569"/>
        <v>0.875</v>
      </c>
      <c r="CU209" s="935">
        <f t="shared" si="570"/>
        <v>3316969.8472050806</v>
      </c>
      <c r="CV209" s="1008">
        <f t="shared" si="571"/>
        <v>25716.431920179999</v>
      </c>
      <c r="CW209" s="1008">
        <f t="shared" si="572"/>
        <v>29813.862722329817</v>
      </c>
      <c r="CX209" s="1008">
        <f t="shared" si="573"/>
        <v>38512.832457301374</v>
      </c>
      <c r="CY209" s="1008">
        <f t="shared" si="574"/>
        <v>65679.978496860655</v>
      </c>
      <c r="CZ209" s="1119">
        <f t="shared" si="575"/>
        <v>269448.00372451334</v>
      </c>
      <c r="DA209" s="1119">
        <f t="shared" si="576"/>
        <v>106619.26251720592</v>
      </c>
      <c r="DB209" s="1119">
        <f t="shared" si="577"/>
        <v>77009.583246814509</v>
      </c>
      <c r="DC209" s="1119">
        <f t="shared" si="578"/>
        <v>58607.838188929411</v>
      </c>
      <c r="DD209" s="1028">
        <f t="shared" si="621"/>
        <v>0.49580496345102415</v>
      </c>
      <c r="DE209" s="1028">
        <f t="shared" si="508"/>
        <v>0</v>
      </c>
      <c r="DF209" s="1009" t="s">
        <v>270</v>
      </c>
      <c r="DG209" s="1009" t="s">
        <v>271</v>
      </c>
      <c r="DH209" s="966">
        <f t="shared" si="614"/>
        <v>45658</v>
      </c>
      <c r="DI209" s="912">
        <f t="shared" si="579"/>
        <v>14</v>
      </c>
      <c r="DK209" s="913">
        <f t="shared" si="538"/>
        <v>45723</v>
      </c>
      <c r="DL209" s="912">
        <f t="shared" si="580"/>
        <v>16</v>
      </c>
      <c r="DM209" s="750" t="s">
        <v>272</v>
      </c>
      <c r="DN209" s="750" t="s">
        <v>273</v>
      </c>
      <c r="DO209" s="751">
        <f t="shared" si="539"/>
        <v>50481.959915013373</v>
      </c>
      <c r="DP209" s="751">
        <f t="shared" si="540"/>
        <v>1110603.1181302941</v>
      </c>
      <c r="DQ209" s="752">
        <f t="shared" si="622"/>
        <v>0.55530155906514711</v>
      </c>
      <c r="DS209" s="751">
        <f t="shared" si="623"/>
        <v>3332591.3692484326</v>
      </c>
      <c r="DT209" s="751">
        <f>'[4]INTERNAL PRICELIST'!N203</f>
        <v>0</v>
      </c>
      <c r="DU209" s="751">
        <f t="shared" si="541"/>
        <v>3332591.3692484326</v>
      </c>
      <c r="DW209" s="951">
        <f t="shared" si="624"/>
        <v>151481.42587492874</v>
      </c>
      <c r="DZ209" s="1010" t="s">
        <v>660</v>
      </c>
      <c r="EA209" s="1011" t="b">
        <f t="shared" si="542"/>
        <v>1</v>
      </c>
      <c r="EB209" s="1011"/>
      <c r="EC209" s="1011"/>
      <c r="ER209" s="1017" t="s">
        <v>264</v>
      </c>
      <c r="ES209" s="1391" t="s">
        <v>264</v>
      </c>
      <c r="ET209" s="1018" t="b">
        <f t="shared" si="581"/>
        <v>1</v>
      </c>
      <c r="EX209" s="1019">
        <v>3124858.3704336318</v>
      </c>
      <c r="EY209" s="1019">
        <f t="shared" si="632"/>
        <v>468728.75556504476</v>
      </c>
      <c r="EZ209" s="1019">
        <f t="shared" si="633"/>
        <v>2656129.6148685869</v>
      </c>
      <c r="FA209" s="1019">
        <f t="shared" si="634"/>
        <v>312485.83704336319</v>
      </c>
      <c r="FB209" s="1019">
        <f t="shared" si="635"/>
        <v>2812372.5333902687</v>
      </c>
      <c r="FC209" s="1019">
        <f t="shared" si="636"/>
        <v>156242.9185216818</v>
      </c>
      <c r="FD209" s="1020"/>
      <c r="FE209" s="1021"/>
      <c r="FF209" s="1022">
        <f t="shared" si="637"/>
        <v>2656129.6148685869</v>
      </c>
      <c r="FG209" s="1022">
        <f t="shared" si="638"/>
        <v>225771.01726382991</v>
      </c>
      <c r="FH209" s="1022">
        <f t="shared" si="639"/>
        <v>112885.50863191496</v>
      </c>
      <c r="FI209" s="1023">
        <f t="shared" si="640"/>
        <v>2812372.5333902687</v>
      </c>
      <c r="FJ209" s="1023">
        <f t="shared" si="641"/>
        <v>239051.66533817287</v>
      </c>
      <c r="FK209" s="1023">
        <f t="shared" si="642"/>
        <v>119525.83266908643</v>
      </c>
      <c r="FL209" s="1019">
        <f t="shared" si="643"/>
        <v>13280.648074342957</v>
      </c>
      <c r="FM209" s="1019">
        <f t="shared" si="644"/>
        <v>6640.3240371714783</v>
      </c>
      <c r="FN209" s="1019" t="str">
        <f t="shared" si="645"/>
        <v>VS</v>
      </c>
      <c r="FO209" s="1019">
        <f t="shared" si="646"/>
        <v>27537.409960060559</v>
      </c>
      <c r="FP209" s="1019">
        <f t="shared" si="647"/>
        <v>-20897.08592288908</v>
      </c>
      <c r="FQ209" s="1021"/>
      <c r="FR209" s="1021"/>
      <c r="FS209" s="1020"/>
      <c r="FT209" s="1055">
        <f t="shared" si="618"/>
        <v>2812372.5333902687</v>
      </c>
      <c r="FU209" s="1056"/>
      <c r="FV209" s="1056"/>
      <c r="GG209" s="956"/>
      <c r="GH209" s="1058"/>
      <c r="GI209" s="1024">
        <f t="shared" si="583"/>
        <v>3790822.682520092</v>
      </c>
      <c r="GJ209" s="1025">
        <f t="shared" si="584"/>
        <v>0.125</v>
      </c>
      <c r="GK209" s="1024">
        <f t="shared" si="585"/>
        <v>473852.8353150115</v>
      </c>
      <c r="GL209" s="1024">
        <f t="shared" si="586"/>
        <v>30000</v>
      </c>
      <c r="GM209" s="1024">
        <f t="shared" si="587"/>
        <v>443852.8353150115</v>
      </c>
      <c r="GN209" s="1024">
        <f t="shared" si="588"/>
        <v>2</v>
      </c>
      <c r="GO209" s="1024">
        <f t="shared" si="589"/>
        <v>221926.41765750575</v>
      </c>
      <c r="GP209" s="1025">
        <f t="shared" si="590"/>
        <v>0.875</v>
      </c>
      <c r="GQ209" s="1024">
        <f t="shared" si="591"/>
        <v>3316969.8472050806</v>
      </c>
      <c r="GR209" s="1024">
        <f t="shared" si="592"/>
        <v>25716.431920179999</v>
      </c>
      <c r="GS209" s="1024">
        <f t="shared" si="593"/>
        <v>29813.862722329817</v>
      </c>
      <c r="GT209" s="1024">
        <f t="shared" si="594"/>
        <v>38512.832457301374</v>
      </c>
      <c r="GU209" s="1024">
        <f t="shared" si="595"/>
        <v>65679.978496860655</v>
      </c>
      <c r="GW209" s="1024">
        <f t="shared" si="596"/>
        <v>3790822.682520092</v>
      </c>
      <c r="GX209" s="1025">
        <f t="shared" si="597"/>
        <v>0.125</v>
      </c>
      <c r="GY209" s="1024">
        <f t="shared" si="598"/>
        <v>473852.8353150115</v>
      </c>
      <c r="GZ209" s="1024">
        <f t="shared" si="599"/>
        <v>30000</v>
      </c>
      <c r="HA209" s="1024">
        <f t="shared" si="600"/>
        <v>443852.8353150115</v>
      </c>
      <c r="HB209" s="1026">
        <f t="shared" si="601"/>
        <v>25</v>
      </c>
      <c r="HC209" s="1009">
        <f t="shared" si="602"/>
        <v>17754.113412600462</v>
      </c>
      <c r="HD209" s="1027">
        <f t="shared" si="603"/>
        <v>0.875</v>
      </c>
      <c r="HE209" s="1009">
        <f t="shared" si="604"/>
        <v>3316969.8472050806</v>
      </c>
      <c r="HF209" s="1008">
        <f t="shared" si="605"/>
        <v>25716.431920179999</v>
      </c>
      <c r="HG209" s="1008">
        <f t="shared" si="606"/>
        <v>29813.862722329817</v>
      </c>
      <c r="HH209" s="1008">
        <f t="shared" si="607"/>
        <v>38512.832457301374</v>
      </c>
      <c r="HI209" s="1008">
        <f t="shared" si="608"/>
        <v>65679.978496860655</v>
      </c>
      <c r="HK209" s="1009">
        <f t="shared" si="609"/>
        <v>-204172.3042449053</v>
      </c>
      <c r="HR209" s="956">
        <f t="shared" si="610"/>
        <v>0</v>
      </c>
      <c r="HU209" s="956"/>
      <c r="HW209" s="956"/>
      <c r="HX209" s="956"/>
    </row>
    <row r="210" spans="1:232" ht="14.25" hidden="1" customHeight="1">
      <c r="A210" s="1018">
        <f t="shared" si="648"/>
        <v>204</v>
      </c>
      <c r="B210" s="716"/>
      <c r="C210" s="741">
        <f t="shared" si="611"/>
        <v>12</v>
      </c>
      <c r="D210" s="716" t="s">
        <v>649</v>
      </c>
      <c r="E210" s="746" t="s">
        <v>299</v>
      </c>
      <c r="F210" s="1048"/>
      <c r="G210" s="745" t="s">
        <v>661</v>
      </c>
      <c r="H210" s="745" t="s">
        <v>331</v>
      </c>
      <c r="I210" s="745" t="s">
        <v>267</v>
      </c>
      <c r="J210" s="1005">
        <v>22</v>
      </c>
      <c r="K210" s="1049"/>
      <c r="L210" s="1006" t="s">
        <v>268</v>
      </c>
      <c r="M210" s="745" t="s">
        <v>79</v>
      </c>
      <c r="N210" s="1050">
        <v>95909.091</v>
      </c>
      <c r="O210" s="934">
        <f t="shared" si="625"/>
        <v>2110000.0019999999</v>
      </c>
      <c r="P210" s="934">
        <f t="shared" si="649"/>
        <v>22400</v>
      </c>
      <c r="Q210" s="934">
        <f t="shared" si="619"/>
        <v>50000</v>
      </c>
      <c r="R210" s="934"/>
      <c r="S210" s="934"/>
      <c r="T210" s="934"/>
      <c r="U210" s="934"/>
      <c r="V210" s="749"/>
      <c r="W210" s="934"/>
      <c r="X210" s="934"/>
      <c r="Y210" s="934">
        <f t="shared" si="612"/>
        <v>180000</v>
      </c>
      <c r="Z210" s="934">
        <f t="shared" si="626"/>
        <v>75000</v>
      </c>
      <c r="AA210" s="934"/>
      <c r="AB210" s="934"/>
      <c r="AC210" s="934"/>
      <c r="AD210" s="934"/>
      <c r="AE210" s="934">
        <f t="shared" si="529"/>
        <v>327400</v>
      </c>
      <c r="AF210" s="1005">
        <f t="shared" si="530"/>
        <v>2437400.0019999999</v>
      </c>
      <c r="AG210" s="1005">
        <f t="shared" si="544"/>
        <v>60935.000050000002</v>
      </c>
      <c r="AH210" s="1005">
        <f t="shared" si="545"/>
        <v>2498335.0020499998</v>
      </c>
      <c r="AI210" s="1005">
        <f t="shared" si="546"/>
        <v>62458.375051249997</v>
      </c>
      <c r="AJ210" s="1005">
        <f t="shared" si="547"/>
        <v>2560793.37710125</v>
      </c>
      <c r="AK210" s="1005">
        <f t="shared" si="548"/>
        <v>128039.66885506251</v>
      </c>
      <c r="AL210" s="1005">
        <f t="shared" si="627"/>
        <v>2688833.0459563127</v>
      </c>
      <c r="AM210" s="934">
        <f t="shared" si="549"/>
        <v>26888.330459563127</v>
      </c>
      <c r="AN210" s="934">
        <f t="shared" si="550"/>
        <v>27537.409960060559</v>
      </c>
      <c r="AO210" s="934"/>
      <c r="AP210" s="934">
        <f t="shared" si="628"/>
        <v>119525.83266908643</v>
      </c>
      <c r="AQ210" s="1005">
        <f t="shared" si="531"/>
        <v>2862784.6190450224</v>
      </c>
      <c r="AR210" s="1005">
        <f t="shared" si="551"/>
        <v>128825.307857026</v>
      </c>
      <c r="AS210" s="1147">
        <f t="shared" si="552"/>
        <v>2991609.9269020483</v>
      </c>
      <c r="AT210" s="1148">
        <f t="shared" si="650"/>
        <v>2000000</v>
      </c>
      <c r="AU210" s="1148">
        <f t="shared" si="651"/>
        <v>45073.178495547647</v>
      </c>
      <c r="AV210" s="1148">
        <f t="shared" si="652"/>
        <v>991609.92690204829</v>
      </c>
      <c r="AW210" s="1148">
        <f t="shared" si="617"/>
        <v>118993.19122824579</v>
      </c>
      <c r="AX210" s="1148">
        <f t="shared" si="532"/>
        <v>1110603.1181302941</v>
      </c>
      <c r="AY210" s="1147">
        <f t="shared" si="553"/>
        <v>3110603.1181302941</v>
      </c>
      <c r="AZ210" s="934">
        <f t="shared" si="554"/>
        <v>38882.538976628675</v>
      </c>
      <c r="BA210" s="716" t="s">
        <v>269</v>
      </c>
      <c r="BB210" s="716">
        <f t="shared" si="533"/>
        <v>3149485.6571069229</v>
      </c>
      <c r="BC210" s="716" t="s">
        <v>269</v>
      </c>
      <c r="BD210" s="716">
        <f t="shared" si="555"/>
        <v>118105.7121415096</v>
      </c>
      <c r="BE210" s="716">
        <f t="shared" si="556"/>
        <v>33600</v>
      </c>
      <c r="BF210" s="716">
        <f t="shared" si="557"/>
        <v>3301191.3692484326</v>
      </c>
      <c r="BG210" s="716"/>
      <c r="BH210" s="716">
        <f t="shared" si="558"/>
        <v>3301191.3692484326</v>
      </c>
      <c r="BI210" s="716"/>
      <c r="BJ210" s="716">
        <f t="shared" si="559"/>
        <v>3301191.3692484326</v>
      </c>
      <c r="BK210" s="716"/>
      <c r="BL210" s="716">
        <f t="shared" si="560"/>
        <v>3301191.3692484326</v>
      </c>
      <c r="BM210" s="716"/>
      <c r="BN210" s="716">
        <f t="shared" si="534"/>
        <v>3301191.3692484326</v>
      </c>
      <c r="BO210" s="716"/>
      <c r="BP210" s="716">
        <f t="shared" si="561"/>
        <v>3301191.3692484326</v>
      </c>
      <c r="BQ210" s="716"/>
      <c r="BR210" s="716">
        <f t="shared" si="562"/>
        <v>3301191.3692484326</v>
      </c>
      <c r="BS210" s="716"/>
      <c r="BT210" s="716">
        <f t="shared" si="563"/>
        <v>3301191.3692484326</v>
      </c>
      <c r="BU210" s="716"/>
      <c r="BV210" s="716">
        <f t="shared" si="535"/>
        <v>3301191.3692484326</v>
      </c>
      <c r="BW210" s="716"/>
      <c r="BX210" s="716">
        <f t="shared" si="489"/>
        <v>31400</v>
      </c>
      <c r="BY210" s="716">
        <f t="shared" si="564"/>
        <v>3332591.3692484326</v>
      </c>
      <c r="BZ210" s="716"/>
      <c r="CA210" s="716">
        <f t="shared" si="565"/>
        <v>3332591.3692484326</v>
      </c>
      <c r="CB210" s="1135">
        <f t="shared" si="566"/>
        <v>3332591.3692484326</v>
      </c>
      <c r="CC210" s="1164">
        <f t="shared" si="613"/>
        <v>3332591.3692484326</v>
      </c>
      <c r="CD210" s="1164"/>
      <c r="CE210" s="1164">
        <f t="shared" si="567"/>
        <v>0</v>
      </c>
      <c r="CF210" s="1164">
        <f t="shared" si="615"/>
        <v>0</v>
      </c>
      <c r="CG210" s="1164">
        <f t="shared" si="616"/>
        <v>0</v>
      </c>
      <c r="CH210" s="1154">
        <f t="shared" si="506"/>
        <v>3332591.3692484326</v>
      </c>
      <c r="CI210" s="935">
        <f t="shared" si="507"/>
        <v>3332591.3692484326</v>
      </c>
      <c r="CJ210" s="935">
        <f t="shared" si="568"/>
        <v>0</v>
      </c>
      <c r="CK210" s="935">
        <f t="shared" si="536"/>
        <v>341590.61534796434</v>
      </c>
      <c r="CL210" s="935">
        <f t="shared" si="537"/>
        <v>116640.69792369514</v>
      </c>
      <c r="CM210" s="1006">
        <f t="shared" si="629"/>
        <v>3790822.682520092</v>
      </c>
      <c r="CN210" s="1007">
        <f t="shared" si="630"/>
        <v>0.125</v>
      </c>
      <c r="CO210" s="935">
        <f t="shared" si="498"/>
        <v>473852.8353150115</v>
      </c>
      <c r="CP210" s="935">
        <f t="shared" si="490"/>
        <v>30000</v>
      </c>
      <c r="CQ210" s="935">
        <f t="shared" si="499"/>
        <v>443852.8353150115</v>
      </c>
      <c r="CR210" s="745">
        <f t="shared" si="631"/>
        <v>2</v>
      </c>
      <c r="CS210" s="935">
        <f t="shared" si="500"/>
        <v>221926.41765750575</v>
      </c>
      <c r="CT210" s="1007">
        <f t="shared" si="569"/>
        <v>0.875</v>
      </c>
      <c r="CU210" s="935">
        <f t="shared" si="570"/>
        <v>3316969.8472050806</v>
      </c>
      <c r="CV210" s="1008">
        <f t="shared" si="571"/>
        <v>25716.431920179999</v>
      </c>
      <c r="CW210" s="1008">
        <f t="shared" si="572"/>
        <v>29813.862722329817</v>
      </c>
      <c r="CX210" s="1008">
        <f t="shared" si="573"/>
        <v>38512.832457301374</v>
      </c>
      <c r="CY210" s="1008">
        <f t="shared" si="574"/>
        <v>65679.978496860655</v>
      </c>
      <c r="CZ210" s="1119">
        <f t="shared" si="575"/>
        <v>269448.00372451334</v>
      </c>
      <c r="DA210" s="1119">
        <f t="shared" si="576"/>
        <v>106619.26251720592</v>
      </c>
      <c r="DB210" s="1119">
        <f t="shared" si="577"/>
        <v>77009.583246814509</v>
      </c>
      <c r="DC210" s="1119">
        <f t="shared" si="578"/>
        <v>58607.838188929411</v>
      </c>
      <c r="DD210" s="1028">
        <f t="shared" si="621"/>
        <v>0.49580496345102415</v>
      </c>
      <c r="DE210" s="1028">
        <f t="shared" si="508"/>
        <v>0</v>
      </c>
      <c r="DF210" s="1009" t="s">
        <v>270</v>
      </c>
      <c r="DG210" s="1009" t="s">
        <v>271</v>
      </c>
      <c r="DH210" s="966">
        <f t="shared" si="614"/>
        <v>45658</v>
      </c>
      <c r="DI210" s="912">
        <f t="shared" si="579"/>
        <v>14</v>
      </c>
      <c r="DK210" s="913">
        <f t="shared" si="538"/>
        <v>45723</v>
      </c>
      <c r="DL210" s="912">
        <f t="shared" si="580"/>
        <v>16</v>
      </c>
      <c r="DM210" s="750" t="s">
        <v>272</v>
      </c>
      <c r="DN210" s="750" t="s">
        <v>273</v>
      </c>
      <c r="DO210" s="751">
        <f t="shared" si="539"/>
        <v>50481.959915013373</v>
      </c>
      <c r="DP210" s="751">
        <f t="shared" si="540"/>
        <v>1110603.1181302941</v>
      </c>
      <c r="DQ210" s="752">
        <f t="shared" si="622"/>
        <v>0.55530155906514711</v>
      </c>
      <c r="DS210" s="751">
        <f t="shared" si="623"/>
        <v>3332591.3692484326</v>
      </c>
      <c r="DT210" s="751">
        <f>'[4]INTERNAL PRICELIST'!N204</f>
        <v>0</v>
      </c>
      <c r="DU210" s="751">
        <f t="shared" si="541"/>
        <v>3332591.3692484326</v>
      </c>
      <c r="DW210" s="951">
        <f t="shared" si="624"/>
        <v>151481.42587492874</v>
      </c>
      <c r="DZ210" s="1010" t="s">
        <v>661</v>
      </c>
      <c r="EA210" s="1011" t="b">
        <f t="shared" si="542"/>
        <v>1</v>
      </c>
      <c r="EB210" s="1011"/>
      <c r="EC210" s="1011"/>
      <c r="ER210" s="1017" t="s">
        <v>264</v>
      </c>
      <c r="ES210" s="1391" t="s">
        <v>264</v>
      </c>
      <c r="ET210" s="1018" t="b">
        <f t="shared" si="581"/>
        <v>1</v>
      </c>
      <c r="EX210" s="1019">
        <v>3124858.3704336318</v>
      </c>
      <c r="EY210" s="1019">
        <f t="shared" si="632"/>
        <v>468728.75556504476</v>
      </c>
      <c r="EZ210" s="1019">
        <f t="shared" si="633"/>
        <v>2656129.6148685869</v>
      </c>
      <c r="FA210" s="1019">
        <f t="shared" si="634"/>
        <v>312485.83704336319</v>
      </c>
      <c r="FB210" s="1019">
        <f t="shared" si="635"/>
        <v>2812372.5333902687</v>
      </c>
      <c r="FC210" s="1019">
        <f t="shared" si="636"/>
        <v>156242.9185216818</v>
      </c>
      <c r="FD210" s="1020"/>
      <c r="FE210" s="1021"/>
      <c r="FF210" s="1022">
        <f t="shared" si="637"/>
        <v>2656129.6148685869</v>
      </c>
      <c r="FG210" s="1022">
        <f t="shared" si="638"/>
        <v>225771.01726382991</v>
      </c>
      <c r="FH210" s="1022">
        <f t="shared" si="639"/>
        <v>112885.50863191496</v>
      </c>
      <c r="FI210" s="1023">
        <f t="shared" si="640"/>
        <v>2812372.5333902687</v>
      </c>
      <c r="FJ210" s="1023">
        <f t="shared" si="641"/>
        <v>239051.66533817287</v>
      </c>
      <c r="FK210" s="1023">
        <f t="shared" si="642"/>
        <v>119525.83266908643</v>
      </c>
      <c r="FL210" s="1019">
        <f t="shared" si="643"/>
        <v>13280.648074342957</v>
      </c>
      <c r="FM210" s="1019">
        <f t="shared" si="644"/>
        <v>6640.3240371714783</v>
      </c>
      <c r="FN210" s="1019" t="str">
        <f t="shared" si="645"/>
        <v>VS</v>
      </c>
      <c r="FO210" s="1019">
        <f t="shared" si="646"/>
        <v>27537.409960060559</v>
      </c>
      <c r="FP210" s="1019">
        <f t="shared" si="647"/>
        <v>-20897.08592288908</v>
      </c>
      <c r="FQ210" s="1021"/>
      <c r="FR210" s="1021"/>
      <c r="FS210" s="1020"/>
      <c r="FT210" s="503"/>
      <c r="FU210" s="956"/>
      <c r="FV210" s="503"/>
      <c r="GG210" s="956"/>
      <c r="GI210" s="1024">
        <f t="shared" si="583"/>
        <v>3790822.682520092</v>
      </c>
      <c r="GJ210" s="1025">
        <f t="shared" si="584"/>
        <v>0.125</v>
      </c>
      <c r="GK210" s="1024">
        <f t="shared" si="585"/>
        <v>473852.8353150115</v>
      </c>
      <c r="GL210" s="1024">
        <f t="shared" si="586"/>
        <v>30000</v>
      </c>
      <c r="GM210" s="1024">
        <f t="shared" si="587"/>
        <v>443852.8353150115</v>
      </c>
      <c r="GN210" s="1024">
        <f t="shared" si="588"/>
        <v>2</v>
      </c>
      <c r="GO210" s="1024">
        <f t="shared" si="589"/>
        <v>221926.41765750575</v>
      </c>
      <c r="GP210" s="1025">
        <f t="shared" si="590"/>
        <v>0.875</v>
      </c>
      <c r="GQ210" s="1024">
        <f t="shared" si="591"/>
        <v>3316969.8472050806</v>
      </c>
      <c r="GR210" s="1024">
        <f t="shared" si="592"/>
        <v>25716.431920179999</v>
      </c>
      <c r="GS210" s="1024">
        <f t="shared" si="593"/>
        <v>29813.862722329817</v>
      </c>
      <c r="GT210" s="1024">
        <f t="shared" si="594"/>
        <v>38512.832457301374</v>
      </c>
      <c r="GU210" s="1024">
        <f t="shared" si="595"/>
        <v>65679.978496860655</v>
      </c>
      <c r="GW210" s="1024">
        <f t="shared" si="596"/>
        <v>3790822.682520092</v>
      </c>
      <c r="GX210" s="1025">
        <f t="shared" si="597"/>
        <v>0.125</v>
      </c>
      <c r="GY210" s="1024">
        <f t="shared" si="598"/>
        <v>473852.8353150115</v>
      </c>
      <c r="GZ210" s="1024">
        <f t="shared" si="599"/>
        <v>30000</v>
      </c>
      <c r="HA210" s="1024">
        <f t="shared" si="600"/>
        <v>443852.8353150115</v>
      </c>
      <c r="HB210" s="1026">
        <f t="shared" si="601"/>
        <v>25</v>
      </c>
      <c r="HC210" s="1009">
        <f t="shared" si="602"/>
        <v>17754.113412600462</v>
      </c>
      <c r="HD210" s="1027">
        <f t="shared" si="603"/>
        <v>0.875</v>
      </c>
      <c r="HE210" s="1009">
        <f t="shared" si="604"/>
        <v>3316969.8472050806</v>
      </c>
      <c r="HF210" s="1008">
        <f t="shared" si="605"/>
        <v>25716.431920179999</v>
      </c>
      <c r="HG210" s="1008">
        <f t="shared" si="606"/>
        <v>29813.862722329817</v>
      </c>
      <c r="HH210" s="1008">
        <f t="shared" si="607"/>
        <v>38512.832457301374</v>
      </c>
      <c r="HI210" s="1008">
        <f t="shared" si="608"/>
        <v>65679.978496860655</v>
      </c>
      <c r="HK210" s="1009">
        <f t="shared" si="609"/>
        <v>-204172.3042449053</v>
      </c>
      <c r="HR210" s="956">
        <f t="shared" si="610"/>
        <v>0</v>
      </c>
      <c r="HU210" s="956"/>
      <c r="HW210" s="956"/>
      <c r="HX210" s="956"/>
    </row>
    <row r="211" spans="1:232" ht="14.25" hidden="1" customHeight="1">
      <c r="A211" s="1018">
        <f t="shared" si="648"/>
        <v>205</v>
      </c>
      <c r="B211" s="716"/>
      <c r="C211" s="741">
        <f t="shared" si="611"/>
        <v>13</v>
      </c>
      <c r="D211" s="716" t="s">
        <v>649</v>
      </c>
      <c r="E211" s="746" t="s">
        <v>299</v>
      </c>
      <c r="F211" s="1048"/>
      <c r="G211" s="745" t="s">
        <v>662</v>
      </c>
      <c r="H211" s="745" t="s">
        <v>336</v>
      </c>
      <c r="I211" s="745" t="s">
        <v>267</v>
      </c>
      <c r="J211" s="1005">
        <v>22</v>
      </c>
      <c r="K211" s="1049"/>
      <c r="L211" s="1006" t="s">
        <v>268</v>
      </c>
      <c r="M211" s="745" t="s">
        <v>79</v>
      </c>
      <c r="N211" s="1050">
        <v>95909.091</v>
      </c>
      <c r="O211" s="934">
        <f t="shared" si="625"/>
        <v>2110000.0019999999</v>
      </c>
      <c r="P211" s="934">
        <f t="shared" si="649"/>
        <v>22400</v>
      </c>
      <c r="Q211" s="934">
        <f t="shared" si="619"/>
        <v>50000</v>
      </c>
      <c r="R211" s="934"/>
      <c r="S211" s="934"/>
      <c r="T211" s="934"/>
      <c r="U211" s="934"/>
      <c r="V211" s="749"/>
      <c r="W211" s="934"/>
      <c r="X211" s="934"/>
      <c r="Y211" s="934">
        <f t="shared" si="612"/>
        <v>180000</v>
      </c>
      <c r="Z211" s="934">
        <f t="shared" si="626"/>
        <v>75000</v>
      </c>
      <c r="AA211" s="934"/>
      <c r="AB211" s="934"/>
      <c r="AC211" s="934"/>
      <c r="AD211" s="934"/>
      <c r="AE211" s="934">
        <f t="shared" si="529"/>
        <v>327400</v>
      </c>
      <c r="AF211" s="1005">
        <f t="shared" si="530"/>
        <v>2437400.0019999999</v>
      </c>
      <c r="AG211" s="1005">
        <f t="shared" si="544"/>
        <v>60935.000050000002</v>
      </c>
      <c r="AH211" s="1005">
        <f t="shared" si="545"/>
        <v>2498335.0020499998</v>
      </c>
      <c r="AI211" s="1005">
        <f t="shared" si="546"/>
        <v>62458.375051249997</v>
      </c>
      <c r="AJ211" s="1005">
        <f t="shared" si="547"/>
        <v>2560793.37710125</v>
      </c>
      <c r="AK211" s="1005">
        <f t="shared" si="548"/>
        <v>128039.66885506251</v>
      </c>
      <c r="AL211" s="1005">
        <f t="shared" si="627"/>
        <v>2688833.0459563127</v>
      </c>
      <c r="AM211" s="934">
        <f t="shared" si="549"/>
        <v>26888.330459563127</v>
      </c>
      <c r="AN211" s="934">
        <f t="shared" si="550"/>
        <v>27537.409960060559</v>
      </c>
      <c r="AO211" s="934"/>
      <c r="AP211" s="934">
        <f t="shared" si="628"/>
        <v>119525.83266908643</v>
      </c>
      <c r="AQ211" s="1005">
        <f t="shared" si="531"/>
        <v>2862784.6190450224</v>
      </c>
      <c r="AR211" s="1005">
        <f t="shared" si="551"/>
        <v>128825.307857026</v>
      </c>
      <c r="AS211" s="1147">
        <f t="shared" si="552"/>
        <v>2991609.9269020483</v>
      </c>
      <c r="AT211" s="1148">
        <f t="shared" si="650"/>
        <v>2000000</v>
      </c>
      <c r="AU211" s="1148">
        <f t="shared" si="651"/>
        <v>45073.178495547647</v>
      </c>
      <c r="AV211" s="1148">
        <f t="shared" si="652"/>
        <v>991609.92690204829</v>
      </c>
      <c r="AW211" s="1148">
        <f t="shared" si="617"/>
        <v>118993.19122824579</v>
      </c>
      <c r="AX211" s="1148">
        <f t="shared" si="532"/>
        <v>1110603.1181302941</v>
      </c>
      <c r="AY211" s="1147">
        <f t="shared" si="553"/>
        <v>3110603.1181302941</v>
      </c>
      <c r="AZ211" s="934">
        <f t="shared" si="554"/>
        <v>38882.538976628675</v>
      </c>
      <c r="BA211" s="716" t="s">
        <v>269</v>
      </c>
      <c r="BB211" s="716">
        <f t="shared" si="533"/>
        <v>3149485.6571069229</v>
      </c>
      <c r="BC211" s="716" t="s">
        <v>269</v>
      </c>
      <c r="BD211" s="716">
        <f t="shared" si="555"/>
        <v>118105.7121415096</v>
      </c>
      <c r="BE211" s="716">
        <f t="shared" si="556"/>
        <v>33600</v>
      </c>
      <c r="BF211" s="716">
        <f t="shared" si="557"/>
        <v>3301191.3692484326</v>
      </c>
      <c r="BG211" s="716"/>
      <c r="BH211" s="716">
        <f t="shared" si="558"/>
        <v>3301191.3692484326</v>
      </c>
      <c r="BI211" s="716"/>
      <c r="BJ211" s="716">
        <f t="shared" si="559"/>
        <v>3301191.3692484326</v>
      </c>
      <c r="BK211" s="716"/>
      <c r="BL211" s="716">
        <f t="shared" si="560"/>
        <v>3301191.3692484326</v>
      </c>
      <c r="BM211" s="716"/>
      <c r="BN211" s="716">
        <f t="shared" si="534"/>
        <v>3301191.3692484326</v>
      </c>
      <c r="BO211" s="716"/>
      <c r="BP211" s="716">
        <f t="shared" si="561"/>
        <v>3301191.3692484326</v>
      </c>
      <c r="BQ211" s="716"/>
      <c r="BR211" s="716">
        <f t="shared" si="562"/>
        <v>3301191.3692484326</v>
      </c>
      <c r="BS211" s="716"/>
      <c r="BT211" s="716">
        <f t="shared" si="563"/>
        <v>3301191.3692484326</v>
      </c>
      <c r="BU211" s="716"/>
      <c r="BV211" s="716">
        <f t="shared" si="535"/>
        <v>3301191.3692484326</v>
      </c>
      <c r="BW211" s="716"/>
      <c r="BX211" s="716">
        <f t="shared" ref="BX211:BX216" si="653">$BX$2+$BX$3-BE211</f>
        <v>31400</v>
      </c>
      <c r="BY211" s="716">
        <f t="shared" si="564"/>
        <v>3332591.3692484326</v>
      </c>
      <c r="BZ211" s="716"/>
      <c r="CA211" s="716">
        <f t="shared" si="565"/>
        <v>3332591.3692484326</v>
      </c>
      <c r="CB211" s="1135">
        <f t="shared" si="566"/>
        <v>3332591.3692484326</v>
      </c>
      <c r="CC211" s="1164">
        <f t="shared" si="613"/>
        <v>3332591.3692484326</v>
      </c>
      <c r="CD211" s="1164"/>
      <c r="CE211" s="1164">
        <f t="shared" si="567"/>
        <v>0</v>
      </c>
      <c r="CF211" s="1164">
        <f t="shared" si="615"/>
        <v>0</v>
      </c>
      <c r="CG211" s="1164">
        <f t="shared" si="616"/>
        <v>0</v>
      </c>
      <c r="CH211" s="1154">
        <f t="shared" si="506"/>
        <v>3332591.3692484326</v>
      </c>
      <c r="CI211" s="935">
        <f t="shared" si="507"/>
        <v>3332591.3692484326</v>
      </c>
      <c r="CJ211" s="935">
        <f t="shared" si="568"/>
        <v>0</v>
      </c>
      <c r="CK211" s="935">
        <f t="shared" si="536"/>
        <v>341590.61534796434</v>
      </c>
      <c r="CL211" s="935">
        <f t="shared" si="537"/>
        <v>116640.69792369514</v>
      </c>
      <c r="CM211" s="1006">
        <f t="shared" si="629"/>
        <v>3790822.682520092</v>
      </c>
      <c r="CN211" s="1007">
        <f t="shared" si="630"/>
        <v>0.125</v>
      </c>
      <c r="CO211" s="935">
        <f t="shared" si="498"/>
        <v>473852.8353150115</v>
      </c>
      <c r="CP211" s="935">
        <f t="shared" si="490"/>
        <v>30000</v>
      </c>
      <c r="CQ211" s="935">
        <f t="shared" si="499"/>
        <v>443852.8353150115</v>
      </c>
      <c r="CR211" s="745">
        <f t="shared" si="631"/>
        <v>2</v>
      </c>
      <c r="CS211" s="935">
        <f t="shared" si="500"/>
        <v>221926.41765750575</v>
      </c>
      <c r="CT211" s="1007">
        <f t="shared" si="569"/>
        <v>0.875</v>
      </c>
      <c r="CU211" s="935">
        <f t="shared" si="570"/>
        <v>3316969.8472050806</v>
      </c>
      <c r="CV211" s="1008">
        <f t="shared" si="571"/>
        <v>25716.431920179999</v>
      </c>
      <c r="CW211" s="1008">
        <f t="shared" si="572"/>
        <v>29813.862722329817</v>
      </c>
      <c r="CX211" s="1008">
        <f t="shared" si="573"/>
        <v>38512.832457301374</v>
      </c>
      <c r="CY211" s="1008">
        <f t="shared" si="574"/>
        <v>65679.978496860655</v>
      </c>
      <c r="CZ211" s="1119">
        <f t="shared" si="575"/>
        <v>269448.00372451334</v>
      </c>
      <c r="DA211" s="1119">
        <f t="shared" si="576"/>
        <v>106619.26251720592</v>
      </c>
      <c r="DB211" s="1119">
        <f t="shared" si="577"/>
        <v>77009.583246814509</v>
      </c>
      <c r="DC211" s="1119">
        <f t="shared" si="578"/>
        <v>58607.838188929411</v>
      </c>
      <c r="DD211" s="1028">
        <f t="shared" si="621"/>
        <v>0.49580496345102415</v>
      </c>
      <c r="DE211" s="1028">
        <f t="shared" si="508"/>
        <v>0</v>
      </c>
      <c r="DF211" s="1009" t="s">
        <v>270</v>
      </c>
      <c r="DG211" s="1009" t="s">
        <v>271</v>
      </c>
      <c r="DH211" s="966">
        <f t="shared" si="614"/>
        <v>45658</v>
      </c>
      <c r="DI211" s="912">
        <f t="shared" si="579"/>
        <v>14</v>
      </c>
      <c r="DK211" s="913">
        <f t="shared" si="538"/>
        <v>45723</v>
      </c>
      <c r="DL211" s="912">
        <f t="shared" si="580"/>
        <v>16</v>
      </c>
      <c r="DM211" s="750" t="s">
        <v>272</v>
      </c>
      <c r="DN211" s="750" t="s">
        <v>273</v>
      </c>
      <c r="DO211" s="751">
        <f t="shared" si="539"/>
        <v>50481.959915013373</v>
      </c>
      <c r="DP211" s="751">
        <f t="shared" si="540"/>
        <v>1110603.1181302941</v>
      </c>
      <c r="DQ211" s="752">
        <f t="shared" si="622"/>
        <v>0.55530155906514711</v>
      </c>
      <c r="DS211" s="751">
        <f t="shared" si="623"/>
        <v>3332591.3692484326</v>
      </c>
      <c r="DT211" s="751">
        <f>'[4]INTERNAL PRICELIST'!N205</f>
        <v>0</v>
      </c>
      <c r="DU211" s="751">
        <f t="shared" si="541"/>
        <v>3332591.3692484326</v>
      </c>
      <c r="DW211" s="951">
        <f t="shared" si="624"/>
        <v>151481.42587492874</v>
      </c>
      <c r="DZ211" s="1010" t="s">
        <v>662</v>
      </c>
      <c r="EA211" s="1011" t="b">
        <f t="shared" si="542"/>
        <v>1</v>
      </c>
      <c r="EB211" s="1011"/>
      <c r="EC211" s="1011"/>
      <c r="ER211" s="1017" t="s">
        <v>264</v>
      </c>
      <c r="ES211" s="1391" t="s">
        <v>264</v>
      </c>
      <c r="ET211" s="1018" t="b">
        <f t="shared" si="581"/>
        <v>1</v>
      </c>
      <c r="EX211" s="1019">
        <v>3124858.3704336318</v>
      </c>
      <c r="EY211" s="1019">
        <f t="shared" si="632"/>
        <v>468728.75556504476</v>
      </c>
      <c r="EZ211" s="1019">
        <f t="shared" si="633"/>
        <v>2656129.6148685869</v>
      </c>
      <c r="FA211" s="1019">
        <f t="shared" si="634"/>
        <v>312485.83704336319</v>
      </c>
      <c r="FB211" s="1019">
        <f t="shared" si="635"/>
        <v>2812372.5333902687</v>
      </c>
      <c r="FC211" s="1019">
        <f t="shared" si="636"/>
        <v>156242.9185216818</v>
      </c>
      <c r="FD211" s="1020"/>
      <c r="FE211" s="1021"/>
      <c r="FF211" s="1022">
        <f t="shared" si="637"/>
        <v>2656129.6148685869</v>
      </c>
      <c r="FG211" s="1022">
        <f t="shared" si="638"/>
        <v>225771.01726382991</v>
      </c>
      <c r="FH211" s="1022">
        <f t="shared" si="639"/>
        <v>112885.50863191496</v>
      </c>
      <c r="FI211" s="1023">
        <f t="shared" si="640"/>
        <v>2812372.5333902687</v>
      </c>
      <c r="FJ211" s="1023">
        <f t="shared" si="641"/>
        <v>239051.66533817287</v>
      </c>
      <c r="FK211" s="1023">
        <f t="shared" si="642"/>
        <v>119525.83266908643</v>
      </c>
      <c r="FL211" s="1019">
        <f t="shared" si="643"/>
        <v>13280.648074342957</v>
      </c>
      <c r="FM211" s="1019">
        <f t="shared" si="644"/>
        <v>6640.3240371714783</v>
      </c>
      <c r="FN211" s="1019" t="str">
        <f t="shared" si="645"/>
        <v>VS</v>
      </c>
      <c r="FO211" s="1019">
        <f t="shared" si="646"/>
        <v>27537.409960060559</v>
      </c>
      <c r="FP211" s="1019">
        <f t="shared" si="647"/>
        <v>-20897.08592288908</v>
      </c>
      <c r="FQ211" s="1021"/>
      <c r="FR211" s="1021"/>
      <c r="FS211" s="1020"/>
      <c r="FT211" s="1055">
        <f t="shared" ref="FT211:FT216" si="654">FB211</f>
        <v>2812372.5333902687</v>
      </c>
      <c r="FU211" s="1056"/>
      <c r="FV211" s="1056"/>
      <c r="GG211" s="956"/>
      <c r="GI211" s="1024">
        <f t="shared" si="583"/>
        <v>3790822.682520092</v>
      </c>
      <c r="GJ211" s="1025">
        <f t="shared" si="584"/>
        <v>0.125</v>
      </c>
      <c r="GK211" s="1024">
        <f t="shared" si="585"/>
        <v>473852.8353150115</v>
      </c>
      <c r="GL211" s="1024">
        <f t="shared" si="586"/>
        <v>30000</v>
      </c>
      <c r="GM211" s="1024">
        <f t="shared" si="587"/>
        <v>443852.8353150115</v>
      </c>
      <c r="GN211" s="1024">
        <f t="shared" si="588"/>
        <v>2</v>
      </c>
      <c r="GO211" s="1024">
        <f t="shared" si="589"/>
        <v>221926.41765750575</v>
      </c>
      <c r="GP211" s="1025">
        <f t="shared" si="590"/>
        <v>0.875</v>
      </c>
      <c r="GQ211" s="1024">
        <f t="shared" si="591"/>
        <v>3316969.8472050806</v>
      </c>
      <c r="GR211" s="1024">
        <f t="shared" si="592"/>
        <v>25716.431920179999</v>
      </c>
      <c r="GS211" s="1024">
        <f t="shared" si="593"/>
        <v>29813.862722329817</v>
      </c>
      <c r="GT211" s="1024">
        <f t="shared" si="594"/>
        <v>38512.832457301374</v>
      </c>
      <c r="GU211" s="1024">
        <f t="shared" si="595"/>
        <v>65679.978496860655</v>
      </c>
      <c r="GW211" s="1024">
        <f t="shared" si="596"/>
        <v>3790822.682520092</v>
      </c>
      <c r="GX211" s="1025">
        <f t="shared" si="597"/>
        <v>0.125</v>
      </c>
      <c r="GY211" s="1024">
        <f t="shared" si="598"/>
        <v>473852.8353150115</v>
      </c>
      <c r="GZ211" s="1024">
        <f t="shared" si="599"/>
        <v>30000</v>
      </c>
      <c r="HA211" s="1024">
        <f t="shared" si="600"/>
        <v>443852.8353150115</v>
      </c>
      <c r="HB211" s="1026">
        <f t="shared" si="601"/>
        <v>25</v>
      </c>
      <c r="HC211" s="1009">
        <f t="shared" si="602"/>
        <v>17754.113412600462</v>
      </c>
      <c r="HD211" s="1027">
        <f t="shared" si="603"/>
        <v>0.875</v>
      </c>
      <c r="HE211" s="1009">
        <f t="shared" si="604"/>
        <v>3316969.8472050806</v>
      </c>
      <c r="HF211" s="1008">
        <f t="shared" si="605"/>
        <v>25716.431920179999</v>
      </c>
      <c r="HG211" s="1008">
        <f t="shared" si="606"/>
        <v>29813.862722329817</v>
      </c>
      <c r="HH211" s="1008">
        <f t="shared" si="607"/>
        <v>38512.832457301374</v>
      </c>
      <c r="HI211" s="1008">
        <f t="shared" si="608"/>
        <v>65679.978496860655</v>
      </c>
      <c r="HK211" s="1009">
        <f t="shared" si="609"/>
        <v>-204172.3042449053</v>
      </c>
      <c r="HR211" s="956">
        <f t="shared" si="610"/>
        <v>0</v>
      </c>
      <c r="HU211" s="956"/>
      <c r="HW211" s="956"/>
      <c r="HX211" s="956"/>
    </row>
    <row r="212" spans="1:232" ht="14.25" hidden="1" customHeight="1">
      <c r="A212" s="1018">
        <f t="shared" si="648"/>
        <v>206</v>
      </c>
      <c r="B212" s="716"/>
      <c r="C212" s="741">
        <f t="shared" si="611"/>
        <v>14</v>
      </c>
      <c r="D212" s="716" t="s">
        <v>649</v>
      </c>
      <c r="E212" s="746" t="s">
        <v>299</v>
      </c>
      <c r="F212" s="1048"/>
      <c r="G212" s="745" t="s">
        <v>663</v>
      </c>
      <c r="H212" s="745" t="s">
        <v>338</v>
      </c>
      <c r="I212" s="745" t="s">
        <v>267</v>
      </c>
      <c r="J212" s="1005">
        <v>22</v>
      </c>
      <c r="K212" s="1049"/>
      <c r="L212" s="1006" t="s">
        <v>268</v>
      </c>
      <c r="M212" s="745" t="s">
        <v>79</v>
      </c>
      <c r="N212" s="1050">
        <v>95909.091</v>
      </c>
      <c r="O212" s="934">
        <f t="shared" si="625"/>
        <v>2110000.0019999999</v>
      </c>
      <c r="P212" s="934">
        <f t="shared" si="649"/>
        <v>22400</v>
      </c>
      <c r="Q212" s="934">
        <f t="shared" si="619"/>
        <v>50000</v>
      </c>
      <c r="R212" s="934"/>
      <c r="S212" s="934"/>
      <c r="T212" s="934"/>
      <c r="U212" s="934"/>
      <c r="V212" s="749"/>
      <c r="W212" s="934"/>
      <c r="X212" s="934"/>
      <c r="Y212" s="934">
        <f t="shared" si="612"/>
        <v>180000</v>
      </c>
      <c r="Z212" s="934">
        <f t="shared" si="626"/>
        <v>75000</v>
      </c>
      <c r="AA212" s="934"/>
      <c r="AB212" s="934"/>
      <c r="AC212" s="934"/>
      <c r="AD212" s="934"/>
      <c r="AE212" s="934">
        <f t="shared" si="529"/>
        <v>327400</v>
      </c>
      <c r="AF212" s="1005">
        <f t="shared" si="530"/>
        <v>2437400.0019999999</v>
      </c>
      <c r="AG212" s="1005">
        <f t="shared" si="544"/>
        <v>60935.000050000002</v>
      </c>
      <c r="AH212" s="1005">
        <f t="shared" si="545"/>
        <v>2498335.0020499998</v>
      </c>
      <c r="AI212" s="1005">
        <f t="shared" si="546"/>
        <v>62458.375051249997</v>
      </c>
      <c r="AJ212" s="1005">
        <f t="shared" si="547"/>
        <v>2560793.37710125</v>
      </c>
      <c r="AK212" s="1005">
        <f t="shared" si="548"/>
        <v>128039.66885506251</v>
      </c>
      <c r="AL212" s="1005">
        <f t="shared" si="627"/>
        <v>2688833.0459563127</v>
      </c>
      <c r="AM212" s="934">
        <f t="shared" si="549"/>
        <v>26888.330459563127</v>
      </c>
      <c r="AN212" s="934">
        <f t="shared" si="550"/>
        <v>27537.409960060559</v>
      </c>
      <c r="AO212" s="934"/>
      <c r="AP212" s="934">
        <f t="shared" si="628"/>
        <v>119525.83266908643</v>
      </c>
      <c r="AQ212" s="1005">
        <f t="shared" si="531"/>
        <v>2862784.6190450224</v>
      </c>
      <c r="AR212" s="1005">
        <f t="shared" si="551"/>
        <v>128825.307857026</v>
      </c>
      <c r="AS212" s="1147">
        <f t="shared" si="552"/>
        <v>2991609.9269020483</v>
      </c>
      <c r="AT212" s="1148">
        <f t="shared" si="650"/>
        <v>2000000</v>
      </c>
      <c r="AU212" s="1148">
        <f t="shared" si="651"/>
        <v>45073.178495547647</v>
      </c>
      <c r="AV212" s="1148">
        <f t="shared" si="652"/>
        <v>991609.92690204829</v>
      </c>
      <c r="AW212" s="1148">
        <f t="shared" si="617"/>
        <v>118993.19122824579</v>
      </c>
      <c r="AX212" s="1148">
        <f t="shared" si="532"/>
        <v>1110603.1181302941</v>
      </c>
      <c r="AY212" s="1147">
        <f t="shared" si="553"/>
        <v>3110603.1181302941</v>
      </c>
      <c r="AZ212" s="934">
        <f t="shared" si="554"/>
        <v>38882.538976628675</v>
      </c>
      <c r="BA212" s="716" t="s">
        <v>269</v>
      </c>
      <c r="BB212" s="716">
        <f t="shared" si="533"/>
        <v>3149485.6571069229</v>
      </c>
      <c r="BC212" s="716" t="s">
        <v>269</v>
      </c>
      <c r="BD212" s="716">
        <f t="shared" si="555"/>
        <v>118105.7121415096</v>
      </c>
      <c r="BE212" s="716">
        <f t="shared" si="556"/>
        <v>33600</v>
      </c>
      <c r="BF212" s="716">
        <f t="shared" si="557"/>
        <v>3301191.3692484326</v>
      </c>
      <c r="BG212" s="716"/>
      <c r="BH212" s="716">
        <f t="shared" si="558"/>
        <v>3301191.3692484326</v>
      </c>
      <c r="BI212" s="716"/>
      <c r="BJ212" s="716">
        <f t="shared" si="559"/>
        <v>3301191.3692484326</v>
      </c>
      <c r="BK212" s="716"/>
      <c r="BL212" s="716">
        <f t="shared" si="560"/>
        <v>3301191.3692484326</v>
      </c>
      <c r="BM212" s="716"/>
      <c r="BN212" s="716">
        <f t="shared" si="534"/>
        <v>3301191.3692484326</v>
      </c>
      <c r="BO212" s="716"/>
      <c r="BP212" s="716">
        <f t="shared" si="561"/>
        <v>3301191.3692484326</v>
      </c>
      <c r="BQ212" s="716"/>
      <c r="BR212" s="716">
        <f t="shared" si="562"/>
        <v>3301191.3692484326</v>
      </c>
      <c r="BS212" s="716"/>
      <c r="BT212" s="716">
        <f t="shared" si="563"/>
        <v>3301191.3692484326</v>
      </c>
      <c r="BU212" s="716"/>
      <c r="BV212" s="716">
        <f t="shared" si="535"/>
        <v>3301191.3692484326</v>
      </c>
      <c r="BW212" s="716"/>
      <c r="BX212" s="716">
        <f t="shared" si="653"/>
        <v>31400</v>
      </c>
      <c r="BY212" s="716">
        <f t="shared" si="564"/>
        <v>3332591.3692484326</v>
      </c>
      <c r="BZ212" s="716"/>
      <c r="CA212" s="716">
        <f t="shared" si="565"/>
        <v>3332591.3692484326</v>
      </c>
      <c r="CB212" s="1135">
        <f t="shared" si="566"/>
        <v>3332591.3692484326</v>
      </c>
      <c r="CC212" s="1164">
        <f t="shared" si="613"/>
        <v>3332591.3692484326</v>
      </c>
      <c r="CD212" s="1164"/>
      <c r="CE212" s="1164">
        <f t="shared" si="567"/>
        <v>0</v>
      </c>
      <c r="CF212" s="1164">
        <f t="shared" si="615"/>
        <v>0</v>
      </c>
      <c r="CG212" s="1164">
        <f t="shared" si="616"/>
        <v>0</v>
      </c>
      <c r="CH212" s="1154">
        <f t="shared" si="506"/>
        <v>3332591.3692484326</v>
      </c>
      <c r="CI212" s="935">
        <f t="shared" si="507"/>
        <v>3332591.3692484326</v>
      </c>
      <c r="CJ212" s="935">
        <f t="shared" si="568"/>
        <v>0</v>
      </c>
      <c r="CK212" s="935">
        <f t="shared" si="536"/>
        <v>341590.61534796434</v>
      </c>
      <c r="CL212" s="935">
        <f t="shared" si="537"/>
        <v>116640.69792369514</v>
      </c>
      <c r="CM212" s="1006">
        <f t="shared" si="629"/>
        <v>3790822.682520092</v>
      </c>
      <c r="CN212" s="1007">
        <f t="shared" si="630"/>
        <v>0.125</v>
      </c>
      <c r="CO212" s="935">
        <f t="shared" si="498"/>
        <v>473852.8353150115</v>
      </c>
      <c r="CP212" s="935">
        <f t="shared" ref="CP212:CP215" si="655">$CP$5</f>
        <v>30000</v>
      </c>
      <c r="CQ212" s="935">
        <f t="shared" si="499"/>
        <v>443852.8353150115</v>
      </c>
      <c r="CR212" s="745">
        <f t="shared" si="631"/>
        <v>2</v>
      </c>
      <c r="CS212" s="935">
        <f t="shared" si="500"/>
        <v>221926.41765750575</v>
      </c>
      <c r="CT212" s="1007">
        <f t="shared" si="569"/>
        <v>0.875</v>
      </c>
      <c r="CU212" s="935">
        <f t="shared" si="570"/>
        <v>3316969.8472050806</v>
      </c>
      <c r="CV212" s="1008">
        <f t="shared" si="571"/>
        <v>25716.431920179999</v>
      </c>
      <c r="CW212" s="1008">
        <f t="shared" si="572"/>
        <v>29813.862722329817</v>
      </c>
      <c r="CX212" s="1008">
        <f t="shared" si="573"/>
        <v>38512.832457301374</v>
      </c>
      <c r="CY212" s="1008">
        <f t="shared" si="574"/>
        <v>65679.978496860655</v>
      </c>
      <c r="CZ212" s="1119">
        <f t="shared" si="575"/>
        <v>269448.00372451334</v>
      </c>
      <c r="DA212" s="1119">
        <f t="shared" si="576"/>
        <v>106619.26251720592</v>
      </c>
      <c r="DB212" s="1119">
        <f t="shared" si="577"/>
        <v>77009.583246814509</v>
      </c>
      <c r="DC212" s="1119">
        <f t="shared" si="578"/>
        <v>58607.838188929411</v>
      </c>
      <c r="DD212" s="1028">
        <f t="shared" si="621"/>
        <v>0.49580496345102415</v>
      </c>
      <c r="DE212" s="1028">
        <f t="shared" si="508"/>
        <v>0</v>
      </c>
      <c r="DF212" s="1009" t="s">
        <v>270</v>
      </c>
      <c r="DG212" s="1009" t="s">
        <v>271</v>
      </c>
      <c r="DH212" s="966">
        <f t="shared" si="614"/>
        <v>45658</v>
      </c>
      <c r="DI212" s="912">
        <f t="shared" si="579"/>
        <v>14</v>
      </c>
      <c r="DK212" s="913">
        <f t="shared" si="538"/>
        <v>45723</v>
      </c>
      <c r="DL212" s="912">
        <f t="shared" si="580"/>
        <v>16</v>
      </c>
      <c r="DM212" s="750" t="s">
        <v>272</v>
      </c>
      <c r="DN212" s="750" t="s">
        <v>273</v>
      </c>
      <c r="DO212" s="751">
        <f t="shared" si="539"/>
        <v>50481.959915013373</v>
      </c>
      <c r="DP212" s="751">
        <f t="shared" si="540"/>
        <v>1110603.1181302941</v>
      </c>
      <c r="DQ212" s="752">
        <f t="shared" si="622"/>
        <v>0.55530155906514711</v>
      </c>
      <c r="DS212" s="751">
        <f t="shared" si="623"/>
        <v>3332591.3692484326</v>
      </c>
      <c r="DT212" s="751">
        <f>'[4]INTERNAL PRICELIST'!N206</f>
        <v>0</v>
      </c>
      <c r="DU212" s="751">
        <f t="shared" si="541"/>
        <v>3332591.3692484326</v>
      </c>
      <c r="DW212" s="951">
        <f t="shared" si="624"/>
        <v>151481.42587492874</v>
      </c>
      <c r="DZ212" s="1010" t="s">
        <v>663</v>
      </c>
      <c r="EA212" s="1011" t="b">
        <f t="shared" si="542"/>
        <v>1</v>
      </c>
      <c r="EB212" s="1011"/>
      <c r="EC212" s="1011"/>
      <c r="ER212" s="1017" t="s">
        <v>264</v>
      </c>
      <c r="ES212" s="1391" t="s">
        <v>264</v>
      </c>
      <c r="ET212" s="1018" t="b">
        <f t="shared" si="581"/>
        <v>1</v>
      </c>
      <c r="EX212" s="1019">
        <v>3124858.3704336318</v>
      </c>
      <c r="EY212" s="1019">
        <f t="shared" si="632"/>
        <v>468728.75556504476</v>
      </c>
      <c r="EZ212" s="1019">
        <f t="shared" si="633"/>
        <v>2656129.6148685869</v>
      </c>
      <c r="FA212" s="1019">
        <f t="shared" si="634"/>
        <v>312485.83704336319</v>
      </c>
      <c r="FB212" s="1019">
        <f t="shared" si="635"/>
        <v>2812372.5333902687</v>
      </c>
      <c r="FC212" s="1019">
        <f t="shared" si="636"/>
        <v>156242.9185216818</v>
      </c>
      <c r="FD212" s="1020"/>
      <c r="FE212" s="1021"/>
      <c r="FF212" s="1022">
        <f t="shared" si="637"/>
        <v>2656129.6148685869</v>
      </c>
      <c r="FG212" s="1022">
        <f t="shared" si="638"/>
        <v>225771.01726382991</v>
      </c>
      <c r="FH212" s="1022">
        <f t="shared" si="639"/>
        <v>112885.50863191496</v>
      </c>
      <c r="FI212" s="1023">
        <f t="shared" si="640"/>
        <v>2812372.5333902687</v>
      </c>
      <c r="FJ212" s="1023">
        <f t="shared" si="641"/>
        <v>239051.66533817287</v>
      </c>
      <c r="FK212" s="1023">
        <f t="shared" si="642"/>
        <v>119525.83266908643</v>
      </c>
      <c r="FL212" s="1019">
        <f t="shared" si="643"/>
        <v>13280.648074342957</v>
      </c>
      <c r="FM212" s="1019">
        <f t="shared" si="644"/>
        <v>6640.3240371714783</v>
      </c>
      <c r="FN212" s="1019" t="str">
        <f t="shared" si="645"/>
        <v>VS</v>
      </c>
      <c r="FO212" s="1019">
        <f t="shared" si="646"/>
        <v>27537.409960060559</v>
      </c>
      <c r="FP212" s="1019">
        <f t="shared" si="647"/>
        <v>-20897.08592288908</v>
      </c>
      <c r="FQ212" s="1021"/>
      <c r="FR212" s="1021"/>
      <c r="FS212" s="1020"/>
      <c r="FT212" s="1055">
        <f t="shared" si="654"/>
        <v>2812372.5333902687</v>
      </c>
      <c r="FU212" s="1056"/>
      <c r="FV212" s="1056"/>
      <c r="GG212" s="956"/>
      <c r="GH212" s="1058"/>
      <c r="GI212" s="1024">
        <f t="shared" si="583"/>
        <v>3790822.682520092</v>
      </c>
      <c r="GJ212" s="1025">
        <f t="shared" si="584"/>
        <v>0.125</v>
      </c>
      <c r="GK212" s="1024">
        <f t="shared" si="585"/>
        <v>473852.8353150115</v>
      </c>
      <c r="GL212" s="1024">
        <f t="shared" si="586"/>
        <v>30000</v>
      </c>
      <c r="GM212" s="1024">
        <f t="shared" si="587"/>
        <v>443852.8353150115</v>
      </c>
      <c r="GN212" s="1024">
        <f t="shared" si="588"/>
        <v>2</v>
      </c>
      <c r="GO212" s="1024">
        <f t="shared" si="589"/>
        <v>221926.41765750575</v>
      </c>
      <c r="GP212" s="1025">
        <f t="shared" si="590"/>
        <v>0.875</v>
      </c>
      <c r="GQ212" s="1024">
        <f t="shared" si="591"/>
        <v>3316969.8472050806</v>
      </c>
      <c r="GR212" s="1024">
        <f t="shared" si="592"/>
        <v>25716.431920179999</v>
      </c>
      <c r="GS212" s="1024">
        <f t="shared" si="593"/>
        <v>29813.862722329817</v>
      </c>
      <c r="GT212" s="1024">
        <f t="shared" si="594"/>
        <v>38512.832457301374</v>
      </c>
      <c r="GU212" s="1024">
        <f t="shared" si="595"/>
        <v>65679.978496860655</v>
      </c>
      <c r="GW212" s="1024">
        <f t="shared" si="596"/>
        <v>3790822.682520092</v>
      </c>
      <c r="GX212" s="1025">
        <f t="shared" si="597"/>
        <v>0.125</v>
      </c>
      <c r="GY212" s="1024">
        <f t="shared" si="598"/>
        <v>473852.8353150115</v>
      </c>
      <c r="GZ212" s="1024">
        <f t="shared" si="599"/>
        <v>30000</v>
      </c>
      <c r="HA212" s="1024">
        <f t="shared" si="600"/>
        <v>443852.8353150115</v>
      </c>
      <c r="HB212" s="1026">
        <f t="shared" si="601"/>
        <v>25</v>
      </c>
      <c r="HC212" s="1009">
        <f t="shared" si="602"/>
        <v>17754.113412600462</v>
      </c>
      <c r="HD212" s="1027">
        <f t="shared" si="603"/>
        <v>0.875</v>
      </c>
      <c r="HE212" s="1009">
        <f t="shared" si="604"/>
        <v>3316969.8472050806</v>
      </c>
      <c r="HF212" s="1008">
        <f t="shared" si="605"/>
        <v>25716.431920179999</v>
      </c>
      <c r="HG212" s="1008">
        <f t="shared" si="606"/>
        <v>29813.862722329817</v>
      </c>
      <c r="HH212" s="1008">
        <f t="shared" si="607"/>
        <v>38512.832457301374</v>
      </c>
      <c r="HI212" s="1008">
        <f t="shared" si="608"/>
        <v>65679.978496860655</v>
      </c>
      <c r="HK212" s="1009">
        <f t="shared" si="609"/>
        <v>-204172.3042449053</v>
      </c>
      <c r="HR212" s="956">
        <f t="shared" si="610"/>
        <v>0</v>
      </c>
      <c r="HU212" s="956"/>
      <c r="HW212" s="956"/>
      <c r="HX212" s="956"/>
    </row>
    <row r="213" spans="1:232" ht="14.25" hidden="1" customHeight="1">
      <c r="A213" s="1018">
        <f t="shared" si="648"/>
        <v>207</v>
      </c>
      <c r="B213" s="716"/>
      <c r="C213" s="741">
        <f t="shared" si="611"/>
        <v>15</v>
      </c>
      <c r="D213" s="716" t="s">
        <v>649</v>
      </c>
      <c r="E213" s="746" t="s">
        <v>299</v>
      </c>
      <c r="F213" s="1048"/>
      <c r="G213" s="745" t="s">
        <v>664</v>
      </c>
      <c r="H213" s="745" t="s">
        <v>342</v>
      </c>
      <c r="I213" s="745" t="s">
        <v>267</v>
      </c>
      <c r="J213" s="1005">
        <v>22</v>
      </c>
      <c r="K213" s="1049"/>
      <c r="L213" s="1006" t="s">
        <v>268</v>
      </c>
      <c r="M213" s="745" t="s">
        <v>79</v>
      </c>
      <c r="N213" s="1050">
        <v>95909.091</v>
      </c>
      <c r="O213" s="934">
        <f t="shared" si="625"/>
        <v>2110000.0019999999</v>
      </c>
      <c r="P213" s="934">
        <f t="shared" si="649"/>
        <v>22400</v>
      </c>
      <c r="Q213" s="934">
        <f t="shared" si="619"/>
        <v>50000</v>
      </c>
      <c r="R213" s="934"/>
      <c r="S213" s="934"/>
      <c r="T213" s="934"/>
      <c r="U213" s="934"/>
      <c r="V213" s="749"/>
      <c r="W213" s="934"/>
      <c r="X213" s="934"/>
      <c r="Y213" s="934">
        <f t="shared" si="612"/>
        <v>180000</v>
      </c>
      <c r="Z213" s="934">
        <f t="shared" si="626"/>
        <v>75000</v>
      </c>
      <c r="AA213" s="934"/>
      <c r="AB213" s="934"/>
      <c r="AC213" s="934"/>
      <c r="AD213" s="934"/>
      <c r="AE213" s="934">
        <f t="shared" si="529"/>
        <v>327400</v>
      </c>
      <c r="AF213" s="1005">
        <f t="shared" si="530"/>
        <v>2437400.0019999999</v>
      </c>
      <c r="AG213" s="1005">
        <f t="shared" si="544"/>
        <v>60935.000050000002</v>
      </c>
      <c r="AH213" s="1005">
        <f t="shared" si="545"/>
        <v>2498335.0020499998</v>
      </c>
      <c r="AI213" s="1005">
        <f t="shared" si="546"/>
        <v>62458.375051249997</v>
      </c>
      <c r="AJ213" s="1005">
        <f t="shared" si="547"/>
        <v>2560793.37710125</v>
      </c>
      <c r="AK213" s="1005">
        <f t="shared" si="548"/>
        <v>128039.66885506251</v>
      </c>
      <c r="AL213" s="1005">
        <f t="shared" si="627"/>
        <v>2688833.0459563127</v>
      </c>
      <c r="AM213" s="934">
        <f t="shared" si="549"/>
        <v>26888.330459563127</v>
      </c>
      <c r="AN213" s="934">
        <f t="shared" si="550"/>
        <v>27537.409960060559</v>
      </c>
      <c r="AO213" s="934"/>
      <c r="AP213" s="934">
        <f t="shared" si="628"/>
        <v>119525.83266908643</v>
      </c>
      <c r="AQ213" s="1005">
        <f t="shared" si="531"/>
        <v>2862784.6190450224</v>
      </c>
      <c r="AR213" s="1005">
        <f t="shared" si="551"/>
        <v>128825.307857026</v>
      </c>
      <c r="AS213" s="1147">
        <f t="shared" si="552"/>
        <v>2991609.9269020483</v>
      </c>
      <c r="AT213" s="1148">
        <f t="shared" si="650"/>
        <v>2000000</v>
      </c>
      <c r="AU213" s="1148">
        <f t="shared" si="651"/>
        <v>45073.178495547647</v>
      </c>
      <c r="AV213" s="1148">
        <f t="shared" si="652"/>
        <v>991609.92690204829</v>
      </c>
      <c r="AW213" s="1148">
        <f t="shared" si="617"/>
        <v>118993.19122824579</v>
      </c>
      <c r="AX213" s="1148">
        <f t="shared" si="532"/>
        <v>1110603.1181302941</v>
      </c>
      <c r="AY213" s="1147">
        <f t="shared" si="553"/>
        <v>3110603.1181302941</v>
      </c>
      <c r="AZ213" s="934">
        <f t="shared" si="554"/>
        <v>38882.538976628675</v>
      </c>
      <c r="BA213" s="716" t="s">
        <v>269</v>
      </c>
      <c r="BB213" s="716">
        <f t="shared" si="533"/>
        <v>3149485.6571069229</v>
      </c>
      <c r="BC213" s="716" t="s">
        <v>269</v>
      </c>
      <c r="BD213" s="716">
        <f t="shared" si="555"/>
        <v>118105.7121415096</v>
      </c>
      <c r="BE213" s="716">
        <f t="shared" si="556"/>
        <v>33600</v>
      </c>
      <c r="BF213" s="716">
        <f t="shared" si="557"/>
        <v>3301191.3692484326</v>
      </c>
      <c r="BG213" s="716"/>
      <c r="BH213" s="716">
        <f t="shared" si="558"/>
        <v>3301191.3692484326</v>
      </c>
      <c r="BI213" s="716"/>
      <c r="BJ213" s="716">
        <f t="shared" si="559"/>
        <v>3301191.3692484326</v>
      </c>
      <c r="BK213" s="716"/>
      <c r="BL213" s="716">
        <f t="shared" si="560"/>
        <v>3301191.3692484326</v>
      </c>
      <c r="BM213" s="716"/>
      <c r="BN213" s="716">
        <f t="shared" si="534"/>
        <v>3301191.3692484326</v>
      </c>
      <c r="BO213" s="716"/>
      <c r="BP213" s="716">
        <f t="shared" si="561"/>
        <v>3301191.3692484326</v>
      </c>
      <c r="BQ213" s="716"/>
      <c r="BR213" s="716">
        <f t="shared" si="562"/>
        <v>3301191.3692484326</v>
      </c>
      <c r="BS213" s="716"/>
      <c r="BT213" s="716">
        <f t="shared" si="563"/>
        <v>3301191.3692484326</v>
      </c>
      <c r="BU213" s="716"/>
      <c r="BV213" s="716">
        <f t="shared" si="535"/>
        <v>3301191.3692484326</v>
      </c>
      <c r="BW213" s="716"/>
      <c r="BX213" s="716">
        <f t="shared" si="653"/>
        <v>31400</v>
      </c>
      <c r="BY213" s="716">
        <f t="shared" si="564"/>
        <v>3332591.3692484326</v>
      </c>
      <c r="BZ213" s="716"/>
      <c r="CA213" s="716">
        <f t="shared" si="565"/>
        <v>3332591.3692484326</v>
      </c>
      <c r="CB213" s="1135">
        <f t="shared" si="566"/>
        <v>3332591.3692484326</v>
      </c>
      <c r="CC213" s="1164">
        <f t="shared" si="613"/>
        <v>3332591.3692484326</v>
      </c>
      <c r="CD213" s="1164"/>
      <c r="CE213" s="1164">
        <f t="shared" si="567"/>
        <v>0</v>
      </c>
      <c r="CF213" s="1164">
        <f t="shared" si="615"/>
        <v>0</v>
      </c>
      <c r="CG213" s="1164">
        <f t="shared" si="616"/>
        <v>0</v>
      </c>
      <c r="CH213" s="1154">
        <f t="shared" si="506"/>
        <v>3332591.3692484326</v>
      </c>
      <c r="CI213" s="935">
        <f t="shared" si="507"/>
        <v>3332591.3692484326</v>
      </c>
      <c r="CJ213" s="935">
        <f t="shared" si="568"/>
        <v>0</v>
      </c>
      <c r="CK213" s="935">
        <f t="shared" si="536"/>
        <v>341590.61534796434</v>
      </c>
      <c r="CL213" s="935">
        <f t="shared" si="537"/>
        <v>116640.69792369514</v>
      </c>
      <c r="CM213" s="1006">
        <f t="shared" si="629"/>
        <v>3790822.682520092</v>
      </c>
      <c r="CN213" s="1007">
        <f t="shared" si="630"/>
        <v>0.125</v>
      </c>
      <c r="CO213" s="935">
        <f t="shared" si="498"/>
        <v>473852.8353150115</v>
      </c>
      <c r="CP213" s="935">
        <f t="shared" si="655"/>
        <v>30000</v>
      </c>
      <c r="CQ213" s="935">
        <f t="shared" si="499"/>
        <v>443852.8353150115</v>
      </c>
      <c r="CR213" s="745">
        <f t="shared" si="631"/>
        <v>2</v>
      </c>
      <c r="CS213" s="935">
        <f t="shared" si="500"/>
        <v>221926.41765750575</v>
      </c>
      <c r="CT213" s="1007">
        <f t="shared" si="569"/>
        <v>0.875</v>
      </c>
      <c r="CU213" s="935">
        <f t="shared" si="570"/>
        <v>3316969.8472050806</v>
      </c>
      <c r="CV213" s="1008">
        <f t="shared" si="571"/>
        <v>25716.431920179999</v>
      </c>
      <c r="CW213" s="1008">
        <f t="shared" si="572"/>
        <v>29813.862722329817</v>
      </c>
      <c r="CX213" s="1008">
        <f t="shared" si="573"/>
        <v>38512.832457301374</v>
      </c>
      <c r="CY213" s="1008">
        <f t="shared" si="574"/>
        <v>65679.978496860655</v>
      </c>
      <c r="CZ213" s="1119">
        <f t="shared" si="575"/>
        <v>269448.00372451334</v>
      </c>
      <c r="DA213" s="1119">
        <f t="shared" si="576"/>
        <v>106619.26251720592</v>
      </c>
      <c r="DB213" s="1119">
        <f t="shared" si="577"/>
        <v>77009.583246814509</v>
      </c>
      <c r="DC213" s="1119">
        <f t="shared" si="578"/>
        <v>58607.838188929411</v>
      </c>
      <c r="DD213" s="1028">
        <f t="shared" si="621"/>
        <v>0.49580496345102415</v>
      </c>
      <c r="DE213" s="1028">
        <f t="shared" si="508"/>
        <v>0</v>
      </c>
      <c r="DF213" s="1009" t="s">
        <v>270</v>
      </c>
      <c r="DG213" s="1009" t="s">
        <v>271</v>
      </c>
      <c r="DH213" s="966">
        <f t="shared" si="614"/>
        <v>45658</v>
      </c>
      <c r="DI213" s="912">
        <f t="shared" si="579"/>
        <v>14</v>
      </c>
      <c r="DK213" s="913">
        <f t="shared" si="538"/>
        <v>45723</v>
      </c>
      <c r="DL213" s="912">
        <f t="shared" si="580"/>
        <v>16</v>
      </c>
      <c r="DM213" s="750" t="s">
        <v>272</v>
      </c>
      <c r="DN213" s="750" t="s">
        <v>273</v>
      </c>
      <c r="DO213" s="751">
        <f t="shared" si="539"/>
        <v>50481.959915013373</v>
      </c>
      <c r="DP213" s="751">
        <f t="shared" si="540"/>
        <v>1110603.1181302941</v>
      </c>
      <c r="DQ213" s="752">
        <f t="shared" si="622"/>
        <v>0.55530155906514711</v>
      </c>
      <c r="DS213" s="751">
        <f t="shared" si="623"/>
        <v>3332591.3692484326</v>
      </c>
      <c r="DT213" s="751">
        <f>'[4]INTERNAL PRICELIST'!N207</f>
        <v>0</v>
      </c>
      <c r="DU213" s="751">
        <f t="shared" si="541"/>
        <v>3332591.3692484326</v>
      </c>
      <c r="DW213" s="951">
        <f t="shared" si="624"/>
        <v>151481.42587492874</v>
      </c>
      <c r="DZ213" s="1010" t="s">
        <v>664</v>
      </c>
      <c r="EA213" s="1011" t="b">
        <f t="shared" si="542"/>
        <v>1</v>
      </c>
      <c r="EB213" s="1011"/>
      <c r="EC213" s="1011"/>
      <c r="ER213" s="1017" t="s">
        <v>264</v>
      </c>
      <c r="ES213" s="1391" t="s">
        <v>264</v>
      </c>
      <c r="ET213" s="1018" t="b">
        <f t="shared" si="581"/>
        <v>1</v>
      </c>
      <c r="EX213" s="1019">
        <v>3124858.3704336318</v>
      </c>
      <c r="EY213" s="1019">
        <f t="shared" si="632"/>
        <v>468728.75556504476</v>
      </c>
      <c r="EZ213" s="1019">
        <f t="shared" si="633"/>
        <v>2656129.6148685869</v>
      </c>
      <c r="FA213" s="1019">
        <f t="shared" si="634"/>
        <v>312485.83704336319</v>
      </c>
      <c r="FB213" s="1019">
        <f t="shared" si="635"/>
        <v>2812372.5333902687</v>
      </c>
      <c r="FC213" s="1019">
        <f t="shared" si="636"/>
        <v>156242.9185216818</v>
      </c>
      <c r="FD213" s="1020"/>
      <c r="FE213" s="1021"/>
      <c r="FF213" s="1022">
        <f t="shared" si="637"/>
        <v>2656129.6148685869</v>
      </c>
      <c r="FG213" s="1022">
        <f t="shared" si="638"/>
        <v>225771.01726382991</v>
      </c>
      <c r="FH213" s="1022">
        <f t="shared" si="639"/>
        <v>112885.50863191496</v>
      </c>
      <c r="FI213" s="1023">
        <f t="shared" si="640"/>
        <v>2812372.5333902687</v>
      </c>
      <c r="FJ213" s="1023">
        <f t="shared" si="641"/>
        <v>239051.66533817287</v>
      </c>
      <c r="FK213" s="1023">
        <f t="shared" si="642"/>
        <v>119525.83266908643</v>
      </c>
      <c r="FL213" s="1019">
        <f t="shared" si="643"/>
        <v>13280.648074342957</v>
      </c>
      <c r="FM213" s="1019">
        <f t="shared" si="644"/>
        <v>6640.3240371714783</v>
      </c>
      <c r="FN213" s="1019" t="str">
        <f t="shared" si="645"/>
        <v>VS</v>
      </c>
      <c r="FO213" s="1019">
        <f t="shared" si="646"/>
        <v>27537.409960060559</v>
      </c>
      <c r="FP213" s="1019">
        <f t="shared" si="647"/>
        <v>-20897.08592288908</v>
      </c>
      <c r="FQ213" s="1021"/>
      <c r="FR213" s="1021"/>
      <c r="FS213" s="1020"/>
      <c r="FT213" s="1055">
        <f t="shared" si="654"/>
        <v>2812372.5333902687</v>
      </c>
      <c r="FU213" s="1056"/>
      <c r="FV213" s="1056"/>
      <c r="GG213" s="956"/>
      <c r="GH213" s="1058"/>
      <c r="GI213" s="1024">
        <f t="shared" si="583"/>
        <v>3790822.682520092</v>
      </c>
      <c r="GJ213" s="1025">
        <f t="shared" si="584"/>
        <v>0.125</v>
      </c>
      <c r="GK213" s="1024">
        <f t="shared" si="585"/>
        <v>473852.8353150115</v>
      </c>
      <c r="GL213" s="1024">
        <f t="shared" si="586"/>
        <v>30000</v>
      </c>
      <c r="GM213" s="1024">
        <f t="shared" si="587"/>
        <v>443852.8353150115</v>
      </c>
      <c r="GN213" s="1024">
        <f t="shared" si="588"/>
        <v>2</v>
      </c>
      <c r="GO213" s="1024">
        <f t="shared" si="589"/>
        <v>221926.41765750575</v>
      </c>
      <c r="GP213" s="1025">
        <f t="shared" si="590"/>
        <v>0.875</v>
      </c>
      <c r="GQ213" s="1024">
        <f t="shared" si="591"/>
        <v>3316969.8472050806</v>
      </c>
      <c r="GR213" s="1024">
        <f t="shared" si="592"/>
        <v>25716.431920179999</v>
      </c>
      <c r="GS213" s="1024">
        <f t="shared" si="593"/>
        <v>29813.862722329817</v>
      </c>
      <c r="GT213" s="1024">
        <f t="shared" si="594"/>
        <v>38512.832457301374</v>
      </c>
      <c r="GU213" s="1024">
        <f t="shared" si="595"/>
        <v>65679.978496860655</v>
      </c>
      <c r="GW213" s="1024">
        <f t="shared" si="596"/>
        <v>3790822.682520092</v>
      </c>
      <c r="GX213" s="1025">
        <f t="shared" si="597"/>
        <v>0.125</v>
      </c>
      <c r="GY213" s="1024">
        <f t="shared" si="598"/>
        <v>473852.8353150115</v>
      </c>
      <c r="GZ213" s="1024">
        <f t="shared" si="599"/>
        <v>30000</v>
      </c>
      <c r="HA213" s="1024">
        <f t="shared" si="600"/>
        <v>443852.8353150115</v>
      </c>
      <c r="HB213" s="1026">
        <f t="shared" si="601"/>
        <v>25</v>
      </c>
      <c r="HC213" s="1009">
        <f t="shared" si="602"/>
        <v>17754.113412600462</v>
      </c>
      <c r="HD213" s="1027">
        <f t="shared" si="603"/>
        <v>0.875</v>
      </c>
      <c r="HE213" s="1009">
        <f t="shared" si="604"/>
        <v>3316969.8472050806</v>
      </c>
      <c r="HF213" s="1008">
        <f t="shared" si="605"/>
        <v>25716.431920179999</v>
      </c>
      <c r="HG213" s="1008">
        <f t="shared" si="606"/>
        <v>29813.862722329817</v>
      </c>
      <c r="HH213" s="1008">
        <f t="shared" si="607"/>
        <v>38512.832457301374</v>
      </c>
      <c r="HI213" s="1008">
        <f t="shared" si="608"/>
        <v>65679.978496860655</v>
      </c>
      <c r="HK213" s="1009">
        <f t="shared" si="609"/>
        <v>-204172.3042449053</v>
      </c>
      <c r="HR213" s="956">
        <f t="shared" si="610"/>
        <v>0</v>
      </c>
      <c r="HU213" s="956"/>
      <c r="HW213" s="956"/>
      <c r="HX213" s="956"/>
    </row>
    <row r="214" spans="1:232" ht="14.25" hidden="1" customHeight="1">
      <c r="A214" s="1018">
        <f t="shared" si="648"/>
        <v>208</v>
      </c>
      <c r="B214" s="716"/>
      <c r="C214" s="741">
        <f t="shared" si="611"/>
        <v>16</v>
      </c>
      <c r="D214" s="716" t="s">
        <v>649</v>
      </c>
      <c r="E214" s="746" t="s">
        <v>299</v>
      </c>
      <c r="F214" s="1048"/>
      <c r="G214" s="745" t="s">
        <v>665</v>
      </c>
      <c r="H214" s="745" t="s">
        <v>345</v>
      </c>
      <c r="I214" s="745" t="s">
        <v>267</v>
      </c>
      <c r="J214" s="1005">
        <v>22</v>
      </c>
      <c r="K214" s="1049"/>
      <c r="L214" s="1006" t="s">
        <v>268</v>
      </c>
      <c r="M214" s="745" t="s">
        <v>79</v>
      </c>
      <c r="N214" s="1050">
        <v>95909.091</v>
      </c>
      <c r="O214" s="934">
        <f t="shared" si="625"/>
        <v>2110000.0019999999</v>
      </c>
      <c r="P214" s="934">
        <f t="shared" si="649"/>
        <v>22400</v>
      </c>
      <c r="Q214" s="934">
        <f t="shared" si="619"/>
        <v>50000</v>
      </c>
      <c r="R214" s="934"/>
      <c r="S214" s="934"/>
      <c r="T214" s="934"/>
      <c r="U214" s="934"/>
      <c r="V214" s="749"/>
      <c r="W214" s="934"/>
      <c r="X214" s="934"/>
      <c r="Y214" s="934">
        <f t="shared" si="612"/>
        <v>180000</v>
      </c>
      <c r="Z214" s="934">
        <f t="shared" si="626"/>
        <v>75000</v>
      </c>
      <c r="AA214" s="934"/>
      <c r="AB214" s="934"/>
      <c r="AC214" s="934"/>
      <c r="AD214" s="934"/>
      <c r="AE214" s="934">
        <f t="shared" si="529"/>
        <v>327400</v>
      </c>
      <c r="AF214" s="1005">
        <f t="shared" si="530"/>
        <v>2437400.0019999999</v>
      </c>
      <c r="AG214" s="1005">
        <f t="shared" si="544"/>
        <v>60935.000050000002</v>
      </c>
      <c r="AH214" s="1005">
        <f t="shared" si="545"/>
        <v>2498335.0020499998</v>
      </c>
      <c r="AI214" s="1005">
        <f t="shared" si="546"/>
        <v>62458.375051249997</v>
      </c>
      <c r="AJ214" s="1005">
        <f t="shared" si="547"/>
        <v>2560793.37710125</v>
      </c>
      <c r="AK214" s="1005">
        <f t="shared" si="548"/>
        <v>128039.66885506251</v>
      </c>
      <c r="AL214" s="1005">
        <f t="shared" si="627"/>
        <v>2688833.0459563127</v>
      </c>
      <c r="AM214" s="934">
        <f t="shared" si="549"/>
        <v>26888.330459563127</v>
      </c>
      <c r="AN214" s="934">
        <f t="shared" si="550"/>
        <v>27537.409960060559</v>
      </c>
      <c r="AO214" s="934"/>
      <c r="AP214" s="934">
        <f t="shared" si="628"/>
        <v>119525.83266908643</v>
      </c>
      <c r="AQ214" s="1005">
        <f t="shared" si="531"/>
        <v>2862784.6190450224</v>
      </c>
      <c r="AR214" s="1005">
        <f t="shared" si="551"/>
        <v>128825.307857026</v>
      </c>
      <c r="AS214" s="1147">
        <f t="shared" si="552"/>
        <v>2991609.9269020483</v>
      </c>
      <c r="AT214" s="1148">
        <f t="shared" si="650"/>
        <v>2000000</v>
      </c>
      <c r="AU214" s="1148">
        <f t="shared" si="651"/>
        <v>45073.178495547647</v>
      </c>
      <c r="AV214" s="1148">
        <f t="shared" si="652"/>
        <v>991609.92690204829</v>
      </c>
      <c r="AW214" s="1148">
        <f t="shared" si="617"/>
        <v>118993.19122824579</v>
      </c>
      <c r="AX214" s="1148">
        <f t="shared" si="532"/>
        <v>1110603.1181302941</v>
      </c>
      <c r="AY214" s="1147">
        <f t="shared" si="553"/>
        <v>3110603.1181302941</v>
      </c>
      <c r="AZ214" s="934">
        <f t="shared" si="554"/>
        <v>38882.538976628675</v>
      </c>
      <c r="BA214" s="716" t="s">
        <v>269</v>
      </c>
      <c r="BB214" s="716">
        <f t="shared" si="533"/>
        <v>3149485.6571069229</v>
      </c>
      <c r="BC214" s="716" t="s">
        <v>269</v>
      </c>
      <c r="BD214" s="716">
        <f t="shared" si="555"/>
        <v>118105.7121415096</v>
      </c>
      <c r="BE214" s="716">
        <f t="shared" si="556"/>
        <v>33600</v>
      </c>
      <c r="BF214" s="716">
        <f t="shared" si="557"/>
        <v>3301191.3692484326</v>
      </c>
      <c r="BG214" s="716"/>
      <c r="BH214" s="716">
        <f t="shared" si="558"/>
        <v>3301191.3692484326</v>
      </c>
      <c r="BI214" s="716"/>
      <c r="BJ214" s="716">
        <f t="shared" si="559"/>
        <v>3301191.3692484326</v>
      </c>
      <c r="BK214" s="716"/>
      <c r="BL214" s="716">
        <f t="shared" si="560"/>
        <v>3301191.3692484326</v>
      </c>
      <c r="BM214" s="716"/>
      <c r="BN214" s="716">
        <f t="shared" si="534"/>
        <v>3301191.3692484326</v>
      </c>
      <c r="BO214" s="716"/>
      <c r="BP214" s="716">
        <f t="shared" si="561"/>
        <v>3301191.3692484326</v>
      </c>
      <c r="BQ214" s="716"/>
      <c r="BR214" s="716">
        <f t="shared" si="562"/>
        <v>3301191.3692484326</v>
      </c>
      <c r="BS214" s="716"/>
      <c r="BT214" s="716">
        <f t="shared" si="563"/>
        <v>3301191.3692484326</v>
      </c>
      <c r="BU214" s="716"/>
      <c r="BV214" s="716">
        <f t="shared" si="535"/>
        <v>3301191.3692484326</v>
      </c>
      <c r="BW214" s="716"/>
      <c r="BX214" s="716">
        <f t="shared" si="653"/>
        <v>31400</v>
      </c>
      <c r="BY214" s="716">
        <f t="shared" si="564"/>
        <v>3332591.3692484326</v>
      </c>
      <c r="BZ214" s="716"/>
      <c r="CA214" s="716">
        <f t="shared" si="565"/>
        <v>3332591.3692484326</v>
      </c>
      <c r="CB214" s="1135">
        <f t="shared" si="566"/>
        <v>3332591.3692484326</v>
      </c>
      <c r="CC214" s="1164">
        <f t="shared" si="613"/>
        <v>3332591.3692484326</v>
      </c>
      <c r="CD214" s="1164"/>
      <c r="CE214" s="1164">
        <f t="shared" si="567"/>
        <v>0</v>
      </c>
      <c r="CF214" s="1164">
        <f t="shared" si="615"/>
        <v>0</v>
      </c>
      <c r="CG214" s="1164">
        <f t="shared" si="616"/>
        <v>0</v>
      </c>
      <c r="CH214" s="1154">
        <f t="shared" si="506"/>
        <v>3332591.3692484326</v>
      </c>
      <c r="CI214" s="935">
        <f t="shared" si="507"/>
        <v>3332591.3692484326</v>
      </c>
      <c r="CJ214" s="935">
        <f t="shared" si="568"/>
        <v>0</v>
      </c>
      <c r="CK214" s="935">
        <f t="shared" si="536"/>
        <v>341590.61534796434</v>
      </c>
      <c r="CL214" s="935">
        <f t="shared" si="537"/>
        <v>116640.69792369514</v>
      </c>
      <c r="CM214" s="1006">
        <f t="shared" si="629"/>
        <v>3790822.682520092</v>
      </c>
      <c r="CN214" s="1007">
        <f t="shared" si="630"/>
        <v>0.125</v>
      </c>
      <c r="CO214" s="935">
        <f t="shared" si="498"/>
        <v>473852.8353150115</v>
      </c>
      <c r="CP214" s="935">
        <f t="shared" si="655"/>
        <v>30000</v>
      </c>
      <c r="CQ214" s="935">
        <f t="shared" si="499"/>
        <v>443852.8353150115</v>
      </c>
      <c r="CR214" s="745">
        <f t="shared" si="631"/>
        <v>2</v>
      </c>
      <c r="CS214" s="935">
        <f t="shared" si="500"/>
        <v>221926.41765750575</v>
      </c>
      <c r="CT214" s="1007">
        <f t="shared" si="569"/>
        <v>0.875</v>
      </c>
      <c r="CU214" s="935">
        <f t="shared" si="570"/>
        <v>3316969.8472050806</v>
      </c>
      <c r="CV214" s="1008">
        <f t="shared" si="571"/>
        <v>25716.431920179999</v>
      </c>
      <c r="CW214" s="1008">
        <f t="shared" si="572"/>
        <v>29813.862722329817</v>
      </c>
      <c r="CX214" s="1008">
        <f t="shared" si="573"/>
        <v>38512.832457301374</v>
      </c>
      <c r="CY214" s="1008">
        <f t="shared" si="574"/>
        <v>65679.978496860655</v>
      </c>
      <c r="CZ214" s="1119">
        <f t="shared" si="575"/>
        <v>269448.00372451334</v>
      </c>
      <c r="DA214" s="1119">
        <f t="shared" si="576"/>
        <v>106619.26251720592</v>
      </c>
      <c r="DB214" s="1119">
        <f t="shared" si="577"/>
        <v>77009.583246814509</v>
      </c>
      <c r="DC214" s="1119">
        <f t="shared" si="578"/>
        <v>58607.838188929411</v>
      </c>
      <c r="DD214" s="1028">
        <f t="shared" si="621"/>
        <v>0.49580496345102415</v>
      </c>
      <c r="DE214" s="1028">
        <f t="shared" si="508"/>
        <v>0</v>
      </c>
      <c r="DF214" s="1009" t="s">
        <v>270</v>
      </c>
      <c r="DG214" s="1009" t="s">
        <v>271</v>
      </c>
      <c r="DH214" s="966">
        <f t="shared" si="614"/>
        <v>45658</v>
      </c>
      <c r="DI214" s="912">
        <f t="shared" si="579"/>
        <v>14</v>
      </c>
      <c r="DK214" s="913">
        <f t="shared" si="538"/>
        <v>45723</v>
      </c>
      <c r="DL214" s="912">
        <f t="shared" si="580"/>
        <v>16</v>
      </c>
      <c r="DM214" s="750" t="s">
        <v>272</v>
      </c>
      <c r="DN214" s="750" t="s">
        <v>273</v>
      </c>
      <c r="DO214" s="751">
        <f t="shared" si="539"/>
        <v>50481.959915013373</v>
      </c>
      <c r="DP214" s="751">
        <f t="shared" si="540"/>
        <v>1110603.1181302941</v>
      </c>
      <c r="DQ214" s="752">
        <f t="shared" si="622"/>
        <v>0.55530155906514711</v>
      </c>
      <c r="DS214" s="751">
        <f t="shared" si="623"/>
        <v>3332591.3692484326</v>
      </c>
      <c r="DT214" s="751">
        <f>'[4]INTERNAL PRICELIST'!N208</f>
        <v>0</v>
      </c>
      <c r="DU214" s="751">
        <f t="shared" si="541"/>
        <v>3332591.3692484326</v>
      </c>
      <c r="DW214" s="951">
        <f t="shared" si="624"/>
        <v>151481.42587492874</v>
      </c>
      <c r="DZ214" s="1010" t="s">
        <v>665</v>
      </c>
      <c r="EA214" s="1011" t="b">
        <f t="shared" si="542"/>
        <v>1</v>
      </c>
      <c r="EB214" s="1011"/>
      <c r="EC214" s="1011"/>
      <c r="ER214" s="1017" t="s">
        <v>264</v>
      </c>
      <c r="ES214" s="1391" t="s">
        <v>264</v>
      </c>
      <c r="ET214" s="1018" t="b">
        <f t="shared" si="581"/>
        <v>1</v>
      </c>
      <c r="EX214" s="1019">
        <v>3124858.3704336318</v>
      </c>
      <c r="EY214" s="1019">
        <f t="shared" si="632"/>
        <v>468728.75556504476</v>
      </c>
      <c r="EZ214" s="1019">
        <f t="shared" si="633"/>
        <v>2656129.6148685869</v>
      </c>
      <c r="FA214" s="1019">
        <f t="shared" si="634"/>
        <v>312485.83704336319</v>
      </c>
      <c r="FB214" s="1019">
        <f t="shared" si="635"/>
        <v>2812372.5333902687</v>
      </c>
      <c r="FC214" s="1019">
        <f t="shared" si="636"/>
        <v>156242.9185216818</v>
      </c>
      <c r="FD214" s="1020"/>
      <c r="FE214" s="1021"/>
      <c r="FF214" s="1022">
        <f t="shared" si="637"/>
        <v>2656129.6148685869</v>
      </c>
      <c r="FG214" s="1022">
        <f t="shared" si="638"/>
        <v>225771.01726382991</v>
      </c>
      <c r="FH214" s="1022">
        <f t="shared" si="639"/>
        <v>112885.50863191496</v>
      </c>
      <c r="FI214" s="1023">
        <f t="shared" si="640"/>
        <v>2812372.5333902687</v>
      </c>
      <c r="FJ214" s="1023">
        <f t="shared" si="641"/>
        <v>239051.66533817287</v>
      </c>
      <c r="FK214" s="1023">
        <f t="shared" si="642"/>
        <v>119525.83266908643</v>
      </c>
      <c r="FL214" s="1019">
        <f t="shared" si="643"/>
        <v>13280.648074342957</v>
      </c>
      <c r="FM214" s="1019">
        <f t="shared" si="644"/>
        <v>6640.3240371714783</v>
      </c>
      <c r="FN214" s="1019" t="str">
        <f t="shared" si="645"/>
        <v>VS</v>
      </c>
      <c r="FO214" s="1019">
        <f t="shared" si="646"/>
        <v>27537.409960060559</v>
      </c>
      <c r="FP214" s="1019">
        <f t="shared" si="647"/>
        <v>-20897.08592288908</v>
      </c>
      <c r="FQ214" s="1021"/>
      <c r="FR214" s="1021"/>
      <c r="FS214" s="1020"/>
      <c r="FT214" s="1055">
        <f t="shared" si="654"/>
        <v>2812372.5333902687</v>
      </c>
      <c r="FU214" s="1056"/>
      <c r="FV214" s="1056"/>
      <c r="GG214" s="956"/>
      <c r="GH214" s="1058"/>
      <c r="GI214" s="1024">
        <f t="shared" si="583"/>
        <v>3790822.682520092</v>
      </c>
      <c r="GJ214" s="1025">
        <f t="shared" si="584"/>
        <v>0.125</v>
      </c>
      <c r="GK214" s="1024">
        <f t="shared" si="585"/>
        <v>473852.8353150115</v>
      </c>
      <c r="GL214" s="1024">
        <f t="shared" si="586"/>
        <v>30000</v>
      </c>
      <c r="GM214" s="1024">
        <f t="shared" si="587"/>
        <v>443852.8353150115</v>
      </c>
      <c r="GN214" s="1024">
        <f t="shared" si="588"/>
        <v>2</v>
      </c>
      <c r="GO214" s="1024">
        <f t="shared" si="589"/>
        <v>221926.41765750575</v>
      </c>
      <c r="GP214" s="1025">
        <f t="shared" si="590"/>
        <v>0.875</v>
      </c>
      <c r="GQ214" s="1024">
        <f t="shared" si="591"/>
        <v>3316969.8472050806</v>
      </c>
      <c r="GR214" s="1024">
        <f t="shared" si="592"/>
        <v>25716.431920179999</v>
      </c>
      <c r="GS214" s="1024">
        <f t="shared" si="593"/>
        <v>29813.862722329817</v>
      </c>
      <c r="GT214" s="1024">
        <f t="shared" si="594"/>
        <v>38512.832457301374</v>
      </c>
      <c r="GU214" s="1024">
        <f t="shared" si="595"/>
        <v>65679.978496860655</v>
      </c>
      <c r="GW214" s="1024">
        <f t="shared" si="596"/>
        <v>3790822.682520092</v>
      </c>
      <c r="GX214" s="1025">
        <f t="shared" si="597"/>
        <v>0.125</v>
      </c>
      <c r="GY214" s="1024">
        <f t="shared" si="598"/>
        <v>473852.8353150115</v>
      </c>
      <c r="GZ214" s="1024">
        <f t="shared" si="599"/>
        <v>30000</v>
      </c>
      <c r="HA214" s="1024">
        <f t="shared" si="600"/>
        <v>443852.8353150115</v>
      </c>
      <c r="HB214" s="1026">
        <f t="shared" si="601"/>
        <v>25</v>
      </c>
      <c r="HC214" s="1009">
        <f t="shared" si="602"/>
        <v>17754.113412600462</v>
      </c>
      <c r="HD214" s="1027">
        <f t="shared" si="603"/>
        <v>0.875</v>
      </c>
      <c r="HE214" s="1009">
        <f t="shared" si="604"/>
        <v>3316969.8472050806</v>
      </c>
      <c r="HF214" s="1008">
        <f t="shared" si="605"/>
        <v>25716.431920179999</v>
      </c>
      <c r="HG214" s="1008">
        <f t="shared" si="606"/>
        <v>29813.862722329817</v>
      </c>
      <c r="HH214" s="1008">
        <f t="shared" si="607"/>
        <v>38512.832457301374</v>
      </c>
      <c r="HI214" s="1008">
        <f t="shared" si="608"/>
        <v>65679.978496860655</v>
      </c>
      <c r="HK214" s="1009">
        <f t="shared" si="609"/>
        <v>-204172.3042449053</v>
      </c>
      <c r="HR214" s="956">
        <f t="shared" si="610"/>
        <v>0</v>
      </c>
      <c r="HU214" s="956"/>
      <c r="HW214" s="956"/>
      <c r="HX214" s="956"/>
    </row>
    <row r="215" spans="1:232" ht="14.25" hidden="1" customHeight="1">
      <c r="A215" s="1018">
        <f t="shared" si="648"/>
        <v>209</v>
      </c>
      <c r="B215" s="716"/>
      <c r="C215" s="741">
        <f t="shared" si="611"/>
        <v>17</v>
      </c>
      <c r="D215" s="716" t="s">
        <v>649</v>
      </c>
      <c r="E215" s="746" t="s">
        <v>299</v>
      </c>
      <c r="F215" s="1048"/>
      <c r="G215" s="745" t="s">
        <v>666</v>
      </c>
      <c r="H215" s="745" t="s">
        <v>349</v>
      </c>
      <c r="I215" s="745" t="s">
        <v>267</v>
      </c>
      <c r="J215" s="1005">
        <v>22</v>
      </c>
      <c r="K215" s="1049"/>
      <c r="L215" s="1006" t="s">
        <v>268</v>
      </c>
      <c r="M215" s="745" t="s">
        <v>79</v>
      </c>
      <c r="N215" s="1050">
        <v>95909.091</v>
      </c>
      <c r="O215" s="934">
        <f t="shared" si="625"/>
        <v>2110000.0019999999</v>
      </c>
      <c r="P215" s="934">
        <f t="shared" si="649"/>
        <v>22400</v>
      </c>
      <c r="Q215" s="934">
        <f t="shared" si="619"/>
        <v>50000</v>
      </c>
      <c r="R215" s="934"/>
      <c r="S215" s="934"/>
      <c r="T215" s="934"/>
      <c r="U215" s="934"/>
      <c r="V215" s="749"/>
      <c r="W215" s="934"/>
      <c r="X215" s="934"/>
      <c r="Y215" s="934">
        <f t="shared" si="612"/>
        <v>180000</v>
      </c>
      <c r="Z215" s="934">
        <f t="shared" si="626"/>
        <v>75000</v>
      </c>
      <c r="AA215" s="934"/>
      <c r="AB215" s="934"/>
      <c r="AC215" s="934"/>
      <c r="AD215" s="934"/>
      <c r="AE215" s="934">
        <f t="shared" si="529"/>
        <v>327400</v>
      </c>
      <c r="AF215" s="1005">
        <f t="shared" si="530"/>
        <v>2437400.0019999999</v>
      </c>
      <c r="AG215" s="1005">
        <f t="shared" si="544"/>
        <v>60935.000050000002</v>
      </c>
      <c r="AH215" s="1005">
        <f t="shared" si="545"/>
        <v>2498335.0020499998</v>
      </c>
      <c r="AI215" s="1005">
        <f t="shared" si="546"/>
        <v>62458.375051249997</v>
      </c>
      <c r="AJ215" s="1005">
        <f t="shared" si="547"/>
        <v>2560793.37710125</v>
      </c>
      <c r="AK215" s="1005">
        <f t="shared" si="548"/>
        <v>128039.66885506251</v>
      </c>
      <c r="AL215" s="1005">
        <f t="shared" si="627"/>
        <v>2688833.0459563127</v>
      </c>
      <c r="AM215" s="934">
        <f t="shared" si="549"/>
        <v>26888.330459563127</v>
      </c>
      <c r="AN215" s="934">
        <f t="shared" si="550"/>
        <v>27537.409960060559</v>
      </c>
      <c r="AO215" s="934"/>
      <c r="AP215" s="934">
        <f t="shared" si="628"/>
        <v>119525.83266908643</v>
      </c>
      <c r="AQ215" s="1005">
        <f t="shared" si="531"/>
        <v>2862784.6190450224</v>
      </c>
      <c r="AR215" s="1005">
        <f t="shared" si="551"/>
        <v>128825.307857026</v>
      </c>
      <c r="AS215" s="1147">
        <f t="shared" si="552"/>
        <v>2991609.9269020483</v>
      </c>
      <c r="AT215" s="1148">
        <f t="shared" si="650"/>
        <v>2000000</v>
      </c>
      <c r="AU215" s="1148">
        <f t="shared" si="651"/>
        <v>45073.178495547647</v>
      </c>
      <c r="AV215" s="1148">
        <f t="shared" si="652"/>
        <v>991609.92690204829</v>
      </c>
      <c r="AW215" s="1148">
        <f t="shared" si="617"/>
        <v>118993.19122824579</v>
      </c>
      <c r="AX215" s="1148">
        <f t="shared" si="532"/>
        <v>1110603.1181302941</v>
      </c>
      <c r="AY215" s="1147">
        <f t="shared" si="553"/>
        <v>3110603.1181302941</v>
      </c>
      <c r="AZ215" s="934">
        <f t="shared" si="554"/>
        <v>38882.538976628675</v>
      </c>
      <c r="BA215" s="716" t="s">
        <v>269</v>
      </c>
      <c r="BB215" s="716">
        <f t="shared" si="533"/>
        <v>3149485.6571069229</v>
      </c>
      <c r="BC215" s="716" t="s">
        <v>269</v>
      </c>
      <c r="BD215" s="716">
        <f t="shared" si="555"/>
        <v>118105.7121415096</v>
      </c>
      <c r="BE215" s="716">
        <f t="shared" si="556"/>
        <v>33600</v>
      </c>
      <c r="BF215" s="716">
        <f t="shared" si="557"/>
        <v>3301191.3692484326</v>
      </c>
      <c r="BG215" s="716"/>
      <c r="BH215" s="716">
        <f t="shared" si="558"/>
        <v>3301191.3692484326</v>
      </c>
      <c r="BI215" s="716"/>
      <c r="BJ215" s="716">
        <f t="shared" si="559"/>
        <v>3301191.3692484326</v>
      </c>
      <c r="BK215" s="716"/>
      <c r="BL215" s="716">
        <f t="shared" si="560"/>
        <v>3301191.3692484326</v>
      </c>
      <c r="BM215" s="716"/>
      <c r="BN215" s="716">
        <f t="shared" si="534"/>
        <v>3301191.3692484326</v>
      </c>
      <c r="BO215" s="716"/>
      <c r="BP215" s="716">
        <f t="shared" si="561"/>
        <v>3301191.3692484326</v>
      </c>
      <c r="BQ215" s="716"/>
      <c r="BR215" s="716">
        <f t="shared" si="562"/>
        <v>3301191.3692484326</v>
      </c>
      <c r="BS215" s="716"/>
      <c r="BT215" s="716">
        <f t="shared" si="563"/>
        <v>3301191.3692484326</v>
      </c>
      <c r="BU215" s="716"/>
      <c r="BV215" s="716">
        <f t="shared" si="535"/>
        <v>3301191.3692484326</v>
      </c>
      <c r="BW215" s="716"/>
      <c r="BX215" s="716">
        <f t="shared" si="653"/>
        <v>31400</v>
      </c>
      <c r="BY215" s="716">
        <f t="shared" si="564"/>
        <v>3332591.3692484326</v>
      </c>
      <c r="BZ215" s="716"/>
      <c r="CA215" s="716">
        <f t="shared" si="565"/>
        <v>3332591.3692484326</v>
      </c>
      <c r="CB215" s="1135">
        <f t="shared" si="566"/>
        <v>3332591.3692484326</v>
      </c>
      <c r="CC215" s="1164">
        <f t="shared" si="613"/>
        <v>3332591.3692484326</v>
      </c>
      <c r="CD215" s="1164"/>
      <c r="CE215" s="1164">
        <f t="shared" si="567"/>
        <v>0</v>
      </c>
      <c r="CF215" s="1164">
        <f t="shared" si="615"/>
        <v>0</v>
      </c>
      <c r="CG215" s="1164">
        <f t="shared" si="616"/>
        <v>0</v>
      </c>
      <c r="CH215" s="1154">
        <f t="shared" si="506"/>
        <v>3332591.3692484326</v>
      </c>
      <c r="CI215" s="935">
        <f>CH215</f>
        <v>3332591.3692484326</v>
      </c>
      <c r="CJ215" s="935">
        <f t="shared" si="568"/>
        <v>0</v>
      </c>
      <c r="CK215" s="935">
        <f t="shared" si="536"/>
        <v>341590.61534796434</v>
      </c>
      <c r="CL215" s="935">
        <f t="shared" si="537"/>
        <v>116640.69792369514</v>
      </c>
      <c r="CM215" s="1006">
        <f t="shared" si="629"/>
        <v>3790822.682520092</v>
      </c>
      <c r="CN215" s="1007">
        <f t="shared" si="630"/>
        <v>0.125</v>
      </c>
      <c r="CO215" s="935">
        <f t="shared" si="498"/>
        <v>473852.8353150115</v>
      </c>
      <c r="CP215" s="935">
        <f t="shared" si="655"/>
        <v>30000</v>
      </c>
      <c r="CQ215" s="935">
        <f t="shared" si="499"/>
        <v>443852.8353150115</v>
      </c>
      <c r="CR215" s="745">
        <f t="shared" si="631"/>
        <v>2</v>
      </c>
      <c r="CS215" s="935">
        <f t="shared" si="500"/>
        <v>221926.41765750575</v>
      </c>
      <c r="CT215" s="1007">
        <f t="shared" si="569"/>
        <v>0.875</v>
      </c>
      <c r="CU215" s="935">
        <f t="shared" si="570"/>
        <v>3316969.8472050806</v>
      </c>
      <c r="CV215" s="1008">
        <f t="shared" si="571"/>
        <v>25716.431920179999</v>
      </c>
      <c r="CW215" s="1008">
        <f t="shared" si="572"/>
        <v>29813.862722329817</v>
      </c>
      <c r="CX215" s="1008">
        <f t="shared" si="573"/>
        <v>38512.832457301374</v>
      </c>
      <c r="CY215" s="1008">
        <f t="shared" si="574"/>
        <v>65679.978496860655</v>
      </c>
      <c r="CZ215" s="1119">
        <f t="shared" si="575"/>
        <v>269448.00372451334</v>
      </c>
      <c r="DA215" s="1119">
        <f t="shared" si="576"/>
        <v>106619.26251720592</v>
      </c>
      <c r="DB215" s="1119">
        <f t="shared" si="577"/>
        <v>77009.583246814509</v>
      </c>
      <c r="DC215" s="1119">
        <f t="shared" si="578"/>
        <v>58607.838188929411</v>
      </c>
      <c r="DD215" s="1028">
        <f t="shared" si="621"/>
        <v>0.49580496345102415</v>
      </c>
      <c r="DE215" s="1028">
        <f t="shared" si="508"/>
        <v>0</v>
      </c>
      <c r="DF215" s="1009" t="s">
        <v>270</v>
      </c>
      <c r="DG215" s="1009" t="s">
        <v>271</v>
      </c>
      <c r="DH215" s="966">
        <f t="shared" si="614"/>
        <v>45658</v>
      </c>
      <c r="DI215" s="912">
        <f t="shared" si="579"/>
        <v>14</v>
      </c>
      <c r="DK215" s="913">
        <f t="shared" si="538"/>
        <v>45723</v>
      </c>
      <c r="DL215" s="912">
        <f t="shared" si="580"/>
        <v>16</v>
      </c>
      <c r="DM215" s="750" t="s">
        <v>272</v>
      </c>
      <c r="DN215" s="750" t="s">
        <v>273</v>
      </c>
      <c r="DO215" s="751">
        <f t="shared" si="539"/>
        <v>50481.959915013373</v>
      </c>
      <c r="DP215" s="751">
        <f t="shared" si="540"/>
        <v>1110603.1181302941</v>
      </c>
      <c r="DQ215" s="752">
        <f t="shared" si="622"/>
        <v>0.55530155906514711</v>
      </c>
      <c r="DS215" s="751">
        <f t="shared" si="623"/>
        <v>3332591.3692484326</v>
      </c>
      <c r="DT215" s="751">
        <f>'[4]INTERNAL PRICELIST'!N209</f>
        <v>0</v>
      </c>
      <c r="DU215" s="751">
        <f t="shared" si="541"/>
        <v>3332591.3692484326</v>
      </c>
      <c r="DW215" s="951">
        <f t="shared" si="624"/>
        <v>151481.42587492874</v>
      </c>
      <c r="DZ215" s="1010" t="s">
        <v>666</v>
      </c>
      <c r="EA215" s="1011" t="b">
        <f t="shared" si="542"/>
        <v>1</v>
      </c>
      <c r="EB215" s="1011"/>
      <c r="EC215" s="1011"/>
      <c r="ER215" s="1017" t="s">
        <v>264</v>
      </c>
      <c r="ES215" s="1391" t="s">
        <v>264</v>
      </c>
      <c r="ET215" s="1018" t="b">
        <f t="shared" si="581"/>
        <v>1</v>
      </c>
      <c r="EX215" s="1019">
        <v>3124858.3704336318</v>
      </c>
      <c r="EY215" s="1019">
        <f t="shared" si="632"/>
        <v>468728.75556504476</v>
      </c>
      <c r="EZ215" s="1019">
        <f t="shared" si="633"/>
        <v>2656129.6148685869</v>
      </c>
      <c r="FA215" s="1019">
        <f t="shared" si="634"/>
        <v>312485.83704336319</v>
      </c>
      <c r="FB215" s="1019">
        <f t="shared" si="635"/>
        <v>2812372.5333902687</v>
      </c>
      <c r="FC215" s="1019">
        <f t="shared" si="636"/>
        <v>156242.9185216818</v>
      </c>
      <c r="FD215" s="1020"/>
      <c r="FE215" s="1021"/>
      <c r="FF215" s="1022">
        <f t="shared" si="637"/>
        <v>2656129.6148685869</v>
      </c>
      <c r="FG215" s="1022">
        <f t="shared" si="638"/>
        <v>225771.01726382991</v>
      </c>
      <c r="FH215" s="1022">
        <f t="shared" si="639"/>
        <v>112885.50863191496</v>
      </c>
      <c r="FI215" s="1023">
        <f t="shared" si="640"/>
        <v>2812372.5333902687</v>
      </c>
      <c r="FJ215" s="1023">
        <f t="shared" si="641"/>
        <v>239051.66533817287</v>
      </c>
      <c r="FK215" s="1023">
        <f t="shared" si="642"/>
        <v>119525.83266908643</v>
      </c>
      <c r="FL215" s="1019">
        <f t="shared" si="643"/>
        <v>13280.648074342957</v>
      </c>
      <c r="FM215" s="1019">
        <f t="shared" si="644"/>
        <v>6640.3240371714783</v>
      </c>
      <c r="FN215" s="1019" t="str">
        <f t="shared" si="645"/>
        <v>VS</v>
      </c>
      <c r="FO215" s="1019">
        <f t="shared" si="646"/>
        <v>27537.409960060559</v>
      </c>
      <c r="FP215" s="1019">
        <f t="shared" si="647"/>
        <v>-20897.08592288908</v>
      </c>
      <c r="FQ215" s="1021"/>
      <c r="FR215" s="1021"/>
      <c r="FS215" s="1020"/>
      <c r="FT215" s="1055">
        <f t="shared" si="654"/>
        <v>2812372.5333902687</v>
      </c>
      <c r="FU215" s="1056"/>
      <c r="FV215" s="1056"/>
      <c r="GG215" s="956"/>
      <c r="GI215" s="1024">
        <f t="shared" si="583"/>
        <v>3790822.682520092</v>
      </c>
      <c r="GJ215" s="1025">
        <f t="shared" si="584"/>
        <v>0.125</v>
      </c>
      <c r="GK215" s="1024">
        <f t="shared" si="585"/>
        <v>473852.8353150115</v>
      </c>
      <c r="GL215" s="1024">
        <f t="shared" si="586"/>
        <v>30000</v>
      </c>
      <c r="GM215" s="1024">
        <f t="shared" si="587"/>
        <v>443852.8353150115</v>
      </c>
      <c r="GN215" s="1024">
        <f t="shared" si="588"/>
        <v>2</v>
      </c>
      <c r="GO215" s="1024">
        <f t="shared" si="589"/>
        <v>221926.41765750575</v>
      </c>
      <c r="GP215" s="1025">
        <f t="shared" si="590"/>
        <v>0.875</v>
      </c>
      <c r="GQ215" s="1024">
        <f t="shared" si="591"/>
        <v>3316969.8472050806</v>
      </c>
      <c r="GR215" s="1024">
        <f t="shared" si="592"/>
        <v>25716.431920179999</v>
      </c>
      <c r="GS215" s="1024">
        <f t="shared" si="593"/>
        <v>29813.862722329817</v>
      </c>
      <c r="GT215" s="1024">
        <f t="shared" si="594"/>
        <v>38512.832457301374</v>
      </c>
      <c r="GU215" s="1024">
        <f t="shared" si="595"/>
        <v>65679.978496860655</v>
      </c>
      <c r="GW215" s="1024">
        <f t="shared" si="596"/>
        <v>3790822.682520092</v>
      </c>
      <c r="GX215" s="1025">
        <f t="shared" si="597"/>
        <v>0.125</v>
      </c>
      <c r="GY215" s="1024">
        <f t="shared" si="598"/>
        <v>473852.8353150115</v>
      </c>
      <c r="GZ215" s="1024">
        <f t="shared" si="599"/>
        <v>30000</v>
      </c>
      <c r="HA215" s="1024">
        <f t="shared" si="600"/>
        <v>443852.8353150115</v>
      </c>
      <c r="HB215" s="1026">
        <f t="shared" si="601"/>
        <v>25</v>
      </c>
      <c r="HC215" s="1009">
        <f t="shared" si="602"/>
        <v>17754.113412600462</v>
      </c>
      <c r="HD215" s="1027">
        <f t="shared" si="603"/>
        <v>0.875</v>
      </c>
      <c r="HE215" s="1009">
        <f t="shared" si="604"/>
        <v>3316969.8472050806</v>
      </c>
      <c r="HF215" s="1008">
        <f t="shared" si="605"/>
        <v>25716.431920179999</v>
      </c>
      <c r="HG215" s="1008">
        <f t="shared" si="606"/>
        <v>29813.862722329817</v>
      </c>
      <c r="HH215" s="1008">
        <f t="shared" si="607"/>
        <v>38512.832457301374</v>
      </c>
      <c r="HI215" s="1008">
        <f t="shared" si="608"/>
        <v>65679.978496860655</v>
      </c>
      <c r="HK215" s="1009">
        <f t="shared" si="609"/>
        <v>-204172.3042449053</v>
      </c>
      <c r="HR215" s="956">
        <f t="shared" si="610"/>
        <v>0</v>
      </c>
      <c r="HU215" s="956"/>
      <c r="HW215" s="956"/>
      <c r="HX215" s="956"/>
    </row>
    <row r="216" spans="1:232" ht="14.25" hidden="1" customHeight="1">
      <c r="A216" s="1018">
        <f t="shared" si="648"/>
        <v>210</v>
      </c>
      <c r="B216" s="716"/>
      <c r="C216" s="741">
        <f t="shared" si="611"/>
        <v>18</v>
      </c>
      <c r="D216" s="716" t="s">
        <v>649</v>
      </c>
      <c r="E216" s="746" t="s">
        <v>299</v>
      </c>
      <c r="F216" s="1048"/>
      <c r="G216" s="745" t="s">
        <v>667</v>
      </c>
      <c r="H216" s="745" t="s">
        <v>353</v>
      </c>
      <c r="I216" s="745" t="s">
        <v>267</v>
      </c>
      <c r="J216" s="1005">
        <v>22</v>
      </c>
      <c r="K216" s="1049"/>
      <c r="L216" s="1006" t="s">
        <v>268</v>
      </c>
      <c r="M216" s="745" t="s">
        <v>65</v>
      </c>
      <c r="N216" s="1050">
        <v>95909.091</v>
      </c>
      <c r="O216" s="934">
        <f t="shared" si="625"/>
        <v>2110000.0019999999</v>
      </c>
      <c r="P216" s="934">
        <f t="shared" si="649"/>
        <v>22400</v>
      </c>
      <c r="Q216" s="934">
        <f t="shared" si="619"/>
        <v>50000</v>
      </c>
      <c r="R216" s="934"/>
      <c r="S216" s="934"/>
      <c r="T216" s="934"/>
      <c r="U216" s="934"/>
      <c r="V216" s="749">
        <f>J216*$V$5</f>
        <v>55000</v>
      </c>
      <c r="W216" s="934"/>
      <c r="X216" s="934"/>
      <c r="Y216" s="934">
        <f t="shared" si="612"/>
        <v>180000</v>
      </c>
      <c r="Z216" s="934">
        <f t="shared" si="626"/>
        <v>75000</v>
      </c>
      <c r="AA216" s="934"/>
      <c r="AB216" s="934"/>
      <c r="AC216" s="934"/>
      <c r="AD216" s="934"/>
      <c r="AE216" s="934">
        <f t="shared" si="529"/>
        <v>382400</v>
      </c>
      <c r="AF216" s="1005">
        <f t="shared" si="530"/>
        <v>2492400.0019999999</v>
      </c>
      <c r="AG216" s="1005">
        <f t="shared" si="544"/>
        <v>62310.000050000002</v>
      </c>
      <c r="AH216" s="1005">
        <f t="shared" si="545"/>
        <v>2554710.0020499998</v>
      </c>
      <c r="AI216" s="1005">
        <f t="shared" si="546"/>
        <v>63867.750051249997</v>
      </c>
      <c r="AJ216" s="1005">
        <f t="shared" si="547"/>
        <v>2618577.75210125</v>
      </c>
      <c r="AK216" s="1005">
        <f t="shared" si="548"/>
        <v>130928.88760506251</v>
      </c>
      <c r="AL216" s="1005">
        <f>AJ216+AK216</f>
        <v>2749506.6397063127</v>
      </c>
      <c r="AM216" s="934">
        <f t="shared" si="549"/>
        <v>27495.066397063129</v>
      </c>
      <c r="AN216" s="934">
        <f t="shared" si="550"/>
        <v>27537.409960060559</v>
      </c>
      <c r="AO216" s="934"/>
      <c r="AP216" s="934">
        <f t="shared" si="628"/>
        <v>124658.85082076512</v>
      </c>
      <c r="AQ216" s="1005">
        <f t="shared" si="531"/>
        <v>2929197.9668842009</v>
      </c>
      <c r="AR216" s="1005">
        <f t="shared" si="551"/>
        <v>131813.90850978903</v>
      </c>
      <c r="AS216" s="1147">
        <f t="shared" si="552"/>
        <v>3061011.87539399</v>
      </c>
      <c r="AT216" s="1148">
        <f>AS216</f>
        <v>3061011.87539399</v>
      </c>
      <c r="AU216" s="1148"/>
      <c r="AV216" s="1148"/>
      <c r="AW216" s="1148"/>
      <c r="AX216" s="1148">
        <f>AV216+AW216</f>
        <v>0</v>
      </c>
      <c r="AY216" s="1147">
        <f t="shared" si="553"/>
        <v>3061011.87539399</v>
      </c>
      <c r="AZ216" s="934">
        <f>AY216*$AZ$5</f>
        <v>38262.648442424877</v>
      </c>
      <c r="BA216" s="716" t="s">
        <v>269</v>
      </c>
      <c r="BB216" s="716">
        <f>SUM(AY216:BA216)</f>
        <v>3099274.5238364148</v>
      </c>
      <c r="BC216" s="716" t="s">
        <v>269</v>
      </c>
      <c r="BD216" s="716">
        <f t="shared" si="555"/>
        <v>116222.79464386555</v>
      </c>
      <c r="BE216" s="716">
        <f t="shared" si="556"/>
        <v>33600</v>
      </c>
      <c r="BF216" s="716">
        <f t="shared" si="557"/>
        <v>3249097.3184802802</v>
      </c>
      <c r="BG216" s="716"/>
      <c r="BH216" s="716">
        <f t="shared" si="558"/>
        <v>3249097.3184802802</v>
      </c>
      <c r="BI216" s="716"/>
      <c r="BJ216" s="716">
        <f t="shared" si="559"/>
        <v>3249097.3184802802</v>
      </c>
      <c r="BK216" s="716"/>
      <c r="BL216" s="716">
        <f t="shared" si="560"/>
        <v>3249097.3184802802</v>
      </c>
      <c r="BM216" s="716"/>
      <c r="BN216" s="716">
        <f t="shared" si="534"/>
        <v>3249097.3184802802</v>
      </c>
      <c r="BO216" s="716"/>
      <c r="BP216" s="716">
        <f t="shared" si="561"/>
        <v>3249097.3184802802</v>
      </c>
      <c r="BQ216" s="716"/>
      <c r="BR216" s="716">
        <f t="shared" si="562"/>
        <v>3249097.3184802802</v>
      </c>
      <c r="BS216" s="716"/>
      <c r="BT216" s="716">
        <f t="shared" si="563"/>
        <v>3249097.3184802802</v>
      </c>
      <c r="BU216" s="716"/>
      <c r="BV216" s="716">
        <f>BT216+BU216</f>
        <v>3249097.3184802802</v>
      </c>
      <c r="BW216" s="716"/>
      <c r="BX216" s="716">
        <f t="shared" si="653"/>
        <v>31400</v>
      </c>
      <c r="BY216" s="716">
        <f t="shared" si="564"/>
        <v>3280497.3184802802</v>
      </c>
      <c r="BZ216" s="716"/>
      <c r="CA216" s="716">
        <f t="shared" si="565"/>
        <v>3280497.3184802802</v>
      </c>
      <c r="CB216" s="1135">
        <f t="shared" si="566"/>
        <v>3280497.3184802802</v>
      </c>
      <c r="CC216" s="1164">
        <f t="shared" si="613"/>
        <v>3280497.3184802802</v>
      </c>
      <c r="CD216" s="1164"/>
      <c r="CE216" s="1164">
        <f t="shared" si="567"/>
        <v>0</v>
      </c>
      <c r="CF216" s="1164">
        <f t="shared" si="615"/>
        <v>0</v>
      </c>
      <c r="CG216" s="1164">
        <f t="shared" si="616"/>
        <v>0</v>
      </c>
      <c r="CH216" s="1154">
        <f t="shared" si="506"/>
        <v>3280497.3184802802</v>
      </c>
      <c r="CI216" s="935">
        <f t="shared" si="507"/>
        <v>3280497.3184802802</v>
      </c>
      <c r="CJ216" s="935">
        <f t="shared" si="568"/>
        <v>0</v>
      </c>
      <c r="CK216" s="935">
        <f t="shared" si="536"/>
        <v>336250.97514422872</v>
      </c>
      <c r="CL216" s="935">
        <f t="shared" si="537"/>
        <v>114817.40614680982</v>
      </c>
      <c r="CM216" s="1006">
        <f t="shared" si="629"/>
        <v>3731565.6997713191</v>
      </c>
      <c r="CN216" s="1007">
        <f t="shared" si="630"/>
        <v>0.125</v>
      </c>
      <c r="CO216" s="935">
        <f t="shared" si="498"/>
        <v>466445.71247141488</v>
      </c>
      <c r="CP216" s="935">
        <f t="shared" ref="CP216" si="656">$CP$5</f>
        <v>30000</v>
      </c>
      <c r="CQ216" s="935">
        <f t="shared" si="499"/>
        <v>436445.71247141488</v>
      </c>
      <c r="CR216" s="745">
        <f t="shared" si="631"/>
        <v>2</v>
      </c>
      <c r="CS216" s="935">
        <f t="shared" si="500"/>
        <v>218222.85623570744</v>
      </c>
      <c r="CT216" s="1007">
        <f t="shared" si="569"/>
        <v>0.875</v>
      </c>
      <c r="CU216" s="935">
        <f t="shared" si="570"/>
        <v>3265119.9872999042</v>
      </c>
      <c r="CV216" s="1008">
        <f t="shared" si="571"/>
        <v>25314.440508215288</v>
      </c>
      <c r="CW216" s="1008">
        <f t="shared" si="572"/>
        <v>29347.821523104711</v>
      </c>
      <c r="CX216" s="1008">
        <f t="shared" si="573"/>
        <v>37910.811619172498</v>
      </c>
      <c r="CY216" s="1008">
        <f t="shared" si="574"/>
        <v>64653.289126588956</v>
      </c>
      <c r="CZ216" s="1119">
        <f t="shared" si="575"/>
        <v>265236.0747988954</v>
      </c>
      <c r="DA216" s="1119">
        <f t="shared" si="576"/>
        <v>104952.62275882268</v>
      </c>
      <c r="DB216" s="1119">
        <f t="shared" si="577"/>
        <v>75805.792954277524</v>
      </c>
      <c r="DC216" s="1119">
        <f t="shared" si="578"/>
        <v>57691.698356666006</v>
      </c>
      <c r="DD216" s="1028">
        <f t="shared" si="621"/>
        <v>0</v>
      </c>
      <c r="DE216" s="1028">
        <f t="shared" si="508"/>
        <v>0</v>
      </c>
      <c r="DF216" s="916" t="s">
        <v>512</v>
      </c>
      <c r="DG216" s="1009" t="s">
        <v>271</v>
      </c>
      <c r="DH216" s="966">
        <f t="shared" si="614"/>
        <v>45658</v>
      </c>
      <c r="DI216" s="912">
        <f t="shared" si="579"/>
        <v>14</v>
      </c>
      <c r="DK216" s="913">
        <f t="shared" si="538"/>
        <v>45723</v>
      </c>
      <c r="DL216" s="912">
        <f t="shared" si="580"/>
        <v>16</v>
      </c>
      <c r="DM216" s="750" t="s">
        <v>272</v>
      </c>
      <c r="DN216" s="750" t="s">
        <v>273</v>
      </c>
      <c r="DO216" s="751">
        <f t="shared" si="539"/>
        <v>0</v>
      </c>
      <c r="DP216" s="751">
        <f t="shared" si="540"/>
        <v>0</v>
      </c>
      <c r="DQ216" s="752">
        <f t="shared" si="622"/>
        <v>0</v>
      </c>
      <c r="DS216" s="751">
        <f t="shared" si="623"/>
        <v>3280497.3184802802</v>
      </c>
      <c r="DT216" s="751">
        <f>'[4]INTERNAL PRICELIST'!N210</f>
        <v>0</v>
      </c>
      <c r="DU216" s="751">
        <f t="shared" si="541"/>
        <v>3280497.3184802802</v>
      </c>
      <c r="DW216" s="951">
        <f t="shared" si="624"/>
        <v>149113.51447637638</v>
      </c>
      <c r="DZ216" s="1010" t="s">
        <v>667</v>
      </c>
      <c r="EA216" s="1011" t="b">
        <f t="shared" si="542"/>
        <v>1</v>
      </c>
      <c r="EB216" s="1011"/>
      <c r="EC216" s="1011"/>
      <c r="ER216" s="1017" t="s">
        <v>264</v>
      </c>
      <c r="ES216" s="1391" t="s">
        <v>264</v>
      </c>
      <c r="ET216" s="1018" t="b">
        <f t="shared" si="581"/>
        <v>1</v>
      </c>
      <c r="EX216" s="1019">
        <v>3259054.9234186956</v>
      </c>
      <c r="EY216" s="1019">
        <f t="shared" si="632"/>
        <v>488858.23851280432</v>
      </c>
      <c r="EZ216" s="1019">
        <f t="shared" si="633"/>
        <v>2770196.6849058913</v>
      </c>
      <c r="FA216" s="1019">
        <f t="shared" si="634"/>
        <v>325905.49234186957</v>
      </c>
      <c r="FB216" s="1019">
        <f t="shared" si="635"/>
        <v>2933149.4310768261</v>
      </c>
      <c r="FC216" s="1019">
        <f t="shared" si="636"/>
        <v>162952.74617093476</v>
      </c>
      <c r="FD216" s="1020"/>
      <c r="FE216" s="1021"/>
      <c r="FF216" s="1022">
        <f t="shared" si="637"/>
        <v>2770196.6849058913</v>
      </c>
      <c r="FG216" s="1022">
        <f t="shared" si="638"/>
        <v>235466.71821700077</v>
      </c>
      <c r="FH216" s="1022">
        <f t="shared" si="639"/>
        <v>117733.35910850039</v>
      </c>
      <c r="FI216" s="1023">
        <f t="shared" si="640"/>
        <v>2933149.4310768261</v>
      </c>
      <c r="FJ216" s="1023">
        <f t="shared" si="641"/>
        <v>249317.70164153024</v>
      </c>
      <c r="FK216" s="1023">
        <f t="shared" si="642"/>
        <v>124658.85082076512</v>
      </c>
      <c r="FL216" s="1019">
        <f>FJ216-FG216</f>
        <v>13850.983424529462</v>
      </c>
      <c r="FM216" s="1019">
        <f>FK216-FH216</f>
        <v>6925.4917122647312</v>
      </c>
      <c r="FN216" s="1019" t="str">
        <f t="shared" si="645"/>
        <v>VS</v>
      </c>
      <c r="FO216" s="1019">
        <f t="shared" si="646"/>
        <v>27537.409960060559</v>
      </c>
      <c r="FP216" s="1019">
        <f>FM216-FO216</f>
        <v>-20611.918247795827</v>
      </c>
      <c r="FQ216" s="1021"/>
      <c r="FR216" s="1021"/>
      <c r="FS216" s="1020"/>
      <c r="FT216" s="1055">
        <f t="shared" si="654"/>
        <v>2933149.4310768261</v>
      </c>
      <c r="FU216" s="1056"/>
      <c r="FV216" s="1056"/>
      <c r="GG216" s="956"/>
      <c r="GI216" s="1024">
        <f t="shared" si="583"/>
        <v>3731565.6997713191</v>
      </c>
      <c r="GJ216" s="1025">
        <f t="shared" si="584"/>
        <v>0.125</v>
      </c>
      <c r="GK216" s="1024">
        <f t="shared" si="585"/>
        <v>466445.71247141488</v>
      </c>
      <c r="GL216" s="1024">
        <f t="shared" si="586"/>
        <v>30000</v>
      </c>
      <c r="GM216" s="1024">
        <f t="shared" si="587"/>
        <v>436445.71247141488</v>
      </c>
      <c r="GN216" s="1024">
        <f t="shared" si="588"/>
        <v>2</v>
      </c>
      <c r="GO216" s="1024">
        <f t="shared" si="589"/>
        <v>218222.85623570744</v>
      </c>
      <c r="GP216" s="1025">
        <f t="shared" si="590"/>
        <v>0.875</v>
      </c>
      <c r="GQ216" s="1024">
        <f t="shared" si="591"/>
        <v>3265119.9872999042</v>
      </c>
      <c r="GR216" s="1024">
        <f t="shared" si="592"/>
        <v>25314.440508215288</v>
      </c>
      <c r="GS216" s="1024">
        <f t="shared" si="593"/>
        <v>29347.821523104711</v>
      </c>
      <c r="GT216" s="1024">
        <f t="shared" si="594"/>
        <v>37910.811619172498</v>
      </c>
      <c r="GU216" s="1024">
        <f t="shared" si="595"/>
        <v>64653.289126588956</v>
      </c>
      <c r="GW216" s="1024">
        <f t="shared" si="596"/>
        <v>3731565.6997713191</v>
      </c>
      <c r="GX216" s="1025">
        <f t="shared" si="597"/>
        <v>0.125</v>
      </c>
      <c r="GY216" s="1024">
        <f t="shared" si="598"/>
        <v>466445.71247141488</v>
      </c>
      <c r="GZ216" s="1024">
        <f t="shared" si="599"/>
        <v>30000</v>
      </c>
      <c r="HA216" s="1024">
        <f t="shared" si="600"/>
        <v>436445.71247141488</v>
      </c>
      <c r="HB216" s="1026">
        <f t="shared" si="601"/>
        <v>25</v>
      </c>
      <c r="HC216" s="1009">
        <f t="shared" si="602"/>
        <v>17457.828498856594</v>
      </c>
      <c r="HD216" s="1027">
        <f t="shared" si="603"/>
        <v>0.875</v>
      </c>
      <c r="HE216" s="1009">
        <f t="shared" si="604"/>
        <v>3265119.9872999042</v>
      </c>
      <c r="HF216" s="1008">
        <f t="shared" si="605"/>
        <v>25314.440508215288</v>
      </c>
      <c r="HG216" s="1008">
        <f t="shared" si="606"/>
        <v>29347.821523104711</v>
      </c>
      <c r="HH216" s="1008">
        <f t="shared" si="607"/>
        <v>37910.811619172498</v>
      </c>
      <c r="HI216" s="1008">
        <f t="shared" si="608"/>
        <v>64653.289126588956</v>
      </c>
      <c r="HK216" s="1009">
        <f t="shared" si="609"/>
        <v>-200765.02773685084</v>
      </c>
      <c r="HR216" s="956">
        <f t="shared" si="610"/>
        <v>0</v>
      </c>
      <c r="HU216" s="956"/>
      <c r="HW216" s="956"/>
      <c r="HX216" s="956"/>
    </row>
    <row r="217" spans="1:232" ht="14.25" hidden="1" customHeight="1" thickBot="1">
      <c r="A217" s="1073"/>
      <c r="B217" s="1074">
        <f>SUM(B13:B155)</f>
        <v>0</v>
      </c>
      <c r="C217" s="1075"/>
      <c r="D217" s="1074"/>
      <c r="E217" s="1076"/>
      <c r="F217" s="1076"/>
      <c r="G217" s="1076"/>
      <c r="H217" s="1076"/>
      <c r="I217" s="1076"/>
      <c r="J217" s="1076">
        <f>SUBTOTAL(9,J7:J216)</f>
        <v>618.22</v>
      </c>
      <c r="K217" s="1074">
        <f t="shared" ref="K217:DC217" si="657">SUBTOTAL(9,K7:K216)</f>
        <v>0</v>
      </c>
      <c r="L217" s="1076">
        <f t="shared" si="657"/>
        <v>0</v>
      </c>
      <c r="M217" s="1076">
        <f t="shared" si="657"/>
        <v>0</v>
      </c>
      <c r="N217" s="1074">
        <f t="shared" si="657"/>
        <v>3118181.8200000003</v>
      </c>
      <c r="O217" s="1074">
        <f t="shared" si="657"/>
        <v>77844000.039999977</v>
      </c>
      <c r="P217" s="1074">
        <f t="shared" si="657"/>
        <v>448000</v>
      </c>
      <c r="Q217" s="1074">
        <f>SUBTOTAL(9,Q7:Q216)</f>
        <v>1000000</v>
      </c>
      <c r="R217" s="1074">
        <f t="shared" si="657"/>
        <v>0</v>
      </c>
      <c r="S217" s="1074"/>
      <c r="T217" s="1074">
        <f t="shared" si="657"/>
        <v>66000</v>
      </c>
      <c r="U217" s="1074">
        <f t="shared" si="657"/>
        <v>0</v>
      </c>
      <c r="V217" s="1074">
        <f t="shared" si="657"/>
        <v>110000</v>
      </c>
      <c r="W217" s="1074">
        <f t="shared" si="657"/>
        <v>220000</v>
      </c>
      <c r="X217" s="1074">
        <f t="shared" si="657"/>
        <v>0</v>
      </c>
      <c r="Y217" s="1074">
        <f t="shared" si="657"/>
        <v>2100000</v>
      </c>
      <c r="Z217" s="1074">
        <f t="shared" si="657"/>
        <v>1500000</v>
      </c>
      <c r="AA217" s="1074">
        <f t="shared" si="657"/>
        <v>3599999.9999999991</v>
      </c>
      <c r="AB217" s="1074">
        <f t="shared" si="657"/>
        <v>0</v>
      </c>
      <c r="AC217" s="1074">
        <f t="shared" si="657"/>
        <v>0</v>
      </c>
      <c r="AD217" s="1074">
        <f t="shared" si="657"/>
        <v>0</v>
      </c>
      <c r="AE217" s="1074">
        <f t="shared" si="657"/>
        <v>9044000</v>
      </c>
      <c r="AF217" s="1076">
        <f t="shared" si="657"/>
        <v>86888000.039999992</v>
      </c>
      <c r="AG217" s="1076">
        <f t="shared" si="657"/>
        <v>2172200.0009999988</v>
      </c>
      <c r="AH217" s="1076">
        <f t="shared" si="657"/>
        <v>89060200.040999949</v>
      </c>
      <c r="AI217" s="1076">
        <f t="shared" si="657"/>
        <v>2226505.0010250001</v>
      </c>
      <c r="AJ217" s="1076">
        <f t="shared" si="657"/>
        <v>91286705.04202494</v>
      </c>
      <c r="AK217" s="1076">
        <f t="shared" si="657"/>
        <v>4564335.2521012537</v>
      </c>
      <c r="AL217" s="1076">
        <f t="shared" ref="AL217:AN217" si="658">SUBTOTAL(9,AL7:AL216)</f>
        <v>95851040.294126272</v>
      </c>
      <c r="AM217" s="1074">
        <f t="shared" si="658"/>
        <v>958510.40294126235</v>
      </c>
      <c r="AN217" s="1074">
        <f t="shared" si="658"/>
        <v>715972.6589615749</v>
      </c>
      <c r="AO217" s="1074"/>
      <c r="AP217" s="1074">
        <f t="shared" ref="AP217" si="659">SUBTOTAL(9,AP7:AP216)</f>
        <v>2336094.986792292</v>
      </c>
      <c r="AQ217" s="1076">
        <f t="shared" si="657"/>
        <v>99861618.342821404</v>
      </c>
      <c r="AR217" s="1076">
        <f t="shared" si="657"/>
        <v>4493772.8254269613</v>
      </c>
      <c r="AS217" s="1149">
        <f t="shared" si="657"/>
        <v>104355391.16824833</v>
      </c>
      <c r="AT217" s="1150">
        <f t="shared" si="657"/>
        <v>40000000</v>
      </c>
      <c r="AU217" s="1150">
        <f t="shared" si="657"/>
        <v>840450.53186045494</v>
      </c>
      <c r="AV217" s="1150">
        <f t="shared" si="657"/>
        <v>18489911.700930014</v>
      </c>
      <c r="AW217" s="1150">
        <f t="shared" si="657"/>
        <v>2218789.4041116014</v>
      </c>
      <c r="AX217" s="1150">
        <f t="shared" si="657"/>
        <v>20708701.105041616</v>
      </c>
      <c r="AY217" s="1149">
        <f t="shared" ref="AY217:CC217" si="660">SUBTOTAL(9,AY7:AY216)</f>
        <v>106574180.57235995</v>
      </c>
      <c r="AZ217" s="1136">
        <f t="shared" si="660"/>
        <v>1332177.2571544989</v>
      </c>
      <c r="BA217" s="1136">
        <f t="shared" si="660"/>
        <v>137748.97733333334</v>
      </c>
      <c r="BB217" s="1136">
        <f t="shared" si="660"/>
        <v>108044106.80684774</v>
      </c>
      <c r="BC217" s="1136">
        <v>40656.000000000015</v>
      </c>
      <c r="BD217" s="1136">
        <f t="shared" si="660"/>
        <v>4051654.0052567921</v>
      </c>
      <c r="BE217" s="1136">
        <f t="shared" si="660"/>
        <v>873600</v>
      </c>
      <c r="BF217" s="1136">
        <f t="shared" si="660"/>
        <v>113004596.01210457</v>
      </c>
      <c r="BG217" s="1136">
        <f t="shared" si="660"/>
        <v>68234.400000000023</v>
      </c>
      <c r="BH217" s="1136">
        <f t="shared" si="660"/>
        <v>113072830.41210458</v>
      </c>
      <c r="BI217" s="1136">
        <f t="shared" si="660"/>
        <v>0</v>
      </c>
      <c r="BJ217" s="1136">
        <f t="shared" si="660"/>
        <v>113072830.41210458</v>
      </c>
      <c r="BK217" s="1136">
        <f t="shared" si="660"/>
        <v>91670.261760000052</v>
      </c>
      <c r="BL217" s="1136">
        <f t="shared" si="660"/>
        <v>113164500.67386456</v>
      </c>
      <c r="BM217" s="1136">
        <f t="shared" si="660"/>
        <v>0</v>
      </c>
      <c r="BN217" s="1136">
        <f t="shared" si="660"/>
        <v>113164500.67386456</v>
      </c>
      <c r="BO217" s="1136"/>
      <c r="BP217" s="1136"/>
      <c r="BQ217" s="1136"/>
      <c r="BR217" s="1136">
        <f>SUM(BR7:BR216)</f>
        <v>696847243.2672019</v>
      </c>
      <c r="BS217" s="1136"/>
      <c r="BT217" s="1136">
        <f>SUM(BT7:BT216)</f>
        <v>696855743.2672019</v>
      </c>
      <c r="BU217" s="1136">
        <f>SUM(BU7:BU216)</f>
        <v>13104.000000000002</v>
      </c>
      <c r="BV217" s="1136">
        <f>SUM(BV7:BV216)</f>
        <v>696868847.2672019</v>
      </c>
      <c r="BW217" s="1136">
        <f t="shared" ref="BW217:BZ217" si="661">SUM(BW7:BW216)</f>
        <v>0</v>
      </c>
      <c r="BX217" s="1136">
        <f t="shared" si="661"/>
        <v>6405600</v>
      </c>
      <c r="BY217" s="1136">
        <f t="shared" si="661"/>
        <v>703274447.2672019</v>
      </c>
      <c r="BZ217" s="1136">
        <f t="shared" si="661"/>
        <v>673086.74079615076</v>
      </c>
      <c r="CA217" s="716">
        <f t="shared" si="565"/>
        <v>703947534.00799811</v>
      </c>
      <c r="CB217" s="1389">
        <f>SUM(CB7:CB216)</f>
        <v>703947534.00799787</v>
      </c>
      <c r="CC217" s="1165">
        <f t="shared" si="660"/>
        <v>114495691.41466075</v>
      </c>
      <c r="CD217" s="1165">
        <f t="shared" ref="CD217:CG217" si="662">SUBTOTAL(9,CD7:CD216)</f>
        <v>0</v>
      </c>
      <c r="CE217" s="1165">
        <f t="shared" si="662"/>
        <v>0</v>
      </c>
      <c r="CF217" s="1165">
        <f t="shared" si="662"/>
        <v>0</v>
      </c>
      <c r="CG217" s="1165">
        <f t="shared" si="662"/>
        <v>0</v>
      </c>
      <c r="CH217" s="1076">
        <f>SUBTOTAL(9,CH7:CH216)</f>
        <v>114495691.41466075</v>
      </c>
      <c r="CI217" s="1076">
        <f>SUBTOTAL(9,CI7:CI216)</f>
        <v>114495691.41466075</v>
      </c>
      <c r="CJ217" s="1076">
        <f t="shared" si="657"/>
        <v>5825902.7491793465</v>
      </c>
      <c r="CK217" s="1076">
        <f t="shared" si="657"/>
        <v>11735808.370002721</v>
      </c>
      <c r="CL217" s="1076">
        <f t="shared" si="657"/>
        <v>4007349.1995131252</v>
      </c>
      <c r="CM217" s="1076">
        <f t="shared" si="657"/>
        <v>136064751.73335591</v>
      </c>
      <c r="CN217" s="1076"/>
      <c r="CO217" s="1076">
        <f t="shared" si="657"/>
        <v>21586889.408602633</v>
      </c>
      <c r="CP217" s="1076">
        <f t="shared" si="657"/>
        <v>1800000</v>
      </c>
      <c r="CQ217" s="1076">
        <f t="shared" si="657"/>
        <v>19786889.408602633</v>
      </c>
      <c r="CR217" s="1076"/>
      <c r="CS217" s="1076">
        <f t="shared" si="657"/>
        <v>9120834.5169420149</v>
      </c>
      <c r="CT217" s="1077"/>
      <c r="CU217" s="1076">
        <f t="shared" si="657"/>
        <v>114477862.32475327</v>
      </c>
      <c r="CV217" s="1076">
        <f t="shared" si="657"/>
        <v>887545.6481230529</v>
      </c>
      <c r="CW217" s="1076">
        <f t="shared" si="657"/>
        <v>1028959.3904424018</v>
      </c>
      <c r="CX217" s="1076">
        <f t="shared" si="657"/>
        <v>1329185.0498726121</v>
      </c>
      <c r="CY217" s="1076">
        <f t="shared" si="657"/>
        <v>2266798.8803672395</v>
      </c>
      <c r="CZ217" s="1076">
        <f t="shared" si="657"/>
        <v>9671350.7336754594</v>
      </c>
      <c r="DA217" s="1076">
        <f t="shared" si="657"/>
        <v>3826906.3734611203</v>
      </c>
      <c r="DB217" s="1076">
        <f t="shared" si="657"/>
        <v>2764120.2723312774</v>
      </c>
      <c r="DC217" s="1076">
        <f t="shared" si="657"/>
        <v>2103622.7807690683</v>
      </c>
      <c r="DD217" s="1078"/>
      <c r="DE217" s="1078"/>
      <c r="DH217" s="1079"/>
      <c r="DI217" s="1079"/>
      <c r="DK217" s="1079"/>
      <c r="DL217" s="1080"/>
      <c r="DM217" s="1081"/>
      <c r="DN217" s="1082"/>
      <c r="DO217" s="1081"/>
      <c r="DP217" s="1081"/>
      <c r="DQ217" s="1081"/>
      <c r="DS217" s="1076">
        <f>SUM(DS13:DS155)</f>
        <v>454321647.79390329</v>
      </c>
      <c r="DT217" s="1076">
        <f>SUM(DT13:DT155)</f>
        <v>298482164</v>
      </c>
      <c r="DU217" s="1076">
        <f>SUM(DU13:DU155)</f>
        <v>155839483.79390335</v>
      </c>
      <c r="DW217" s="1076"/>
      <c r="EX217" s="1083">
        <v>616824566.76209688</v>
      </c>
      <c r="EY217" s="1083">
        <f t="shared" ref="EY217:FC217" si="663">SUBTOTAL(9,EY7:EY216)</f>
        <v>9161156.8109501656</v>
      </c>
      <c r="EZ217" s="1083">
        <f t="shared" si="663"/>
        <v>51913221.928717591</v>
      </c>
      <c r="FA217" s="1083">
        <f t="shared" si="663"/>
        <v>6107437.8739667758</v>
      </c>
      <c r="FB217" s="1083">
        <f t="shared" si="663"/>
        <v>54966940.865700997</v>
      </c>
      <c r="FC217" s="1083">
        <f t="shared" si="663"/>
        <v>3053718.9369833893</v>
      </c>
      <c r="FD217" s="1084"/>
      <c r="FE217" s="1085"/>
      <c r="FF217" s="1086">
        <f t="shared" ref="FF217:FH217" si="664">SUBTOTAL(9,FF7:FF216)</f>
        <v>51913221.928717591</v>
      </c>
      <c r="FG217" s="1086">
        <f t="shared" si="664"/>
        <v>4412623.8639409961</v>
      </c>
      <c r="FH217" s="1086">
        <f t="shared" si="664"/>
        <v>2206311.9319704981</v>
      </c>
      <c r="FI217" s="1087">
        <f t="shared" ref="FI217" si="665">SUBTOTAL(9,FI7:FI216)</f>
        <v>54966940.865700997</v>
      </c>
      <c r="FJ217" s="1087">
        <f t="shared" ref="FJ217" si="666">SUBTOTAL(9,FJ7:FJ216)</f>
        <v>4672189.973584584</v>
      </c>
      <c r="FK217" s="1087">
        <f t="shared" ref="FK217" si="667">SUBTOTAL(9,FK7:FK216)</f>
        <v>2336094.986792292</v>
      </c>
      <c r="FL217" s="1083">
        <f t="shared" ref="FL217" si="668">SUBTOTAL(9,FL7:FL216)</f>
        <v>259566.10964358808</v>
      </c>
      <c r="FM217" s="1083">
        <f t="shared" ref="FM217:FP217" si="669">SUBTOTAL(9,FM7:FM216)</f>
        <v>129783.05482179404</v>
      </c>
      <c r="FN217" s="1088"/>
      <c r="FO217" s="1089">
        <f t="shared" si="669"/>
        <v>550748.19920121122</v>
      </c>
      <c r="FP217" s="1089">
        <f t="shared" si="669"/>
        <v>-420965.14437941712</v>
      </c>
      <c r="FQ217" s="1088"/>
      <c r="FR217" s="1088"/>
      <c r="FS217" s="1084"/>
      <c r="FT217" s="1085">
        <f>SUBTOTAL(9,FT7:FT216)</f>
        <v>33232337.654614776</v>
      </c>
      <c r="FU217" s="503"/>
      <c r="FV217" s="503"/>
    </row>
    <row r="218" spans="1:232" ht="14.25" hidden="1" customHeight="1">
      <c r="G218" s="929"/>
      <c r="H218" s="929"/>
      <c r="I218" s="929"/>
      <c r="AF218" s="1090">
        <f>AF217/A216</f>
        <v>413752.38114285708</v>
      </c>
      <c r="AG218" s="1090"/>
      <c r="AH218" s="1090">
        <f>AH217/A216</f>
        <v>424096.19067142834</v>
      </c>
      <c r="AI218" s="1090"/>
      <c r="AJ218" s="1091">
        <f>AJ217/A216</f>
        <v>434698.59543821402</v>
      </c>
      <c r="AL218" s="933"/>
      <c r="BA218" s="933">
        <f>BA5-BA217</f>
        <v>27549.795466666663</v>
      </c>
      <c r="BC218" s="933">
        <v>0</v>
      </c>
      <c r="CN218" s="936"/>
      <c r="CR218" s="929"/>
      <c r="FT218" s="503"/>
      <c r="FU218" s="503"/>
      <c r="FV218" s="503"/>
    </row>
    <row r="219" spans="1:232" ht="14.25" hidden="1" customHeight="1">
      <c r="A219" s="1092">
        <v>210</v>
      </c>
      <c r="E219" s="1093"/>
      <c r="F219" s="929"/>
      <c r="G219" s="929"/>
      <c r="J219" s="1094"/>
      <c r="AH219" s="930" t="str">
        <f>AG6</f>
        <v>1ST INCREASE</v>
      </c>
      <c r="AJ219" s="1095" t="str">
        <f>AI6</f>
        <v>2ND INCREASE</v>
      </c>
      <c r="AL219" s="933"/>
      <c r="CN219" s="936"/>
      <c r="CR219" s="929"/>
      <c r="EQ219" s="1096" t="s">
        <v>668</v>
      </c>
      <c r="ER219" s="1097">
        <f>COUNTIF($ER$7:$ER$216,"FOR RE-OPEN")</f>
        <v>0</v>
      </c>
      <c r="FT219" s="503"/>
      <c r="FU219" s="503"/>
      <c r="FV219" s="503"/>
    </row>
    <row r="220" spans="1:232" ht="14.25" hidden="1" customHeight="1">
      <c r="A220" s="1098">
        <f>A216-A219</f>
        <v>0</v>
      </c>
      <c r="E220" s="1093"/>
      <c r="F220" s="929"/>
      <c r="J220" s="1094"/>
      <c r="AJ220" s="1095" t="s">
        <v>669</v>
      </c>
      <c r="AL220" s="933"/>
      <c r="CN220" s="936"/>
      <c r="CR220" s="929"/>
      <c r="DX220" s="503" t="s">
        <v>264</v>
      </c>
      <c r="EQ220" s="1096" t="s">
        <v>264</v>
      </c>
      <c r="ER220" s="1097">
        <f>COUNTIF($ER$7:$ER$216,"SOLD")</f>
        <v>184</v>
      </c>
      <c r="ES220" s="1099">
        <f>COUNTIF(ES7:ES216,"SOLD")</f>
        <v>184</v>
      </c>
      <c r="FT220" s="503"/>
      <c r="FU220" s="503"/>
      <c r="FV220" s="503"/>
    </row>
    <row r="221" spans="1:232" ht="14.25" customHeight="1">
      <c r="E221" s="929"/>
      <c r="F221" s="929"/>
      <c r="G221" s="929"/>
      <c r="J221" s="1094"/>
      <c r="AL221" s="933"/>
      <c r="CI221" s="930"/>
      <c r="CN221" s="936"/>
      <c r="CR221" s="929"/>
      <c r="DE221" s="937"/>
      <c r="DX221" s="503" t="s">
        <v>243</v>
      </c>
      <c r="EQ221" s="1096" t="s">
        <v>243</v>
      </c>
      <c r="ER221" s="1097">
        <f>COUNTIF(ER7:ER216,"UNSOLD")</f>
        <v>26</v>
      </c>
      <c r="FT221" s="1100">
        <f>SUBTOTAL(9,FT14:FT216)</f>
        <v>33232337.654614776</v>
      </c>
      <c r="FU221" s="1100"/>
    </row>
    <row r="222" spans="1:232" ht="14.25" customHeight="1" thickBot="1">
      <c r="E222" s="1094"/>
      <c r="J222" s="1094"/>
      <c r="AI222" s="1417" t="s">
        <v>264</v>
      </c>
      <c r="AJ222" s="1101">
        <v>245805201</v>
      </c>
      <c r="AL222" s="933"/>
      <c r="CI222" s="1090">
        <f>SUBTOTAL(9,CI19:CI216)</f>
        <v>62751330.974602312</v>
      </c>
      <c r="CN222" s="936"/>
      <c r="CR222" s="929"/>
      <c r="CV222" s="1102"/>
      <c r="CW222" s="1103"/>
      <c r="CX222" s="1103"/>
      <c r="CY222" s="1103"/>
      <c r="CZ222" s="1103"/>
      <c r="DA222" s="1103"/>
      <c r="DB222" s="1103"/>
      <c r="DC222" s="1103"/>
      <c r="EQ222" s="1096" t="s">
        <v>670</v>
      </c>
      <c r="ER222" s="1097">
        <f>COUNTIF(ER7:ER216,"HOLD-CRV")</f>
        <v>0</v>
      </c>
      <c r="EX222" s="1104">
        <v>616824566.76209688</v>
      </c>
      <c r="EY222" s="1104">
        <f t="shared" ref="EY222:FC222" si="670">SUBTOTAL(9,EY7:EY216)</f>
        <v>9161156.8109501656</v>
      </c>
      <c r="EZ222" s="1104">
        <f t="shared" si="670"/>
        <v>51913221.928717591</v>
      </c>
      <c r="FA222" s="1104">
        <f t="shared" si="670"/>
        <v>6107437.8739667758</v>
      </c>
      <c r="FB222" s="1104">
        <f t="shared" si="670"/>
        <v>54966940.865700997</v>
      </c>
      <c r="FC222" s="1104">
        <f t="shared" si="670"/>
        <v>3053718.9369833893</v>
      </c>
      <c r="FF222" s="1104">
        <f t="shared" ref="FF222:FM222" si="671">SUBTOTAL(9,FF7:FF216)</f>
        <v>51913221.928717591</v>
      </c>
      <c r="FG222" s="1104">
        <f t="shared" si="671"/>
        <v>4412623.8639409961</v>
      </c>
      <c r="FH222" s="1104">
        <f t="shared" si="671"/>
        <v>2206311.9319704981</v>
      </c>
      <c r="FI222" s="1104">
        <f t="shared" si="671"/>
        <v>54966940.865700997</v>
      </c>
      <c r="FJ222" s="1104">
        <f t="shared" si="671"/>
        <v>4672189.973584584</v>
      </c>
      <c r="FK222" s="1104">
        <f t="shared" si="671"/>
        <v>2336094.986792292</v>
      </c>
      <c r="FL222" s="1104">
        <f t="shared" si="671"/>
        <v>259566.10964358808</v>
      </c>
      <c r="FM222" s="1104">
        <f t="shared" si="671"/>
        <v>129783.05482179404</v>
      </c>
      <c r="FO222" s="1104">
        <f t="shared" ref="FO222" si="672">SUBTOTAL(9,FO7:FO216)</f>
        <v>550748.19920121122</v>
      </c>
      <c r="FP222" s="1104">
        <f>SUBTOTAL(9,FP7:FP216)</f>
        <v>-420965.14437941712</v>
      </c>
      <c r="FQ222" s="1088"/>
      <c r="FS222" s="941" t="s">
        <v>671</v>
      </c>
      <c r="FT222" s="932">
        <v>66</v>
      </c>
    </row>
    <row r="223" spans="1:232" ht="14.25" customHeight="1">
      <c r="E223" s="1094"/>
      <c r="G223" s="929"/>
      <c r="H223" s="929"/>
      <c r="I223" s="929"/>
      <c r="J223" s="1094"/>
      <c r="AE223" s="1105"/>
      <c r="AF223" s="1106"/>
      <c r="AI223" s="1417"/>
      <c r="AJ223" s="951">
        <v>125</v>
      </c>
      <c r="AL223" s="933"/>
      <c r="CI223" s="930"/>
      <c r="CJ223" s="1107">
        <v>2.5000000000000001E-2</v>
      </c>
      <c r="CK223" s="1108">
        <v>45261</v>
      </c>
      <c r="CL223" s="1107"/>
      <c r="CM223" s="1108">
        <v>44927</v>
      </c>
      <c r="CN223" s="936"/>
      <c r="CO223" s="1109">
        <f>CK5</f>
        <v>0.10249999999999999</v>
      </c>
      <c r="CP223" s="1109">
        <f>CL5</f>
        <v>3.5000000000000003E-2</v>
      </c>
      <c r="CR223" s="929"/>
      <c r="CV223" s="1103"/>
      <c r="CW223" s="1103"/>
      <c r="CX223" s="1103"/>
      <c r="CY223" s="1103"/>
      <c r="CZ223" s="1103"/>
      <c r="DA223" s="1103"/>
      <c r="DB223" s="1103"/>
      <c r="DC223" s="1103"/>
      <c r="DX223" s="503" t="s">
        <v>672</v>
      </c>
      <c r="EQ223" s="1096" t="s">
        <v>673</v>
      </c>
      <c r="ER223" s="1097">
        <f>COUNTIF(ER7:ER217,"NOT YET OPEN")</f>
        <v>0</v>
      </c>
      <c r="EV223" s="997"/>
      <c r="EW223" s="996"/>
      <c r="EX223" s="996"/>
      <c r="EY223" s="996"/>
      <c r="EZ223" s="996"/>
      <c r="FA223" s="996"/>
      <c r="FB223" s="996"/>
      <c r="FC223" s="996"/>
      <c r="FD223" s="997"/>
      <c r="FE223" s="996" t="s">
        <v>671</v>
      </c>
      <c r="FF223" s="996"/>
      <c r="FG223" s="996"/>
      <c r="FH223" s="996"/>
      <c r="FI223" s="996"/>
      <c r="FJ223" s="996"/>
      <c r="FK223" s="996"/>
      <c r="FL223" s="996"/>
      <c r="FM223" s="996"/>
      <c r="FN223" s="996"/>
      <c r="FO223" s="996"/>
      <c r="FP223" s="996"/>
      <c r="FQ223" s="1110"/>
      <c r="FR223" s="996"/>
      <c r="FS223" s="997" t="s">
        <v>674</v>
      </c>
      <c r="FT223" s="1111">
        <f>FT221/FT222</f>
        <v>503520.2674941633</v>
      </c>
      <c r="FU223" s="1055"/>
    </row>
    <row r="224" spans="1:232" ht="14.25" customHeight="1">
      <c r="E224" s="1094"/>
      <c r="G224" s="929"/>
      <c r="H224" s="929"/>
      <c r="I224" s="929"/>
      <c r="J224" s="1094"/>
      <c r="AI224" s="1418" t="s">
        <v>675</v>
      </c>
      <c r="AJ224" s="951">
        <f>AJ217-AJ222</f>
        <v>-154518495.95797506</v>
      </c>
      <c r="AL224" s="933"/>
      <c r="CI224" s="728" t="s">
        <v>96</v>
      </c>
      <c r="CJ224" s="905" t="s">
        <v>139</v>
      </c>
      <c r="CK224" s="905" t="s">
        <v>676</v>
      </c>
      <c r="CL224" s="905" t="s">
        <v>139</v>
      </c>
      <c r="CM224" s="905" t="s">
        <v>676</v>
      </c>
      <c r="CN224" s="936"/>
      <c r="CO224" s="932" t="s">
        <v>176</v>
      </c>
      <c r="CP224" s="932" t="s">
        <v>177</v>
      </c>
      <c r="CQ224" s="968" t="s">
        <v>219</v>
      </c>
      <c r="CR224" s="1112" t="str">
        <f>CN6</f>
        <v>Equity Rate</v>
      </c>
      <c r="CS224" s="503" t="str">
        <f>CO6</f>
        <v>Equity</v>
      </c>
      <c r="DX224" s="503" t="s">
        <v>49</v>
      </c>
      <c r="EQ224" s="1096" t="s">
        <v>49</v>
      </c>
      <c r="ER224" s="1097">
        <f>SUM(ER219:ER223)</f>
        <v>210</v>
      </c>
      <c r="FE224" s="996" t="s">
        <v>677</v>
      </c>
      <c r="FF224" s="940"/>
      <c r="FG224" s="940"/>
      <c r="FH224" s="1113"/>
      <c r="FI224" s="940"/>
      <c r="FJ224" s="940"/>
      <c r="FK224" s="1113"/>
      <c r="FL224" s="1113"/>
      <c r="FO224" s="996"/>
      <c r="FP224" s="1113"/>
    </row>
    <row r="225" spans="5:171" ht="14.25" customHeight="1">
      <c r="E225" s="1094"/>
      <c r="G225" s="929"/>
      <c r="H225" s="929"/>
      <c r="I225" s="929"/>
      <c r="J225" s="1094"/>
      <c r="AI225" s="1418"/>
      <c r="AJ225" s="951">
        <f>A216-AJ223</f>
        <v>85</v>
      </c>
      <c r="AL225" s="933"/>
      <c r="CI225" s="935">
        <v>2950627.941908943</v>
      </c>
      <c r="CJ225" s="1009">
        <f>CI225*$CJ$223</f>
        <v>73765.698547723572</v>
      </c>
      <c r="CK225" s="1009">
        <f>CI225+CJ225</f>
        <v>3024393.6404566667</v>
      </c>
      <c r="CL225" s="1009">
        <f>CK225*$CL$223</f>
        <v>0</v>
      </c>
      <c r="CM225" s="1009">
        <f>CK225+CL225</f>
        <v>3024393.6404566667</v>
      </c>
      <c r="CN225" s="948">
        <f>CJ225/23</f>
        <v>3207.2042846836334</v>
      </c>
      <c r="CO225" s="956">
        <f>CM225*$CO$223</f>
        <v>310000.34814680833</v>
      </c>
      <c r="CP225" s="956">
        <f>CM225*$CP$223</f>
        <v>105853.77741598335</v>
      </c>
      <c r="CQ225" s="992">
        <f>SUM(CM225:CP225)</f>
        <v>3443454.9703041422</v>
      </c>
      <c r="CR225" s="1112"/>
      <c r="FF225" s="940"/>
      <c r="FG225" s="940"/>
      <c r="FH225" s="940"/>
      <c r="FI225" s="940"/>
      <c r="FJ225" s="940"/>
      <c r="FK225" s="940"/>
      <c r="FN225" s="1114"/>
      <c r="FO225" s="996" t="s">
        <v>678</v>
      </c>
    </row>
    <row r="226" spans="5:171" ht="30.95" customHeight="1">
      <c r="E226" s="1094"/>
      <c r="G226" s="929"/>
      <c r="H226" s="929"/>
      <c r="I226" s="929"/>
      <c r="J226" s="1094"/>
      <c r="AL226" s="933"/>
      <c r="CI226" s="935">
        <v>2861713.2305205455</v>
      </c>
      <c r="CJ226" s="1009">
        <f t="shared" ref="CJ226:CJ242" si="673">CI226*$CJ$223</f>
        <v>71542.830763013641</v>
      </c>
      <c r="CK226" s="1009">
        <f t="shared" ref="CK226:CK242" si="674">CI226+CJ226</f>
        <v>2933256.0612835591</v>
      </c>
      <c r="CL226" s="1009">
        <f t="shared" ref="CL226:CL242" si="675">CK226*$CL$223</f>
        <v>0</v>
      </c>
      <c r="CM226" s="1009">
        <f>CK226+CL226</f>
        <v>2933256.0612835591</v>
      </c>
      <c r="CN226" s="936"/>
      <c r="CR226" s="929"/>
      <c r="FF226" s="940"/>
      <c r="FG226" s="940"/>
      <c r="FH226" s="940"/>
      <c r="FI226" s="940"/>
      <c r="FJ226" s="940"/>
      <c r="FK226" s="940"/>
      <c r="FO226" s="1113">
        <f>-FP216+FM216</f>
        <v>27537.409960060559</v>
      </c>
    </row>
    <row r="227" spans="5:171" ht="31.35" customHeight="1">
      <c r="E227" s="1094"/>
      <c r="G227" s="929"/>
      <c r="H227" s="929"/>
      <c r="I227" s="929"/>
      <c r="J227" s="1094"/>
      <c r="AI227" s="755" t="s">
        <v>679</v>
      </c>
      <c r="AJ227" s="756">
        <f>AJ224/AJ225</f>
        <v>-1817864.6583291183</v>
      </c>
      <c r="AL227" s="933"/>
      <c r="CI227" s="935">
        <v>3013825.1429075873</v>
      </c>
      <c r="CJ227" s="1009">
        <f t="shared" si="673"/>
        <v>75345.628572689689</v>
      </c>
      <c r="CK227" s="1009">
        <f t="shared" si="674"/>
        <v>3089170.7714802772</v>
      </c>
      <c r="CL227" s="1009">
        <f t="shared" si="675"/>
        <v>0</v>
      </c>
      <c r="CM227" s="1009">
        <f t="shared" ref="CM227:CM242" si="676">CK227+CL227</f>
        <v>3089170.7714802772</v>
      </c>
      <c r="CN227" s="936"/>
      <c r="CR227" s="929"/>
      <c r="CV227" s="1103"/>
      <c r="CW227" s="1103"/>
      <c r="CX227" s="1103"/>
      <c r="CY227" s="1103"/>
      <c r="CZ227" s="1103"/>
      <c r="DA227" s="1103"/>
      <c r="DB227" s="1103"/>
      <c r="DC227" s="1103"/>
      <c r="FF227" s="940"/>
      <c r="FG227" s="940"/>
      <c r="FH227" s="940"/>
      <c r="FI227" s="940"/>
      <c r="FJ227" s="940"/>
      <c r="FK227" s="940"/>
      <c r="FO227" s="1114">
        <f>FO226-FO5</f>
        <v>0</v>
      </c>
    </row>
    <row r="228" spans="5:171" ht="14.25" customHeight="1">
      <c r="E228" s="1094"/>
      <c r="G228" s="929"/>
      <c r="H228" s="929"/>
      <c r="I228" s="929"/>
      <c r="J228" s="1094"/>
      <c r="AL228" s="933"/>
      <c r="CI228" s="935">
        <v>2916631.1404957324</v>
      </c>
      <c r="CJ228" s="1009">
        <f t="shared" si="673"/>
        <v>72915.778512393314</v>
      </c>
      <c r="CK228" s="1009">
        <f t="shared" si="674"/>
        <v>2989546.9190081256</v>
      </c>
      <c r="CL228" s="1009">
        <f t="shared" si="675"/>
        <v>0</v>
      </c>
      <c r="CM228" s="1009">
        <f t="shared" si="676"/>
        <v>2989546.9190081256</v>
      </c>
      <c r="CN228" s="936"/>
      <c r="CR228" s="929"/>
      <c r="FF228" s="940"/>
      <c r="FG228" s="940"/>
      <c r="FH228" s="940"/>
      <c r="FI228" s="940"/>
      <c r="FJ228" s="940"/>
      <c r="FK228" s="940"/>
    </row>
    <row r="229" spans="5:171" ht="14.25" customHeight="1">
      <c r="E229" s="1094"/>
      <c r="G229" s="929"/>
      <c r="H229" s="929"/>
      <c r="I229" s="929"/>
      <c r="J229" s="1094"/>
      <c r="AL229" s="933"/>
      <c r="CI229" s="935">
        <v>2916631.1404957324</v>
      </c>
      <c r="CJ229" s="1009">
        <f t="shared" si="673"/>
        <v>72915.778512393314</v>
      </c>
      <c r="CK229" s="1009">
        <f t="shared" si="674"/>
        <v>2989546.9190081256</v>
      </c>
      <c r="CL229" s="1009">
        <f t="shared" si="675"/>
        <v>0</v>
      </c>
      <c r="CM229" s="1009">
        <f t="shared" si="676"/>
        <v>2989546.9190081256</v>
      </c>
      <c r="CN229" s="936"/>
      <c r="CR229" s="929"/>
      <c r="FF229" s="940"/>
      <c r="FG229" s="940"/>
      <c r="FH229" s="940"/>
      <c r="FI229" s="940"/>
      <c r="FJ229" s="940"/>
      <c r="FK229" s="940"/>
    </row>
    <row r="230" spans="5:171" ht="14.25" customHeight="1">
      <c r="E230" s="1094"/>
      <c r="G230" s="929"/>
      <c r="H230" s="929"/>
      <c r="I230" s="929"/>
      <c r="J230" s="1094"/>
      <c r="CI230" s="935">
        <v>2916631.1404957324</v>
      </c>
      <c r="CJ230" s="1009">
        <f t="shared" si="673"/>
        <v>72915.778512393314</v>
      </c>
      <c r="CK230" s="1009">
        <f t="shared" si="674"/>
        <v>2989546.9190081256</v>
      </c>
      <c r="CL230" s="1009">
        <f t="shared" si="675"/>
        <v>0</v>
      </c>
      <c r="CM230" s="1009">
        <f t="shared" si="676"/>
        <v>2989546.9190081256</v>
      </c>
      <c r="CN230" s="936"/>
      <c r="CR230" s="929"/>
      <c r="FF230" s="940"/>
      <c r="FG230" s="940"/>
      <c r="FH230" s="940"/>
      <c r="FI230" s="940"/>
      <c r="FJ230" s="940"/>
      <c r="FK230" s="940"/>
    </row>
    <row r="231" spans="5:171" ht="14.25" customHeight="1">
      <c r="E231" s="1094"/>
      <c r="G231" s="929"/>
      <c r="H231" s="929"/>
      <c r="I231" s="929"/>
      <c r="J231" s="1094"/>
      <c r="CI231" s="935">
        <v>2942782.5261982023</v>
      </c>
      <c r="CJ231" s="1009">
        <f t="shared" si="673"/>
        <v>73569.56315495506</v>
      </c>
      <c r="CK231" s="1009">
        <f t="shared" si="674"/>
        <v>3016352.0893531572</v>
      </c>
      <c r="CL231" s="1009">
        <f t="shared" si="675"/>
        <v>0</v>
      </c>
      <c r="CM231" s="1009">
        <f t="shared" si="676"/>
        <v>3016352.0893531572</v>
      </c>
      <c r="CN231" s="936"/>
      <c r="CR231" s="929"/>
      <c r="FF231" s="940"/>
      <c r="FG231" s="940"/>
      <c r="FH231" s="940"/>
      <c r="FI231" s="940"/>
      <c r="FJ231" s="940"/>
      <c r="FK231" s="940"/>
    </row>
    <row r="232" spans="5:171" ht="14.25" customHeight="1">
      <c r="E232" s="1094"/>
      <c r="G232" s="929"/>
      <c r="H232" s="929"/>
      <c r="I232" s="929"/>
      <c r="J232" s="1094"/>
      <c r="CI232" s="935">
        <v>2942782.5261982023</v>
      </c>
      <c r="CJ232" s="1009">
        <f t="shared" si="673"/>
        <v>73569.56315495506</v>
      </c>
      <c r="CK232" s="1009">
        <f t="shared" si="674"/>
        <v>3016352.0893531572</v>
      </c>
      <c r="CL232" s="1009">
        <f t="shared" si="675"/>
        <v>0</v>
      </c>
      <c r="CM232" s="1009">
        <f t="shared" si="676"/>
        <v>3016352.0893531572</v>
      </c>
      <c r="CN232" s="936"/>
      <c r="CR232" s="929"/>
      <c r="FF232" s="940"/>
      <c r="FG232" s="940"/>
      <c r="FH232" s="940"/>
      <c r="FI232" s="940"/>
      <c r="FJ232" s="940"/>
      <c r="FK232" s="940"/>
    </row>
    <row r="233" spans="5:171" ht="14.25" customHeight="1">
      <c r="E233" s="1094"/>
      <c r="G233" s="929"/>
      <c r="H233" s="929"/>
      <c r="I233" s="929"/>
      <c r="J233" s="1094"/>
      <c r="CI233" s="935">
        <v>2942782.5261982023</v>
      </c>
      <c r="CJ233" s="1009">
        <f t="shared" si="673"/>
        <v>73569.56315495506</v>
      </c>
      <c r="CK233" s="1009">
        <f t="shared" si="674"/>
        <v>3016352.0893531572</v>
      </c>
      <c r="CL233" s="1009">
        <f t="shared" si="675"/>
        <v>0</v>
      </c>
      <c r="CM233" s="1009">
        <f t="shared" si="676"/>
        <v>3016352.0893531572</v>
      </c>
      <c r="CN233" s="936"/>
      <c r="CR233" s="929"/>
      <c r="FF233" s="940"/>
      <c r="FG233" s="940"/>
      <c r="FH233" s="940"/>
      <c r="FI233" s="940"/>
      <c r="FJ233" s="940"/>
      <c r="FK233" s="940"/>
    </row>
    <row r="234" spans="5:171" ht="14.25" customHeight="1">
      <c r="E234" s="1094"/>
      <c r="G234" s="929"/>
      <c r="H234" s="929"/>
      <c r="I234" s="929"/>
      <c r="J234" s="1094"/>
      <c r="CI234" s="935">
        <v>2942782.5261982023</v>
      </c>
      <c r="CJ234" s="1009">
        <f t="shared" si="673"/>
        <v>73569.56315495506</v>
      </c>
      <c r="CK234" s="1009">
        <f t="shared" si="674"/>
        <v>3016352.0893531572</v>
      </c>
      <c r="CL234" s="1009">
        <f t="shared" si="675"/>
        <v>0</v>
      </c>
      <c r="CM234" s="1009">
        <f t="shared" si="676"/>
        <v>3016352.0893531572</v>
      </c>
      <c r="CN234" s="936"/>
      <c r="CR234" s="929"/>
      <c r="FF234" s="940"/>
      <c r="FG234" s="940"/>
      <c r="FH234" s="940"/>
      <c r="FI234" s="940"/>
      <c r="FJ234" s="940"/>
      <c r="FK234" s="940"/>
    </row>
    <row r="235" spans="5:171" ht="14.25" customHeight="1">
      <c r="E235" s="1094"/>
      <c r="G235" s="929"/>
      <c r="H235" s="929"/>
      <c r="I235" s="929"/>
      <c r="J235" s="1094"/>
      <c r="CI235" s="935">
        <v>2940167.3876279551</v>
      </c>
      <c r="CJ235" s="1009">
        <f t="shared" si="673"/>
        <v>73504.184690698879</v>
      </c>
      <c r="CK235" s="1009">
        <f t="shared" si="674"/>
        <v>3013671.572318654</v>
      </c>
      <c r="CL235" s="1009">
        <f t="shared" si="675"/>
        <v>0</v>
      </c>
      <c r="CM235" s="1009">
        <f t="shared" si="676"/>
        <v>3013671.572318654</v>
      </c>
      <c r="CN235" s="936"/>
      <c r="CR235" s="929"/>
      <c r="FF235" s="940"/>
      <c r="FG235" s="940"/>
      <c r="FH235" s="940"/>
      <c r="FI235" s="940"/>
      <c r="FJ235" s="940"/>
      <c r="FK235" s="940"/>
    </row>
    <row r="236" spans="5:171" ht="14.25" customHeight="1">
      <c r="E236" s="1094"/>
      <c r="G236" s="929"/>
      <c r="H236" s="929"/>
      <c r="I236" s="929"/>
      <c r="J236" s="1094"/>
      <c r="CI236" s="935">
        <v>2968933.9119006721</v>
      </c>
      <c r="CJ236" s="1009">
        <f t="shared" si="673"/>
        <v>74223.347797516806</v>
      </c>
      <c r="CK236" s="1009">
        <f t="shared" si="674"/>
        <v>3043157.2596981889</v>
      </c>
      <c r="CL236" s="1009">
        <f t="shared" si="675"/>
        <v>0</v>
      </c>
      <c r="CM236" s="1009">
        <f t="shared" si="676"/>
        <v>3043157.2596981889</v>
      </c>
      <c r="CN236" s="936"/>
      <c r="CR236" s="929"/>
      <c r="FF236" s="940"/>
      <c r="FG236" s="940"/>
      <c r="FH236" s="940"/>
      <c r="FI236" s="940"/>
      <c r="FJ236" s="940"/>
      <c r="FK236" s="940"/>
    </row>
    <row r="237" spans="5:171" ht="14.25" customHeight="1">
      <c r="E237" s="1094"/>
      <c r="G237" s="929"/>
      <c r="H237" s="929"/>
      <c r="I237" s="929"/>
      <c r="J237" s="1094"/>
      <c r="CI237" s="935">
        <v>2995085.297603142</v>
      </c>
      <c r="CJ237" s="1009">
        <f t="shared" si="673"/>
        <v>74877.132440078552</v>
      </c>
      <c r="CK237" s="1009">
        <f t="shared" si="674"/>
        <v>3069962.4300432205</v>
      </c>
      <c r="CL237" s="1009">
        <f t="shared" si="675"/>
        <v>0</v>
      </c>
      <c r="CM237" s="1009">
        <f t="shared" si="676"/>
        <v>3069962.4300432205</v>
      </c>
      <c r="CN237" s="936"/>
      <c r="CR237" s="929"/>
      <c r="FF237" s="940"/>
      <c r="FG237" s="940"/>
      <c r="FH237" s="940"/>
      <c r="FI237" s="940"/>
      <c r="FJ237" s="940"/>
      <c r="FK237" s="940"/>
    </row>
    <row r="238" spans="5:171" ht="14.25" customHeight="1">
      <c r="E238" s="1094"/>
      <c r="G238" s="929"/>
      <c r="H238" s="929"/>
      <c r="I238" s="929"/>
      <c r="J238" s="1094"/>
      <c r="CI238" s="935">
        <v>2995085.297603142</v>
      </c>
      <c r="CJ238" s="1009">
        <f t="shared" si="673"/>
        <v>74877.132440078552</v>
      </c>
      <c r="CK238" s="1009">
        <f t="shared" si="674"/>
        <v>3069962.4300432205</v>
      </c>
      <c r="CL238" s="1009">
        <f t="shared" si="675"/>
        <v>0</v>
      </c>
      <c r="CM238" s="1009">
        <f t="shared" si="676"/>
        <v>3069962.4300432205</v>
      </c>
      <c r="CN238" s="936"/>
      <c r="CR238" s="929"/>
      <c r="FF238" s="940"/>
      <c r="FG238" s="940"/>
      <c r="FH238" s="940"/>
      <c r="FI238" s="940"/>
      <c r="FJ238" s="940"/>
      <c r="FK238" s="940"/>
    </row>
    <row r="239" spans="5:171" ht="14.25" customHeight="1">
      <c r="E239" s="1094"/>
      <c r="G239" s="929"/>
      <c r="H239" s="929"/>
      <c r="I239" s="929"/>
      <c r="J239" s="1094"/>
      <c r="CI239" s="935">
        <v>2966318.7733304249</v>
      </c>
      <c r="CJ239" s="1009">
        <f t="shared" si="673"/>
        <v>74157.969333260626</v>
      </c>
      <c r="CK239" s="1009">
        <f t="shared" si="674"/>
        <v>3040476.7426636857</v>
      </c>
      <c r="CL239" s="1009">
        <f t="shared" si="675"/>
        <v>0</v>
      </c>
      <c r="CM239" s="1009">
        <f t="shared" si="676"/>
        <v>3040476.7426636857</v>
      </c>
      <c r="CN239" s="936"/>
      <c r="CR239" s="929"/>
      <c r="FF239" s="940"/>
      <c r="FG239" s="940"/>
      <c r="FH239" s="940"/>
      <c r="FI239" s="940"/>
      <c r="FJ239" s="940"/>
      <c r="FK239" s="940"/>
    </row>
    <row r="240" spans="5:171" ht="14.25" customHeight="1">
      <c r="E240" s="1094"/>
      <c r="G240" s="929"/>
      <c r="H240" s="929"/>
      <c r="I240" s="929"/>
      <c r="J240" s="1094"/>
      <c r="CI240" s="935">
        <v>2995085.297603142</v>
      </c>
      <c r="CJ240" s="1009">
        <f t="shared" si="673"/>
        <v>74877.132440078552</v>
      </c>
      <c r="CK240" s="1009">
        <f t="shared" si="674"/>
        <v>3069962.4300432205</v>
      </c>
      <c r="CL240" s="1009">
        <f t="shared" si="675"/>
        <v>0</v>
      </c>
      <c r="CM240" s="1009">
        <f t="shared" si="676"/>
        <v>3069962.4300432205</v>
      </c>
      <c r="CN240" s="936"/>
      <c r="CR240" s="929"/>
      <c r="FF240" s="940"/>
      <c r="FG240" s="940"/>
      <c r="FH240" s="940"/>
      <c r="FI240" s="940"/>
      <c r="FJ240" s="940"/>
      <c r="FK240" s="940"/>
    </row>
    <row r="241" spans="5:167" ht="14.25" customHeight="1">
      <c r="E241" s="1094"/>
      <c r="G241" s="929"/>
      <c r="H241" s="929"/>
      <c r="I241" s="929"/>
      <c r="J241" s="1094"/>
      <c r="CI241" s="935">
        <v>3092279.3000149969</v>
      </c>
      <c r="CJ241" s="1009">
        <f t="shared" si="673"/>
        <v>77306.982500374928</v>
      </c>
      <c r="CK241" s="1009">
        <f t="shared" si="674"/>
        <v>3169586.2825153717</v>
      </c>
      <c r="CL241" s="1009">
        <f t="shared" si="675"/>
        <v>0</v>
      </c>
      <c r="CM241" s="1009">
        <f t="shared" si="676"/>
        <v>3169586.2825153717</v>
      </c>
      <c r="CN241" s="936"/>
      <c r="CR241" s="929"/>
      <c r="FF241" s="940"/>
      <c r="FG241" s="940"/>
      <c r="FH241" s="940"/>
      <c r="FI241" s="940"/>
      <c r="FJ241" s="940"/>
      <c r="FK241" s="940"/>
    </row>
    <row r="242" spans="5:167" ht="14.25" customHeight="1">
      <c r="E242" s="1094"/>
      <c r="G242" s="929"/>
      <c r="H242" s="929"/>
      <c r="I242" s="929"/>
      <c r="J242" s="1094"/>
      <c r="CI242" s="935">
        <v>2966318.7733304249</v>
      </c>
      <c r="CJ242" s="1009">
        <f t="shared" si="673"/>
        <v>74157.969333260626</v>
      </c>
      <c r="CK242" s="1009">
        <f t="shared" si="674"/>
        <v>3040476.7426636857</v>
      </c>
      <c r="CL242" s="1009">
        <f t="shared" si="675"/>
        <v>0</v>
      </c>
      <c r="CM242" s="1009">
        <f t="shared" si="676"/>
        <v>3040476.7426636857</v>
      </c>
      <c r="CN242" s="936"/>
      <c r="CR242" s="929"/>
      <c r="FF242" s="940"/>
      <c r="FG242" s="940"/>
      <c r="FH242" s="940"/>
      <c r="FI242" s="940"/>
      <c r="FJ242" s="940"/>
      <c r="FK242" s="940"/>
    </row>
    <row r="243" spans="5:167" ht="14.25" customHeight="1" thickBot="1">
      <c r="E243" s="1094"/>
      <c r="G243" s="929"/>
      <c r="H243" s="929"/>
      <c r="I243" s="929"/>
      <c r="J243" s="1094"/>
      <c r="CI243" s="1115">
        <f>SUM(CI225:CI242)</f>
        <v>53266463.880630992</v>
      </c>
      <c r="CJ243" s="1115">
        <f t="shared" ref="CJ243:CK243" si="677">SUM(CJ225:CJ242)</f>
        <v>1331661.5970157746</v>
      </c>
      <c r="CK243" s="1115">
        <f t="shared" si="677"/>
        <v>54598125.477646761</v>
      </c>
      <c r="CL243" s="1115">
        <f>SUM(CL225:CL242)</f>
        <v>0</v>
      </c>
      <c r="CM243" s="1115">
        <f t="shared" ref="CM243" si="678">SUM(CM225:CM242)</f>
        <v>54598125.477646761</v>
      </c>
      <c r="CN243" s="936"/>
      <c r="CR243" s="929"/>
      <c r="FF243" s="940"/>
      <c r="FG243" s="940"/>
      <c r="FH243" s="940"/>
      <c r="FI243" s="940"/>
      <c r="FJ243" s="940"/>
      <c r="FK243" s="940"/>
    </row>
    <row r="244" spans="5:167" ht="14.25" customHeight="1">
      <c r="E244" s="1094"/>
      <c r="G244" s="929"/>
      <c r="H244" s="929"/>
      <c r="I244" s="929"/>
      <c r="J244" s="1094"/>
      <c r="CN244" s="936"/>
      <c r="CR244" s="929"/>
      <c r="FF244" s="940"/>
      <c r="FG244" s="940"/>
      <c r="FH244" s="940"/>
      <c r="FI244" s="940"/>
      <c r="FJ244" s="940"/>
      <c r="FK244" s="940"/>
    </row>
    <row r="245" spans="5:167" ht="14.25" customHeight="1">
      <c r="E245" s="1094"/>
      <c r="G245" s="929"/>
      <c r="H245" s="929"/>
      <c r="I245" s="929"/>
      <c r="J245" s="1094"/>
      <c r="CN245" s="936"/>
      <c r="CR245" s="929"/>
      <c r="FF245" s="940"/>
      <c r="FG245" s="940"/>
      <c r="FH245" s="940"/>
      <c r="FI245" s="940"/>
      <c r="FJ245" s="940"/>
      <c r="FK245" s="940"/>
    </row>
    <row r="246" spans="5:167" ht="14.25" customHeight="1">
      <c r="E246" s="1094"/>
      <c r="G246" s="929"/>
      <c r="H246" s="929"/>
      <c r="I246" s="929"/>
      <c r="J246" s="1094"/>
      <c r="CN246" s="936"/>
      <c r="CR246" s="929"/>
      <c r="FF246" s="940"/>
      <c r="FG246" s="940"/>
      <c r="FH246" s="940"/>
      <c r="FI246" s="940"/>
      <c r="FJ246" s="940"/>
      <c r="FK246" s="940"/>
    </row>
    <row r="247" spans="5:167" ht="14.25" customHeight="1">
      <c r="E247" s="1094"/>
      <c r="G247" s="929"/>
      <c r="H247" s="929"/>
      <c r="I247" s="929"/>
      <c r="J247" s="1094"/>
      <c r="CN247" s="936"/>
      <c r="CR247" s="929"/>
      <c r="FF247" s="940"/>
      <c r="FG247" s="940"/>
      <c r="FH247" s="940"/>
      <c r="FI247" s="940"/>
      <c r="FJ247" s="940"/>
      <c r="FK247" s="940"/>
    </row>
    <row r="248" spans="5:167" ht="14.25" customHeight="1">
      <c r="E248" s="1094"/>
      <c r="G248" s="929"/>
      <c r="H248" s="929"/>
      <c r="I248" s="929"/>
      <c r="J248" s="1094"/>
      <c r="CN248" s="936"/>
      <c r="CR248" s="929"/>
      <c r="FF248" s="940"/>
      <c r="FG248" s="940"/>
      <c r="FH248" s="940"/>
      <c r="FI248" s="940"/>
      <c r="FJ248" s="940"/>
      <c r="FK248" s="940"/>
    </row>
    <row r="249" spans="5:167" ht="14.25" customHeight="1">
      <c r="E249" s="1094"/>
      <c r="G249" s="929"/>
      <c r="H249" s="929"/>
      <c r="I249" s="929"/>
      <c r="J249" s="1094"/>
      <c r="CN249" s="936"/>
      <c r="CR249" s="929"/>
      <c r="FF249" s="940"/>
      <c r="FG249" s="940"/>
      <c r="FH249" s="940"/>
      <c r="FI249" s="940"/>
      <c r="FJ249" s="940"/>
      <c r="FK249" s="940"/>
    </row>
    <row r="250" spans="5:167" ht="14.25" customHeight="1">
      <c r="E250" s="1094"/>
      <c r="G250" s="929"/>
      <c r="H250" s="929"/>
      <c r="I250" s="929"/>
      <c r="J250" s="1094"/>
      <c r="CN250" s="936"/>
      <c r="CR250" s="929"/>
      <c r="FF250" s="940"/>
      <c r="FG250" s="940"/>
      <c r="FH250" s="940"/>
      <c r="FI250" s="940"/>
      <c r="FJ250" s="940"/>
      <c r="FK250" s="940"/>
    </row>
    <row r="251" spans="5:167" ht="14.25" customHeight="1">
      <c r="E251" s="1094"/>
      <c r="G251" s="929"/>
      <c r="H251" s="929"/>
      <c r="I251" s="929"/>
      <c r="J251" s="1094"/>
      <c r="CN251" s="936"/>
      <c r="CR251" s="929"/>
      <c r="FF251" s="940"/>
      <c r="FG251" s="940"/>
      <c r="FH251" s="940"/>
      <c r="FI251" s="940"/>
      <c r="FJ251" s="940"/>
      <c r="FK251" s="940"/>
    </row>
    <row r="252" spans="5:167" ht="14.25" customHeight="1">
      <c r="E252" s="1094"/>
      <c r="G252" s="929"/>
      <c r="H252" s="929"/>
      <c r="I252" s="929"/>
      <c r="J252" s="1094"/>
      <c r="CN252" s="936"/>
      <c r="CR252" s="929"/>
      <c r="FF252" s="940"/>
      <c r="FG252" s="940"/>
      <c r="FH252" s="940"/>
      <c r="FI252" s="940"/>
      <c r="FJ252" s="940"/>
      <c r="FK252" s="940"/>
    </row>
    <row r="253" spans="5:167" ht="14.25" customHeight="1">
      <c r="E253" s="1094"/>
      <c r="G253" s="929"/>
      <c r="H253" s="929"/>
      <c r="I253" s="929"/>
      <c r="J253" s="1094"/>
      <c r="CN253" s="936"/>
      <c r="CR253" s="929"/>
      <c r="FF253" s="940"/>
      <c r="FG253" s="940"/>
      <c r="FH253" s="940"/>
      <c r="FI253" s="940"/>
      <c r="FJ253" s="940"/>
      <c r="FK253" s="940"/>
    </row>
    <row r="254" spans="5:167" ht="14.25" customHeight="1">
      <c r="E254" s="1094"/>
      <c r="G254" s="929"/>
      <c r="H254" s="929"/>
      <c r="I254" s="929"/>
      <c r="J254" s="1094"/>
      <c r="CN254" s="936"/>
      <c r="CR254" s="929"/>
      <c r="FF254" s="940"/>
      <c r="FG254" s="940"/>
      <c r="FH254" s="940"/>
      <c r="FI254" s="940"/>
      <c r="FJ254" s="940"/>
      <c r="FK254" s="940"/>
    </row>
    <row r="255" spans="5:167" ht="14.25" customHeight="1">
      <c r="E255" s="1094"/>
      <c r="G255" s="929"/>
      <c r="H255" s="929"/>
      <c r="I255" s="929"/>
      <c r="J255" s="1094"/>
      <c r="CN255" s="936"/>
      <c r="CR255" s="929"/>
      <c r="FF255" s="940"/>
      <c r="FG255" s="940"/>
      <c r="FH255" s="940"/>
      <c r="FI255" s="940"/>
      <c r="FJ255" s="940"/>
      <c r="FK255" s="940"/>
    </row>
    <row r="256" spans="5:167" ht="14.25" customHeight="1">
      <c r="E256" s="1094"/>
      <c r="G256" s="929"/>
      <c r="H256" s="929"/>
      <c r="I256" s="929"/>
      <c r="J256" s="1094"/>
      <c r="CN256" s="936"/>
      <c r="CR256" s="929"/>
      <c r="FF256" s="940"/>
      <c r="FG256" s="940"/>
      <c r="FH256" s="940"/>
      <c r="FI256" s="940"/>
      <c r="FJ256" s="940"/>
      <c r="FK256" s="940"/>
    </row>
    <row r="257" spans="5:167" ht="14.25" customHeight="1">
      <c r="E257" s="1094"/>
      <c r="G257" s="929"/>
      <c r="H257" s="929"/>
      <c r="I257" s="929"/>
      <c r="J257" s="1094"/>
      <c r="CN257" s="936"/>
      <c r="CR257" s="929"/>
      <c r="FF257" s="940"/>
      <c r="FG257" s="940"/>
      <c r="FH257" s="940"/>
      <c r="FI257" s="940"/>
      <c r="FJ257" s="940"/>
      <c r="FK257" s="940"/>
    </row>
    <row r="258" spans="5:167" ht="14.25" customHeight="1">
      <c r="E258" s="1094"/>
      <c r="G258" s="929"/>
      <c r="H258" s="929"/>
      <c r="I258" s="929"/>
      <c r="J258" s="1094"/>
      <c r="CN258" s="936"/>
      <c r="CR258" s="929"/>
      <c r="FF258" s="940"/>
      <c r="FG258" s="940"/>
      <c r="FH258" s="940"/>
      <c r="FI258" s="940"/>
      <c r="FJ258" s="940"/>
      <c r="FK258" s="940"/>
    </row>
    <row r="259" spans="5:167" ht="14.25" customHeight="1">
      <c r="E259" s="1094"/>
      <c r="G259" s="929"/>
      <c r="H259" s="929"/>
      <c r="I259" s="929"/>
      <c r="J259" s="1094"/>
      <c r="CN259" s="936"/>
      <c r="CR259" s="929"/>
      <c r="FF259" s="940"/>
      <c r="FG259" s="940"/>
      <c r="FH259" s="940"/>
      <c r="FI259" s="940"/>
      <c r="FJ259" s="940"/>
      <c r="FK259" s="940"/>
    </row>
    <row r="260" spans="5:167" ht="14.25" customHeight="1">
      <c r="E260" s="1094"/>
      <c r="G260" s="929"/>
      <c r="H260" s="929"/>
      <c r="I260" s="929"/>
      <c r="J260" s="1094"/>
      <c r="CN260" s="936"/>
      <c r="CR260" s="929"/>
      <c r="FF260" s="940"/>
      <c r="FG260" s="940"/>
      <c r="FH260" s="940"/>
      <c r="FI260" s="940"/>
      <c r="FJ260" s="940"/>
      <c r="FK260" s="940"/>
    </row>
    <row r="261" spans="5:167" ht="14.25" customHeight="1">
      <c r="E261" s="1094"/>
      <c r="G261" s="929"/>
      <c r="H261" s="929"/>
      <c r="I261" s="929"/>
      <c r="J261" s="1094"/>
      <c r="CN261" s="936"/>
      <c r="CR261" s="929"/>
      <c r="FF261" s="940"/>
      <c r="FG261" s="940"/>
      <c r="FH261" s="940"/>
      <c r="FI261" s="940"/>
      <c r="FJ261" s="940"/>
      <c r="FK261" s="940"/>
    </row>
    <row r="262" spans="5:167" ht="14.25" customHeight="1">
      <c r="E262" s="1094"/>
      <c r="G262" s="929"/>
      <c r="H262" s="929"/>
      <c r="I262" s="929"/>
      <c r="J262" s="1094"/>
      <c r="CN262" s="936"/>
      <c r="CR262" s="929"/>
      <c r="FF262" s="940"/>
      <c r="FG262" s="940"/>
      <c r="FH262" s="940"/>
      <c r="FI262" s="940"/>
      <c r="FJ262" s="940"/>
      <c r="FK262" s="940"/>
    </row>
    <row r="263" spans="5:167" ht="14.25" customHeight="1">
      <c r="E263" s="1094"/>
      <c r="G263" s="929"/>
      <c r="H263" s="929"/>
      <c r="I263" s="929"/>
      <c r="J263" s="1094"/>
      <c r="CN263" s="936"/>
      <c r="CR263" s="929"/>
      <c r="FF263" s="940"/>
      <c r="FG263" s="940"/>
      <c r="FH263" s="940"/>
      <c r="FI263" s="940"/>
      <c r="FJ263" s="940"/>
      <c r="FK263" s="940"/>
    </row>
    <row r="264" spans="5:167" ht="14.25" customHeight="1">
      <c r="E264" s="1094"/>
      <c r="G264" s="929"/>
      <c r="H264" s="929"/>
      <c r="I264" s="929"/>
      <c r="J264" s="1094"/>
      <c r="CN264" s="936"/>
      <c r="CR264" s="929"/>
      <c r="FF264" s="940"/>
      <c r="FG264" s="940"/>
      <c r="FH264" s="940"/>
      <c r="FI264" s="940"/>
      <c r="FJ264" s="940"/>
      <c r="FK264" s="940"/>
    </row>
    <row r="265" spans="5:167" ht="14.25" customHeight="1">
      <c r="E265" s="1094"/>
      <c r="G265" s="929"/>
      <c r="H265" s="929"/>
      <c r="I265" s="929"/>
      <c r="J265" s="1094"/>
      <c r="CN265" s="936"/>
      <c r="CR265" s="929"/>
      <c r="FF265" s="940"/>
      <c r="FG265" s="940"/>
      <c r="FH265" s="940"/>
      <c r="FI265" s="940"/>
      <c r="FJ265" s="940"/>
      <c r="FK265" s="940"/>
    </row>
    <row r="266" spans="5:167" ht="14.25" customHeight="1">
      <c r="E266" s="1094"/>
      <c r="G266" s="929"/>
      <c r="H266" s="929"/>
      <c r="I266" s="929"/>
      <c r="J266" s="1094"/>
      <c r="CN266" s="936"/>
      <c r="CR266" s="929"/>
      <c r="FF266" s="940"/>
      <c r="FG266" s="940"/>
      <c r="FH266" s="940"/>
      <c r="FI266" s="940"/>
      <c r="FJ266" s="940"/>
      <c r="FK266" s="940"/>
    </row>
    <row r="267" spans="5:167" ht="14.25" customHeight="1">
      <c r="E267" s="1094"/>
      <c r="G267" s="929"/>
      <c r="H267" s="929"/>
      <c r="I267" s="929"/>
      <c r="J267" s="1094"/>
      <c r="CN267" s="936"/>
      <c r="CR267" s="929"/>
      <c r="FF267" s="940"/>
      <c r="FG267" s="940"/>
      <c r="FH267" s="940"/>
      <c r="FI267" s="940"/>
      <c r="FJ267" s="940"/>
      <c r="FK267" s="940"/>
    </row>
    <row r="268" spans="5:167" ht="14.25" customHeight="1">
      <c r="E268" s="1094"/>
      <c r="G268" s="929"/>
      <c r="H268" s="929"/>
      <c r="I268" s="929"/>
      <c r="J268" s="1094"/>
      <c r="CN268" s="936"/>
      <c r="CR268" s="929"/>
      <c r="FF268" s="940"/>
      <c r="FG268" s="940"/>
      <c r="FH268" s="940"/>
      <c r="FI268" s="940"/>
      <c r="FJ268" s="940"/>
      <c r="FK268" s="940"/>
    </row>
    <row r="269" spans="5:167" ht="14.25" customHeight="1">
      <c r="E269" s="1094"/>
      <c r="G269" s="929"/>
      <c r="H269" s="929"/>
      <c r="I269" s="929"/>
      <c r="J269" s="1094"/>
      <c r="CN269" s="936"/>
      <c r="CR269" s="929"/>
      <c r="FF269" s="940"/>
      <c r="FG269" s="940"/>
      <c r="FH269" s="940"/>
      <c r="FI269" s="940"/>
      <c r="FJ269" s="940"/>
      <c r="FK269" s="940"/>
    </row>
    <row r="270" spans="5:167" ht="14.25" customHeight="1">
      <c r="E270" s="1094"/>
      <c r="G270" s="929"/>
      <c r="H270" s="929"/>
      <c r="I270" s="929"/>
      <c r="J270" s="1094"/>
      <c r="CN270" s="936"/>
      <c r="CR270" s="929"/>
      <c r="FF270" s="940"/>
      <c r="FG270" s="940"/>
      <c r="FH270" s="940"/>
      <c r="FI270" s="940"/>
      <c r="FJ270" s="940"/>
      <c r="FK270" s="940"/>
    </row>
    <row r="271" spans="5:167" ht="14.25" customHeight="1">
      <c r="E271" s="1094"/>
      <c r="G271" s="929"/>
      <c r="H271" s="929"/>
      <c r="I271" s="929"/>
      <c r="J271" s="1094"/>
      <c r="CN271" s="936"/>
      <c r="CR271" s="929"/>
      <c r="FF271" s="940"/>
      <c r="FG271" s="940"/>
      <c r="FH271" s="940"/>
      <c r="FI271" s="940"/>
      <c r="FJ271" s="940"/>
      <c r="FK271" s="940"/>
    </row>
    <row r="272" spans="5:167" ht="14.25" customHeight="1">
      <c r="E272" s="1094"/>
      <c r="G272" s="929"/>
      <c r="H272" s="929"/>
      <c r="I272" s="929"/>
      <c r="J272" s="1094"/>
      <c r="CN272" s="936"/>
      <c r="CR272" s="929"/>
      <c r="FF272" s="940"/>
      <c r="FG272" s="940"/>
      <c r="FH272" s="940"/>
      <c r="FI272" s="940"/>
      <c r="FJ272" s="940"/>
      <c r="FK272" s="940"/>
    </row>
    <row r="273" spans="5:167" ht="14.25" customHeight="1">
      <c r="E273" s="1094"/>
      <c r="G273" s="929"/>
      <c r="H273" s="929"/>
      <c r="I273" s="929"/>
      <c r="J273" s="1094"/>
      <c r="CN273" s="936"/>
      <c r="CR273" s="929"/>
      <c r="FF273" s="940"/>
      <c r="FG273" s="940"/>
      <c r="FH273" s="940"/>
      <c r="FI273" s="940"/>
      <c r="FJ273" s="940"/>
      <c r="FK273" s="940"/>
    </row>
    <row r="274" spans="5:167" ht="14.25" customHeight="1">
      <c r="E274" s="1094"/>
      <c r="G274" s="929"/>
      <c r="H274" s="929"/>
      <c r="I274" s="929"/>
      <c r="J274" s="1094"/>
      <c r="CN274" s="936"/>
      <c r="CR274" s="929"/>
      <c r="FF274" s="940"/>
      <c r="FG274" s="940"/>
      <c r="FH274" s="940"/>
      <c r="FI274" s="940"/>
      <c r="FJ274" s="940"/>
      <c r="FK274" s="940"/>
    </row>
    <row r="275" spans="5:167" ht="14.25" customHeight="1">
      <c r="E275" s="1094"/>
      <c r="G275" s="929"/>
      <c r="H275" s="929"/>
      <c r="I275" s="929"/>
      <c r="J275" s="1094"/>
      <c r="CN275" s="936"/>
      <c r="CR275" s="929"/>
      <c r="FF275" s="940"/>
      <c r="FG275" s="940"/>
      <c r="FH275" s="940"/>
      <c r="FI275" s="940"/>
      <c r="FJ275" s="940"/>
      <c r="FK275" s="940"/>
    </row>
    <row r="276" spans="5:167" ht="14.25" customHeight="1">
      <c r="E276" s="1094"/>
      <c r="G276" s="929"/>
      <c r="H276" s="929"/>
      <c r="I276" s="929"/>
      <c r="J276" s="1094"/>
      <c r="CN276" s="936"/>
      <c r="CR276" s="929"/>
      <c r="FF276" s="940"/>
      <c r="FG276" s="940"/>
      <c r="FH276" s="940"/>
      <c r="FI276" s="940"/>
      <c r="FJ276" s="940"/>
      <c r="FK276" s="940"/>
    </row>
    <row r="277" spans="5:167" ht="14.25" customHeight="1">
      <c r="E277" s="1094"/>
      <c r="G277" s="929"/>
      <c r="H277" s="929"/>
      <c r="I277" s="929"/>
      <c r="J277" s="1094"/>
      <c r="CN277" s="936"/>
      <c r="CR277" s="929"/>
      <c r="FF277" s="940"/>
      <c r="FG277" s="940"/>
      <c r="FH277" s="940"/>
      <c r="FI277" s="940"/>
      <c r="FJ277" s="940"/>
      <c r="FK277" s="940"/>
    </row>
    <row r="278" spans="5:167" ht="14.25" customHeight="1">
      <c r="E278" s="1094"/>
      <c r="G278" s="929"/>
      <c r="H278" s="929"/>
      <c r="I278" s="929"/>
      <c r="J278" s="1094"/>
      <c r="CN278" s="936"/>
      <c r="CR278" s="929"/>
      <c r="FF278" s="940"/>
      <c r="FG278" s="940"/>
      <c r="FH278" s="940"/>
      <c r="FI278" s="940"/>
      <c r="FJ278" s="940"/>
      <c r="FK278" s="940"/>
    </row>
    <row r="279" spans="5:167" ht="14.25" customHeight="1">
      <c r="E279" s="1094"/>
      <c r="G279" s="929"/>
      <c r="H279" s="929"/>
      <c r="I279" s="929"/>
      <c r="J279" s="1094"/>
      <c r="CN279" s="936"/>
      <c r="CR279" s="929"/>
      <c r="FF279" s="940"/>
      <c r="FG279" s="940"/>
      <c r="FH279" s="940"/>
      <c r="FI279" s="940"/>
      <c r="FJ279" s="940"/>
      <c r="FK279" s="940"/>
    </row>
    <row r="280" spans="5:167" ht="14.25" customHeight="1">
      <c r="E280" s="1094"/>
      <c r="G280" s="929"/>
      <c r="H280" s="929"/>
      <c r="I280" s="929"/>
      <c r="J280" s="1094"/>
      <c r="CN280" s="936"/>
      <c r="CR280" s="929"/>
      <c r="FF280" s="940"/>
      <c r="FG280" s="940"/>
      <c r="FH280" s="940"/>
      <c r="FI280" s="940"/>
      <c r="FJ280" s="940"/>
      <c r="FK280" s="940"/>
    </row>
    <row r="281" spans="5:167" ht="14.25" customHeight="1">
      <c r="E281" s="1094"/>
      <c r="G281" s="929"/>
      <c r="H281" s="929"/>
      <c r="I281" s="929"/>
      <c r="J281" s="1094"/>
      <c r="CN281" s="936"/>
      <c r="CR281" s="929"/>
      <c r="FF281" s="940"/>
      <c r="FG281" s="940"/>
      <c r="FH281" s="940"/>
      <c r="FI281" s="940"/>
      <c r="FJ281" s="940"/>
      <c r="FK281" s="940"/>
    </row>
    <row r="282" spans="5:167" ht="14.25" customHeight="1">
      <c r="E282" s="1094"/>
      <c r="G282" s="929"/>
      <c r="H282" s="929"/>
      <c r="I282" s="929"/>
      <c r="J282" s="1094"/>
      <c r="CN282" s="936"/>
      <c r="CR282" s="929"/>
      <c r="FF282" s="940"/>
      <c r="FG282" s="940"/>
      <c r="FH282" s="940"/>
      <c r="FI282" s="940"/>
      <c r="FJ282" s="940"/>
      <c r="FK282" s="940"/>
    </row>
    <row r="283" spans="5:167" ht="14.25" customHeight="1">
      <c r="E283" s="1094"/>
      <c r="G283" s="929"/>
      <c r="H283" s="929"/>
      <c r="I283" s="929"/>
      <c r="J283" s="1094"/>
      <c r="CN283" s="936"/>
      <c r="CR283" s="929"/>
      <c r="FF283" s="940"/>
      <c r="FG283" s="940"/>
      <c r="FH283" s="940"/>
      <c r="FI283" s="940"/>
      <c r="FJ283" s="940"/>
      <c r="FK283" s="940"/>
    </row>
    <row r="284" spans="5:167" ht="14.25" customHeight="1">
      <c r="E284" s="1094"/>
      <c r="G284" s="929"/>
      <c r="H284" s="929"/>
      <c r="I284" s="929"/>
      <c r="J284" s="1094"/>
      <c r="CN284" s="936"/>
      <c r="CR284" s="929"/>
      <c r="FF284" s="940"/>
      <c r="FG284" s="940"/>
      <c r="FH284" s="940"/>
      <c r="FI284" s="940"/>
      <c r="FJ284" s="940"/>
      <c r="FK284" s="940"/>
    </row>
    <row r="285" spans="5:167" ht="14.25" customHeight="1">
      <c r="E285" s="1094"/>
      <c r="G285" s="929"/>
      <c r="H285" s="929"/>
      <c r="I285" s="929"/>
      <c r="J285" s="1094"/>
      <c r="CN285" s="936"/>
      <c r="CR285" s="929"/>
      <c r="FF285" s="940"/>
      <c r="FG285" s="940"/>
      <c r="FH285" s="940"/>
      <c r="FI285" s="940"/>
      <c r="FJ285" s="940"/>
      <c r="FK285" s="940"/>
    </row>
    <row r="286" spans="5:167" ht="14.25" customHeight="1">
      <c r="G286" s="929"/>
      <c r="H286" s="929"/>
      <c r="I286" s="929"/>
      <c r="CN286" s="936"/>
      <c r="CR286" s="929"/>
      <c r="FF286" s="940"/>
      <c r="FG286" s="940"/>
      <c r="FH286" s="940"/>
      <c r="FI286" s="940"/>
      <c r="FJ286" s="940"/>
      <c r="FK286" s="940"/>
    </row>
    <row r="287" spans="5:167" ht="14.25" customHeight="1">
      <c r="G287" s="929"/>
      <c r="H287" s="929"/>
      <c r="I287" s="929"/>
      <c r="CN287" s="936"/>
      <c r="CR287" s="929"/>
      <c r="FF287" s="940"/>
      <c r="FG287" s="940"/>
      <c r="FH287" s="940"/>
      <c r="FI287" s="940"/>
      <c r="FJ287" s="940"/>
      <c r="FK287" s="940"/>
    </row>
    <row r="288" spans="5:167" ht="14.25" customHeight="1">
      <c r="G288" s="929"/>
      <c r="H288" s="929"/>
      <c r="I288" s="929"/>
      <c r="CN288" s="936"/>
      <c r="CR288" s="929"/>
      <c r="FF288" s="940"/>
      <c r="FG288" s="940"/>
      <c r="FH288" s="940"/>
      <c r="FI288" s="940"/>
      <c r="FJ288" s="940"/>
      <c r="FK288" s="940"/>
    </row>
    <row r="289" spans="7:167" ht="14.25" customHeight="1">
      <c r="G289" s="929"/>
      <c r="H289" s="929"/>
      <c r="I289" s="929"/>
      <c r="CN289" s="936"/>
      <c r="CR289" s="929"/>
      <c r="FF289" s="940"/>
      <c r="FG289" s="940"/>
      <c r="FH289" s="940"/>
      <c r="FI289" s="940"/>
      <c r="FJ289" s="940"/>
      <c r="FK289" s="940"/>
    </row>
    <row r="290" spans="7:167" ht="14.25" customHeight="1">
      <c r="G290" s="929"/>
      <c r="H290" s="929"/>
      <c r="I290" s="929"/>
      <c r="CN290" s="936"/>
      <c r="CR290" s="929"/>
      <c r="FF290" s="940"/>
      <c r="FG290" s="940"/>
      <c r="FH290" s="940"/>
      <c r="FI290" s="940"/>
      <c r="FJ290" s="940"/>
      <c r="FK290" s="940"/>
    </row>
    <row r="291" spans="7:167" ht="14.25" customHeight="1">
      <c r="G291" s="929"/>
      <c r="H291" s="929"/>
      <c r="I291" s="929"/>
      <c r="CN291" s="936"/>
      <c r="CR291" s="929"/>
      <c r="FF291" s="940"/>
      <c r="FG291" s="940"/>
      <c r="FH291" s="940"/>
      <c r="FI291" s="940"/>
      <c r="FJ291" s="940"/>
      <c r="FK291" s="940"/>
    </row>
    <row r="292" spans="7:167" ht="14.25" customHeight="1">
      <c r="G292" s="929"/>
      <c r="H292" s="929"/>
      <c r="I292" s="929"/>
      <c r="CN292" s="936"/>
      <c r="CR292" s="929"/>
      <c r="FF292" s="940"/>
      <c r="FG292" s="940"/>
      <c r="FH292" s="940"/>
      <c r="FI292" s="940"/>
      <c r="FJ292" s="940"/>
      <c r="FK292" s="940"/>
    </row>
    <row r="293" spans="7:167" ht="14.25" customHeight="1">
      <c r="G293" s="929"/>
      <c r="H293" s="929"/>
      <c r="I293" s="929"/>
      <c r="CN293" s="936"/>
      <c r="CR293" s="929"/>
      <c r="FF293" s="940"/>
      <c r="FG293" s="940"/>
      <c r="FH293" s="940"/>
      <c r="FI293" s="940"/>
      <c r="FJ293" s="940"/>
      <c r="FK293" s="940"/>
    </row>
    <row r="294" spans="7:167" ht="14.25" customHeight="1">
      <c r="G294" s="929"/>
      <c r="H294" s="929"/>
      <c r="I294" s="929"/>
      <c r="CN294" s="936"/>
      <c r="CR294" s="929"/>
      <c r="FF294" s="940"/>
      <c r="FG294" s="940"/>
      <c r="FH294" s="940"/>
      <c r="FI294" s="940"/>
      <c r="FJ294" s="940"/>
      <c r="FK294" s="940"/>
    </row>
    <row r="295" spans="7:167" ht="14.25" customHeight="1">
      <c r="G295" s="929"/>
      <c r="H295" s="929"/>
      <c r="I295" s="929"/>
      <c r="CN295" s="936"/>
      <c r="CR295" s="929"/>
      <c r="FF295" s="940"/>
      <c r="FG295" s="940"/>
      <c r="FH295" s="940"/>
      <c r="FI295" s="940"/>
      <c r="FJ295" s="940"/>
      <c r="FK295" s="940"/>
    </row>
    <row r="296" spans="7:167" ht="14.25" customHeight="1">
      <c r="G296" s="929"/>
      <c r="H296" s="929"/>
      <c r="I296" s="929"/>
      <c r="CN296" s="936"/>
      <c r="CR296" s="929"/>
      <c r="FF296" s="940"/>
      <c r="FG296" s="940"/>
      <c r="FH296" s="940"/>
      <c r="FI296" s="940"/>
      <c r="FJ296" s="940"/>
      <c r="FK296" s="940"/>
    </row>
    <row r="297" spans="7:167" ht="14.25" customHeight="1">
      <c r="G297" s="929"/>
      <c r="H297" s="929"/>
      <c r="I297" s="929"/>
      <c r="CN297" s="936"/>
      <c r="CR297" s="929"/>
      <c r="FF297" s="940"/>
      <c r="FG297" s="940"/>
      <c r="FH297" s="940"/>
      <c r="FI297" s="940"/>
      <c r="FJ297" s="940"/>
      <c r="FK297" s="940"/>
    </row>
    <row r="298" spans="7:167" ht="14.25" customHeight="1">
      <c r="G298" s="929"/>
      <c r="H298" s="929"/>
      <c r="I298" s="929"/>
      <c r="CN298" s="936"/>
      <c r="CR298" s="929"/>
      <c r="FF298" s="940"/>
      <c r="FG298" s="940"/>
      <c r="FH298" s="940"/>
      <c r="FI298" s="940"/>
      <c r="FJ298" s="940"/>
      <c r="FK298" s="940"/>
    </row>
    <row r="299" spans="7:167" ht="14.25" customHeight="1">
      <c r="G299" s="929"/>
      <c r="H299" s="929"/>
      <c r="I299" s="929"/>
      <c r="CN299" s="936"/>
      <c r="CR299" s="929"/>
      <c r="FF299" s="940"/>
      <c r="FG299" s="940"/>
      <c r="FH299" s="940"/>
      <c r="FI299" s="940"/>
      <c r="FJ299" s="940"/>
      <c r="FK299" s="940"/>
    </row>
    <row r="300" spans="7:167" ht="14.25" customHeight="1">
      <c r="G300" s="929"/>
      <c r="H300" s="929"/>
      <c r="I300" s="929"/>
      <c r="CN300" s="936"/>
      <c r="CR300" s="929"/>
      <c r="FF300" s="940"/>
      <c r="FG300" s="940"/>
      <c r="FH300" s="940"/>
      <c r="FI300" s="940"/>
      <c r="FJ300" s="940"/>
      <c r="FK300" s="940"/>
    </row>
    <row r="301" spans="7:167" ht="14.25" customHeight="1">
      <c r="G301" s="929"/>
      <c r="H301" s="929"/>
      <c r="I301" s="929"/>
      <c r="CN301" s="936"/>
      <c r="CR301" s="929"/>
      <c r="FF301" s="940"/>
      <c r="FG301" s="940"/>
      <c r="FH301" s="940"/>
      <c r="FI301" s="940"/>
      <c r="FJ301" s="940"/>
      <c r="FK301" s="940"/>
    </row>
    <row r="302" spans="7:167" ht="14.25" customHeight="1">
      <c r="G302" s="929"/>
      <c r="H302" s="929"/>
      <c r="I302" s="929"/>
      <c r="CN302" s="936"/>
      <c r="CR302" s="929"/>
      <c r="FF302" s="940"/>
      <c r="FG302" s="940"/>
      <c r="FH302" s="940"/>
      <c r="FI302" s="940"/>
      <c r="FJ302" s="940"/>
      <c r="FK302" s="940"/>
    </row>
    <row r="303" spans="7:167" ht="14.25" customHeight="1">
      <c r="G303" s="929"/>
      <c r="H303" s="929"/>
      <c r="I303" s="929"/>
      <c r="CN303" s="936"/>
      <c r="CR303" s="929"/>
      <c r="FF303" s="940"/>
      <c r="FG303" s="940"/>
      <c r="FH303" s="940"/>
      <c r="FI303" s="940"/>
      <c r="FJ303" s="940"/>
      <c r="FK303" s="940"/>
    </row>
    <row r="304" spans="7:167" ht="14.25" customHeight="1">
      <c r="G304" s="929"/>
      <c r="H304" s="929"/>
      <c r="I304" s="929"/>
      <c r="CN304" s="936"/>
      <c r="CR304" s="929"/>
      <c r="FF304" s="940"/>
      <c r="FG304" s="940"/>
      <c r="FH304" s="940"/>
      <c r="FI304" s="940"/>
      <c r="FJ304" s="940"/>
      <c r="FK304" s="940"/>
    </row>
    <row r="305" spans="7:167" ht="14.25" customHeight="1">
      <c r="G305" s="929"/>
      <c r="H305" s="929"/>
      <c r="I305" s="929"/>
      <c r="CN305" s="936"/>
      <c r="CR305" s="929"/>
      <c r="FF305" s="940"/>
      <c r="FG305" s="940"/>
      <c r="FH305" s="940"/>
      <c r="FI305" s="940"/>
      <c r="FJ305" s="940"/>
      <c r="FK305" s="940"/>
    </row>
    <row r="306" spans="7:167" ht="14.25" customHeight="1">
      <c r="G306" s="929"/>
      <c r="H306" s="929"/>
      <c r="I306" s="929"/>
      <c r="CN306" s="936"/>
      <c r="CR306" s="929"/>
      <c r="FF306" s="940"/>
      <c r="FG306" s="940"/>
      <c r="FH306" s="940"/>
      <c r="FI306" s="940"/>
      <c r="FJ306" s="940"/>
      <c r="FK306" s="940"/>
    </row>
    <row r="307" spans="7:167" ht="14.25" customHeight="1">
      <c r="G307" s="929"/>
      <c r="H307" s="929"/>
      <c r="I307" s="929"/>
      <c r="CN307" s="936"/>
      <c r="CR307" s="929"/>
      <c r="FF307" s="940"/>
      <c r="FG307" s="940"/>
      <c r="FH307" s="940"/>
      <c r="FI307" s="940"/>
      <c r="FJ307" s="940"/>
      <c r="FK307" s="940"/>
    </row>
    <row r="308" spans="7:167" ht="14.25" customHeight="1">
      <c r="G308" s="929"/>
      <c r="H308" s="929"/>
      <c r="I308" s="929"/>
      <c r="CN308" s="936"/>
      <c r="CR308" s="929"/>
      <c r="FF308" s="940"/>
      <c r="FG308" s="940"/>
      <c r="FH308" s="940"/>
      <c r="FI308" s="940"/>
      <c r="FJ308" s="940"/>
      <c r="FK308" s="940"/>
    </row>
    <row r="309" spans="7:167" ht="14.25" customHeight="1">
      <c r="G309" s="929"/>
      <c r="H309" s="929"/>
      <c r="I309" s="929"/>
      <c r="CN309" s="936"/>
      <c r="CR309" s="929"/>
      <c r="FF309" s="940"/>
      <c r="FG309" s="940"/>
      <c r="FH309" s="940"/>
      <c r="FI309" s="940"/>
      <c r="FJ309" s="940"/>
      <c r="FK309" s="940"/>
    </row>
    <row r="310" spans="7:167" ht="14.25" customHeight="1">
      <c r="G310" s="929"/>
      <c r="H310" s="929"/>
      <c r="I310" s="929"/>
      <c r="CN310" s="936"/>
      <c r="CR310" s="929"/>
      <c r="FF310" s="940"/>
      <c r="FG310" s="940"/>
      <c r="FH310" s="940"/>
      <c r="FI310" s="940"/>
      <c r="FJ310" s="940"/>
      <c r="FK310" s="940"/>
    </row>
    <row r="311" spans="7:167" ht="14.25" customHeight="1">
      <c r="G311" s="929"/>
      <c r="H311" s="929"/>
      <c r="I311" s="929"/>
      <c r="CN311" s="936"/>
      <c r="CR311" s="929"/>
      <c r="FF311" s="940"/>
      <c r="FG311" s="940"/>
      <c r="FH311" s="940"/>
      <c r="FI311" s="940"/>
      <c r="FJ311" s="940"/>
      <c r="FK311" s="940"/>
    </row>
    <row r="312" spans="7:167" ht="14.25" customHeight="1">
      <c r="G312" s="929"/>
      <c r="H312" s="929"/>
      <c r="I312" s="929"/>
      <c r="CN312" s="936"/>
      <c r="CR312" s="929"/>
      <c r="FF312" s="940"/>
      <c r="FG312" s="940"/>
      <c r="FH312" s="940"/>
      <c r="FI312" s="940"/>
      <c r="FJ312" s="940"/>
      <c r="FK312" s="940"/>
    </row>
    <row r="313" spans="7:167" ht="14.25" customHeight="1">
      <c r="G313" s="929"/>
      <c r="H313" s="929"/>
      <c r="I313" s="929"/>
      <c r="CN313" s="936"/>
      <c r="CR313" s="929"/>
      <c r="FF313" s="940"/>
      <c r="FG313" s="940"/>
      <c r="FH313" s="940"/>
      <c r="FI313" s="940"/>
      <c r="FJ313" s="940"/>
      <c r="FK313" s="940"/>
    </row>
    <row r="314" spans="7:167" ht="14.25" customHeight="1">
      <c r="G314" s="929"/>
      <c r="H314" s="929"/>
      <c r="I314" s="929"/>
      <c r="CN314" s="936"/>
      <c r="CR314" s="929"/>
      <c r="FF314" s="940"/>
      <c r="FG314" s="940"/>
      <c r="FH314" s="940"/>
      <c r="FI314" s="940"/>
      <c r="FJ314" s="940"/>
      <c r="FK314" s="940"/>
    </row>
    <row r="315" spans="7:167" ht="14.25" customHeight="1">
      <c r="G315" s="929"/>
      <c r="H315" s="929"/>
      <c r="I315" s="929"/>
      <c r="CN315" s="936"/>
      <c r="CR315" s="929"/>
      <c r="FF315" s="940"/>
      <c r="FG315" s="940"/>
      <c r="FH315" s="940"/>
      <c r="FI315" s="940"/>
      <c r="FJ315" s="940"/>
      <c r="FK315" s="940"/>
    </row>
    <row r="316" spans="7:167" ht="14.25" customHeight="1">
      <c r="G316" s="929"/>
      <c r="H316" s="929"/>
      <c r="I316" s="929"/>
      <c r="CN316" s="936"/>
      <c r="CR316" s="929"/>
      <c r="FF316" s="940"/>
      <c r="FG316" s="940"/>
      <c r="FH316" s="940"/>
      <c r="FI316" s="940"/>
      <c r="FJ316" s="940"/>
      <c r="FK316" s="940"/>
    </row>
    <row r="317" spans="7:167" ht="14.25" customHeight="1">
      <c r="G317" s="929"/>
      <c r="H317" s="929"/>
      <c r="I317" s="929"/>
      <c r="CN317" s="936"/>
      <c r="CR317" s="929"/>
      <c r="FF317" s="940"/>
      <c r="FG317" s="940"/>
      <c r="FH317" s="940"/>
      <c r="FI317" s="940"/>
      <c r="FJ317" s="940"/>
      <c r="FK317" s="940"/>
    </row>
    <row r="318" spans="7:167" ht="14.25" customHeight="1">
      <c r="G318" s="929"/>
      <c r="H318" s="929"/>
      <c r="I318" s="929"/>
      <c r="CN318" s="936"/>
      <c r="CR318" s="929"/>
      <c r="FF318" s="940"/>
      <c r="FG318" s="940"/>
      <c r="FH318" s="940"/>
      <c r="FI318" s="940"/>
      <c r="FJ318" s="940"/>
      <c r="FK318" s="940"/>
    </row>
    <row r="319" spans="7:167" ht="14.25" customHeight="1">
      <c r="G319" s="929"/>
      <c r="H319" s="929"/>
      <c r="I319" s="929"/>
      <c r="CN319" s="936"/>
      <c r="CR319" s="929"/>
      <c r="FF319" s="940"/>
      <c r="FG319" s="940"/>
      <c r="FH319" s="940"/>
      <c r="FI319" s="940"/>
      <c r="FJ319" s="940"/>
      <c r="FK319" s="940"/>
    </row>
    <row r="320" spans="7:167" ht="14.25" customHeight="1">
      <c r="G320" s="929"/>
      <c r="H320" s="929"/>
      <c r="I320" s="929"/>
      <c r="CN320" s="936"/>
      <c r="CR320" s="929"/>
      <c r="FF320" s="940"/>
      <c r="FG320" s="940"/>
      <c r="FH320" s="940"/>
      <c r="FI320" s="940"/>
      <c r="FJ320" s="940"/>
      <c r="FK320" s="940"/>
    </row>
    <row r="321" spans="7:167" ht="14.25" customHeight="1">
      <c r="G321" s="929"/>
      <c r="H321" s="929"/>
      <c r="I321" s="929"/>
      <c r="CN321" s="936"/>
      <c r="CR321" s="929"/>
      <c r="FF321" s="940"/>
      <c r="FG321" s="940"/>
      <c r="FH321" s="940"/>
      <c r="FI321" s="940"/>
      <c r="FJ321" s="940"/>
      <c r="FK321" s="940"/>
    </row>
    <row r="322" spans="7:167" ht="14.25" customHeight="1">
      <c r="G322" s="929"/>
      <c r="H322" s="929"/>
      <c r="I322" s="929"/>
      <c r="CN322" s="936"/>
      <c r="CR322" s="929"/>
      <c r="FF322" s="940"/>
      <c r="FG322" s="940"/>
      <c r="FH322" s="940"/>
      <c r="FI322" s="940"/>
      <c r="FJ322" s="940"/>
      <c r="FK322" s="940"/>
    </row>
    <row r="323" spans="7:167" ht="14.25" customHeight="1">
      <c r="G323" s="929"/>
      <c r="H323" s="929"/>
      <c r="I323" s="929"/>
      <c r="CN323" s="936"/>
      <c r="CR323" s="929"/>
      <c r="FF323" s="940"/>
      <c r="FG323" s="940"/>
      <c r="FH323" s="940"/>
      <c r="FI323" s="940"/>
      <c r="FJ323" s="940"/>
      <c r="FK323" s="940"/>
    </row>
    <row r="324" spans="7:167" ht="14.25" customHeight="1">
      <c r="G324" s="929"/>
      <c r="H324" s="929"/>
      <c r="I324" s="929"/>
      <c r="CN324" s="936"/>
      <c r="CR324" s="929"/>
      <c r="FF324" s="940"/>
      <c r="FG324" s="940"/>
      <c r="FH324" s="940"/>
      <c r="FI324" s="940"/>
      <c r="FJ324" s="940"/>
      <c r="FK324" s="940"/>
    </row>
    <row r="325" spans="7:167" ht="14.25" customHeight="1">
      <c r="G325" s="929"/>
      <c r="H325" s="929"/>
      <c r="I325" s="929"/>
      <c r="CN325" s="936"/>
      <c r="CR325" s="929"/>
      <c r="FF325" s="940"/>
      <c r="FG325" s="940"/>
      <c r="FH325" s="940"/>
      <c r="FI325" s="940"/>
      <c r="FJ325" s="940"/>
      <c r="FK325" s="940"/>
    </row>
    <row r="326" spans="7:167" ht="14.25" customHeight="1">
      <c r="G326" s="929"/>
      <c r="H326" s="929"/>
      <c r="I326" s="929"/>
      <c r="CN326" s="936"/>
      <c r="CR326" s="929"/>
      <c r="FF326" s="940"/>
      <c r="FG326" s="940"/>
      <c r="FH326" s="940"/>
      <c r="FI326" s="940"/>
      <c r="FJ326" s="940"/>
      <c r="FK326" s="940"/>
    </row>
    <row r="327" spans="7:167" ht="14.25" customHeight="1">
      <c r="G327" s="929"/>
      <c r="H327" s="929"/>
      <c r="I327" s="929"/>
      <c r="CN327" s="936"/>
      <c r="CR327" s="929"/>
      <c r="FF327" s="940"/>
      <c r="FG327" s="940"/>
      <c r="FH327" s="940"/>
      <c r="FI327" s="940"/>
      <c r="FJ327" s="940"/>
      <c r="FK327" s="940"/>
    </row>
    <row r="328" spans="7:167" ht="14.25" customHeight="1">
      <c r="G328" s="929"/>
      <c r="H328" s="929"/>
      <c r="I328" s="929"/>
      <c r="CN328" s="936"/>
      <c r="CR328" s="929"/>
      <c r="FF328" s="940"/>
      <c r="FG328" s="940"/>
      <c r="FH328" s="940"/>
      <c r="FI328" s="940"/>
      <c r="FJ328" s="940"/>
      <c r="FK328" s="940"/>
    </row>
    <row r="329" spans="7:167" ht="14.25" customHeight="1">
      <c r="G329" s="929"/>
      <c r="H329" s="929"/>
      <c r="I329" s="929"/>
      <c r="CN329" s="936"/>
      <c r="CR329" s="929"/>
      <c r="FF329" s="940"/>
      <c r="FG329" s="940"/>
      <c r="FH329" s="940"/>
      <c r="FI329" s="940"/>
      <c r="FJ329" s="940"/>
      <c r="FK329" s="940"/>
    </row>
    <row r="330" spans="7:167" ht="14.25" customHeight="1">
      <c r="G330" s="929"/>
      <c r="H330" s="929"/>
      <c r="I330" s="929"/>
      <c r="CN330" s="936"/>
      <c r="CR330" s="929"/>
      <c r="FF330" s="940"/>
      <c r="FG330" s="940"/>
      <c r="FH330" s="940"/>
      <c r="FI330" s="940"/>
      <c r="FJ330" s="940"/>
      <c r="FK330" s="940"/>
    </row>
    <row r="331" spans="7:167" ht="14.25" customHeight="1">
      <c r="G331" s="929"/>
      <c r="H331" s="929"/>
      <c r="I331" s="929"/>
      <c r="CN331" s="936"/>
      <c r="CR331" s="929"/>
      <c r="FF331" s="940"/>
      <c r="FG331" s="940"/>
      <c r="FH331" s="940"/>
      <c r="FI331" s="940"/>
      <c r="FJ331" s="940"/>
      <c r="FK331" s="940"/>
    </row>
    <row r="332" spans="7:167" ht="14.25" customHeight="1">
      <c r="G332" s="929"/>
      <c r="H332" s="929"/>
      <c r="I332" s="929"/>
      <c r="CN332" s="936"/>
      <c r="CR332" s="929"/>
      <c r="FF332" s="940"/>
      <c r="FG332" s="940"/>
      <c r="FH332" s="940"/>
      <c r="FI332" s="940"/>
      <c r="FJ332" s="940"/>
      <c r="FK332" s="940"/>
    </row>
    <row r="333" spans="7:167" ht="14.25" customHeight="1">
      <c r="G333" s="929"/>
      <c r="H333" s="929"/>
      <c r="I333" s="929"/>
      <c r="CN333" s="936"/>
      <c r="CR333" s="929"/>
      <c r="FF333" s="940"/>
      <c r="FG333" s="940"/>
      <c r="FH333" s="940"/>
      <c r="FI333" s="940"/>
      <c r="FJ333" s="940"/>
      <c r="FK333" s="940"/>
    </row>
    <row r="334" spans="7:167" ht="14.25" customHeight="1">
      <c r="G334" s="929"/>
      <c r="H334" s="929"/>
      <c r="I334" s="929"/>
      <c r="CN334" s="936"/>
      <c r="CR334" s="929"/>
      <c r="FF334" s="940"/>
      <c r="FG334" s="940"/>
      <c r="FH334" s="940"/>
      <c r="FI334" s="940"/>
      <c r="FJ334" s="940"/>
      <c r="FK334" s="940"/>
    </row>
    <row r="335" spans="7:167" ht="14.25" customHeight="1">
      <c r="G335" s="929"/>
      <c r="H335" s="929"/>
      <c r="I335" s="929"/>
      <c r="CN335" s="936"/>
      <c r="CR335" s="929"/>
      <c r="FF335" s="940"/>
      <c r="FG335" s="940"/>
      <c r="FH335" s="940"/>
      <c r="FI335" s="940"/>
      <c r="FJ335" s="940"/>
      <c r="FK335" s="940"/>
    </row>
    <row r="336" spans="7:167" ht="14.25" customHeight="1">
      <c r="G336" s="929"/>
      <c r="H336" s="929"/>
      <c r="I336" s="929"/>
      <c r="CN336" s="936"/>
      <c r="CR336" s="929"/>
      <c r="FF336" s="940"/>
      <c r="FG336" s="940"/>
      <c r="FH336" s="940"/>
      <c r="FI336" s="940"/>
      <c r="FJ336" s="940"/>
      <c r="FK336" s="940"/>
    </row>
    <row r="337" spans="7:167" ht="14.25" customHeight="1">
      <c r="G337" s="929"/>
      <c r="H337" s="929"/>
      <c r="I337" s="929"/>
      <c r="CN337" s="936"/>
      <c r="CR337" s="929"/>
      <c r="FF337" s="940"/>
      <c r="FG337" s="940"/>
      <c r="FH337" s="940"/>
      <c r="FI337" s="940"/>
      <c r="FJ337" s="940"/>
      <c r="FK337" s="940"/>
    </row>
    <row r="338" spans="7:167" ht="14.25" customHeight="1">
      <c r="G338" s="929"/>
      <c r="H338" s="929"/>
      <c r="I338" s="929"/>
      <c r="CN338" s="936"/>
      <c r="CR338" s="929"/>
      <c r="FF338" s="940"/>
      <c r="FG338" s="940"/>
      <c r="FH338" s="940"/>
      <c r="FI338" s="940"/>
      <c r="FJ338" s="940"/>
      <c r="FK338" s="940"/>
    </row>
    <row r="339" spans="7:167" ht="14.25" customHeight="1">
      <c r="G339" s="929"/>
      <c r="H339" s="929"/>
      <c r="I339" s="929"/>
      <c r="CN339" s="936"/>
      <c r="CR339" s="929"/>
      <c r="FF339" s="940"/>
      <c r="FG339" s="940"/>
      <c r="FH339" s="940"/>
      <c r="FI339" s="940"/>
      <c r="FJ339" s="940"/>
      <c r="FK339" s="940"/>
    </row>
    <row r="340" spans="7:167" ht="14.25" customHeight="1">
      <c r="G340" s="929"/>
      <c r="H340" s="929"/>
      <c r="I340" s="929"/>
      <c r="CN340" s="936"/>
      <c r="CR340" s="929"/>
      <c r="FF340" s="940"/>
      <c r="FG340" s="940"/>
      <c r="FH340" s="940"/>
      <c r="FI340" s="940"/>
      <c r="FJ340" s="940"/>
      <c r="FK340" s="940"/>
    </row>
    <row r="341" spans="7:167" ht="14.25" customHeight="1">
      <c r="G341" s="929"/>
      <c r="H341" s="929"/>
      <c r="I341" s="929"/>
      <c r="CN341" s="936"/>
      <c r="CR341" s="929"/>
      <c r="FF341" s="940"/>
      <c r="FG341" s="940"/>
      <c r="FH341" s="940"/>
      <c r="FI341" s="940"/>
      <c r="FJ341" s="940"/>
      <c r="FK341" s="940"/>
    </row>
    <row r="342" spans="7:167" ht="14.25" customHeight="1">
      <c r="G342" s="929"/>
      <c r="H342" s="929"/>
      <c r="I342" s="929"/>
      <c r="CN342" s="936"/>
      <c r="CR342" s="929"/>
      <c r="FF342" s="940"/>
      <c r="FG342" s="940"/>
      <c r="FH342" s="940"/>
      <c r="FI342" s="940"/>
      <c r="FJ342" s="940"/>
      <c r="FK342" s="940"/>
    </row>
    <row r="343" spans="7:167" ht="14.25" customHeight="1">
      <c r="G343" s="929"/>
      <c r="H343" s="929"/>
      <c r="I343" s="929"/>
      <c r="CN343" s="936"/>
      <c r="CR343" s="929"/>
      <c r="FF343" s="940"/>
      <c r="FG343" s="940"/>
      <c r="FH343" s="940"/>
      <c r="FI343" s="940"/>
      <c r="FJ343" s="940"/>
      <c r="FK343" s="940"/>
    </row>
    <row r="344" spans="7:167" ht="14.25" customHeight="1">
      <c r="G344" s="929"/>
      <c r="H344" s="929"/>
      <c r="I344" s="929"/>
      <c r="CN344" s="936"/>
      <c r="CR344" s="929"/>
      <c r="FF344" s="940"/>
      <c r="FG344" s="940"/>
      <c r="FH344" s="940"/>
      <c r="FI344" s="940"/>
      <c r="FJ344" s="940"/>
      <c r="FK344" s="940"/>
    </row>
    <row r="345" spans="7:167" ht="14.25" customHeight="1">
      <c r="G345" s="929"/>
      <c r="H345" s="929"/>
      <c r="I345" s="929"/>
      <c r="CN345" s="936"/>
      <c r="CR345" s="929"/>
      <c r="FF345" s="940"/>
      <c r="FG345" s="940"/>
      <c r="FH345" s="940"/>
      <c r="FI345" s="940"/>
      <c r="FJ345" s="940"/>
      <c r="FK345" s="940"/>
    </row>
    <row r="346" spans="7:167" ht="14.25" customHeight="1">
      <c r="G346" s="929"/>
      <c r="H346" s="929"/>
      <c r="I346" s="929"/>
      <c r="CN346" s="936"/>
      <c r="CR346" s="929"/>
      <c r="FF346" s="940"/>
      <c r="FG346" s="940"/>
      <c r="FH346" s="940"/>
      <c r="FI346" s="940"/>
      <c r="FJ346" s="940"/>
      <c r="FK346" s="940"/>
    </row>
    <row r="347" spans="7:167" ht="14.25" customHeight="1">
      <c r="G347" s="929"/>
      <c r="H347" s="929"/>
      <c r="I347" s="929"/>
      <c r="CN347" s="936"/>
      <c r="CR347" s="929"/>
      <c r="FF347" s="940"/>
      <c r="FG347" s="940"/>
      <c r="FH347" s="940"/>
      <c r="FI347" s="940"/>
      <c r="FJ347" s="940"/>
      <c r="FK347" s="940"/>
    </row>
    <row r="348" spans="7:167" ht="14.25" customHeight="1">
      <c r="G348" s="929"/>
      <c r="H348" s="929"/>
      <c r="I348" s="929"/>
      <c r="CN348" s="936"/>
      <c r="CR348" s="929"/>
      <c r="FF348" s="940"/>
      <c r="FG348" s="940"/>
      <c r="FH348" s="940"/>
      <c r="FI348" s="940"/>
      <c r="FJ348" s="940"/>
      <c r="FK348" s="940"/>
    </row>
    <row r="349" spans="7:167" ht="14.25" customHeight="1">
      <c r="G349" s="929"/>
      <c r="H349" s="929"/>
      <c r="I349" s="929"/>
      <c r="CN349" s="936"/>
      <c r="CR349" s="929"/>
      <c r="FF349" s="940"/>
      <c r="FG349" s="940"/>
      <c r="FH349" s="940"/>
      <c r="FI349" s="940"/>
      <c r="FJ349" s="940"/>
      <c r="FK349" s="940"/>
    </row>
    <row r="350" spans="7:167" ht="14.25" customHeight="1">
      <c r="G350" s="929"/>
      <c r="H350" s="929"/>
      <c r="I350" s="929"/>
      <c r="CN350" s="936"/>
      <c r="CR350" s="929"/>
    </row>
    <row r="351" spans="7:167" ht="14.25" customHeight="1">
      <c r="G351" s="929"/>
      <c r="H351" s="929"/>
      <c r="I351" s="929"/>
      <c r="CN351" s="936"/>
      <c r="CR351" s="929"/>
    </row>
    <row r="352" spans="7:167" ht="14.25" customHeight="1">
      <c r="G352" s="929"/>
      <c r="H352" s="929"/>
      <c r="I352" s="929"/>
      <c r="CN352" s="936"/>
      <c r="CR352" s="929"/>
    </row>
    <row r="353" spans="7:96" ht="14.25" customHeight="1">
      <c r="G353" s="929"/>
      <c r="H353" s="929"/>
      <c r="I353" s="929"/>
      <c r="CN353" s="936"/>
      <c r="CR353" s="929"/>
    </row>
    <row r="354" spans="7:96" ht="14.25" customHeight="1">
      <c r="G354" s="929"/>
      <c r="H354" s="929"/>
      <c r="I354" s="929"/>
      <c r="CN354" s="936"/>
      <c r="CR354" s="929"/>
    </row>
    <row r="355" spans="7:96" ht="14.25" customHeight="1">
      <c r="G355" s="929"/>
      <c r="H355" s="929"/>
      <c r="I355" s="929"/>
      <c r="CN355" s="936"/>
      <c r="CR355" s="929"/>
    </row>
    <row r="356" spans="7:96" ht="14.25" customHeight="1">
      <c r="G356" s="929"/>
      <c r="H356" s="929"/>
      <c r="I356" s="929"/>
      <c r="CN356" s="936"/>
      <c r="CR356" s="929"/>
    </row>
    <row r="357" spans="7:96" ht="14.25" customHeight="1">
      <c r="G357" s="929"/>
      <c r="H357" s="929"/>
      <c r="I357" s="929"/>
      <c r="CN357" s="936"/>
      <c r="CR357" s="929"/>
    </row>
    <row r="358" spans="7:96" ht="14.25" customHeight="1">
      <c r="G358" s="929"/>
      <c r="H358" s="929"/>
      <c r="I358" s="929"/>
      <c r="CN358" s="936"/>
      <c r="CR358" s="929"/>
    </row>
    <row r="359" spans="7:96" ht="14.25" customHeight="1">
      <c r="G359" s="929"/>
      <c r="H359" s="929"/>
      <c r="I359" s="929"/>
      <c r="CN359" s="936"/>
      <c r="CR359" s="929"/>
    </row>
    <row r="360" spans="7:96" ht="14.25" customHeight="1">
      <c r="G360" s="929"/>
      <c r="H360" s="929"/>
      <c r="I360" s="929"/>
      <c r="CN360" s="936"/>
      <c r="CR360" s="929"/>
    </row>
    <row r="361" spans="7:96" ht="14.25" customHeight="1">
      <c r="G361" s="929"/>
      <c r="H361" s="929"/>
      <c r="I361" s="929"/>
      <c r="CN361" s="936"/>
      <c r="CR361" s="929"/>
    </row>
    <row r="362" spans="7:96" ht="14.25" customHeight="1">
      <c r="G362" s="929"/>
      <c r="H362" s="929"/>
      <c r="I362" s="929"/>
      <c r="CN362" s="936"/>
      <c r="CR362" s="929"/>
    </row>
    <row r="363" spans="7:96" ht="14.25" customHeight="1">
      <c r="G363" s="929"/>
      <c r="H363" s="929"/>
      <c r="I363" s="929"/>
      <c r="CN363" s="936"/>
      <c r="CR363" s="929"/>
    </row>
    <row r="364" spans="7:96" ht="14.25" customHeight="1">
      <c r="G364" s="929"/>
      <c r="H364" s="929"/>
      <c r="I364" s="929"/>
      <c r="CN364" s="936"/>
      <c r="CR364" s="929"/>
    </row>
    <row r="365" spans="7:96" ht="14.25" customHeight="1">
      <c r="G365" s="929"/>
      <c r="H365" s="929"/>
      <c r="I365" s="929"/>
      <c r="CN365" s="936"/>
      <c r="CR365" s="929"/>
    </row>
    <row r="366" spans="7:96" ht="14.25" customHeight="1">
      <c r="G366" s="929"/>
      <c r="H366" s="929"/>
      <c r="I366" s="929"/>
      <c r="CN366" s="936"/>
      <c r="CR366" s="929"/>
    </row>
    <row r="367" spans="7:96" ht="14.25" customHeight="1">
      <c r="G367" s="929"/>
      <c r="H367" s="929"/>
      <c r="I367" s="929"/>
      <c r="CN367" s="936"/>
      <c r="CR367" s="929"/>
    </row>
    <row r="368" spans="7:96" ht="14.25" customHeight="1">
      <c r="G368" s="929"/>
      <c r="H368" s="929"/>
      <c r="I368" s="929"/>
      <c r="CN368" s="936"/>
      <c r="CR368" s="929"/>
    </row>
    <row r="369" spans="7:96" ht="14.25" customHeight="1">
      <c r="G369" s="929"/>
      <c r="H369" s="929"/>
      <c r="I369" s="929"/>
      <c r="CN369" s="936"/>
      <c r="CR369" s="929"/>
    </row>
    <row r="370" spans="7:96" ht="14.25" customHeight="1">
      <c r="G370" s="929"/>
      <c r="H370" s="929"/>
      <c r="I370" s="929"/>
      <c r="CN370" s="936"/>
      <c r="CR370" s="929"/>
    </row>
    <row r="371" spans="7:96" ht="14.25" customHeight="1">
      <c r="G371" s="929"/>
      <c r="H371" s="929"/>
      <c r="I371" s="929"/>
      <c r="CN371" s="936"/>
      <c r="CR371" s="929"/>
    </row>
    <row r="372" spans="7:96" ht="14.25" customHeight="1">
      <c r="G372" s="929"/>
      <c r="H372" s="929"/>
      <c r="I372" s="929"/>
      <c r="CN372" s="936"/>
      <c r="CR372" s="929"/>
    </row>
    <row r="373" spans="7:96" ht="14.25" customHeight="1">
      <c r="G373" s="929"/>
      <c r="H373" s="929"/>
      <c r="I373" s="929"/>
      <c r="CN373" s="936"/>
      <c r="CR373" s="929"/>
    </row>
    <row r="374" spans="7:96" ht="14.25" customHeight="1">
      <c r="G374" s="929"/>
      <c r="H374" s="929"/>
      <c r="I374" s="929"/>
      <c r="CN374" s="936"/>
      <c r="CR374" s="929"/>
    </row>
    <row r="375" spans="7:96" ht="14.25" customHeight="1">
      <c r="G375" s="929"/>
      <c r="H375" s="929"/>
      <c r="I375" s="929"/>
      <c r="CN375" s="936"/>
      <c r="CR375" s="929"/>
    </row>
    <row r="376" spans="7:96" ht="14.25" customHeight="1">
      <c r="G376" s="929"/>
      <c r="H376" s="929"/>
      <c r="I376" s="929"/>
      <c r="CN376" s="936"/>
      <c r="CR376" s="929"/>
    </row>
    <row r="377" spans="7:96" ht="14.25" customHeight="1">
      <c r="G377" s="929"/>
      <c r="H377" s="929"/>
      <c r="I377" s="929"/>
      <c r="CN377" s="936"/>
      <c r="CR377" s="929"/>
    </row>
    <row r="378" spans="7:96" ht="14.25" customHeight="1">
      <c r="G378" s="929"/>
      <c r="H378" s="929"/>
      <c r="I378" s="929"/>
      <c r="CN378" s="936"/>
      <c r="CR378" s="929"/>
    </row>
    <row r="379" spans="7:96" ht="14.25" customHeight="1">
      <c r="G379" s="929"/>
      <c r="H379" s="929"/>
      <c r="I379" s="929"/>
      <c r="CN379" s="936"/>
      <c r="CR379" s="929"/>
    </row>
    <row r="380" spans="7:96" ht="14.25" customHeight="1">
      <c r="G380" s="929"/>
      <c r="H380" s="929"/>
      <c r="I380" s="929"/>
      <c r="CN380" s="936"/>
      <c r="CR380" s="929"/>
    </row>
    <row r="381" spans="7:96" ht="14.25" customHeight="1">
      <c r="G381" s="929"/>
      <c r="H381" s="929"/>
      <c r="I381" s="929"/>
      <c r="CN381" s="936"/>
      <c r="CR381" s="929"/>
    </row>
    <row r="382" spans="7:96" ht="14.25" customHeight="1">
      <c r="G382" s="929"/>
      <c r="H382" s="929"/>
      <c r="I382" s="929"/>
      <c r="CN382" s="936"/>
      <c r="CR382" s="929"/>
    </row>
    <row r="383" spans="7:96" ht="14.25" customHeight="1">
      <c r="G383" s="929"/>
      <c r="H383" s="929"/>
      <c r="I383" s="929"/>
      <c r="CN383" s="936"/>
      <c r="CR383" s="929"/>
    </row>
    <row r="384" spans="7:96" ht="14.25" customHeight="1">
      <c r="G384" s="929"/>
      <c r="H384" s="929"/>
      <c r="I384" s="929"/>
      <c r="CN384" s="936"/>
      <c r="CR384" s="929"/>
    </row>
    <row r="385" spans="7:96" ht="14.25" customHeight="1">
      <c r="G385" s="929"/>
      <c r="H385" s="929"/>
      <c r="I385" s="929"/>
      <c r="CN385" s="936"/>
      <c r="CR385" s="929"/>
    </row>
    <row r="386" spans="7:96" ht="14.25" customHeight="1">
      <c r="G386" s="929"/>
      <c r="H386" s="929"/>
      <c r="I386" s="929"/>
      <c r="CN386" s="936"/>
      <c r="CR386" s="929"/>
    </row>
    <row r="387" spans="7:96" ht="14.25" customHeight="1">
      <c r="G387" s="929"/>
      <c r="H387" s="929"/>
      <c r="I387" s="929"/>
      <c r="CN387" s="936"/>
      <c r="CR387" s="929"/>
    </row>
    <row r="388" spans="7:96" ht="14.25" customHeight="1">
      <c r="G388" s="929"/>
      <c r="H388" s="929"/>
      <c r="I388" s="929"/>
      <c r="CN388" s="936"/>
      <c r="CR388" s="929"/>
    </row>
    <row r="389" spans="7:96" ht="14.25" customHeight="1">
      <c r="G389" s="929"/>
      <c r="H389" s="929"/>
      <c r="I389" s="929"/>
      <c r="CN389" s="936"/>
      <c r="CR389" s="929"/>
    </row>
    <row r="390" spans="7:96" ht="14.25" customHeight="1">
      <c r="G390" s="929"/>
      <c r="H390" s="929"/>
      <c r="I390" s="929"/>
      <c r="CN390" s="936"/>
      <c r="CR390" s="929"/>
    </row>
    <row r="391" spans="7:96" ht="14.25" customHeight="1">
      <c r="G391" s="929"/>
      <c r="H391" s="929"/>
      <c r="I391" s="929"/>
      <c r="CN391" s="936"/>
      <c r="CR391" s="929"/>
    </row>
    <row r="392" spans="7:96" ht="14.25" customHeight="1">
      <c r="G392" s="929"/>
      <c r="H392" s="929"/>
      <c r="I392" s="929"/>
      <c r="CN392" s="936"/>
      <c r="CR392" s="929"/>
    </row>
    <row r="393" spans="7:96" ht="14.25" customHeight="1">
      <c r="G393" s="929"/>
      <c r="H393" s="929"/>
      <c r="I393" s="929"/>
      <c r="CN393" s="936"/>
      <c r="CR393" s="929"/>
    </row>
    <row r="394" spans="7:96" ht="14.25" customHeight="1">
      <c r="G394" s="929"/>
      <c r="H394" s="929"/>
      <c r="I394" s="929"/>
      <c r="CN394" s="936"/>
      <c r="CR394" s="929"/>
    </row>
    <row r="395" spans="7:96" ht="14.25" customHeight="1">
      <c r="G395" s="929"/>
      <c r="H395" s="929"/>
      <c r="I395" s="929"/>
      <c r="CN395" s="936"/>
      <c r="CR395" s="929"/>
    </row>
    <row r="396" spans="7:96" ht="14.25" customHeight="1">
      <c r="G396" s="929"/>
      <c r="H396" s="929"/>
      <c r="I396" s="929"/>
      <c r="CN396" s="936"/>
      <c r="CR396" s="929"/>
    </row>
    <row r="397" spans="7:96" ht="14.25" customHeight="1">
      <c r="G397" s="929"/>
      <c r="H397" s="929"/>
      <c r="I397" s="929"/>
      <c r="CN397" s="936"/>
      <c r="CR397" s="929"/>
    </row>
    <row r="398" spans="7:96" ht="14.25" customHeight="1">
      <c r="G398" s="929"/>
      <c r="H398" s="929"/>
      <c r="I398" s="929"/>
      <c r="CN398" s="936"/>
      <c r="CR398" s="929"/>
    </row>
    <row r="399" spans="7:96" ht="14.25" customHeight="1">
      <c r="G399" s="929"/>
      <c r="H399" s="929"/>
      <c r="I399" s="929"/>
      <c r="CN399" s="936"/>
      <c r="CR399" s="929"/>
    </row>
    <row r="400" spans="7:96" ht="14.25" customHeight="1">
      <c r="G400" s="929"/>
      <c r="H400" s="929"/>
      <c r="I400" s="929"/>
      <c r="CN400" s="936"/>
      <c r="CR400" s="929"/>
    </row>
    <row r="401" spans="7:96" ht="14.25" customHeight="1">
      <c r="G401" s="929"/>
      <c r="H401" s="929"/>
      <c r="I401" s="929"/>
      <c r="CN401" s="936"/>
      <c r="CR401" s="929"/>
    </row>
    <row r="402" spans="7:96" ht="14.25" customHeight="1">
      <c r="G402" s="929"/>
      <c r="H402" s="929"/>
      <c r="I402" s="929"/>
      <c r="CN402" s="936"/>
      <c r="CR402" s="929"/>
    </row>
    <row r="403" spans="7:96" ht="14.25" customHeight="1">
      <c r="G403" s="929"/>
      <c r="H403" s="929"/>
      <c r="I403" s="929"/>
      <c r="CN403" s="936"/>
      <c r="CR403" s="929"/>
    </row>
    <row r="404" spans="7:96" ht="14.25" customHeight="1">
      <c r="G404" s="929"/>
      <c r="H404" s="929"/>
      <c r="I404" s="929"/>
      <c r="CN404" s="936"/>
      <c r="CR404" s="929"/>
    </row>
    <row r="405" spans="7:96" ht="14.25" customHeight="1">
      <c r="G405" s="929"/>
      <c r="H405" s="929"/>
      <c r="I405" s="929"/>
      <c r="CN405" s="936"/>
      <c r="CR405" s="929"/>
    </row>
    <row r="406" spans="7:96" ht="14.25" customHeight="1">
      <c r="G406" s="929"/>
      <c r="H406" s="929"/>
      <c r="I406" s="929"/>
      <c r="CN406" s="936"/>
      <c r="CR406" s="929"/>
    </row>
    <row r="407" spans="7:96" ht="14.25" customHeight="1">
      <c r="G407" s="929"/>
      <c r="H407" s="929"/>
      <c r="I407" s="929"/>
      <c r="CN407" s="936"/>
      <c r="CR407" s="929"/>
    </row>
    <row r="408" spans="7:96" ht="14.25" customHeight="1">
      <c r="G408" s="929"/>
      <c r="H408" s="929"/>
      <c r="I408" s="929"/>
      <c r="CN408" s="936"/>
      <c r="CR408" s="929"/>
    </row>
    <row r="409" spans="7:96" ht="14.25" customHeight="1">
      <c r="G409" s="929"/>
      <c r="H409" s="929"/>
      <c r="I409" s="929"/>
      <c r="CN409" s="936"/>
      <c r="CR409" s="929"/>
    </row>
    <row r="410" spans="7:96" ht="14.25" customHeight="1">
      <c r="G410" s="929"/>
      <c r="H410" s="929"/>
      <c r="I410" s="929"/>
      <c r="CN410" s="936"/>
      <c r="CR410" s="929"/>
    </row>
    <row r="411" spans="7:96" ht="14.25" customHeight="1">
      <c r="G411" s="929"/>
      <c r="H411" s="929"/>
      <c r="I411" s="929"/>
      <c r="CN411" s="936"/>
      <c r="CR411" s="929"/>
    </row>
    <row r="412" spans="7:96" ht="14.25" customHeight="1">
      <c r="G412" s="929"/>
      <c r="H412" s="929"/>
      <c r="I412" s="929"/>
      <c r="CN412" s="936"/>
      <c r="CR412" s="929"/>
    </row>
    <row r="413" spans="7:96" ht="14.25" customHeight="1">
      <c r="G413" s="929"/>
      <c r="H413" s="929"/>
      <c r="I413" s="929"/>
      <c r="CN413" s="936"/>
      <c r="CR413" s="929"/>
    </row>
    <row r="414" spans="7:96" ht="14.25" customHeight="1">
      <c r="G414" s="929"/>
      <c r="H414" s="929"/>
      <c r="I414" s="929"/>
      <c r="CN414" s="936"/>
      <c r="CR414" s="929"/>
    </row>
    <row r="415" spans="7:96" ht="14.25" customHeight="1">
      <c r="G415" s="929"/>
      <c r="H415" s="929"/>
      <c r="I415" s="929"/>
      <c r="CN415" s="936"/>
      <c r="CR415" s="929"/>
    </row>
    <row r="416" spans="7:96" ht="14.25" customHeight="1">
      <c r="G416" s="929"/>
      <c r="H416" s="929"/>
      <c r="I416" s="929"/>
      <c r="CN416" s="936"/>
      <c r="CR416" s="929"/>
    </row>
    <row r="417" spans="7:96" ht="14.25" customHeight="1">
      <c r="G417" s="929"/>
      <c r="H417" s="929"/>
      <c r="I417" s="929"/>
      <c r="CN417" s="936"/>
      <c r="CR417" s="929"/>
    </row>
    <row r="418" spans="7:96" ht="14.25" customHeight="1">
      <c r="G418" s="929"/>
      <c r="H418" s="929"/>
      <c r="I418" s="929"/>
      <c r="CN418" s="936"/>
      <c r="CR418" s="929"/>
    </row>
    <row r="419" spans="7:96" ht="14.25" customHeight="1">
      <c r="G419" s="929"/>
      <c r="H419" s="929"/>
      <c r="I419" s="929"/>
      <c r="CN419" s="936"/>
      <c r="CR419" s="929"/>
    </row>
    <row r="420" spans="7:96" ht="14.25" customHeight="1">
      <c r="G420" s="929"/>
      <c r="H420" s="929"/>
      <c r="I420" s="929"/>
      <c r="CN420" s="936"/>
      <c r="CR420" s="929"/>
    </row>
    <row r="421" spans="7:96" ht="14.25" customHeight="1">
      <c r="G421" s="929"/>
      <c r="H421" s="929"/>
      <c r="I421" s="929"/>
      <c r="CN421" s="936"/>
      <c r="CR421" s="929"/>
    </row>
    <row r="422" spans="7:96" ht="14.25" customHeight="1">
      <c r="G422" s="929"/>
      <c r="H422" s="929"/>
      <c r="I422" s="929"/>
      <c r="CN422" s="936"/>
      <c r="CR422" s="929"/>
    </row>
    <row r="423" spans="7:96" ht="14.25" customHeight="1">
      <c r="G423" s="929"/>
      <c r="H423" s="929"/>
      <c r="I423" s="929"/>
      <c r="CN423" s="936"/>
      <c r="CR423" s="929"/>
    </row>
    <row r="424" spans="7:96" ht="14.25" customHeight="1">
      <c r="G424" s="929"/>
      <c r="H424" s="929"/>
      <c r="I424" s="929"/>
      <c r="CN424" s="936"/>
      <c r="CR424" s="929"/>
    </row>
    <row r="425" spans="7:96" ht="14.25" customHeight="1">
      <c r="G425" s="929"/>
      <c r="H425" s="929"/>
      <c r="I425" s="929"/>
      <c r="CN425" s="936"/>
      <c r="CR425" s="929"/>
    </row>
    <row r="426" spans="7:96" ht="14.25" customHeight="1">
      <c r="G426" s="929"/>
      <c r="H426" s="929"/>
      <c r="I426" s="929"/>
      <c r="CN426" s="936"/>
      <c r="CR426" s="929"/>
    </row>
    <row r="427" spans="7:96" ht="14.25" customHeight="1">
      <c r="G427" s="929"/>
      <c r="H427" s="929"/>
      <c r="I427" s="929"/>
      <c r="CN427" s="936"/>
      <c r="CR427" s="929"/>
    </row>
    <row r="428" spans="7:96" ht="14.25" customHeight="1">
      <c r="G428" s="929"/>
      <c r="H428" s="929"/>
      <c r="I428" s="929"/>
      <c r="CN428" s="936"/>
      <c r="CR428" s="929"/>
    </row>
    <row r="429" spans="7:96" ht="14.25" customHeight="1">
      <c r="G429" s="929"/>
      <c r="H429" s="929"/>
      <c r="I429" s="929"/>
      <c r="CN429" s="936"/>
      <c r="CR429" s="929"/>
    </row>
    <row r="430" spans="7:96" ht="14.25" customHeight="1">
      <c r="G430" s="929"/>
      <c r="H430" s="929"/>
      <c r="I430" s="929"/>
      <c r="CN430" s="936"/>
      <c r="CR430" s="929"/>
    </row>
    <row r="431" spans="7:96" ht="14.25" customHeight="1">
      <c r="G431" s="929"/>
      <c r="H431" s="929"/>
      <c r="I431" s="929"/>
      <c r="CN431" s="936"/>
      <c r="CR431" s="929"/>
    </row>
    <row r="432" spans="7:96" ht="14.25" customHeight="1">
      <c r="G432" s="929"/>
      <c r="H432" s="929"/>
      <c r="I432" s="929"/>
      <c r="CN432" s="936"/>
      <c r="CR432" s="929"/>
    </row>
    <row r="433" spans="7:96" ht="14.25" customHeight="1">
      <c r="G433" s="929"/>
      <c r="H433" s="929"/>
      <c r="I433" s="929"/>
      <c r="CN433" s="936"/>
      <c r="CR433" s="929"/>
    </row>
    <row r="434" spans="7:96" ht="14.25" customHeight="1">
      <c r="G434" s="929"/>
      <c r="H434" s="929"/>
      <c r="I434" s="929"/>
      <c r="CN434" s="936"/>
      <c r="CR434" s="929"/>
    </row>
    <row r="435" spans="7:96" ht="14.25" customHeight="1">
      <c r="G435" s="929"/>
      <c r="H435" s="929"/>
      <c r="I435" s="929"/>
      <c r="CN435" s="936"/>
      <c r="CR435" s="929"/>
    </row>
    <row r="436" spans="7:96" ht="14.25" customHeight="1">
      <c r="G436" s="929"/>
      <c r="H436" s="929"/>
      <c r="I436" s="929"/>
      <c r="CN436" s="936"/>
      <c r="CR436" s="929"/>
    </row>
    <row r="437" spans="7:96" ht="14.25" customHeight="1">
      <c r="G437" s="929"/>
      <c r="H437" s="929"/>
      <c r="I437" s="929"/>
      <c r="CN437" s="936"/>
      <c r="CR437" s="929"/>
    </row>
    <row r="438" spans="7:96" ht="14.25" customHeight="1">
      <c r="G438" s="929"/>
      <c r="H438" s="929"/>
      <c r="I438" s="929"/>
      <c r="CN438" s="936"/>
      <c r="CR438" s="929"/>
    </row>
    <row r="439" spans="7:96" ht="14.25" customHeight="1">
      <c r="G439" s="929"/>
      <c r="H439" s="929"/>
      <c r="I439" s="929"/>
      <c r="CN439" s="936"/>
      <c r="CR439" s="929"/>
    </row>
    <row r="440" spans="7:96" ht="14.25" customHeight="1">
      <c r="G440" s="929"/>
      <c r="H440" s="929"/>
      <c r="I440" s="929"/>
      <c r="CN440" s="936"/>
      <c r="CR440" s="929"/>
    </row>
    <row r="441" spans="7:96" ht="14.25" customHeight="1">
      <c r="G441" s="929"/>
      <c r="H441" s="929"/>
      <c r="I441" s="929"/>
      <c r="CN441" s="936"/>
      <c r="CR441" s="929"/>
    </row>
    <row r="442" spans="7:96" ht="14.25" customHeight="1">
      <c r="G442" s="929"/>
      <c r="H442" s="929"/>
      <c r="I442" s="929"/>
      <c r="CN442" s="936"/>
      <c r="CR442" s="929"/>
    </row>
    <row r="443" spans="7:96" ht="14.25" customHeight="1">
      <c r="G443" s="929"/>
      <c r="H443" s="929"/>
      <c r="I443" s="929"/>
      <c r="CN443" s="936"/>
      <c r="CR443" s="929"/>
    </row>
    <row r="444" spans="7:96" ht="14.25" customHeight="1">
      <c r="G444" s="929"/>
      <c r="H444" s="929"/>
      <c r="I444" s="929"/>
      <c r="CN444" s="936"/>
      <c r="CR444" s="929"/>
    </row>
    <row r="445" spans="7:96" ht="14.25" customHeight="1">
      <c r="G445" s="929"/>
      <c r="H445" s="929"/>
      <c r="I445" s="929"/>
      <c r="CN445" s="936"/>
      <c r="CR445" s="929"/>
    </row>
    <row r="446" spans="7:96" ht="14.25" customHeight="1">
      <c r="G446" s="929"/>
      <c r="H446" s="929"/>
      <c r="I446" s="929"/>
      <c r="CN446" s="936"/>
      <c r="CR446" s="929"/>
    </row>
    <row r="447" spans="7:96" ht="14.25" customHeight="1">
      <c r="G447" s="929"/>
      <c r="H447" s="929"/>
      <c r="I447" s="929"/>
      <c r="CN447" s="936"/>
      <c r="CR447" s="929"/>
    </row>
    <row r="448" spans="7:96" ht="14.25" customHeight="1">
      <c r="G448" s="929"/>
      <c r="H448" s="929"/>
      <c r="I448" s="929"/>
      <c r="CN448" s="936"/>
      <c r="CR448" s="929"/>
    </row>
    <row r="449" spans="7:96" ht="14.25" customHeight="1">
      <c r="G449" s="929"/>
      <c r="H449" s="929"/>
      <c r="I449" s="929"/>
      <c r="CN449" s="936"/>
      <c r="CR449" s="929"/>
    </row>
    <row r="450" spans="7:96" ht="14.25" customHeight="1">
      <c r="G450" s="929"/>
      <c r="H450" s="929"/>
      <c r="I450" s="929"/>
      <c r="CN450" s="936"/>
      <c r="CR450" s="929"/>
    </row>
    <row r="451" spans="7:96" ht="14.25" customHeight="1">
      <c r="G451" s="929"/>
      <c r="H451" s="929"/>
      <c r="I451" s="929"/>
      <c r="CN451" s="936"/>
      <c r="CR451" s="929"/>
    </row>
    <row r="452" spans="7:96" ht="14.25" customHeight="1">
      <c r="G452" s="929"/>
      <c r="H452" s="929"/>
      <c r="I452" s="929"/>
      <c r="CN452" s="936"/>
      <c r="CR452" s="929"/>
    </row>
    <row r="453" spans="7:96" ht="14.25" customHeight="1">
      <c r="G453" s="929"/>
      <c r="H453" s="929"/>
      <c r="I453" s="929"/>
      <c r="CN453" s="936"/>
      <c r="CR453" s="929"/>
    </row>
    <row r="454" spans="7:96" ht="14.25" customHeight="1">
      <c r="G454" s="929"/>
      <c r="H454" s="929"/>
      <c r="I454" s="929"/>
      <c r="CN454" s="936"/>
      <c r="CR454" s="929"/>
    </row>
    <row r="455" spans="7:96" ht="14.25" customHeight="1">
      <c r="G455" s="929"/>
      <c r="H455" s="929"/>
      <c r="I455" s="929"/>
      <c r="CN455" s="936"/>
      <c r="CR455" s="929"/>
    </row>
    <row r="456" spans="7:96" ht="14.25" customHeight="1">
      <c r="G456" s="929"/>
      <c r="H456" s="929"/>
      <c r="I456" s="929"/>
      <c r="CN456" s="936"/>
      <c r="CR456" s="929"/>
    </row>
    <row r="457" spans="7:96" ht="14.25" customHeight="1">
      <c r="G457" s="929"/>
      <c r="H457" s="929"/>
      <c r="I457" s="929"/>
      <c r="CN457" s="936"/>
      <c r="CR457" s="929"/>
    </row>
    <row r="458" spans="7:96" ht="14.25" customHeight="1">
      <c r="G458" s="929"/>
      <c r="H458" s="929"/>
      <c r="I458" s="929"/>
      <c r="CN458" s="936"/>
      <c r="CR458" s="929"/>
    </row>
    <row r="459" spans="7:96" ht="14.25" customHeight="1">
      <c r="G459" s="929"/>
      <c r="H459" s="929"/>
      <c r="I459" s="929"/>
      <c r="CN459" s="936"/>
      <c r="CR459" s="929"/>
    </row>
    <row r="460" spans="7:96" ht="14.25" customHeight="1">
      <c r="G460" s="929"/>
      <c r="H460" s="929"/>
      <c r="I460" s="929"/>
      <c r="CN460" s="936"/>
      <c r="CR460" s="929"/>
    </row>
    <row r="461" spans="7:96" ht="14.25" customHeight="1">
      <c r="G461" s="929"/>
      <c r="H461" s="929"/>
      <c r="I461" s="929"/>
      <c r="CN461" s="936"/>
      <c r="CR461" s="929"/>
    </row>
    <row r="462" spans="7:96" ht="14.25" customHeight="1">
      <c r="G462" s="929"/>
      <c r="H462" s="929"/>
      <c r="I462" s="929"/>
      <c r="CN462" s="936"/>
      <c r="CR462" s="929"/>
    </row>
    <row r="463" spans="7:96" ht="14.25" customHeight="1">
      <c r="G463" s="929"/>
      <c r="H463" s="929"/>
      <c r="I463" s="929"/>
      <c r="CN463" s="936"/>
      <c r="CR463" s="929"/>
    </row>
    <row r="464" spans="7:96" ht="14.25" customHeight="1">
      <c r="G464" s="929"/>
      <c r="H464" s="929"/>
      <c r="I464" s="929"/>
      <c r="CN464" s="936"/>
      <c r="CR464" s="929"/>
    </row>
    <row r="465" spans="7:96" ht="14.25" customHeight="1">
      <c r="G465" s="929"/>
      <c r="H465" s="929"/>
      <c r="I465" s="929"/>
      <c r="CN465" s="936"/>
      <c r="CR465" s="929"/>
    </row>
    <row r="466" spans="7:96" ht="14.25" customHeight="1">
      <c r="G466" s="929"/>
      <c r="H466" s="929"/>
      <c r="I466" s="929"/>
      <c r="CN466" s="936"/>
      <c r="CR466" s="929"/>
    </row>
    <row r="467" spans="7:96" ht="14.25" customHeight="1">
      <c r="G467" s="929"/>
      <c r="H467" s="929"/>
      <c r="I467" s="929"/>
      <c r="CN467" s="936"/>
      <c r="CR467" s="929"/>
    </row>
    <row r="468" spans="7:96" ht="14.25" customHeight="1">
      <c r="G468" s="929"/>
      <c r="H468" s="929"/>
      <c r="I468" s="929"/>
      <c r="CN468" s="936"/>
      <c r="CR468" s="929"/>
    </row>
    <row r="469" spans="7:96" ht="14.25" customHeight="1">
      <c r="G469" s="929"/>
      <c r="H469" s="929"/>
      <c r="I469" s="929"/>
      <c r="CN469" s="936"/>
      <c r="CR469" s="929"/>
    </row>
    <row r="470" spans="7:96" ht="14.25" customHeight="1">
      <c r="G470" s="929"/>
      <c r="H470" s="929"/>
      <c r="I470" s="929"/>
      <c r="CN470" s="936"/>
      <c r="CR470" s="929"/>
    </row>
    <row r="471" spans="7:96" ht="14.25" customHeight="1">
      <c r="G471" s="929"/>
      <c r="H471" s="929"/>
      <c r="I471" s="929"/>
      <c r="CN471" s="936"/>
      <c r="CR471" s="929"/>
    </row>
    <row r="472" spans="7:96" ht="14.25" customHeight="1">
      <c r="G472" s="929"/>
      <c r="H472" s="929"/>
      <c r="I472" s="929"/>
      <c r="CN472" s="936"/>
      <c r="CR472" s="929"/>
    </row>
    <row r="473" spans="7:96" ht="14.25" customHeight="1">
      <c r="G473" s="929"/>
      <c r="H473" s="929"/>
      <c r="I473" s="929"/>
      <c r="CN473" s="936"/>
      <c r="CR473" s="929"/>
    </row>
    <row r="474" spans="7:96" ht="14.25" customHeight="1">
      <c r="G474" s="929"/>
      <c r="H474" s="929"/>
      <c r="I474" s="929"/>
      <c r="CN474" s="936"/>
      <c r="CR474" s="929"/>
    </row>
    <row r="475" spans="7:96" ht="14.25" customHeight="1">
      <c r="G475" s="929"/>
      <c r="H475" s="929"/>
      <c r="I475" s="929"/>
      <c r="CN475" s="936"/>
      <c r="CR475" s="929"/>
    </row>
    <row r="476" spans="7:96" ht="14.25" customHeight="1">
      <c r="G476" s="929"/>
      <c r="H476" s="929"/>
      <c r="I476" s="929"/>
      <c r="CN476" s="936"/>
      <c r="CR476" s="929"/>
    </row>
    <row r="477" spans="7:96" ht="14.25" customHeight="1">
      <c r="G477" s="929"/>
      <c r="H477" s="929"/>
      <c r="I477" s="929"/>
      <c r="CN477" s="936"/>
      <c r="CR477" s="929"/>
    </row>
    <row r="478" spans="7:96" ht="14.25" customHeight="1">
      <c r="G478" s="929"/>
      <c r="H478" s="929"/>
      <c r="I478" s="929"/>
      <c r="CN478" s="936"/>
      <c r="CR478" s="929"/>
    </row>
    <row r="479" spans="7:96" ht="14.25" customHeight="1">
      <c r="G479" s="929"/>
      <c r="H479" s="929"/>
      <c r="I479" s="929"/>
      <c r="CN479" s="936"/>
      <c r="CR479" s="929"/>
    </row>
    <row r="480" spans="7:96" ht="14.25" customHeight="1">
      <c r="G480" s="929"/>
      <c r="H480" s="929"/>
      <c r="I480" s="929"/>
      <c r="CN480" s="936"/>
      <c r="CR480" s="929"/>
    </row>
    <row r="481" spans="7:96" ht="14.25" customHeight="1">
      <c r="G481" s="929"/>
      <c r="H481" s="929"/>
      <c r="I481" s="929"/>
      <c r="CN481" s="936"/>
      <c r="CR481" s="929"/>
    </row>
    <row r="482" spans="7:96" ht="14.25" customHeight="1">
      <c r="G482" s="929"/>
      <c r="H482" s="929"/>
      <c r="I482" s="929"/>
      <c r="CN482" s="936"/>
      <c r="CR482" s="929"/>
    </row>
    <row r="483" spans="7:96" ht="14.25" customHeight="1">
      <c r="G483" s="929"/>
      <c r="H483" s="929"/>
      <c r="I483" s="929"/>
      <c r="CN483" s="936"/>
      <c r="CR483" s="929"/>
    </row>
    <row r="484" spans="7:96" ht="14.25" customHeight="1">
      <c r="G484" s="929"/>
      <c r="H484" s="929"/>
      <c r="I484" s="929"/>
      <c r="CN484" s="936"/>
      <c r="CR484" s="929"/>
    </row>
    <row r="485" spans="7:96" ht="14.25" customHeight="1">
      <c r="G485" s="929"/>
      <c r="H485" s="929"/>
      <c r="I485" s="929"/>
      <c r="CN485" s="936"/>
      <c r="CR485" s="929"/>
    </row>
    <row r="486" spans="7:96" ht="14.25" customHeight="1">
      <c r="G486" s="929"/>
      <c r="H486" s="929"/>
      <c r="I486" s="929"/>
      <c r="CN486" s="936"/>
      <c r="CR486" s="929"/>
    </row>
    <row r="487" spans="7:96" ht="14.25" customHeight="1">
      <c r="G487" s="929"/>
      <c r="H487" s="929"/>
      <c r="I487" s="929"/>
      <c r="CN487" s="936"/>
      <c r="CR487" s="929"/>
    </row>
    <row r="488" spans="7:96" ht="14.25" customHeight="1">
      <c r="G488" s="929"/>
      <c r="H488" s="929"/>
      <c r="I488" s="929"/>
      <c r="CN488" s="936"/>
      <c r="CR488" s="929"/>
    </row>
    <row r="489" spans="7:96" ht="14.25" customHeight="1">
      <c r="G489" s="929"/>
      <c r="H489" s="929"/>
      <c r="I489" s="929"/>
      <c r="CN489" s="936"/>
      <c r="CR489" s="929"/>
    </row>
    <row r="490" spans="7:96" ht="14.25" customHeight="1">
      <c r="G490" s="929"/>
      <c r="H490" s="929"/>
      <c r="I490" s="929"/>
      <c r="CN490" s="936"/>
      <c r="CR490" s="929"/>
    </row>
    <row r="491" spans="7:96" ht="14.25" customHeight="1">
      <c r="G491" s="929"/>
      <c r="H491" s="929"/>
      <c r="I491" s="929"/>
      <c r="CN491" s="936"/>
      <c r="CR491" s="929"/>
    </row>
    <row r="492" spans="7:96" ht="14.25" customHeight="1">
      <c r="G492" s="929"/>
      <c r="H492" s="929"/>
      <c r="I492" s="929"/>
      <c r="CN492" s="936"/>
      <c r="CR492" s="929"/>
    </row>
    <row r="493" spans="7:96" ht="14.25" customHeight="1">
      <c r="G493" s="929"/>
      <c r="H493" s="929"/>
      <c r="I493" s="929"/>
      <c r="CN493" s="936"/>
      <c r="CR493" s="929"/>
    </row>
    <row r="494" spans="7:96" ht="14.25" customHeight="1">
      <c r="G494" s="929"/>
      <c r="H494" s="929"/>
      <c r="I494" s="929"/>
      <c r="CN494" s="936"/>
      <c r="CR494" s="929"/>
    </row>
    <row r="495" spans="7:96" ht="14.25" customHeight="1">
      <c r="G495" s="929"/>
      <c r="H495" s="929"/>
      <c r="I495" s="929"/>
      <c r="CN495" s="936"/>
      <c r="CR495" s="929"/>
    </row>
    <row r="496" spans="7:96" ht="14.25" customHeight="1">
      <c r="G496" s="929"/>
      <c r="H496" s="929"/>
      <c r="I496" s="929"/>
      <c r="CN496" s="936"/>
      <c r="CR496" s="929"/>
    </row>
    <row r="497" spans="7:96" ht="14.25" customHeight="1">
      <c r="G497" s="929"/>
      <c r="H497" s="929"/>
      <c r="I497" s="929"/>
      <c r="CN497" s="936"/>
      <c r="CR497" s="929"/>
    </row>
    <row r="498" spans="7:96" ht="14.25" customHeight="1">
      <c r="G498" s="929"/>
      <c r="H498" s="929"/>
      <c r="I498" s="929"/>
      <c r="CN498" s="936"/>
      <c r="CR498" s="929"/>
    </row>
    <row r="499" spans="7:96" ht="14.25" customHeight="1">
      <c r="G499" s="929"/>
      <c r="H499" s="929"/>
      <c r="I499" s="929"/>
      <c r="CN499" s="936"/>
      <c r="CR499" s="929"/>
    </row>
    <row r="500" spans="7:96" ht="14.25" customHeight="1">
      <c r="G500" s="929"/>
      <c r="H500" s="929"/>
      <c r="I500" s="929"/>
      <c r="CN500" s="936"/>
      <c r="CR500" s="929"/>
    </row>
    <row r="501" spans="7:96" ht="14.25" customHeight="1">
      <c r="G501" s="929"/>
      <c r="H501" s="929"/>
      <c r="I501" s="929"/>
      <c r="CN501" s="936"/>
      <c r="CR501" s="929"/>
    </row>
    <row r="502" spans="7:96" ht="14.25" customHeight="1">
      <c r="G502" s="929"/>
      <c r="H502" s="929"/>
      <c r="I502" s="929"/>
      <c r="CN502" s="936"/>
      <c r="CR502" s="929"/>
    </row>
    <row r="503" spans="7:96" ht="14.25" customHeight="1">
      <c r="G503" s="929"/>
      <c r="H503" s="929"/>
      <c r="I503" s="929"/>
      <c r="CN503" s="936"/>
      <c r="CR503" s="929"/>
    </row>
    <row r="504" spans="7:96" ht="14.25" customHeight="1">
      <c r="G504" s="929"/>
      <c r="H504" s="929"/>
      <c r="I504" s="929"/>
      <c r="CN504" s="936"/>
      <c r="CR504" s="929"/>
    </row>
    <row r="505" spans="7:96" ht="14.25" customHeight="1">
      <c r="G505" s="929"/>
      <c r="H505" s="929"/>
      <c r="I505" s="929"/>
      <c r="CN505" s="936"/>
      <c r="CR505" s="929"/>
    </row>
    <row r="506" spans="7:96" ht="14.25" customHeight="1">
      <c r="G506" s="929"/>
      <c r="H506" s="929"/>
      <c r="I506" s="929"/>
      <c r="CN506" s="936"/>
      <c r="CR506" s="929"/>
    </row>
    <row r="507" spans="7:96" ht="14.25" customHeight="1">
      <c r="G507" s="929"/>
      <c r="H507" s="929"/>
      <c r="I507" s="929"/>
      <c r="CN507" s="936"/>
      <c r="CR507" s="929"/>
    </row>
    <row r="508" spans="7:96" ht="14.25" customHeight="1">
      <c r="G508" s="929"/>
      <c r="H508" s="929"/>
      <c r="I508" s="929"/>
      <c r="CN508" s="936"/>
      <c r="CR508" s="929"/>
    </row>
    <row r="509" spans="7:96" ht="14.25" customHeight="1">
      <c r="G509" s="929"/>
      <c r="H509" s="929"/>
      <c r="I509" s="929"/>
      <c r="CN509" s="936"/>
      <c r="CR509" s="929"/>
    </row>
    <row r="510" spans="7:96" ht="14.25" customHeight="1">
      <c r="G510" s="929"/>
      <c r="H510" s="929"/>
      <c r="I510" s="929"/>
      <c r="CN510" s="936"/>
      <c r="CR510" s="929"/>
    </row>
    <row r="511" spans="7:96" ht="14.25" customHeight="1">
      <c r="G511" s="929"/>
      <c r="H511" s="929"/>
      <c r="I511" s="929"/>
      <c r="CN511" s="936"/>
      <c r="CR511" s="929"/>
    </row>
    <row r="512" spans="7:96" ht="14.25" customHeight="1">
      <c r="G512" s="929"/>
      <c r="H512" s="929"/>
      <c r="I512" s="929"/>
      <c r="CN512" s="936"/>
      <c r="CR512" s="929"/>
    </row>
    <row r="513" spans="7:96" ht="14.25" customHeight="1">
      <c r="G513" s="929"/>
      <c r="H513" s="929"/>
      <c r="I513" s="929"/>
      <c r="CN513" s="936"/>
      <c r="CR513" s="929"/>
    </row>
    <row r="514" spans="7:96" ht="14.25" customHeight="1">
      <c r="G514" s="929"/>
      <c r="H514" s="929"/>
      <c r="I514" s="929"/>
      <c r="CN514" s="936"/>
      <c r="CR514" s="929"/>
    </row>
    <row r="515" spans="7:96" ht="14.25" customHeight="1">
      <c r="G515" s="929"/>
      <c r="H515" s="929"/>
      <c r="I515" s="929"/>
      <c r="CN515" s="936"/>
      <c r="CR515" s="929"/>
    </row>
    <row r="516" spans="7:96" ht="14.25" customHeight="1">
      <c r="G516" s="929"/>
      <c r="H516" s="929"/>
      <c r="I516" s="929"/>
      <c r="CN516" s="936"/>
      <c r="CR516" s="929"/>
    </row>
    <row r="517" spans="7:96" ht="14.25" customHeight="1">
      <c r="G517" s="929"/>
      <c r="H517" s="929"/>
      <c r="I517" s="929"/>
      <c r="CN517" s="936"/>
      <c r="CR517" s="929"/>
    </row>
    <row r="518" spans="7:96" ht="14.25" customHeight="1">
      <c r="G518" s="929"/>
      <c r="H518" s="929"/>
      <c r="I518" s="929"/>
      <c r="CN518" s="936"/>
      <c r="CR518" s="929"/>
    </row>
    <row r="519" spans="7:96" ht="14.25" customHeight="1">
      <c r="G519" s="929"/>
      <c r="H519" s="929"/>
      <c r="I519" s="929"/>
      <c r="CN519" s="936"/>
      <c r="CR519" s="929"/>
    </row>
    <row r="520" spans="7:96" ht="14.25" customHeight="1">
      <c r="G520" s="929"/>
      <c r="H520" s="929"/>
      <c r="I520" s="929"/>
      <c r="CN520" s="936"/>
      <c r="CR520" s="929"/>
    </row>
    <row r="521" spans="7:96" ht="14.25" customHeight="1">
      <c r="G521" s="929"/>
      <c r="H521" s="929"/>
      <c r="I521" s="929"/>
      <c r="CN521" s="936"/>
      <c r="CR521" s="929"/>
    </row>
    <row r="522" spans="7:96" ht="14.25" customHeight="1">
      <c r="G522" s="929"/>
      <c r="H522" s="929"/>
      <c r="I522" s="929"/>
      <c r="CN522" s="936"/>
      <c r="CR522" s="929"/>
    </row>
    <row r="523" spans="7:96" ht="14.25" customHeight="1">
      <c r="G523" s="929"/>
      <c r="H523" s="929"/>
      <c r="I523" s="929"/>
      <c r="CN523" s="936"/>
      <c r="CR523" s="929"/>
    </row>
    <row r="524" spans="7:96" ht="14.25" customHeight="1">
      <c r="G524" s="929"/>
      <c r="H524" s="929"/>
      <c r="I524" s="929"/>
      <c r="CN524" s="936"/>
      <c r="CR524" s="929"/>
    </row>
    <row r="525" spans="7:96" ht="14.25" customHeight="1">
      <c r="G525" s="929"/>
      <c r="H525" s="929"/>
      <c r="I525" s="929"/>
      <c r="CN525" s="936"/>
      <c r="CR525" s="929"/>
    </row>
    <row r="526" spans="7:96" ht="14.25" customHeight="1">
      <c r="G526" s="929"/>
      <c r="H526" s="929"/>
      <c r="I526" s="929"/>
      <c r="CN526" s="936"/>
      <c r="CR526" s="929"/>
    </row>
    <row r="527" spans="7:96" ht="14.25" customHeight="1">
      <c r="G527" s="929"/>
      <c r="H527" s="929"/>
      <c r="I527" s="929"/>
      <c r="CN527" s="936"/>
      <c r="CR527" s="929"/>
    </row>
    <row r="528" spans="7:96" ht="14.25" customHeight="1">
      <c r="G528" s="929"/>
      <c r="H528" s="929"/>
      <c r="I528" s="929"/>
      <c r="CN528" s="936"/>
      <c r="CR528" s="929"/>
    </row>
    <row r="529" spans="7:96" ht="14.25" customHeight="1">
      <c r="G529" s="929"/>
      <c r="H529" s="929"/>
      <c r="I529" s="929"/>
      <c r="CN529" s="936"/>
      <c r="CR529" s="929"/>
    </row>
    <row r="530" spans="7:96" ht="14.25" customHeight="1">
      <c r="G530" s="929"/>
      <c r="H530" s="929"/>
      <c r="I530" s="929"/>
      <c r="CN530" s="936"/>
      <c r="CR530" s="929"/>
    </row>
    <row r="531" spans="7:96" ht="14.25" customHeight="1">
      <c r="G531" s="929"/>
      <c r="H531" s="929"/>
      <c r="I531" s="929"/>
      <c r="CN531" s="936"/>
      <c r="CR531" s="929"/>
    </row>
    <row r="532" spans="7:96" ht="14.25" customHeight="1">
      <c r="G532" s="929"/>
      <c r="H532" s="929"/>
      <c r="I532" s="929"/>
      <c r="CN532" s="936"/>
      <c r="CR532" s="929"/>
    </row>
    <row r="533" spans="7:96" ht="14.25" customHeight="1">
      <c r="G533" s="929"/>
      <c r="H533" s="929"/>
      <c r="I533" s="929"/>
      <c r="CN533" s="936"/>
      <c r="CR533" s="929"/>
    </row>
    <row r="534" spans="7:96" ht="14.25" customHeight="1">
      <c r="G534" s="929"/>
      <c r="H534" s="929"/>
      <c r="I534" s="929"/>
      <c r="CN534" s="936"/>
      <c r="CR534" s="929"/>
    </row>
    <row r="535" spans="7:96" ht="14.25" customHeight="1">
      <c r="G535" s="929"/>
      <c r="H535" s="929"/>
      <c r="I535" s="929"/>
      <c r="CN535" s="936"/>
      <c r="CR535" s="929"/>
    </row>
    <row r="536" spans="7:96" ht="14.25" customHeight="1">
      <c r="G536" s="929"/>
      <c r="H536" s="929"/>
      <c r="I536" s="929"/>
      <c r="CN536" s="936"/>
      <c r="CR536" s="929"/>
    </row>
    <row r="537" spans="7:96" ht="14.25" customHeight="1">
      <c r="G537" s="929"/>
      <c r="H537" s="929"/>
      <c r="I537" s="929"/>
      <c r="CN537" s="936"/>
      <c r="CR537" s="929"/>
    </row>
    <row r="538" spans="7:96" ht="14.25" customHeight="1">
      <c r="G538" s="929"/>
      <c r="H538" s="929"/>
      <c r="I538" s="929"/>
      <c r="CN538" s="936"/>
      <c r="CR538" s="929"/>
    </row>
    <row r="539" spans="7:96" ht="14.25" customHeight="1">
      <c r="G539" s="929"/>
      <c r="H539" s="929"/>
      <c r="I539" s="929"/>
      <c r="CN539" s="936"/>
      <c r="CR539" s="929"/>
    </row>
    <row r="540" spans="7:96" ht="14.25" customHeight="1">
      <c r="G540" s="929"/>
      <c r="H540" s="929"/>
      <c r="I540" s="929"/>
      <c r="CN540" s="936"/>
      <c r="CR540" s="929"/>
    </row>
    <row r="541" spans="7:96" ht="14.25" customHeight="1">
      <c r="G541" s="929"/>
      <c r="H541" s="929"/>
      <c r="I541" s="929"/>
      <c r="CN541" s="936"/>
      <c r="CR541" s="929"/>
    </row>
    <row r="542" spans="7:96" ht="14.25" customHeight="1">
      <c r="G542" s="929"/>
      <c r="H542" s="929"/>
      <c r="I542" s="929"/>
      <c r="CN542" s="936"/>
      <c r="CR542" s="929"/>
    </row>
    <row r="543" spans="7:96" ht="14.25" customHeight="1">
      <c r="G543" s="929"/>
      <c r="H543" s="929"/>
      <c r="I543" s="929"/>
      <c r="CN543" s="936"/>
      <c r="CR543" s="929"/>
    </row>
    <row r="544" spans="7:96" ht="14.25" customHeight="1">
      <c r="G544" s="929"/>
      <c r="H544" s="929"/>
      <c r="I544" s="929"/>
      <c r="CN544" s="936"/>
      <c r="CR544" s="929"/>
    </row>
    <row r="545" spans="7:96" ht="14.25" customHeight="1">
      <c r="G545" s="929"/>
      <c r="H545" s="929"/>
      <c r="I545" s="929"/>
      <c r="CN545" s="936"/>
      <c r="CR545" s="929"/>
    </row>
    <row r="546" spans="7:96" ht="14.25" customHeight="1">
      <c r="G546" s="929"/>
      <c r="H546" s="929"/>
      <c r="I546" s="929"/>
      <c r="CN546" s="936"/>
      <c r="CR546" s="929"/>
    </row>
    <row r="547" spans="7:96" ht="14.25" customHeight="1">
      <c r="G547" s="929"/>
      <c r="H547" s="929"/>
      <c r="I547" s="929"/>
      <c r="CN547" s="936"/>
      <c r="CR547" s="929"/>
    </row>
    <row r="548" spans="7:96" ht="14.25" customHeight="1">
      <c r="G548" s="929"/>
      <c r="H548" s="929"/>
      <c r="I548" s="929"/>
      <c r="CN548" s="936"/>
      <c r="CR548" s="929"/>
    </row>
    <row r="549" spans="7:96" ht="14.25" customHeight="1">
      <c r="G549" s="929"/>
      <c r="H549" s="929"/>
      <c r="I549" s="929"/>
      <c r="CN549" s="936"/>
      <c r="CR549" s="929"/>
    </row>
    <row r="550" spans="7:96" ht="14.25" customHeight="1">
      <c r="G550" s="929"/>
      <c r="H550" s="929"/>
      <c r="I550" s="929"/>
      <c r="CN550" s="936"/>
      <c r="CR550" s="929"/>
    </row>
    <row r="551" spans="7:96" ht="14.25" customHeight="1">
      <c r="G551" s="929"/>
      <c r="H551" s="929"/>
      <c r="I551" s="929"/>
      <c r="CN551" s="936"/>
      <c r="CR551" s="929"/>
    </row>
    <row r="552" spans="7:96" ht="14.25" customHeight="1">
      <c r="G552" s="929"/>
      <c r="H552" s="929"/>
      <c r="I552" s="929"/>
      <c r="CN552" s="936"/>
      <c r="CR552" s="929"/>
    </row>
    <row r="553" spans="7:96" ht="14.25" customHeight="1">
      <c r="G553" s="929"/>
      <c r="H553" s="929"/>
      <c r="I553" s="929"/>
      <c r="CN553" s="936"/>
      <c r="CR553" s="929"/>
    </row>
    <row r="554" spans="7:96" ht="14.25" customHeight="1">
      <c r="G554" s="929"/>
      <c r="H554" s="929"/>
      <c r="I554" s="929"/>
      <c r="CN554" s="936"/>
      <c r="CR554" s="929"/>
    </row>
    <row r="555" spans="7:96" ht="14.25" customHeight="1">
      <c r="G555" s="929"/>
      <c r="H555" s="929"/>
      <c r="I555" s="929"/>
      <c r="CN555" s="936"/>
      <c r="CR555" s="929"/>
    </row>
    <row r="556" spans="7:96" ht="14.25" customHeight="1">
      <c r="G556" s="929"/>
      <c r="H556" s="929"/>
      <c r="I556" s="929"/>
      <c r="CN556" s="936"/>
      <c r="CR556" s="929"/>
    </row>
    <row r="557" spans="7:96" ht="14.25" customHeight="1">
      <c r="G557" s="929"/>
      <c r="H557" s="929"/>
      <c r="I557" s="929"/>
      <c r="CN557" s="936"/>
      <c r="CR557" s="929"/>
    </row>
    <row r="558" spans="7:96" ht="14.25" customHeight="1">
      <c r="G558" s="929"/>
      <c r="H558" s="929"/>
      <c r="I558" s="929"/>
      <c r="CN558" s="936"/>
      <c r="CR558" s="929"/>
    </row>
    <row r="559" spans="7:96" ht="14.25" customHeight="1">
      <c r="G559" s="929"/>
      <c r="H559" s="929"/>
      <c r="I559" s="929"/>
      <c r="CN559" s="936"/>
      <c r="CR559" s="929"/>
    </row>
    <row r="560" spans="7:96" ht="14.25" customHeight="1">
      <c r="G560" s="929"/>
      <c r="H560" s="929"/>
      <c r="I560" s="929"/>
      <c r="CN560" s="936"/>
      <c r="CR560" s="929"/>
    </row>
    <row r="561" spans="7:96" ht="14.25" customHeight="1">
      <c r="G561" s="929"/>
      <c r="H561" s="929"/>
      <c r="I561" s="929"/>
      <c r="CN561" s="936"/>
      <c r="CR561" s="929"/>
    </row>
    <row r="562" spans="7:96" ht="14.25" customHeight="1">
      <c r="G562" s="929"/>
      <c r="H562" s="929"/>
      <c r="I562" s="929"/>
      <c r="CN562" s="936"/>
      <c r="CR562" s="929"/>
    </row>
    <row r="563" spans="7:96" ht="14.25" customHeight="1">
      <c r="G563" s="929"/>
      <c r="H563" s="929"/>
      <c r="I563" s="929"/>
      <c r="CN563" s="936"/>
      <c r="CR563" s="929"/>
    </row>
    <row r="564" spans="7:96" ht="14.25" customHeight="1">
      <c r="G564" s="929"/>
      <c r="H564" s="929"/>
      <c r="I564" s="929"/>
      <c r="CN564" s="936"/>
      <c r="CR564" s="929"/>
    </row>
    <row r="565" spans="7:96" ht="14.25" customHeight="1">
      <c r="G565" s="929"/>
      <c r="H565" s="929"/>
      <c r="I565" s="929"/>
      <c r="CN565" s="936"/>
      <c r="CR565" s="929"/>
    </row>
    <row r="566" spans="7:96" ht="14.25" customHeight="1">
      <c r="G566" s="929"/>
      <c r="H566" s="929"/>
      <c r="I566" s="929"/>
      <c r="CN566" s="936"/>
      <c r="CR566" s="929"/>
    </row>
    <row r="567" spans="7:96" ht="14.25" customHeight="1">
      <c r="G567" s="929"/>
      <c r="H567" s="929"/>
      <c r="I567" s="929"/>
      <c r="CN567" s="936"/>
      <c r="CR567" s="929"/>
    </row>
    <row r="568" spans="7:96" ht="14.25" customHeight="1">
      <c r="G568" s="929"/>
      <c r="H568" s="929"/>
      <c r="I568" s="929"/>
      <c r="CN568" s="936"/>
      <c r="CR568" s="929"/>
    </row>
    <row r="569" spans="7:96" ht="14.25" customHeight="1">
      <c r="G569" s="929"/>
      <c r="H569" s="929"/>
      <c r="I569" s="929"/>
      <c r="CN569" s="936"/>
      <c r="CR569" s="929"/>
    </row>
    <row r="570" spans="7:96" ht="14.25" customHeight="1">
      <c r="G570" s="929"/>
      <c r="H570" s="929"/>
      <c r="I570" s="929"/>
      <c r="CN570" s="936"/>
      <c r="CR570" s="929"/>
    </row>
    <row r="571" spans="7:96" ht="14.25" customHeight="1">
      <c r="G571" s="929"/>
      <c r="H571" s="929"/>
      <c r="I571" s="929"/>
      <c r="CN571" s="936"/>
      <c r="CR571" s="929"/>
    </row>
    <row r="572" spans="7:96" ht="14.25" customHeight="1">
      <c r="G572" s="929"/>
      <c r="H572" s="929"/>
      <c r="I572" s="929"/>
      <c r="CN572" s="936"/>
      <c r="CR572" s="929"/>
    </row>
    <row r="573" spans="7:96" ht="14.25" customHeight="1">
      <c r="G573" s="929"/>
      <c r="H573" s="929"/>
      <c r="I573" s="929"/>
      <c r="CN573" s="936"/>
      <c r="CR573" s="929"/>
    </row>
    <row r="574" spans="7:96" ht="14.25" customHeight="1">
      <c r="G574" s="929"/>
      <c r="H574" s="929"/>
      <c r="I574" s="929"/>
      <c r="CN574" s="936"/>
      <c r="CR574" s="929"/>
    </row>
    <row r="575" spans="7:96" ht="14.25" customHeight="1">
      <c r="G575" s="929"/>
      <c r="H575" s="929"/>
      <c r="I575" s="929"/>
      <c r="CN575" s="936"/>
      <c r="CR575" s="929"/>
    </row>
    <row r="576" spans="7:96" ht="14.25" customHeight="1">
      <c r="G576" s="929"/>
      <c r="H576" s="929"/>
      <c r="I576" s="929"/>
      <c r="CN576" s="936"/>
      <c r="CR576" s="929"/>
    </row>
    <row r="577" spans="7:96" ht="14.25" customHeight="1">
      <c r="G577" s="929"/>
      <c r="H577" s="929"/>
      <c r="I577" s="929"/>
      <c r="CN577" s="936"/>
      <c r="CR577" s="929"/>
    </row>
    <row r="578" spans="7:96" ht="14.25" customHeight="1">
      <c r="G578" s="929"/>
      <c r="H578" s="929"/>
      <c r="I578" s="929"/>
      <c r="CN578" s="936"/>
      <c r="CR578" s="929"/>
    </row>
    <row r="579" spans="7:96" ht="14.25" customHeight="1">
      <c r="G579" s="929"/>
      <c r="H579" s="929"/>
      <c r="I579" s="929"/>
      <c r="CN579" s="936"/>
      <c r="CR579" s="929"/>
    </row>
    <row r="580" spans="7:96" ht="14.25" customHeight="1">
      <c r="G580" s="929"/>
      <c r="H580" s="929"/>
      <c r="I580" s="929"/>
      <c r="CN580" s="936"/>
      <c r="CR580" s="929"/>
    </row>
    <row r="581" spans="7:96" ht="14.25" customHeight="1">
      <c r="G581" s="929"/>
      <c r="H581" s="929"/>
      <c r="I581" s="929"/>
      <c r="CN581" s="936"/>
      <c r="CR581" s="929"/>
    </row>
    <row r="582" spans="7:96" ht="14.25" customHeight="1">
      <c r="G582" s="929"/>
      <c r="H582" s="929"/>
      <c r="I582" s="929"/>
      <c r="CN582" s="936"/>
      <c r="CR582" s="929"/>
    </row>
    <row r="583" spans="7:96" ht="14.25" customHeight="1">
      <c r="G583" s="929"/>
      <c r="H583" s="929"/>
      <c r="I583" s="929"/>
      <c r="CN583" s="936"/>
      <c r="CR583" s="929"/>
    </row>
    <row r="584" spans="7:96" ht="14.25" customHeight="1">
      <c r="G584" s="929"/>
      <c r="H584" s="929"/>
      <c r="I584" s="929"/>
      <c r="CN584" s="936"/>
      <c r="CR584" s="929"/>
    </row>
    <row r="585" spans="7:96" ht="14.25" customHeight="1">
      <c r="G585" s="929"/>
      <c r="H585" s="929"/>
      <c r="I585" s="929"/>
      <c r="CN585" s="936"/>
      <c r="CR585" s="929"/>
    </row>
    <row r="586" spans="7:96" ht="14.25" customHeight="1">
      <c r="G586" s="929"/>
      <c r="H586" s="929"/>
      <c r="I586" s="929"/>
      <c r="CN586" s="936"/>
      <c r="CR586" s="929"/>
    </row>
    <row r="587" spans="7:96" ht="14.25" customHeight="1">
      <c r="G587" s="929"/>
      <c r="H587" s="929"/>
      <c r="I587" s="929"/>
      <c r="CN587" s="936"/>
      <c r="CR587" s="929"/>
    </row>
    <row r="588" spans="7:96" ht="14.25" customHeight="1">
      <c r="G588" s="929"/>
      <c r="H588" s="929"/>
      <c r="I588" s="929"/>
      <c r="CN588" s="936"/>
      <c r="CR588" s="929"/>
    </row>
    <row r="589" spans="7:96" ht="14.25" customHeight="1">
      <c r="G589" s="929"/>
      <c r="H589" s="929"/>
      <c r="I589" s="929"/>
      <c r="CN589" s="936"/>
      <c r="CR589" s="929"/>
    </row>
    <row r="590" spans="7:96" ht="14.25" customHeight="1">
      <c r="G590" s="929"/>
      <c r="H590" s="929"/>
      <c r="I590" s="929"/>
      <c r="CN590" s="936"/>
      <c r="CR590" s="929"/>
    </row>
    <row r="591" spans="7:96" ht="14.25" customHeight="1">
      <c r="G591" s="929"/>
      <c r="H591" s="929"/>
      <c r="I591" s="929"/>
      <c r="CN591" s="936"/>
      <c r="CR591" s="929"/>
    </row>
    <row r="592" spans="7:96" ht="14.25" customHeight="1">
      <c r="G592" s="929"/>
      <c r="H592" s="929"/>
      <c r="I592" s="929"/>
      <c r="CN592" s="936"/>
      <c r="CR592" s="929"/>
    </row>
    <row r="593" spans="7:96" ht="14.25" customHeight="1">
      <c r="G593" s="929"/>
      <c r="H593" s="929"/>
      <c r="I593" s="929"/>
      <c r="CN593" s="936"/>
      <c r="CR593" s="929"/>
    </row>
    <row r="594" spans="7:96" ht="14.25" customHeight="1">
      <c r="G594" s="929"/>
      <c r="H594" s="929"/>
      <c r="I594" s="929"/>
      <c r="CN594" s="936"/>
      <c r="CR594" s="929"/>
    </row>
    <row r="595" spans="7:96" ht="14.25" customHeight="1">
      <c r="G595" s="929"/>
      <c r="H595" s="929"/>
      <c r="I595" s="929"/>
      <c r="CN595" s="936"/>
      <c r="CR595" s="929"/>
    </row>
    <row r="596" spans="7:96" ht="14.25" customHeight="1">
      <c r="G596" s="929"/>
      <c r="H596" s="929"/>
      <c r="I596" s="929"/>
      <c r="CN596" s="936"/>
      <c r="CR596" s="929"/>
    </row>
    <row r="597" spans="7:96" ht="14.25" customHeight="1">
      <c r="G597" s="929"/>
      <c r="H597" s="929"/>
      <c r="I597" s="929"/>
      <c r="CN597" s="936"/>
      <c r="CR597" s="929"/>
    </row>
    <row r="598" spans="7:96" ht="14.25" customHeight="1">
      <c r="G598" s="929"/>
      <c r="H598" s="929"/>
      <c r="I598" s="929"/>
      <c r="CN598" s="936"/>
      <c r="CR598" s="929"/>
    </row>
    <row r="599" spans="7:96" ht="14.25" customHeight="1">
      <c r="G599" s="929"/>
      <c r="H599" s="929"/>
      <c r="I599" s="929"/>
      <c r="CN599" s="936"/>
      <c r="CR599" s="929"/>
    </row>
    <row r="600" spans="7:96" ht="14.25" customHeight="1">
      <c r="G600" s="929"/>
      <c r="H600" s="929"/>
      <c r="I600" s="929"/>
      <c r="CN600" s="936"/>
      <c r="CR600" s="929"/>
    </row>
    <row r="601" spans="7:96" ht="14.25" customHeight="1">
      <c r="G601" s="929"/>
      <c r="H601" s="929"/>
      <c r="I601" s="929"/>
      <c r="CN601" s="936"/>
      <c r="CR601" s="929"/>
    </row>
    <row r="602" spans="7:96" ht="14.25" customHeight="1">
      <c r="G602" s="929"/>
      <c r="H602" s="929"/>
      <c r="I602" s="929"/>
      <c r="CN602" s="936"/>
      <c r="CR602" s="929"/>
    </row>
    <row r="603" spans="7:96" ht="14.25" customHeight="1">
      <c r="G603" s="929"/>
      <c r="H603" s="929"/>
      <c r="I603" s="929"/>
      <c r="CN603" s="936"/>
      <c r="CR603" s="929"/>
    </row>
    <row r="604" spans="7:96" ht="14.25" customHeight="1">
      <c r="G604" s="929"/>
      <c r="H604" s="929"/>
      <c r="I604" s="929"/>
      <c r="CN604" s="936"/>
      <c r="CR604" s="929"/>
    </row>
    <row r="605" spans="7:96" ht="14.25" customHeight="1">
      <c r="G605" s="929"/>
      <c r="H605" s="929"/>
      <c r="I605" s="929"/>
      <c r="CN605" s="936"/>
      <c r="CR605" s="929"/>
    </row>
    <row r="606" spans="7:96" ht="14.25" customHeight="1">
      <c r="G606" s="929"/>
      <c r="H606" s="929"/>
      <c r="I606" s="929"/>
      <c r="CN606" s="936"/>
      <c r="CR606" s="929"/>
    </row>
    <row r="607" spans="7:96" ht="14.25" customHeight="1">
      <c r="G607" s="929"/>
      <c r="H607" s="929"/>
      <c r="I607" s="929"/>
      <c r="CN607" s="936"/>
      <c r="CR607" s="929"/>
    </row>
    <row r="608" spans="7:96" ht="14.25" customHeight="1">
      <c r="G608" s="929"/>
      <c r="H608" s="929"/>
      <c r="I608" s="929"/>
      <c r="CN608" s="936"/>
      <c r="CR608" s="929"/>
    </row>
    <row r="609" spans="7:96" ht="14.25" customHeight="1">
      <c r="G609" s="929"/>
      <c r="H609" s="929"/>
      <c r="I609" s="929"/>
      <c r="CN609" s="936"/>
      <c r="CR609" s="929"/>
    </row>
    <row r="610" spans="7:96" ht="14.25" customHeight="1">
      <c r="G610" s="929"/>
      <c r="H610" s="929"/>
      <c r="I610" s="929"/>
      <c r="CN610" s="936"/>
      <c r="CR610" s="929"/>
    </row>
    <row r="611" spans="7:96" ht="14.25" customHeight="1">
      <c r="G611" s="929"/>
      <c r="H611" s="929"/>
      <c r="I611" s="929"/>
      <c r="CN611" s="936"/>
      <c r="CR611" s="929"/>
    </row>
    <row r="612" spans="7:96" ht="14.25" customHeight="1">
      <c r="G612" s="929"/>
      <c r="H612" s="929"/>
      <c r="I612" s="929"/>
      <c r="CN612" s="936"/>
      <c r="CR612" s="929"/>
    </row>
    <row r="613" spans="7:96" ht="14.25" customHeight="1">
      <c r="G613" s="929"/>
      <c r="H613" s="929"/>
      <c r="I613" s="929"/>
      <c r="CN613" s="936"/>
      <c r="CR613" s="929"/>
    </row>
    <row r="614" spans="7:96" ht="14.25" customHeight="1">
      <c r="G614" s="929"/>
      <c r="H614" s="929"/>
      <c r="I614" s="929"/>
      <c r="CN614" s="936"/>
      <c r="CR614" s="929"/>
    </row>
    <row r="615" spans="7:96" ht="14.25" customHeight="1">
      <c r="G615" s="929"/>
      <c r="H615" s="929"/>
      <c r="I615" s="929"/>
      <c r="CN615" s="936"/>
      <c r="CR615" s="929"/>
    </row>
    <row r="616" spans="7:96" ht="14.25" customHeight="1">
      <c r="G616" s="929"/>
      <c r="H616" s="929"/>
      <c r="I616" s="929"/>
      <c r="CN616" s="936"/>
      <c r="CR616" s="929"/>
    </row>
    <row r="617" spans="7:96" ht="14.25" customHeight="1">
      <c r="G617" s="929"/>
      <c r="H617" s="929"/>
      <c r="I617" s="929"/>
      <c r="CN617" s="936"/>
      <c r="CR617" s="929"/>
    </row>
    <row r="618" spans="7:96" ht="14.25" customHeight="1">
      <c r="G618" s="929"/>
      <c r="H618" s="929"/>
      <c r="I618" s="929"/>
      <c r="CN618" s="936"/>
      <c r="CR618" s="929"/>
    </row>
    <row r="619" spans="7:96" ht="14.25" customHeight="1">
      <c r="G619" s="929"/>
      <c r="H619" s="929"/>
      <c r="I619" s="929"/>
      <c r="CN619" s="936"/>
      <c r="CR619" s="929"/>
    </row>
    <row r="620" spans="7:96" ht="14.25" customHeight="1">
      <c r="G620" s="929"/>
      <c r="H620" s="929"/>
      <c r="I620" s="929"/>
      <c r="CN620" s="936"/>
      <c r="CR620" s="929"/>
    </row>
    <row r="621" spans="7:96" ht="14.25" customHeight="1">
      <c r="G621" s="929"/>
      <c r="H621" s="929"/>
      <c r="I621" s="929"/>
      <c r="CN621" s="936"/>
      <c r="CR621" s="929"/>
    </row>
    <row r="622" spans="7:96" ht="14.25" customHeight="1">
      <c r="G622" s="929"/>
      <c r="H622" s="929"/>
      <c r="I622" s="929"/>
      <c r="CN622" s="936"/>
      <c r="CR622" s="929"/>
    </row>
    <row r="623" spans="7:96" ht="14.25" customHeight="1">
      <c r="G623" s="929"/>
      <c r="H623" s="929"/>
      <c r="I623" s="929"/>
      <c r="CN623" s="936"/>
      <c r="CR623" s="929"/>
    </row>
    <row r="624" spans="7:96" ht="14.25" customHeight="1">
      <c r="G624" s="929"/>
      <c r="H624" s="929"/>
      <c r="I624" s="929"/>
      <c r="CN624" s="936"/>
      <c r="CR624" s="929"/>
    </row>
    <row r="625" spans="7:96" ht="14.25" customHeight="1">
      <c r="G625" s="929"/>
      <c r="H625" s="929"/>
      <c r="I625" s="929"/>
      <c r="CN625" s="936"/>
      <c r="CR625" s="929"/>
    </row>
    <row r="626" spans="7:96" ht="14.25" customHeight="1">
      <c r="G626" s="929"/>
      <c r="H626" s="929"/>
      <c r="I626" s="929"/>
      <c r="CN626" s="936"/>
      <c r="CR626" s="929"/>
    </row>
    <row r="627" spans="7:96" ht="14.25" customHeight="1">
      <c r="G627" s="929"/>
      <c r="H627" s="929"/>
      <c r="I627" s="929"/>
      <c r="CN627" s="936"/>
      <c r="CR627" s="929"/>
    </row>
    <row r="628" spans="7:96" ht="14.25" customHeight="1">
      <c r="G628" s="929"/>
      <c r="H628" s="929"/>
      <c r="I628" s="929"/>
      <c r="CN628" s="936"/>
      <c r="CR628" s="929"/>
    </row>
    <row r="629" spans="7:96" ht="14.25" customHeight="1">
      <c r="G629" s="929"/>
      <c r="H629" s="929"/>
      <c r="I629" s="929"/>
      <c r="CN629" s="936"/>
      <c r="CR629" s="929"/>
    </row>
    <row r="630" spans="7:96" ht="14.25" customHeight="1">
      <c r="G630" s="929"/>
      <c r="H630" s="929"/>
      <c r="I630" s="929"/>
      <c r="CN630" s="936"/>
      <c r="CR630" s="929"/>
    </row>
    <row r="631" spans="7:96" ht="14.25" customHeight="1">
      <c r="G631" s="929"/>
      <c r="H631" s="929"/>
      <c r="I631" s="929"/>
      <c r="CN631" s="936"/>
      <c r="CR631" s="929"/>
    </row>
    <row r="632" spans="7:96" ht="14.25" customHeight="1">
      <c r="G632" s="929"/>
      <c r="H632" s="929"/>
      <c r="I632" s="929"/>
      <c r="CN632" s="936"/>
      <c r="CR632" s="929"/>
    </row>
    <row r="633" spans="7:96" ht="14.25" customHeight="1">
      <c r="G633" s="929"/>
      <c r="H633" s="929"/>
      <c r="I633" s="929"/>
      <c r="CN633" s="936"/>
      <c r="CR633" s="929"/>
    </row>
    <row r="634" spans="7:96" ht="14.25" customHeight="1">
      <c r="G634" s="929"/>
      <c r="H634" s="929"/>
      <c r="I634" s="929"/>
      <c r="CN634" s="936"/>
      <c r="CR634" s="929"/>
    </row>
    <row r="635" spans="7:96" ht="14.25" customHeight="1">
      <c r="G635" s="929"/>
      <c r="H635" s="929"/>
      <c r="I635" s="929"/>
      <c r="CN635" s="936"/>
      <c r="CR635" s="929"/>
    </row>
    <row r="636" spans="7:96" ht="14.25" customHeight="1">
      <c r="G636" s="929"/>
      <c r="H636" s="929"/>
      <c r="I636" s="929"/>
      <c r="CN636" s="936"/>
      <c r="CR636" s="929"/>
    </row>
    <row r="637" spans="7:96" ht="14.25" customHeight="1">
      <c r="G637" s="929"/>
      <c r="H637" s="929"/>
      <c r="I637" s="929"/>
      <c r="CN637" s="936"/>
      <c r="CR637" s="929"/>
    </row>
    <row r="638" spans="7:96" ht="14.25" customHeight="1">
      <c r="G638" s="929"/>
      <c r="H638" s="929"/>
      <c r="I638" s="929"/>
      <c r="CN638" s="936"/>
      <c r="CR638" s="929"/>
    </row>
    <row r="639" spans="7:96" ht="14.25" customHeight="1">
      <c r="G639" s="929"/>
      <c r="H639" s="929"/>
      <c r="I639" s="929"/>
      <c r="CN639" s="936"/>
      <c r="CR639" s="929"/>
    </row>
    <row r="640" spans="7:96" ht="14.25" customHeight="1">
      <c r="G640" s="929"/>
      <c r="H640" s="929"/>
      <c r="I640" s="929"/>
      <c r="CN640" s="936"/>
      <c r="CR640" s="929"/>
    </row>
    <row r="641" spans="7:96" ht="14.25" customHeight="1">
      <c r="G641" s="929"/>
      <c r="H641" s="929"/>
      <c r="I641" s="929"/>
      <c r="CN641" s="936"/>
      <c r="CR641" s="929"/>
    </row>
    <row r="642" spans="7:96" ht="14.25" customHeight="1">
      <c r="G642" s="929"/>
      <c r="H642" s="929"/>
      <c r="I642" s="929"/>
      <c r="CN642" s="936"/>
      <c r="CR642" s="929"/>
    </row>
    <row r="643" spans="7:96" ht="14.25" customHeight="1">
      <c r="G643" s="929"/>
      <c r="H643" s="929"/>
      <c r="I643" s="929"/>
      <c r="CN643" s="936"/>
      <c r="CR643" s="929"/>
    </row>
    <row r="644" spans="7:96" ht="14.25" customHeight="1">
      <c r="G644" s="929"/>
      <c r="H644" s="929"/>
      <c r="I644" s="929"/>
      <c r="CN644" s="936"/>
      <c r="CR644" s="929"/>
    </row>
    <row r="645" spans="7:96" ht="14.25" customHeight="1">
      <c r="G645" s="929"/>
      <c r="H645" s="929"/>
      <c r="I645" s="929"/>
      <c r="CN645" s="936"/>
      <c r="CR645" s="929"/>
    </row>
    <row r="646" spans="7:96" ht="14.25" customHeight="1">
      <c r="G646" s="929"/>
      <c r="H646" s="929"/>
      <c r="I646" s="929"/>
      <c r="CN646" s="936"/>
      <c r="CR646" s="929"/>
    </row>
    <row r="647" spans="7:96" ht="14.25" customHeight="1">
      <c r="G647" s="929"/>
      <c r="H647" s="929"/>
      <c r="I647" s="929"/>
      <c r="CN647" s="936"/>
      <c r="CR647" s="929"/>
    </row>
    <row r="648" spans="7:96" ht="14.25" customHeight="1">
      <c r="G648" s="929"/>
      <c r="H648" s="929"/>
      <c r="I648" s="929"/>
      <c r="CN648" s="936"/>
      <c r="CR648" s="929"/>
    </row>
    <row r="649" spans="7:96" ht="14.25" customHeight="1">
      <c r="G649" s="929"/>
      <c r="H649" s="929"/>
      <c r="I649" s="929"/>
      <c r="CN649" s="936"/>
      <c r="CR649" s="929"/>
    </row>
    <row r="650" spans="7:96" ht="14.25" customHeight="1">
      <c r="G650" s="929"/>
      <c r="H650" s="929"/>
      <c r="I650" s="929"/>
      <c r="CN650" s="936"/>
      <c r="CR650" s="929"/>
    </row>
    <row r="651" spans="7:96" ht="14.25" customHeight="1">
      <c r="G651" s="929"/>
      <c r="H651" s="929"/>
      <c r="I651" s="929"/>
      <c r="CN651" s="936"/>
      <c r="CR651" s="929"/>
    </row>
    <row r="652" spans="7:96" ht="14.25" customHeight="1">
      <c r="G652" s="929"/>
      <c r="H652" s="929"/>
      <c r="I652" s="929"/>
      <c r="CN652" s="936"/>
      <c r="CR652" s="929"/>
    </row>
    <row r="653" spans="7:96" ht="14.25" customHeight="1">
      <c r="G653" s="929"/>
      <c r="H653" s="929"/>
      <c r="I653" s="929"/>
      <c r="CN653" s="936"/>
      <c r="CR653" s="929"/>
    </row>
    <row r="654" spans="7:96" ht="14.25" customHeight="1">
      <c r="G654" s="929"/>
      <c r="H654" s="929"/>
      <c r="I654" s="929"/>
      <c r="CN654" s="936"/>
      <c r="CR654" s="929"/>
    </row>
    <row r="655" spans="7:96" ht="14.25" customHeight="1">
      <c r="G655" s="929"/>
      <c r="H655" s="929"/>
      <c r="I655" s="929"/>
      <c r="CN655" s="936"/>
      <c r="CR655" s="929"/>
    </row>
    <row r="656" spans="7:96" ht="14.25" customHeight="1">
      <c r="G656" s="929"/>
      <c r="H656" s="929"/>
      <c r="I656" s="929"/>
      <c r="CN656" s="936"/>
      <c r="CR656" s="929"/>
    </row>
    <row r="657" spans="7:96" ht="14.25" customHeight="1">
      <c r="G657" s="929"/>
      <c r="H657" s="929"/>
      <c r="I657" s="929"/>
      <c r="CN657" s="936"/>
      <c r="CR657" s="929"/>
    </row>
    <row r="658" spans="7:96" ht="14.25" customHeight="1">
      <c r="G658" s="929"/>
      <c r="H658" s="929"/>
      <c r="I658" s="929"/>
      <c r="CN658" s="936"/>
      <c r="CR658" s="929"/>
    </row>
    <row r="659" spans="7:96" ht="14.25" customHeight="1">
      <c r="G659" s="929"/>
      <c r="H659" s="929"/>
      <c r="I659" s="929"/>
      <c r="CN659" s="936"/>
      <c r="CR659" s="929"/>
    </row>
    <row r="660" spans="7:96" ht="14.25" customHeight="1">
      <c r="G660" s="929"/>
      <c r="H660" s="929"/>
      <c r="I660" s="929"/>
      <c r="CN660" s="936"/>
      <c r="CR660" s="929"/>
    </row>
    <row r="661" spans="7:96" ht="14.25" customHeight="1">
      <c r="G661" s="929"/>
      <c r="H661" s="929"/>
      <c r="I661" s="929"/>
      <c r="CN661" s="936"/>
      <c r="CR661" s="929"/>
    </row>
    <row r="662" spans="7:96" ht="14.25" customHeight="1">
      <c r="G662" s="929"/>
      <c r="H662" s="929"/>
      <c r="I662" s="929"/>
      <c r="CN662" s="936"/>
      <c r="CR662" s="929"/>
    </row>
    <row r="663" spans="7:96" ht="14.25" customHeight="1">
      <c r="G663" s="929"/>
      <c r="H663" s="929"/>
      <c r="I663" s="929"/>
      <c r="CN663" s="936"/>
      <c r="CR663" s="929"/>
    </row>
    <row r="664" spans="7:96" ht="14.25" customHeight="1">
      <c r="G664" s="929"/>
      <c r="H664" s="929"/>
      <c r="I664" s="929"/>
      <c r="CN664" s="936"/>
      <c r="CR664" s="929"/>
    </row>
    <row r="665" spans="7:96" ht="14.25" customHeight="1">
      <c r="G665" s="929"/>
      <c r="H665" s="929"/>
      <c r="I665" s="929"/>
      <c r="CN665" s="936"/>
      <c r="CR665" s="929"/>
    </row>
    <row r="666" spans="7:96" ht="14.25" customHeight="1">
      <c r="G666" s="929"/>
      <c r="H666" s="929"/>
      <c r="I666" s="929"/>
      <c r="CN666" s="936"/>
      <c r="CR666" s="929"/>
    </row>
    <row r="667" spans="7:96" ht="14.25" customHeight="1">
      <c r="G667" s="929"/>
      <c r="H667" s="929"/>
      <c r="I667" s="929"/>
      <c r="CN667" s="936"/>
      <c r="CR667" s="929"/>
    </row>
    <row r="668" spans="7:96" ht="14.25" customHeight="1">
      <c r="G668" s="929"/>
      <c r="H668" s="929"/>
      <c r="I668" s="929"/>
      <c r="CN668" s="936"/>
      <c r="CR668" s="929"/>
    </row>
    <row r="669" spans="7:96" ht="14.25" customHeight="1">
      <c r="G669" s="929"/>
      <c r="H669" s="929"/>
      <c r="I669" s="929"/>
      <c r="CN669" s="936"/>
      <c r="CR669" s="929"/>
    </row>
    <row r="670" spans="7:96" ht="14.25" customHeight="1">
      <c r="G670" s="929"/>
      <c r="H670" s="929"/>
      <c r="I670" s="929"/>
      <c r="CN670" s="936"/>
      <c r="CR670" s="929"/>
    </row>
    <row r="671" spans="7:96" ht="14.25" customHeight="1">
      <c r="G671" s="929"/>
      <c r="H671" s="929"/>
      <c r="I671" s="929"/>
      <c r="CN671" s="936"/>
      <c r="CR671" s="929"/>
    </row>
    <row r="672" spans="7:96" ht="14.25" customHeight="1">
      <c r="G672" s="929"/>
      <c r="H672" s="929"/>
      <c r="I672" s="929"/>
      <c r="CN672" s="936"/>
      <c r="CR672" s="929"/>
    </row>
    <row r="673" spans="7:96" ht="14.25" customHeight="1">
      <c r="G673" s="929"/>
      <c r="H673" s="929"/>
      <c r="I673" s="929"/>
      <c r="CN673" s="936"/>
      <c r="CR673" s="929"/>
    </row>
    <row r="674" spans="7:96" ht="14.25" customHeight="1">
      <c r="G674" s="929"/>
      <c r="H674" s="929"/>
      <c r="I674" s="929"/>
      <c r="CN674" s="936"/>
      <c r="CR674" s="929"/>
    </row>
    <row r="675" spans="7:96" ht="14.25" customHeight="1">
      <c r="G675" s="929"/>
      <c r="H675" s="929"/>
      <c r="I675" s="929"/>
      <c r="CN675" s="936"/>
      <c r="CR675" s="929"/>
    </row>
    <row r="676" spans="7:96" ht="14.25" customHeight="1">
      <c r="G676" s="929"/>
      <c r="H676" s="929"/>
      <c r="I676" s="929"/>
      <c r="CN676" s="936"/>
      <c r="CR676" s="929"/>
    </row>
    <row r="677" spans="7:96" ht="14.25" customHeight="1">
      <c r="G677" s="929"/>
      <c r="H677" s="929"/>
      <c r="I677" s="929"/>
      <c r="CN677" s="936"/>
      <c r="CR677" s="929"/>
    </row>
    <row r="678" spans="7:96" ht="14.25" customHeight="1">
      <c r="G678" s="929"/>
      <c r="H678" s="929"/>
      <c r="I678" s="929"/>
      <c r="CN678" s="936"/>
      <c r="CR678" s="929"/>
    </row>
    <row r="679" spans="7:96" ht="14.25" customHeight="1">
      <c r="G679" s="929"/>
      <c r="H679" s="929"/>
      <c r="I679" s="929"/>
      <c r="CN679" s="936"/>
      <c r="CR679" s="929"/>
    </row>
    <row r="680" spans="7:96" ht="14.25" customHeight="1">
      <c r="G680" s="929"/>
      <c r="H680" s="929"/>
      <c r="I680" s="929"/>
      <c r="CN680" s="936"/>
      <c r="CR680" s="929"/>
    </row>
    <row r="681" spans="7:96" ht="14.25" customHeight="1">
      <c r="G681" s="929"/>
      <c r="H681" s="929"/>
      <c r="I681" s="929"/>
      <c r="CN681" s="936"/>
      <c r="CR681" s="929"/>
    </row>
    <row r="682" spans="7:96" ht="14.25" customHeight="1">
      <c r="G682" s="929"/>
      <c r="H682" s="929"/>
      <c r="I682" s="929"/>
      <c r="CN682" s="936"/>
      <c r="CR682" s="929"/>
    </row>
    <row r="683" spans="7:96" ht="14.25" customHeight="1">
      <c r="G683" s="929"/>
      <c r="H683" s="929"/>
      <c r="I683" s="929"/>
      <c r="CN683" s="936"/>
      <c r="CR683" s="929"/>
    </row>
    <row r="684" spans="7:96" ht="14.25" customHeight="1">
      <c r="G684" s="929"/>
      <c r="H684" s="929"/>
      <c r="I684" s="929"/>
      <c r="CN684" s="936"/>
      <c r="CR684" s="929"/>
    </row>
    <row r="685" spans="7:96" ht="14.25" customHeight="1">
      <c r="G685" s="929"/>
      <c r="H685" s="929"/>
      <c r="I685" s="929"/>
      <c r="CN685" s="936"/>
      <c r="CR685" s="929"/>
    </row>
    <row r="686" spans="7:96" ht="14.25" customHeight="1">
      <c r="G686" s="929"/>
      <c r="H686" s="929"/>
      <c r="I686" s="929"/>
      <c r="CN686" s="936"/>
      <c r="CR686" s="929"/>
    </row>
    <row r="687" spans="7:96" ht="14.25" customHeight="1">
      <c r="G687" s="929"/>
      <c r="H687" s="929"/>
      <c r="I687" s="929"/>
      <c r="CN687" s="936"/>
      <c r="CR687" s="929"/>
    </row>
    <row r="688" spans="7:96" ht="14.25" customHeight="1">
      <c r="G688" s="929"/>
      <c r="H688" s="929"/>
      <c r="I688" s="929"/>
      <c r="CN688" s="936"/>
      <c r="CR688" s="929"/>
    </row>
    <row r="689" spans="7:96" ht="14.25" customHeight="1">
      <c r="G689" s="929"/>
      <c r="H689" s="929"/>
      <c r="I689" s="929"/>
      <c r="CN689" s="936"/>
      <c r="CR689" s="929"/>
    </row>
    <row r="690" spans="7:96" ht="14.25" customHeight="1">
      <c r="G690" s="929"/>
      <c r="H690" s="929"/>
      <c r="I690" s="929"/>
      <c r="CN690" s="936"/>
      <c r="CR690" s="929"/>
    </row>
    <row r="691" spans="7:96" ht="14.25" customHeight="1">
      <c r="G691" s="929"/>
      <c r="H691" s="929"/>
      <c r="I691" s="929"/>
      <c r="CN691" s="936"/>
      <c r="CR691" s="929"/>
    </row>
    <row r="692" spans="7:96" ht="14.25" customHeight="1">
      <c r="G692" s="929"/>
      <c r="H692" s="929"/>
      <c r="I692" s="929"/>
      <c r="CN692" s="936"/>
      <c r="CR692" s="929"/>
    </row>
    <row r="693" spans="7:96" ht="14.25" customHeight="1">
      <c r="G693" s="929"/>
      <c r="H693" s="929"/>
      <c r="I693" s="929"/>
      <c r="CN693" s="936"/>
      <c r="CR693" s="929"/>
    </row>
    <row r="694" spans="7:96" ht="14.25" customHeight="1">
      <c r="G694" s="929"/>
      <c r="H694" s="929"/>
      <c r="I694" s="929"/>
      <c r="CN694" s="936"/>
      <c r="CR694" s="929"/>
    </row>
    <row r="695" spans="7:96" ht="14.25" customHeight="1">
      <c r="G695" s="929"/>
      <c r="H695" s="929"/>
      <c r="I695" s="929"/>
      <c r="CN695" s="936"/>
      <c r="CR695" s="929"/>
    </row>
    <row r="696" spans="7:96" ht="14.25" customHeight="1">
      <c r="G696" s="929"/>
      <c r="H696" s="929"/>
      <c r="I696" s="929"/>
      <c r="CN696" s="936"/>
      <c r="CR696" s="929"/>
    </row>
    <row r="697" spans="7:96" ht="14.25" customHeight="1">
      <c r="G697" s="929"/>
      <c r="H697" s="929"/>
      <c r="I697" s="929"/>
      <c r="CN697" s="936"/>
      <c r="CR697" s="929"/>
    </row>
    <row r="698" spans="7:96" ht="14.25" customHeight="1">
      <c r="G698" s="929"/>
      <c r="H698" s="929"/>
      <c r="I698" s="929"/>
      <c r="CN698" s="936"/>
      <c r="CR698" s="929"/>
    </row>
    <row r="699" spans="7:96" ht="14.25" customHeight="1">
      <c r="G699" s="929"/>
      <c r="H699" s="929"/>
      <c r="I699" s="929"/>
      <c r="CN699" s="936"/>
      <c r="CR699" s="929"/>
    </row>
    <row r="700" spans="7:96" ht="14.25" customHeight="1">
      <c r="G700" s="929"/>
      <c r="H700" s="929"/>
      <c r="I700" s="929"/>
      <c r="CN700" s="936"/>
      <c r="CR700" s="929"/>
    </row>
    <row r="701" spans="7:96" ht="14.25" customHeight="1">
      <c r="G701" s="929"/>
      <c r="H701" s="929"/>
      <c r="I701" s="929"/>
      <c r="CN701" s="936"/>
      <c r="CR701" s="929"/>
    </row>
    <row r="702" spans="7:96" ht="14.25" customHeight="1">
      <c r="G702" s="929"/>
      <c r="H702" s="929"/>
      <c r="I702" s="929"/>
      <c r="CN702" s="936"/>
      <c r="CR702" s="929"/>
    </row>
    <row r="703" spans="7:96" ht="14.25" customHeight="1">
      <c r="G703" s="929"/>
      <c r="H703" s="929"/>
      <c r="I703" s="929"/>
      <c r="CN703" s="936"/>
      <c r="CR703" s="929"/>
    </row>
    <row r="704" spans="7:96" ht="14.25" customHeight="1">
      <c r="G704" s="929"/>
      <c r="H704" s="929"/>
      <c r="I704" s="929"/>
      <c r="CN704" s="936"/>
      <c r="CR704" s="929"/>
    </row>
    <row r="705" spans="7:96" ht="14.25" customHeight="1">
      <c r="G705" s="929"/>
      <c r="H705" s="929"/>
      <c r="I705" s="929"/>
      <c r="CN705" s="936"/>
      <c r="CR705" s="929"/>
    </row>
    <row r="706" spans="7:96" ht="14.25" customHeight="1">
      <c r="G706" s="929"/>
      <c r="H706" s="929"/>
      <c r="I706" s="929"/>
      <c r="CN706" s="936"/>
      <c r="CR706" s="929"/>
    </row>
    <row r="707" spans="7:96" ht="14.25" customHeight="1">
      <c r="G707" s="929"/>
      <c r="H707" s="929"/>
      <c r="I707" s="929"/>
      <c r="CN707" s="936"/>
      <c r="CR707" s="929"/>
    </row>
    <row r="708" spans="7:96" ht="14.25" customHeight="1">
      <c r="G708" s="929"/>
      <c r="H708" s="929"/>
      <c r="I708" s="929"/>
      <c r="CN708" s="936"/>
      <c r="CR708" s="929"/>
    </row>
    <row r="709" spans="7:96" ht="14.25" customHeight="1">
      <c r="G709" s="929"/>
      <c r="H709" s="929"/>
      <c r="I709" s="929"/>
      <c r="CN709" s="936"/>
      <c r="CR709" s="929"/>
    </row>
    <row r="710" spans="7:96" ht="14.25" customHeight="1">
      <c r="G710" s="929"/>
      <c r="H710" s="929"/>
      <c r="I710" s="929"/>
      <c r="CN710" s="936"/>
      <c r="CR710" s="929"/>
    </row>
    <row r="711" spans="7:96" ht="14.25" customHeight="1">
      <c r="G711" s="929"/>
      <c r="H711" s="929"/>
      <c r="I711" s="929"/>
      <c r="CN711" s="936"/>
      <c r="CR711" s="929"/>
    </row>
    <row r="712" spans="7:96" ht="14.25" customHeight="1">
      <c r="G712" s="929"/>
      <c r="H712" s="929"/>
      <c r="I712" s="929"/>
      <c r="CN712" s="936"/>
      <c r="CR712" s="929"/>
    </row>
    <row r="713" spans="7:96" ht="14.25" customHeight="1">
      <c r="G713" s="929"/>
      <c r="H713" s="929"/>
      <c r="I713" s="929"/>
      <c r="CN713" s="936"/>
      <c r="CR713" s="929"/>
    </row>
    <row r="714" spans="7:96" ht="14.25" customHeight="1">
      <c r="G714" s="929"/>
      <c r="H714" s="929"/>
      <c r="I714" s="929"/>
      <c r="CN714" s="936"/>
      <c r="CR714" s="929"/>
    </row>
    <row r="715" spans="7:96" ht="14.25" customHeight="1">
      <c r="G715" s="929"/>
      <c r="H715" s="929"/>
      <c r="I715" s="929"/>
      <c r="CN715" s="936"/>
      <c r="CR715" s="929"/>
    </row>
    <row r="716" spans="7:96" ht="14.25" customHeight="1">
      <c r="G716" s="929"/>
      <c r="H716" s="929"/>
      <c r="I716" s="929"/>
      <c r="CN716" s="936"/>
      <c r="CR716" s="929"/>
    </row>
    <row r="717" spans="7:96" ht="14.25" customHeight="1">
      <c r="G717" s="929"/>
      <c r="H717" s="929"/>
      <c r="I717" s="929"/>
      <c r="CN717" s="936"/>
      <c r="CR717" s="929"/>
    </row>
    <row r="718" spans="7:96" ht="14.25" customHeight="1">
      <c r="G718" s="929"/>
      <c r="H718" s="929"/>
      <c r="I718" s="929"/>
      <c r="CN718" s="936"/>
      <c r="CR718" s="929"/>
    </row>
    <row r="719" spans="7:96" ht="14.25" customHeight="1">
      <c r="G719" s="929"/>
      <c r="H719" s="929"/>
      <c r="I719" s="929"/>
      <c r="CN719" s="936"/>
      <c r="CR719" s="929"/>
    </row>
    <row r="720" spans="7:96" ht="14.25" customHeight="1">
      <c r="G720" s="929"/>
      <c r="H720" s="929"/>
      <c r="I720" s="929"/>
      <c r="CN720" s="936"/>
      <c r="CR720" s="929"/>
    </row>
    <row r="721" spans="7:96" ht="14.25" customHeight="1">
      <c r="G721" s="929"/>
      <c r="H721" s="929"/>
      <c r="I721" s="929"/>
      <c r="CN721" s="936"/>
      <c r="CR721" s="929"/>
    </row>
    <row r="722" spans="7:96" ht="14.25" customHeight="1">
      <c r="G722" s="929"/>
      <c r="H722" s="929"/>
      <c r="I722" s="929"/>
      <c r="CN722" s="936"/>
      <c r="CR722" s="929"/>
    </row>
    <row r="723" spans="7:96" ht="14.25" customHeight="1">
      <c r="G723" s="929"/>
      <c r="H723" s="929"/>
      <c r="I723" s="929"/>
      <c r="CN723" s="936"/>
      <c r="CR723" s="929"/>
    </row>
    <row r="724" spans="7:96" ht="14.25" customHeight="1">
      <c r="G724" s="929"/>
      <c r="H724" s="929"/>
      <c r="I724" s="929"/>
      <c r="CN724" s="936"/>
      <c r="CR724" s="929"/>
    </row>
    <row r="725" spans="7:96" ht="14.25" customHeight="1">
      <c r="G725" s="929"/>
      <c r="H725" s="929"/>
      <c r="I725" s="929"/>
      <c r="CN725" s="936"/>
      <c r="CR725" s="929"/>
    </row>
    <row r="726" spans="7:96" ht="14.25" customHeight="1">
      <c r="G726" s="929"/>
      <c r="H726" s="929"/>
      <c r="I726" s="929"/>
      <c r="CN726" s="936"/>
      <c r="CR726" s="929"/>
    </row>
    <row r="727" spans="7:96" ht="14.25" customHeight="1">
      <c r="G727" s="929"/>
      <c r="H727" s="929"/>
      <c r="I727" s="929"/>
      <c r="CN727" s="936"/>
      <c r="CR727" s="929"/>
    </row>
    <row r="728" spans="7:96" ht="14.25" customHeight="1">
      <c r="G728" s="929"/>
      <c r="H728" s="929"/>
      <c r="I728" s="929"/>
      <c r="CN728" s="936"/>
      <c r="CR728" s="929"/>
    </row>
    <row r="729" spans="7:96" ht="14.25" customHeight="1">
      <c r="G729" s="929"/>
      <c r="H729" s="929"/>
      <c r="I729" s="929"/>
      <c r="CN729" s="936"/>
      <c r="CR729" s="929"/>
    </row>
    <row r="730" spans="7:96" ht="14.25" customHeight="1">
      <c r="G730" s="929"/>
      <c r="H730" s="929"/>
      <c r="I730" s="929"/>
      <c r="CN730" s="936"/>
      <c r="CR730" s="929"/>
    </row>
    <row r="731" spans="7:96" ht="14.25" customHeight="1">
      <c r="G731" s="929"/>
      <c r="H731" s="929"/>
      <c r="I731" s="929"/>
      <c r="CN731" s="936"/>
      <c r="CR731" s="929"/>
    </row>
    <row r="732" spans="7:96" ht="14.25" customHeight="1">
      <c r="G732" s="929"/>
      <c r="H732" s="929"/>
      <c r="I732" s="929"/>
      <c r="CN732" s="936"/>
      <c r="CR732" s="929"/>
    </row>
    <row r="733" spans="7:96" ht="14.25" customHeight="1">
      <c r="G733" s="929"/>
      <c r="H733" s="929"/>
      <c r="I733" s="929"/>
      <c r="CN733" s="936"/>
      <c r="CR733" s="929"/>
    </row>
    <row r="734" spans="7:96" ht="14.25" customHeight="1">
      <c r="G734" s="929"/>
      <c r="H734" s="929"/>
      <c r="I734" s="929"/>
      <c r="CN734" s="936"/>
      <c r="CR734" s="929"/>
    </row>
    <row r="735" spans="7:96" ht="14.25" customHeight="1">
      <c r="G735" s="929"/>
      <c r="H735" s="929"/>
      <c r="I735" s="929"/>
      <c r="CN735" s="936"/>
      <c r="CR735" s="929"/>
    </row>
    <row r="736" spans="7:96" ht="14.25" customHeight="1">
      <c r="G736" s="929"/>
      <c r="H736" s="929"/>
      <c r="I736" s="929"/>
      <c r="CN736" s="936"/>
      <c r="CR736" s="929"/>
    </row>
    <row r="737" spans="7:96" ht="14.25" customHeight="1">
      <c r="G737" s="929"/>
      <c r="H737" s="929"/>
      <c r="I737" s="929"/>
      <c r="CN737" s="936"/>
      <c r="CR737" s="929"/>
    </row>
    <row r="738" spans="7:96" ht="14.25" customHeight="1">
      <c r="G738" s="929"/>
      <c r="H738" s="929"/>
      <c r="I738" s="929"/>
      <c r="CN738" s="936"/>
      <c r="CR738" s="929"/>
    </row>
    <row r="739" spans="7:96" ht="14.25" customHeight="1">
      <c r="G739" s="929"/>
      <c r="H739" s="929"/>
      <c r="I739" s="929"/>
      <c r="CN739" s="936"/>
      <c r="CR739" s="929"/>
    </row>
    <row r="740" spans="7:96" ht="14.25" customHeight="1">
      <c r="G740" s="929"/>
      <c r="H740" s="929"/>
      <c r="I740" s="929"/>
      <c r="CN740" s="936"/>
      <c r="CR740" s="929"/>
    </row>
    <row r="741" spans="7:96" ht="14.25" customHeight="1">
      <c r="G741" s="929"/>
      <c r="H741" s="929"/>
      <c r="I741" s="929"/>
      <c r="CN741" s="936"/>
      <c r="CR741" s="929"/>
    </row>
    <row r="742" spans="7:96" ht="14.25" customHeight="1">
      <c r="G742" s="929"/>
      <c r="H742" s="929"/>
      <c r="I742" s="929"/>
      <c r="CN742" s="936"/>
      <c r="CR742" s="929"/>
    </row>
    <row r="743" spans="7:96" ht="14.25" customHeight="1">
      <c r="G743" s="929"/>
      <c r="H743" s="929"/>
      <c r="I743" s="929"/>
      <c r="CN743" s="936"/>
      <c r="CR743" s="929"/>
    </row>
    <row r="744" spans="7:96" ht="14.25" customHeight="1">
      <c r="G744" s="929"/>
      <c r="H744" s="929"/>
      <c r="I744" s="929"/>
      <c r="CN744" s="936"/>
      <c r="CR744" s="929"/>
    </row>
    <row r="745" spans="7:96" ht="14.25" customHeight="1">
      <c r="G745" s="929"/>
      <c r="H745" s="929"/>
      <c r="I745" s="929"/>
      <c r="CN745" s="936"/>
      <c r="CR745" s="929"/>
    </row>
    <row r="746" spans="7:96" ht="14.25" customHeight="1">
      <c r="G746" s="929"/>
      <c r="H746" s="929"/>
      <c r="I746" s="929"/>
      <c r="CN746" s="936"/>
      <c r="CR746" s="929"/>
    </row>
    <row r="747" spans="7:96" ht="14.25" customHeight="1">
      <c r="G747" s="929"/>
      <c r="H747" s="929"/>
      <c r="I747" s="929"/>
      <c r="CN747" s="936"/>
      <c r="CR747" s="929"/>
    </row>
    <row r="748" spans="7:96" ht="14.25" customHeight="1">
      <c r="G748" s="929"/>
      <c r="H748" s="929"/>
      <c r="I748" s="929"/>
      <c r="CN748" s="936"/>
      <c r="CR748" s="929"/>
    </row>
    <row r="749" spans="7:96" ht="14.25" customHeight="1">
      <c r="G749" s="929"/>
      <c r="H749" s="929"/>
      <c r="I749" s="929"/>
      <c r="CN749" s="936"/>
      <c r="CR749" s="929"/>
    </row>
    <row r="750" spans="7:96" ht="14.25" customHeight="1">
      <c r="G750" s="929"/>
      <c r="H750" s="929"/>
      <c r="I750" s="929"/>
      <c r="CN750" s="936"/>
      <c r="CR750" s="929"/>
    </row>
    <row r="751" spans="7:96" ht="14.25" customHeight="1">
      <c r="G751" s="929"/>
      <c r="H751" s="929"/>
      <c r="I751" s="929"/>
      <c r="CN751" s="936"/>
      <c r="CR751" s="929"/>
    </row>
    <row r="752" spans="7:96" ht="14.25" customHeight="1">
      <c r="G752" s="929"/>
      <c r="H752" s="929"/>
      <c r="I752" s="929"/>
      <c r="CN752" s="936"/>
      <c r="CR752" s="929"/>
    </row>
    <row r="753" spans="7:96" ht="14.25" customHeight="1">
      <c r="G753" s="929"/>
      <c r="H753" s="929"/>
      <c r="I753" s="929"/>
      <c r="CN753" s="936"/>
      <c r="CR753" s="929"/>
    </row>
    <row r="754" spans="7:96" ht="14.25" customHeight="1">
      <c r="G754" s="929"/>
      <c r="H754" s="929"/>
      <c r="I754" s="929"/>
      <c r="CN754" s="936"/>
      <c r="CR754" s="929"/>
    </row>
    <row r="755" spans="7:96" ht="14.25" customHeight="1">
      <c r="G755" s="929"/>
      <c r="H755" s="929"/>
      <c r="I755" s="929"/>
      <c r="CN755" s="936"/>
      <c r="CR755" s="929"/>
    </row>
    <row r="756" spans="7:96" ht="14.25" customHeight="1">
      <c r="G756" s="929"/>
      <c r="H756" s="929"/>
      <c r="I756" s="929"/>
      <c r="CN756" s="936"/>
      <c r="CR756" s="929"/>
    </row>
    <row r="757" spans="7:96" ht="14.25" customHeight="1">
      <c r="G757" s="929"/>
      <c r="H757" s="929"/>
      <c r="I757" s="929"/>
      <c r="CN757" s="936"/>
      <c r="CR757" s="929"/>
    </row>
    <row r="758" spans="7:96" ht="14.25" customHeight="1">
      <c r="G758" s="929"/>
      <c r="H758" s="929"/>
      <c r="I758" s="929"/>
      <c r="CN758" s="936"/>
      <c r="CR758" s="929"/>
    </row>
    <row r="759" spans="7:96" ht="14.25" customHeight="1">
      <c r="G759" s="929"/>
      <c r="H759" s="929"/>
      <c r="I759" s="929"/>
      <c r="CN759" s="936"/>
      <c r="CR759" s="929"/>
    </row>
    <row r="760" spans="7:96" ht="14.25" customHeight="1">
      <c r="G760" s="929"/>
      <c r="H760" s="929"/>
      <c r="I760" s="929"/>
      <c r="CN760" s="936"/>
      <c r="CR760" s="929"/>
    </row>
    <row r="761" spans="7:96" ht="14.25" customHeight="1">
      <c r="G761" s="929"/>
      <c r="H761" s="929"/>
      <c r="I761" s="929"/>
      <c r="CN761" s="936"/>
      <c r="CR761" s="929"/>
    </row>
    <row r="762" spans="7:96" ht="14.25" customHeight="1">
      <c r="G762" s="929"/>
      <c r="H762" s="929"/>
      <c r="I762" s="929"/>
      <c r="CN762" s="936"/>
      <c r="CR762" s="929"/>
    </row>
    <row r="763" spans="7:96" ht="14.25" customHeight="1">
      <c r="G763" s="929"/>
      <c r="H763" s="929"/>
      <c r="I763" s="929"/>
      <c r="CN763" s="936"/>
      <c r="CR763" s="929"/>
    </row>
    <row r="764" spans="7:96" ht="14.25" customHeight="1">
      <c r="G764" s="929"/>
      <c r="H764" s="929"/>
      <c r="I764" s="929"/>
      <c r="CN764" s="936"/>
      <c r="CR764" s="929"/>
    </row>
    <row r="765" spans="7:96" ht="14.25" customHeight="1">
      <c r="G765" s="929"/>
      <c r="H765" s="929"/>
      <c r="I765" s="929"/>
      <c r="CN765" s="936"/>
      <c r="CR765" s="929"/>
    </row>
    <row r="766" spans="7:96" ht="14.25" customHeight="1">
      <c r="G766" s="929"/>
      <c r="H766" s="929"/>
      <c r="I766" s="929"/>
      <c r="CN766" s="936"/>
      <c r="CR766" s="929"/>
    </row>
    <row r="767" spans="7:96" ht="14.25" customHeight="1">
      <c r="G767" s="929"/>
      <c r="H767" s="929"/>
      <c r="I767" s="929"/>
      <c r="CN767" s="936"/>
      <c r="CR767" s="929"/>
    </row>
    <row r="768" spans="7:96" ht="14.25" customHeight="1">
      <c r="G768" s="929"/>
      <c r="H768" s="929"/>
      <c r="I768" s="929"/>
      <c r="CN768" s="936"/>
      <c r="CR768" s="929"/>
    </row>
    <row r="769" spans="7:96" ht="14.25" customHeight="1">
      <c r="G769" s="929"/>
      <c r="H769" s="929"/>
      <c r="I769" s="929"/>
      <c r="CN769" s="936"/>
      <c r="CR769" s="929"/>
    </row>
    <row r="770" spans="7:96" ht="14.25" customHeight="1">
      <c r="G770" s="929"/>
      <c r="H770" s="929"/>
      <c r="I770" s="929"/>
      <c r="CN770" s="936"/>
      <c r="CR770" s="929"/>
    </row>
    <row r="771" spans="7:96" ht="14.25" customHeight="1">
      <c r="G771" s="929"/>
      <c r="H771" s="929"/>
      <c r="I771" s="929"/>
      <c r="CN771" s="936"/>
      <c r="CR771" s="929"/>
    </row>
    <row r="772" spans="7:96" ht="14.25" customHeight="1">
      <c r="G772" s="929"/>
      <c r="H772" s="929"/>
      <c r="I772" s="929"/>
      <c r="CN772" s="936"/>
      <c r="CR772" s="929"/>
    </row>
    <row r="773" spans="7:96" ht="14.25" customHeight="1">
      <c r="G773" s="929"/>
      <c r="H773" s="929"/>
      <c r="I773" s="929"/>
      <c r="CN773" s="936"/>
      <c r="CR773" s="929"/>
    </row>
    <row r="774" spans="7:96" ht="14.25" customHeight="1">
      <c r="G774" s="929"/>
      <c r="H774" s="929"/>
      <c r="I774" s="929"/>
      <c r="CN774" s="936"/>
      <c r="CR774" s="929"/>
    </row>
    <row r="775" spans="7:96" ht="14.25" customHeight="1">
      <c r="G775" s="929"/>
      <c r="H775" s="929"/>
      <c r="I775" s="929"/>
      <c r="CN775" s="936"/>
      <c r="CR775" s="929"/>
    </row>
    <row r="776" spans="7:96" ht="14.25" customHeight="1">
      <c r="G776" s="929"/>
      <c r="H776" s="929"/>
      <c r="I776" s="929"/>
      <c r="CN776" s="936"/>
      <c r="CR776" s="929"/>
    </row>
    <row r="777" spans="7:96" ht="14.25" customHeight="1">
      <c r="G777" s="929"/>
      <c r="H777" s="929"/>
      <c r="I777" s="929"/>
      <c r="CN777" s="936"/>
      <c r="CR777" s="929"/>
    </row>
    <row r="778" spans="7:96" ht="14.25" customHeight="1">
      <c r="G778" s="929"/>
      <c r="H778" s="929"/>
      <c r="I778" s="929"/>
      <c r="CN778" s="936"/>
      <c r="CR778" s="929"/>
    </row>
    <row r="779" spans="7:96" ht="14.25" customHeight="1">
      <c r="G779" s="929"/>
      <c r="H779" s="929"/>
      <c r="I779" s="929"/>
      <c r="CN779" s="936"/>
      <c r="CR779" s="929"/>
    </row>
    <row r="780" spans="7:96" ht="14.25" customHeight="1">
      <c r="G780" s="929"/>
      <c r="H780" s="929"/>
      <c r="I780" s="929"/>
      <c r="CN780" s="936"/>
      <c r="CR780" s="929"/>
    </row>
    <row r="781" spans="7:96" ht="14.25" customHeight="1">
      <c r="G781" s="929"/>
      <c r="H781" s="929"/>
      <c r="I781" s="929"/>
      <c r="CN781" s="936"/>
      <c r="CR781" s="929"/>
    </row>
    <row r="782" spans="7:96" ht="14.25" customHeight="1">
      <c r="G782" s="929"/>
      <c r="H782" s="929"/>
      <c r="I782" s="929"/>
      <c r="CN782" s="936"/>
      <c r="CR782" s="929"/>
    </row>
    <row r="783" spans="7:96" ht="14.25" customHeight="1">
      <c r="G783" s="929"/>
      <c r="H783" s="929"/>
      <c r="I783" s="929"/>
      <c r="CN783" s="936"/>
      <c r="CR783" s="929"/>
    </row>
    <row r="784" spans="7:96" ht="14.25" customHeight="1">
      <c r="G784" s="929"/>
      <c r="H784" s="929"/>
      <c r="I784" s="929"/>
      <c r="CN784" s="936"/>
      <c r="CR784" s="929"/>
    </row>
    <row r="785" spans="7:96" ht="14.25" customHeight="1">
      <c r="G785" s="929"/>
      <c r="H785" s="929"/>
      <c r="I785" s="929"/>
      <c r="CN785" s="936"/>
      <c r="CR785" s="929"/>
    </row>
    <row r="786" spans="7:96" ht="14.25" customHeight="1">
      <c r="G786" s="929"/>
      <c r="H786" s="929"/>
      <c r="I786" s="929"/>
      <c r="CN786" s="936"/>
      <c r="CR786" s="929"/>
    </row>
    <row r="787" spans="7:96" ht="14.25" customHeight="1">
      <c r="G787" s="929"/>
      <c r="H787" s="929"/>
      <c r="I787" s="929"/>
      <c r="CN787" s="936"/>
      <c r="CR787" s="929"/>
    </row>
    <row r="788" spans="7:96" ht="14.25" customHeight="1">
      <c r="G788" s="929"/>
      <c r="H788" s="929"/>
      <c r="I788" s="929"/>
      <c r="CN788" s="936"/>
      <c r="CR788" s="929"/>
    </row>
    <row r="789" spans="7:96" ht="14.25" customHeight="1">
      <c r="G789" s="929"/>
      <c r="H789" s="929"/>
      <c r="I789" s="929"/>
      <c r="CN789" s="936"/>
      <c r="CR789" s="929"/>
    </row>
    <row r="790" spans="7:96" ht="14.25" customHeight="1">
      <c r="G790" s="929"/>
      <c r="H790" s="929"/>
      <c r="I790" s="929"/>
      <c r="CN790" s="936"/>
      <c r="CR790" s="929"/>
    </row>
    <row r="791" spans="7:96" ht="14.25" customHeight="1">
      <c r="G791" s="929"/>
      <c r="H791" s="929"/>
      <c r="I791" s="929"/>
      <c r="CN791" s="936"/>
      <c r="CR791" s="929"/>
    </row>
    <row r="792" spans="7:96" ht="14.25" customHeight="1">
      <c r="G792" s="929"/>
      <c r="H792" s="929"/>
      <c r="I792" s="929"/>
      <c r="CN792" s="936"/>
      <c r="CR792" s="929"/>
    </row>
    <row r="793" spans="7:96" ht="14.25" customHeight="1">
      <c r="G793" s="929"/>
      <c r="H793" s="929"/>
      <c r="I793" s="929"/>
      <c r="CN793" s="936"/>
      <c r="CR793" s="929"/>
    </row>
    <row r="794" spans="7:96" ht="14.25" customHeight="1">
      <c r="G794" s="929"/>
      <c r="H794" s="929"/>
      <c r="I794" s="929"/>
      <c r="CN794" s="936"/>
      <c r="CR794" s="929"/>
    </row>
    <row r="795" spans="7:96" ht="14.25" customHeight="1">
      <c r="G795" s="929"/>
      <c r="H795" s="929"/>
      <c r="I795" s="929"/>
      <c r="CN795" s="936"/>
      <c r="CR795" s="929"/>
    </row>
    <row r="796" spans="7:96" ht="14.25" customHeight="1">
      <c r="G796" s="929"/>
      <c r="H796" s="929"/>
      <c r="I796" s="929"/>
      <c r="CN796" s="936"/>
      <c r="CR796" s="929"/>
    </row>
    <row r="797" spans="7:96" ht="14.25" customHeight="1">
      <c r="G797" s="929"/>
      <c r="H797" s="929"/>
      <c r="I797" s="929"/>
      <c r="CN797" s="936"/>
      <c r="CR797" s="929"/>
    </row>
    <row r="798" spans="7:96" ht="14.25" customHeight="1">
      <c r="G798" s="929"/>
      <c r="H798" s="929"/>
      <c r="I798" s="929"/>
      <c r="CN798" s="936"/>
      <c r="CR798" s="929"/>
    </row>
    <row r="799" spans="7:96" ht="14.25" customHeight="1">
      <c r="G799" s="929"/>
      <c r="H799" s="929"/>
      <c r="I799" s="929"/>
      <c r="CN799" s="936"/>
      <c r="CR799" s="929"/>
    </row>
    <row r="800" spans="7:96" ht="14.25" customHeight="1">
      <c r="G800" s="929"/>
      <c r="H800" s="929"/>
      <c r="I800" s="929"/>
      <c r="CN800" s="936"/>
      <c r="CR800" s="929"/>
    </row>
    <row r="801" spans="7:96" ht="14.25" customHeight="1">
      <c r="G801" s="929"/>
      <c r="H801" s="929"/>
      <c r="I801" s="929"/>
      <c r="CN801" s="936"/>
      <c r="CR801" s="929"/>
    </row>
    <row r="802" spans="7:96" ht="14.25" customHeight="1">
      <c r="G802" s="929"/>
      <c r="H802" s="929"/>
      <c r="I802" s="929"/>
      <c r="CN802" s="936"/>
      <c r="CR802" s="929"/>
    </row>
    <row r="803" spans="7:96" ht="14.25" customHeight="1">
      <c r="G803" s="929"/>
      <c r="H803" s="929"/>
      <c r="I803" s="929"/>
      <c r="CN803" s="936"/>
      <c r="CR803" s="929"/>
    </row>
    <row r="804" spans="7:96" ht="14.25" customHeight="1">
      <c r="G804" s="929"/>
      <c r="H804" s="929"/>
      <c r="I804" s="929"/>
      <c r="CN804" s="936"/>
      <c r="CR804" s="929"/>
    </row>
    <row r="805" spans="7:96" ht="14.25" customHeight="1">
      <c r="G805" s="929"/>
      <c r="H805" s="929"/>
      <c r="I805" s="929"/>
      <c r="CN805" s="936"/>
      <c r="CR805" s="929"/>
    </row>
    <row r="806" spans="7:96" ht="14.25" customHeight="1">
      <c r="G806" s="929"/>
      <c r="H806" s="929"/>
      <c r="I806" s="929"/>
      <c r="CN806" s="936"/>
      <c r="CR806" s="929"/>
    </row>
    <row r="807" spans="7:96" ht="14.25" customHeight="1">
      <c r="G807" s="929"/>
      <c r="H807" s="929"/>
      <c r="I807" s="929"/>
      <c r="CN807" s="936"/>
      <c r="CR807" s="929"/>
    </row>
    <row r="808" spans="7:96" ht="14.25" customHeight="1">
      <c r="G808" s="929"/>
      <c r="H808" s="929"/>
      <c r="I808" s="929"/>
      <c r="CN808" s="936"/>
      <c r="CR808" s="929"/>
    </row>
    <row r="809" spans="7:96" ht="14.25" customHeight="1">
      <c r="G809" s="929"/>
      <c r="H809" s="929"/>
      <c r="I809" s="929"/>
      <c r="CN809" s="936"/>
      <c r="CR809" s="929"/>
    </row>
    <row r="810" spans="7:96" ht="14.25" customHeight="1">
      <c r="G810" s="929"/>
      <c r="H810" s="929"/>
      <c r="I810" s="929"/>
      <c r="CN810" s="936"/>
      <c r="CR810" s="929"/>
    </row>
    <row r="811" spans="7:96" ht="14.25" customHeight="1">
      <c r="G811" s="929"/>
      <c r="H811" s="929"/>
      <c r="I811" s="929"/>
      <c r="CN811" s="936"/>
      <c r="CR811" s="929"/>
    </row>
    <row r="812" spans="7:96" ht="14.25" customHeight="1">
      <c r="G812" s="929"/>
      <c r="H812" s="929"/>
      <c r="I812" s="929"/>
      <c r="CN812" s="936"/>
      <c r="CR812" s="929"/>
    </row>
    <row r="813" spans="7:96" ht="14.25" customHeight="1">
      <c r="G813" s="929"/>
      <c r="H813" s="929"/>
      <c r="I813" s="929"/>
      <c r="CN813" s="936"/>
      <c r="CR813" s="929"/>
    </row>
    <row r="814" spans="7:96" ht="14.25" customHeight="1">
      <c r="G814" s="929"/>
      <c r="H814" s="929"/>
      <c r="I814" s="929"/>
      <c r="CN814" s="936"/>
      <c r="CR814" s="929"/>
    </row>
    <row r="815" spans="7:96" ht="14.25" customHeight="1">
      <c r="G815" s="929"/>
      <c r="H815" s="929"/>
      <c r="I815" s="929"/>
      <c r="CN815" s="936"/>
      <c r="CR815" s="929"/>
    </row>
    <row r="816" spans="7:96" ht="14.25" customHeight="1">
      <c r="G816" s="929"/>
      <c r="H816" s="929"/>
      <c r="I816" s="929"/>
      <c r="CN816" s="936"/>
      <c r="CR816" s="929"/>
    </row>
    <row r="817" spans="7:96" ht="14.25" customHeight="1">
      <c r="G817" s="929"/>
      <c r="H817" s="929"/>
      <c r="I817" s="929"/>
      <c r="CN817" s="936"/>
      <c r="CR817" s="929"/>
    </row>
    <row r="818" spans="7:96" ht="14.25" customHeight="1">
      <c r="G818" s="929"/>
      <c r="H818" s="929"/>
      <c r="I818" s="929"/>
      <c r="CN818" s="936"/>
      <c r="CR818" s="929"/>
    </row>
    <row r="819" spans="7:96" ht="14.25" customHeight="1">
      <c r="G819" s="929"/>
      <c r="H819" s="929"/>
      <c r="I819" s="929"/>
      <c r="CN819" s="936"/>
      <c r="CR819" s="929"/>
    </row>
    <row r="820" spans="7:96" ht="14.25" customHeight="1">
      <c r="G820" s="929"/>
      <c r="H820" s="929"/>
      <c r="I820" s="929"/>
      <c r="CN820" s="936"/>
      <c r="CR820" s="929"/>
    </row>
    <row r="821" spans="7:96" ht="14.25" customHeight="1">
      <c r="G821" s="929"/>
      <c r="H821" s="929"/>
      <c r="I821" s="929"/>
      <c r="CN821" s="936"/>
      <c r="CR821" s="929"/>
    </row>
    <row r="822" spans="7:96" ht="14.25" customHeight="1">
      <c r="G822" s="929"/>
      <c r="H822" s="929"/>
      <c r="I822" s="929"/>
      <c r="CN822" s="936"/>
      <c r="CR822" s="929"/>
    </row>
    <row r="823" spans="7:96" ht="14.25" customHeight="1">
      <c r="G823" s="929"/>
      <c r="H823" s="929"/>
      <c r="I823" s="929"/>
      <c r="CN823" s="936"/>
      <c r="CR823" s="929"/>
    </row>
    <row r="824" spans="7:96" ht="14.25" customHeight="1">
      <c r="G824" s="929"/>
      <c r="H824" s="929"/>
      <c r="I824" s="929"/>
      <c r="CN824" s="936"/>
      <c r="CR824" s="929"/>
    </row>
    <row r="825" spans="7:96" ht="14.25" customHeight="1">
      <c r="G825" s="929"/>
      <c r="H825" s="929"/>
      <c r="I825" s="929"/>
      <c r="CN825" s="936"/>
      <c r="CR825" s="929"/>
    </row>
    <row r="826" spans="7:96" ht="14.25" customHeight="1">
      <c r="G826" s="929"/>
      <c r="H826" s="929"/>
      <c r="I826" s="929"/>
      <c r="CN826" s="936"/>
      <c r="CR826" s="929"/>
    </row>
    <row r="827" spans="7:96" ht="14.25" customHeight="1">
      <c r="G827" s="929"/>
      <c r="H827" s="929"/>
      <c r="I827" s="929"/>
      <c r="CN827" s="936"/>
      <c r="CR827" s="929"/>
    </row>
    <row r="828" spans="7:96" ht="14.25" customHeight="1">
      <c r="G828" s="929"/>
      <c r="H828" s="929"/>
      <c r="I828" s="929"/>
      <c r="CN828" s="936"/>
      <c r="CR828" s="929"/>
    </row>
    <row r="829" spans="7:96" ht="14.25" customHeight="1">
      <c r="G829" s="929"/>
      <c r="H829" s="929"/>
      <c r="I829" s="929"/>
      <c r="CN829" s="936"/>
      <c r="CR829" s="929"/>
    </row>
    <row r="830" spans="7:96" ht="14.25" customHeight="1">
      <c r="G830" s="929"/>
      <c r="H830" s="929"/>
      <c r="I830" s="929"/>
      <c r="CN830" s="936"/>
      <c r="CR830" s="929"/>
    </row>
    <row r="831" spans="7:96" ht="14.25" customHeight="1">
      <c r="G831" s="929"/>
      <c r="H831" s="929"/>
      <c r="I831" s="929"/>
      <c r="CN831" s="936"/>
      <c r="CR831" s="929"/>
    </row>
    <row r="832" spans="7:96" ht="14.25" customHeight="1">
      <c r="G832" s="929"/>
      <c r="H832" s="929"/>
      <c r="I832" s="929"/>
      <c r="CN832" s="936"/>
      <c r="CR832" s="929"/>
    </row>
    <row r="833" spans="7:96" ht="14.25" customHeight="1">
      <c r="G833" s="929"/>
      <c r="H833" s="929"/>
      <c r="I833" s="929"/>
      <c r="CN833" s="936"/>
      <c r="CR833" s="929"/>
    </row>
    <row r="834" spans="7:96" ht="14.25" customHeight="1">
      <c r="G834" s="929"/>
      <c r="H834" s="929"/>
      <c r="I834" s="929"/>
      <c r="CN834" s="936"/>
      <c r="CR834" s="929"/>
    </row>
    <row r="835" spans="7:96" ht="14.25" customHeight="1">
      <c r="G835" s="929"/>
      <c r="H835" s="929"/>
      <c r="I835" s="929"/>
      <c r="CN835" s="936"/>
      <c r="CR835" s="929"/>
    </row>
    <row r="836" spans="7:96" ht="14.25" customHeight="1">
      <c r="G836" s="929"/>
      <c r="H836" s="929"/>
      <c r="I836" s="929"/>
      <c r="CN836" s="936"/>
      <c r="CR836" s="929"/>
    </row>
    <row r="837" spans="7:96" ht="14.25" customHeight="1">
      <c r="G837" s="929"/>
      <c r="H837" s="929"/>
      <c r="I837" s="929"/>
      <c r="CN837" s="936"/>
      <c r="CR837" s="929"/>
    </row>
    <row r="838" spans="7:96" ht="14.25" customHeight="1">
      <c r="G838" s="929"/>
      <c r="H838" s="929"/>
      <c r="I838" s="929"/>
      <c r="CN838" s="936"/>
      <c r="CR838" s="929"/>
    </row>
    <row r="839" spans="7:96" ht="14.25" customHeight="1">
      <c r="G839" s="929"/>
      <c r="H839" s="929"/>
      <c r="I839" s="929"/>
      <c r="CN839" s="936"/>
      <c r="CR839" s="929"/>
    </row>
    <row r="840" spans="7:96" ht="14.25" customHeight="1">
      <c r="G840" s="929"/>
      <c r="H840" s="929"/>
      <c r="I840" s="929"/>
      <c r="CN840" s="936"/>
      <c r="CR840" s="929"/>
    </row>
    <row r="841" spans="7:96" ht="14.25" customHeight="1">
      <c r="G841" s="929"/>
      <c r="H841" s="929"/>
      <c r="I841" s="929"/>
      <c r="CN841" s="936"/>
      <c r="CR841" s="929"/>
    </row>
    <row r="842" spans="7:96" ht="14.25" customHeight="1">
      <c r="G842" s="929"/>
      <c r="H842" s="929"/>
      <c r="I842" s="929"/>
      <c r="CN842" s="936"/>
      <c r="CR842" s="929"/>
    </row>
    <row r="843" spans="7:96" ht="14.25" customHeight="1">
      <c r="G843" s="929"/>
      <c r="H843" s="929"/>
      <c r="I843" s="929"/>
      <c r="CN843" s="936"/>
      <c r="CR843" s="929"/>
    </row>
    <row r="844" spans="7:96" ht="14.25" customHeight="1">
      <c r="G844" s="929"/>
      <c r="H844" s="929"/>
      <c r="I844" s="929"/>
      <c r="CN844" s="936"/>
      <c r="CR844" s="929"/>
    </row>
    <row r="845" spans="7:96" ht="14.25" customHeight="1">
      <c r="G845" s="929"/>
      <c r="H845" s="929"/>
      <c r="I845" s="929"/>
      <c r="CN845" s="936"/>
      <c r="CR845" s="929"/>
    </row>
    <row r="846" spans="7:96" ht="14.25" customHeight="1">
      <c r="G846" s="929"/>
      <c r="H846" s="929"/>
      <c r="I846" s="929"/>
      <c r="CN846" s="936"/>
      <c r="CR846" s="929"/>
    </row>
    <row r="847" spans="7:96" ht="14.25" customHeight="1">
      <c r="G847" s="929"/>
      <c r="H847" s="929"/>
      <c r="I847" s="929"/>
      <c r="CN847" s="936"/>
      <c r="CR847" s="929"/>
    </row>
    <row r="848" spans="7:96" ht="14.25" customHeight="1">
      <c r="G848" s="929"/>
      <c r="H848" s="929"/>
      <c r="I848" s="929"/>
      <c r="CN848" s="936"/>
      <c r="CR848" s="929"/>
    </row>
    <row r="849" spans="7:96" ht="14.25" customHeight="1">
      <c r="G849" s="929"/>
      <c r="H849" s="929"/>
      <c r="I849" s="929"/>
      <c r="CN849" s="936"/>
      <c r="CR849" s="929"/>
    </row>
    <row r="850" spans="7:96" ht="14.25" customHeight="1">
      <c r="G850" s="929"/>
      <c r="H850" s="929"/>
      <c r="I850" s="929"/>
      <c r="CN850" s="936"/>
      <c r="CR850" s="929"/>
    </row>
    <row r="851" spans="7:96" ht="14.25" customHeight="1">
      <c r="G851" s="929"/>
      <c r="H851" s="929"/>
      <c r="I851" s="929"/>
      <c r="CN851" s="936"/>
      <c r="CR851" s="929"/>
    </row>
    <row r="852" spans="7:96" ht="14.25" customHeight="1">
      <c r="G852" s="929"/>
      <c r="H852" s="929"/>
      <c r="I852" s="929"/>
      <c r="CN852" s="936"/>
      <c r="CR852" s="929"/>
    </row>
    <row r="853" spans="7:96" ht="14.25" customHeight="1">
      <c r="G853" s="929"/>
      <c r="H853" s="929"/>
      <c r="I853" s="929"/>
      <c r="CN853" s="936"/>
      <c r="CR853" s="929"/>
    </row>
    <row r="854" spans="7:96" ht="14.25" customHeight="1">
      <c r="G854" s="929"/>
      <c r="H854" s="929"/>
      <c r="I854" s="929"/>
      <c r="CN854" s="936"/>
      <c r="CR854" s="929"/>
    </row>
    <row r="855" spans="7:96" ht="14.25" customHeight="1">
      <c r="G855" s="929"/>
      <c r="H855" s="929"/>
      <c r="I855" s="929"/>
      <c r="CN855" s="936"/>
      <c r="CR855" s="929"/>
    </row>
    <row r="856" spans="7:96" ht="14.25" customHeight="1">
      <c r="G856" s="929"/>
      <c r="H856" s="929"/>
      <c r="I856" s="929"/>
      <c r="CN856" s="936"/>
      <c r="CR856" s="929"/>
    </row>
    <row r="857" spans="7:96" ht="14.25" customHeight="1">
      <c r="G857" s="929"/>
      <c r="H857" s="929"/>
      <c r="I857" s="929"/>
      <c r="CN857" s="936"/>
      <c r="CR857" s="929"/>
    </row>
    <row r="858" spans="7:96" ht="14.25" customHeight="1">
      <c r="G858" s="929"/>
      <c r="H858" s="929"/>
      <c r="I858" s="929"/>
      <c r="CN858" s="936"/>
      <c r="CR858" s="929"/>
    </row>
    <row r="859" spans="7:96" ht="14.25" customHeight="1">
      <c r="G859" s="929"/>
      <c r="H859" s="929"/>
      <c r="I859" s="929"/>
      <c r="CN859" s="936"/>
      <c r="CR859" s="929"/>
    </row>
    <row r="860" spans="7:96" ht="14.25" customHeight="1">
      <c r="G860" s="929"/>
      <c r="H860" s="929"/>
      <c r="I860" s="929"/>
      <c r="CN860" s="936"/>
      <c r="CR860" s="929"/>
    </row>
    <row r="861" spans="7:96" ht="14.25" customHeight="1">
      <c r="G861" s="929"/>
      <c r="H861" s="929"/>
      <c r="I861" s="929"/>
      <c r="CN861" s="936"/>
      <c r="CR861" s="929"/>
    </row>
    <row r="862" spans="7:96" ht="14.25" customHeight="1">
      <c r="G862" s="929"/>
      <c r="H862" s="929"/>
      <c r="I862" s="929"/>
      <c r="CN862" s="936"/>
      <c r="CR862" s="929"/>
    </row>
    <row r="863" spans="7:96" ht="14.25" customHeight="1">
      <c r="G863" s="929"/>
      <c r="H863" s="929"/>
      <c r="I863" s="929"/>
      <c r="CN863" s="936"/>
      <c r="CR863" s="929"/>
    </row>
    <row r="864" spans="7:96" ht="14.25" customHeight="1">
      <c r="G864" s="929"/>
      <c r="H864" s="929"/>
      <c r="I864" s="929"/>
      <c r="CN864" s="936"/>
      <c r="CR864" s="929"/>
    </row>
    <row r="865" spans="7:96" ht="14.25" customHeight="1">
      <c r="G865" s="929"/>
      <c r="H865" s="929"/>
      <c r="I865" s="929"/>
      <c r="CN865" s="936"/>
      <c r="CR865" s="929"/>
    </row>
    <row r="866" spans="7:96" ht="14.25" customHeight="1">
      <c r="G866" s="929"/>
      <c r="H866" s="929"/>
      <c r="I866" s="929"/>
      <c r="CN866" s="936"/>
      <c r="CR866" s="929"/>
    </row>
    <row r="867" spans="7:96" ht="14.25" customHeight="1">
      <c r="G867" s="929"/>
      <c r="H867" s="929"/>
      <c r="I867" s="929"/>
      <c r="CN867" s="936"/>
      <c r="CR867" s="929"/>
    </row>
    <row r="868" spans="7:96" ht="14.25" customHeight="1">
      <c r="G868" s="929"/>
      <c r="H868" s="929"/>
      <c r="I868" s="929"/>
      <c r="CN868" s="936"/>
      <c r="CR868" s="929"/>
    </row>
    <row r="869" spans="7:96" ht="14.25" customHeight="1">
      <c r="G869" s="929"/>
      <c r="H869" s="929"/>
      <c r="I869" s="929"/>
      <c r="CN869" s="936"/>
      <c r="CR869" s="929"/>
    </row>
    <row r="870" spans="7:96" ht="14.25" customHeight="1">
      <c r="G870" s="929"/>
      <c r="H870" s="929"/>
      <c r="I870" s="929"/>
      <c r="CN870" s="936"/>
      <c r="CR870" s="929"/>
    </row>
    <row r="871" spans="7:96" ht="14.25" customHeight="1">
      <c r="G871" s="929"/>
      <c r="H871" s="929"/>
      <c r="I871" s="929"/>
      <c r="CN871" s="936"/>
      <c r="CR871" s="929"/>
    </row>
    <row r="872" spans="7:96" ht="14.25" customHeight="1">
      <c r="G872" s="929"/>
      <c r="H872" s="929"/>
      <c r="I872" s="929"/>
      <c r="CN872" s="936"/>
      <c r="CR872" s="929"/>
    </row>
    <row r="873" spans="7:96" ht="14.25" customHeight="1">
      <c r="G873" s="929"/>
      <c r="H873" s="929"/>
      <c r="I873" s="929"/>
      <c r="CN873" s="936"/>
      <c r="CR873" s="929"/>
    </row>
    <row r="874" spans="7:96" ht="14.25" customHeight="1">
      <c r="G874" s="929"/>
      <c r="H874" s="929"/>
      <c r="I874" s="929"/>
      <c r="CN874" s="936"/>
      <c r="CR874" s="929"/>
    </row>
    <row r="875" spans="7:96" ht="14.25" customHeight="1">
      <c r="G875" s="929"/>
      <c r="H875" s="929"/>
      <c r="I875" s="929"/>
      <c r="CN875" s="936"/>
      <c r="CR875" s="929"/>
    </row>
    <row r="876" spans="7:96" ht="14.25" customHeight="1">
      <c r="G876" s="929"/>
      <c r="H876" s="929"/>
      <c r="I876" s="929"/>
      <c r="CN876" s="936"/>
      <c r="CR876" s="929"/>
    </row>
    <row r="877" spans="7:96" ht="14.25" customHeight="1">
      <c r="G877" s="929"/>
      <c r="H877" s="929"/>
      <c r="I877" s="929"/>
      <c r="CN877" s="936"/>
      <c r="CR877" s="929"/>
    </row>
    <row r="878" spans="7:96" ht="14.25" customHeight="1">
      <c r="G878" s="929"/>
      <c r="H878" s="929"/>
      <c r="I878" s="929"/>
      <c r="CN878" s="936"/>
      <c r="CR878" s="929"/>
    </row>
    <row r="879" spans="7:96" ht="14.25" customHeight="1">
      <c r="G879" s="929"/>
      <c r="H879" s="929"/>
      <c r="I879" s="929"/>
      <c r="CN879" s="936"/>
      <c r="CR879" s="929"/>
    </row>
    <row r="880" spans="7:96" ht="14.25" customHeight="1">
      <c r="G880" s="929"/>
      <c r="H880" s="929"/>
      <c r="I880" s="929"/>
      <c r="CN880" s="936"/>
      <c r="CR880" s="929"/>
    </row>
    <row r="881" spans="7:96" ht="14.25" customHeight="1">
      <c r="G881" s="929"/>
      <c r="H881" s="929"/>
      <c r="I881" s="929"/>
      <c r="CN881" s="936"/>
      <c r="CR881" s="929"/>
    </row>
    <row r="882" spans="7:96" ht="14.25" customHeight="1">
      <c r="G882" s="929"/>
      <c r="H882" s="929"/>
      <c r="I882" s="929"/>
      <c r="CN882" s="936"/>
      <c r="CR882" s="929"/>
    </row>
    <row r="883" spans="7:96" ht="14.25" customHeight="1">
      <c r="G883" s="929"/>
      <c r="H883" s="929"/>
      <c r="I883" s="929"/>
      <c r="CN883" s="936"/>
      <c r="CR883" s="929"/>
    </row>
    <row r="884" spans="7:96" ht="14.25" customHeight="1">
      <c r="G884" s="929"/>
      <c r="H884" s="929"/>
      <c r="I884" s="929"/>
      <c r="CN884" s="936"/>
      <c r="CR884" s="929"/>
    </row>
    <row r="885" spans="7:96" ht="14.25" customHeight="1">
      <c r="G885" s="929"/>
      <c r="H885" s="929"/>
      <c r="I885" s="929"/>
      <c r="CN885" s="936"/>
      <c r="CR885" s="929"/>
    </row>
    <row r="886" spans="7:96" ht="14.25" customHeight="1">
      <c r="G886" s="929"/>
      <c r="H886" s="929"/>
      <c r="I886" s="929"/>
      <c r="CN886" s="936"/>
      <c r="CR886" s="929"/>
    </row>
    <row r="887" spans="7:96" ht="14.25" customHeight="1">
      <c r="G887" s="929"/>
      <c r="H887" s="929"/>
      <c r="I887" s="929"/>
      <c r="CN887" s="936"/>
      <c r="CR887" s="929"/>
    </row>
    <row r="888" spans="7:96" ht="14.25" customHeight="1">
      <c r="G888" s="929"/>
      <c r="H888" s="929"/>
      <c r="I888" s="929"/>
      <c r="CN888" s="936"/>
      <c r="CR888" s="929"/>
    </row>
    <row r="889" spans="7:96" ht="14.25" customHeight="1">
      <c r="G889" s="929"/>
      <c r="H889" s="929"/>
      <c r="I889" s="929"/>
      <c r="CN889" s="936"/>
      <c r="CR889" s="929"/>
    </row>
    <row r="890" spans="7:96" ht="14.25" customHeight="1">
      <c r="G890" s="929"/>
      <c r="H890" s="929"/>
      <c r="I890" s="929"/>
      <c r="CN890" s="936"/>
      <c r="CR890" s="929"/>
    </row>
    <row r="891" spans="7:96" ht="14.25" customHeight="1">
      <c r="G891" s="929"/>
      <c r="H891" s="929"/>
      <c r="I891" s="929"/>
      <c r="CN891" s="936"/>
      <c r="CR891" s="929"/>
    </row>
    <row r="892" spans="7:96" ht="14.25" customHeight="1">
      <c r="G892" s="929"/>
      <c r="H892" s="929"/>
      <c r="I892" s="929"/>
      <c r="CN892" s="936"/>
      <c r="CR892" s="929"/>
    </row>
    <row r="893" spans="7:96" ht="14.25" customHeight="1">
      <c r="G893" s="929"/>
      <c r="H893" s="929"/>
      <c r="I893" s="929"/>
      <c r="CN893" s="936"/>
      <c r="CR893" s="929"/>
    </row>
    <row r="894" spans="7:96" ht="14.25" customHeight="1">
      <c r="G894" s="929"/>
      <c r="H894" s="929"/>
      <c r="I894" s="929"/>
      <c r="CN894" s="936"/>
      <c r="CR894" s="929"/>
    </row>
    <row r="895" spans="7:96" ht="14.25" customHeight="1">
      <c r="G895" s="929"/>
      <c r="H895" s="929"/>
      <c r="I895" s="929"/>
      <c r="CN895" s="936"/>
      <c r="CR895" s="929"/>
    </row>
    <row r="896" spans="7:96" ht="14.25" customHeight="1">
      <c r="G896" s="929"/>
      <c r="H896" s="929"/>
      <c r="I896" s="929"/>
      <c r="CN896" s="936"/>
      <c r="CR896" s="929"/>
    </row>
    <row r="897" spans="7:96" ht="14.25" customHeight="1">
      <c r="G897" s="929"/>
      <c r="H897" s="929"/>
      <c r="I897" s="929"/>
      <c r="CN897" s="936"/>
      <c r="CR897" s="929"/>
    </row>
    <row r="898" spans="7:96" ht="14.25" customHeight="1">
      <c r="G898" s="929"/>
      <c r="H898" s="929"/>
      <c r="I898" s="929"/>
      <c r="CN898" s="936"/>
      <c r="CR898" s="929"/>
    </row>
    <row r="899" spans="7:96" ht="14.25" customHeight="1">
      <c r="G899" s="929"/>
      <c r="H899" s="929"/>
      <c r="I899" s="929"/>
      <c r="CN899" s="936"/>
      <c r="CR899" s="929"/>
    </row>
    <row r="900" spans="7:96" ht="14.25" customHeight="1">
      <c r="G900" s="929"/>
      <c r="H900" s="929"/>
      <c r="I900" s="929"/>
      <c r="CN900" s="936"/>
      <c r="CR900" s="929"/>
    </row>
    <row r="901" spans="7:96" ht="14.25" customHeight="1">
      <c r="G901" s="929"/>
      <c r="H901" s="929"/>
      <c r="I901" s="929"/>
      <c r="CN901" s="936"/>
      <c r="CR901" s="929"/>
    </row>
    <row r="902" spans="7:96" ht="14.25" customHeight="1">
      <c r="G902" s="929"/>
      <c r="H902" s="929"/>
      <c r="I902" s="929"/>
      <c r="CN902" s="936"/>
      <c r="CR902" s="929"/>
    </row>
    <row r="903" spans="7:96" ht="14.25" customHeight="1">
      <c r="G903" s="929"/>
      <c r="H903" s="929"/>
      <c r="I903" s="929"/>
      <c r="CN903" s="936"/>
      <c r="CR903" s="929"/>
    </row>
    <row r="904" spans="7:96" ht="14.25" customHeight="1">
      <c r="G904" s="929"/>
      <c r="H904" s="929"/>
      <c r="I904" s="929"/>
      <c r="CN904" s="936"/>
      <c r="CR904" s="929"/>
    </row>
    <row r="905" spans="7:96" ht="14.25" customHeight="1">
      <c r="G905" s="929"/>
      <c r="H905" s="929"/>
      <c r="I905" s="929"/>
      <c r="CN905" s="936"/>
      <c r="CR905" s="929"/>
    </row>
    <row r="906" spans="7:96" ht="14.25" customHeight="1">
      <c r="G906" s="929"/>
      <c r="H906" s="929"/>
      <c r="I906" s="929"/>
      <c r="CN906" s="936"/>
      <c r="CR906" s="929"/>
    </row>
    <row r="907" spans="7:96" ht="14.25" customHeight="1">
      <c r="G907" s="929"/>
      <c r="H907" s="929"/>
      <c r="I907" s="929"/>
      <c r="CN907" s="936"/>
      <c r="CR907" s="929"/>
    </row>
    <row r="908" spans="7:96" ht="14.25" customHeight="1">
      <c r="G908" s="929"/>
      <c r="H908" s="929"/>
      <c r="I908" s="929"/>
      <c r="CN908" s="936"/>
      <c r="CR908" s="929"/>
    </row>
    <row r="909" spans="7:96" ht="14.25" customHeight="1">
      <c r="G909" s="929"/>
      <c r="H909" s="929"/>
      <c r="I909" s="929"/>
      <c r="CN909" s="936"/>
      <c r="CR909" s="929"/>
    </row>
    <row r="910" spans="7:96" ht="14.25" customHeight="1">
      <c r="G910" s="929"/>
      <c r="H910" s="929"/>
      <c r="I910" s="929"/>
      <c r="CN910" s="936"/>
      <c r="CR910" s="929"/>
    </row>
    <row r="911" spans="7:96" ht="14.25" customHeight="1">
      <c r="G911" s="929"/>
      <c r="H911" s="929"/>
      <c r="I911" s="929"/>
      <c r="CN911" s="936"/>
      <c r="CR911" s="929"/>
    </row>
    <row r="912" spans="7:96" ht="14.25" customHeight="1">
      <c r="G912" s="929"/>
      <c r="H912" s="929"/>
      <c r="I912" s="929"/>
      <c r="CN912" s="936"/>
      <c r="CR912" s="929"/>
    </row>
    <row r="913" spans="7:96" ht="14.25" customHeight="1">
      <c r="G913" s="929"/>
      <c r="H913" s="929"/>
      <c r="I913" s="929"/>
      <c r="CN913" s="936"/>
      <c r="CR913" s="929"/>
    </row>
    <row r="914" spans="7:96" ht="14.25" customHeight="1">
      <c r="G914" s="929"/>
      <c r="H914" s="929"/>
      <c r="I914" s="929"/>
      <c r="CN914" s="936"/>
      <c r="CR914" s="929"/>
    </row>
    <row r="915" spans="7:96" ht="14.25" customHeight="1">
      <c r="G915" s="929"/>
      <c r="H915" s="929"/>
      <c r="I915" s="929"/>
      <c r="CN915" s="936"/>
      <c r="CR915" s="929"/>
    </row>
    <row r="916" spans="7:96" ht="14.25" customHeight="1">
      <c r="G916" s="929"/>
      <c r="H916" s="929"/>
      <c r="I916" s="929"/>
      <c r="CN916" s="936"/>
      <c r="CR916" s="929"/>
    </row>
    <row r="917" spans="7:96" ht="14.25" customHeight="1">
      <c r="G917" s="929"/>
      <c r="H917" s="929"/>
      <c r="I917" s="929"/>
      <c r="CN917" s="936"/>
      <c r="CR917" s="929"/>
    </row>
    <row r="918" spans="7:96" ht="14.25" customHeight="1">
      <c r="G918" s="929"/>
      <c r="H918" s="929"/>
      <c r="I918" s="929"/>
      <c r="CN918" s="936"/>
      <c r="CR918" s="929"/>
    </row>
    <row r="919" spans="7:96" ht="14.25" customHeight="1">
      <c r="G919" s="929"/>
      <c r="H919" s="929"/>
      <c r="I919" s="929"/>
      <c r="CN919" s="936"/>
      <c r="CR919" s="929"/>
    </row>
    <row r="920" spans="7:96" ht="14.25" customHeight="1">
      <c r="G920" s="929"/>
      <c r="H920" s="929"/>
      <c r="I920" s="929"/>
      <c r="CN920" s="936"/>
      <c r="CR920" s="929"/>
    </row>
    <row r="921" spans="7:96" ht="14.25" customHeight="1">
      <c r="G921" s="929"/>
      <c r="H921" s="929"/>
      <c r="I921" s="929"/>
      <c r="CN921" s="936"/>
      <c r="CR921" s="929"/>
    </row>
    <row r="922" spans="7:96" ht="14.25" customHeight="1">
      <c r="G922" s="929"/>
      <c r="H922" s="929"/>
      <c r="I922" s="929"/>
      <c r="CN922" s="936"/>
      <c r="CR922" s="929"/>
    </row>
    <row r="923" spans="7:96" ht="14.25" customHeight="1">
      <c r="G923" s="929"/>
      <c r="H923" s="929"/>
      <c r="I923" s="929"/>
      <c r="CN923" s="936"/>
      <c r="CR923" s="929"/>
    </row>
    <row r="924" spans="7:96" ht="14.25" customHeight="1">
      <c r="G924" s="929"/>
      <c r="H924" s="929"/>
      <c r="I924" s="929"/>
      <c r="CN924" s="936"/>
      <c r="CR924" s="929"/>
    </row>
    <row r="925" spans="7:96" ht="14.25" customHeight="1">
      <c r="G925" s="929"/>
      <c r="H925" s="929"/>
      <c r="I925" s="929"/>
      <c r="CN925" s="936"/>
      <c r="CR925" s="929"/>
    </row>
    <row r="926" spans="7:96" ht="14.25" customHeight="1">
      <c r="G926" s="929"/>
      <c r="H926" s="929"/>
      <c r="I926" s="929"/>
      <c r="CN926" s="936"/>
      <c r="CR926" s="929"/>
    </row>
    <row r="927" spans="7:96" ht="14.25" customHeight="1">
      <c r="G927" s="929"/>
      <c r="H927" s="929"/>
      <c r="I927" s="929"/>
      <c r="CN927" s="936"/>
      <c r="CR927" s="929"/>
    </row>
    <row r="928" spans="7:96" ht="14.25" customHeight="1">
      <c r="G928" s="929"/>
      <c r="H928" s="929"/>
      <c r="I928" s="929"/>
      <c r="CN928" s="936"/>
      <c r="CR928" s="929"/>
    </row>
    <row r="929" spans="7:96" ht="14.25" customHeight="1">
      <c r="G929" s="929"/>
      <c r="H929" s="929"/>
      <c r="I929" s="929"/>
      <c r="CN929" s="936"/>
      <c r="CR929" s="929"/>
    </row>
    <row r="930" spans="7:96" ht="14.25" customHeight="1">
      <c r="G930" s="929"/>
      <c r="H930" s="929"/>
      <c r="I930" s="929"/>
      <c r="CN930" s="936"/>
      <c r="CR930" s="929"/>
    </row>
    <row r="931" spans="7:96" ht="14.25" customHeight="1">
      <c r="G931" s="929"/>
      <c r="H931" s="929"/>
      <c r="I931" s="929"/>
      <c r="CN931" s="936"/>
      <c r="CR931" s="929"/>
    </row>
    <row r="932" spans="7:96" ht="14.25" customHeight="1">
      <c r="G932" s="929"/>
      <c r="H932" s="929"/>
      <c r="I932" s="929"/>
      <c r="CN932" s="936"/>
      <c r="CR932" s="929"/>
    </row>
    <row r="933" spans="7:96" ht="14.25" customHeight="1">
      <c r="G933" s="929"/>
      <c r="H933" s="929"/>
      <c r="I933" s="929"/>
      <c r="CN933" s="936"/>
      <c r="CR933" s="929"/>
    </row>
    <row r="934" spans="7:96" ht="14.25" customHeight="1">
      <c r="G934" s="929"/>
      <c r="H934" s="929"/>
      <c r="I934" s="929"/>
      <c r="CN934" s="936"/>
      <c r="CR934" s="929"/>
    </row>
    <row r="935" spans="7:96" ht="14.25" customHeight="1">
      <c r="G935" s="929"/>
      <c r="H935" s="929"/>
      <c r="I935" s="929"/>
      <c r="CN935" s="936"/>
      <c r="CR935" s="929"/>
    </row>
    <row r="936" spans="7:96" ht="14.25" customHeight="1">
      <c r="G936" s="929"/>
      <c r="H936" s="929"/>
      <c r="I936" s="929"/>
      <c r="CN936" s="936"/>
      <c r="CR936" s="929"/>
    </row>
    <row r="937" spans="7:96" ht="14.25" customHeight="1">
      <c r="G937" s="929"/>
      <c r="H937" s="929"/>
      <c r="I937" s="929"/>
      <c r="CN937" s="936"/>
      <c r="CR937" s="929"/>
    </row>
    <row r="938" spans="7:96" ht="14.25" customHeight="1">
      <c r="G938" s="929"/>
      <c r="H938" s="929"/>
      <c r="I938" s="929"/>
      <c r="CN938" s="936"/>
      <c r="CR938" s="929"/>
    </row>
    <row r="939" spans="7:96" ht="14.25" customHeight="1">
      <c r="G939" s="929"/>
      <c r="H939" s="929"/>
      <c r="I939" s="929"/>
      <c r="CN939" s="936"/>
      <c r="CR939" s="929"/>
    </row>
    <row r="940" spans="7:96" ht="14.25" customHeight="1">
      <c r="G940" s="929"/>
      <c r="H940" s="929"/>
      <c r="I940" s="929"/>
      <c r="CN940" s="936"/>
      <c r="CR940" s="929"/>
    </row>
    <row r="941" spans="7:96" ht="14.25" customHeight="1">
      <c r="G941" s="929"/>
      <c r="H941" s="929"/>
      <c r="I941" s="929"/>
      <c r="CN941" s="936"/>
      <c r="CR941" s="929"/>
    </row>
    <row r="942" spans="7:96" ht="14.25" customHeight="1">
      <c r="G942" s="929"/>
      <c r="H942" s="929"/>
      <c r="I942" s="929"/>
      <c r="CN942" s="936"/>
      <c r="CR942" s="929"/>
    </row>
    <row r="943" spans="7:96" ht="14.25" customHeight="1">
      <c r="G943" s="929"/>
      <c r="H943" s="929"/>
      <c r="I943" s="929"/>
      <c r="CN943" s="936"/>
      <c r="CR943" s="929"/>
    </row>
    <row r="944" spans="7:96" ht="14.25" customHeight="1">
      <c r="G944" s="929"/>
      <c r="H944" s="929"/>
      <c r="I944" s="929"/>
      <c r="CN944" s="936"/>
      <c r="CR944" s="929"/>
    </row>
    <row r="945" spans="7:96" ht="14.25" customHeight="1">
      <c r="G945" s="929"/>
      <c r="H945" s="929"/>
      <c r="I945" s="929"/>
      <c r="CN945" s="936"/>
      <c r="CR945" s="929"/>
    </row>
    <row r="946" spans="7:96" ht="14.25" customHeight="1">
      <c r="G946" s="929"/>
      <c r="H946" s="929"/>
      <c r="I946" s="929"/>
      <c r="CN946" s="936"/>
      <c r="CR946" s="929"/>
    </row>
    <row r="947" spans="7:96" ht="14.25" customHeight="1">
      <c r="G947" s="929"/>
      <c r="H947" s="929"/>
      <c r="I947" s="929"/>
      <c r="CN947" s="936"/>
      <c r="CR947" s="929"/>
    </row>
    <row r="948" spans="7:96" ht="14.25" customHeight="1">
      <c r="G948" s="929"/>
      <c r="H948" s="929"/>
      <c r="I948" s="929"/>
      <c r="CN948" s="936"/>
      <c r="CR948" s="929"/>
    </row>
    <row r="949" spans="7:96" ht="14.25" customHeight="1">
      <c r="G949" s="929"/>
      <c r="H949" s="929"/>
      <c r="I949" s="929"/>
      <c r="CN949" s="936"/>
      <c r="CR949" s="929"/>
    </row>
    <row r="950" spans="7:96" ht="14.25" customHeight="1">
      <c r="G950" s="929"/>
      <c r="H950" s="929"/>
      <c r="I950" s="929"/>
      <c r="CN950" s="936"/>
      <c r="CR950" s="929"/>
    </row>
    <row r="951" spans="7:96" ht="14.25" customHeight="1">
      <c r="G951" s="929"/>
      <c r="H951" s="929"/>
      <c r="I951" s="929"/>
      <c r="CN951" s="936"/>
      <c r="CR951" s="929"/>
    </row>
    <row r="952" spans="7:96" ht="14.25" customHeight="1">
      <c r="G952" s="929"/>
      <c r="H952" s="929"/>
      <c r="I952" s="929"/>
      <c r="CN952" s="936"/>
      <c r="CR952" s="929"/>
    </row>
    <row r="953" spans="7:96" ht="14.25" customHeight="1">
      <c r="G953" s="929"/>
      <c r="H953" s="929"/>
      <c r="I953" s="929"/>
      <c r="CN953" s="936"/>
      <c r="CR953" s="929"/>
    </row>
    <row r="954" spans="7:96" ht="14.25" customHeight="1">
      <c r="G954" s="929"/>
      <c r="H954" s="929"/>
      <c r="I954" s="929"/>
      <c r="CN954" s="936"/>
      <c r="CR954" s="929"/>
    </row>
    <row r="955" spans="7:96" ht="14.25" customHeight="1">
      <c r="G955" s="929"/>
      <c r="H955" s="929"/>
      <c r="I955" s="929"/>
      <c r="CN955" s="936"/>
      <c r="CR955" s="929"/>
    </row>
    <row r="956" spans="7:96" ht="14.25" customHeight="1">
      <c r="G956" s="929"/>
      <c r="H956" s="929"/>
      <c r="I956" s="929"/>
      <c r="CN956" s="936"/>
      <c r="CR956" s="929"/>
    </row>
    <row r="957" spans="7:96" ht="14.25" customHeight="1">
      <c r="G957" s="929"/>
      <c r="H957" s="929"/>
      <c r="I957" s="929"/>
      <c r="CN957" s="936"/>
      <c r="CR957" s="929"/>
    </row>
    <row r="958" spans="7:96" ht="14.25" customHeight="1">
      <c r="G958" s="929"/>
      <c r="H958" s="929"/>
      <c r="I958" s="929"/>
      <c r="CN958" s="936"/>
      <c r="CR958" s="929"/>
    </row>
    <row r="959" spans="7:96" ht="14.25" customHeight="1">
      <c r="G959" s="929"/>
      <c r="H959" s="929"/>
      <c r="I959" s="929"/>
      <c r="CN959" s="936"/>
      <c r="CR959" s="929"/>
    </row>
    <row r="960" spans="7:96" ht="14.25" customHeight="1">
      <c r="G960" s="929"/>
      <c r="H960" s="929"/>
      <c r="I960" s="929"/>
      <c r="CN960" s="936"/>
      <c r="CR960" s="929"/>
    </row>
    <row r="961" spans="7:96" ht="14.25" customHeight="1">
      <c r="G961" s="929"/>
      <c r="H961" s="929"/>
      <c r="I961" s="929"/>
      <c r="CN961" s="936"/>
      <c r="CR961" s="929"/>
    </row>
    <row r="962" spans="7:96" ht="14.25" customHeight="1">
      <c r="G962" s="929"/>
      <c r="H962" s="929"/>
      <c r="I962" s="929"/>
      <c r="CN962" s="936"/>
      <c r="CR962" s="929"/>
    </row>
    <row r="963" spans="7:96" ht="14.25" customHeight="1">
      <c r="G963" s="929"/>
      <c r="H963" s="929"/>
      <c r="I963" s="929"/>
      <c r="CN963" s="936"/>
      <c r="CR963" s="929"/>
    </row>
    <row r="964" spans="7:96" ht="14.25" customHeight="1">
      <c r="G964" s="929"/>
      <c r="H964" s="929"/>
      <c r="I964" s="929"/>
      <c r="CN964" s="936"/>
      <c r="CR964" s="929"/>
    </row>
    <row r="965" spans="7:96" ht="14.25" customHeight="1">
      <c r="G965" s="929"/>
      <c r="H965" s="929"/>
      <c r="I965" s="929"/>
      <c r="CN965" s="936"/>
      <c r="CR965" s="929"/>
    </row>
    <row r="966" spans="7:96" ht="14.25" customHeight="1">
      <c r="G966" s="929"/>
      <c r="H966" s="929"/>
      <c r="I966" s="929"/>
      <c r="CN966" s="936"/>
      <c r="CR966" s="929"/>
    </row>
    <row r="967" spans="7:96" ht="14.25" customHeight="1">
      <c r="G967" s="929"/>
      <c r="H967" s="929"/>
      <c r="I967" s="929"/>
      <c r="CN967" s="936"/>
      <c r="CR967" s="929"/>
    </row>
    <row r="968" spans="7:96" ht="14.25" customHeight="1">
      <c r="G968" s="929"/>
      <c r="H968" s="929"/>
      <c r="I968" s="929"/>
      <c r="CN968" s="936"/>
      <c r="CR968" s="929"/>
    </row>
    <row r="969" spans="7:96" ht="14.25" customHeight="1">
      <c r="G969" s="929"/>
      <c r="H969" s="929"/>
      <c r="I969" s="929"/>
      <c r="CN969" s="936"/>
      <c r="CR969" s="929"/>
    </row>
    <row r="970" spans="7:96" ht="14.25" customHeight="1">
      <c r="G970" s="929"/>
      <c r="H970" s="929"/>
      <c r="I970" s="929"/>
      <c r="CN970" s="936"/>
      <c r="CR970" s="929"/>
    </row>
    <row r="971" spans="7:96" ht="14.25" customHeight="1">
      <c r="G971" s="929"/>
      <c r="H971" s="929"/>
      <c r="I971" s="929"/>
      <c r="CN971" s="936"/>
      <c r="CR971" s="929"/>
    </row>
    <row r="972" spans="7:96" ht="14.25" customHeight="1">
      <c r="G972" s="929"/>
      <c r="H972" s="929"/>
      <c r="I972" s="929"/>
      <c r="CN972" s="936"/>
      <c r="CR972" s="929"/>
    </row>
    <row r="973" spans="7:96" ht="14.25" customHeight="1">
      <c r="G973" s="929"/>
      <c r="H973" s="929"/>
      <c r="I973" s="929"/>
      <c r="CN973" s="936"/>
      <c r="CR973" s="929"/>
    </row>
    <row r="974" spans="7:96" ht="14.25" customHeight="1">
      <c r="G974" s="929"/>
      <c r="H974" s="929"/>
      <c r="I974" s="929"/>
      <c r="CN974" s="936"/>
      <c r="CR974" s="929"/>
    </row>
    <row r="975" spans="7:96" ht="14.25" customHeight="1">
      <c r="G975" s="929"/>
      <c r="H975" s="929"/>
      <c r="I975" s="929"/>
      <c r="CN975" s="936"/>
      <c r="CR975" s="929"/>
    </row>
    <row r="976" spans="7:96" ht="14.25" customHeight="1">
      <c r="G976" s="929"/>
      <c r="H976" s="929"/>
      <c r="I976" s="929"/>
      <c r="CN976" s="936"/>
      <c r="CR976" s="929"/>
    </row>
    <row r="977" spans="7:96" ht="14.25" customHeight="1">
      <c r="G977" s="929"/>
      <c r="H977" s="929"/>
      <c r="I977" s="929"/>
      <c r="CN977" s="936"/>
      <c r="CR977" s="929"/>
    </row>
    <row r="978" spans="7:96" ht="14.25" customHeight="1">
      <c r="G978" s="929"/>
      <c r="H978" s="929"/>
      <c r="I978" s="929"/>
      <c r="CN978" s="936"/>
      <c r="CR978" s="929"/>
    </row>
    <row r="979" spans="7:96" ht="14.25" customHeight="1">
      <c r="G979" s="929"/>
      <c r="H979" s="929"/>
      <c r="I979" s="929"/>
      <c r="CN979" s="936"/>
      <c r="CR979" s="929"/>
    </row>
    <row r="980" spans="7:96" ht="14.25" customHeight="1">
      <c r="G980" s="929"/>
      <c r="H980" s="929"/>
      <c r="I980" s="929"/>
      <c r="CN980" s="936"/>
      <c r="CR980" s="929"/>
    </row>
    <row r="981" spans="7:96" ht="14.25" customHeight="1">
      <c r="G981" s="929"/>
      <c r="H981" s="929"/>
      <c r="I981" s="929"/>
      <c r="CN981" s="936"/>
      <c r="CR981" s="929"/>
    </row>
    <row r="982" spans="7:96" ht="14.25" customHeight="1">
      <c r="G982" s="929"/>
      <c r="H982" s="929"/>
      <c r="I982" s="929"/>
      <c r="CN982" s="936"/>
      <c r="CR982" s="929"/>
    </row>
    <row r="983" spans="7:96" ht="14.25" customHeight="1">
      <c r="G983" s="929"/>
      <c r="H983" s="929"/>
      <c r="I983" s="929"/>
      <c r="CN983" s="936"/>
      <c r="CR983" s="929"/>
    </row>
    <row r="984" spans="7:96" ht="14.25" customHeight="1">
      <c r="G984" s="929"/>
      <c r="H984" s="929"/>
      <c r="I984" s="929"/>
      <c r="CN984" s="936"/>
      <c r="CR984" s="929"/>
    </row>
    <row r="985" spans="7:96" ht="14.25" customHeight="1">
      <c r="G985" s="929"/>
      <c r="H985" s="929"/>
      <c r="I985" s="929"/>
      <c r="CN985" s="936"/>
      <c r="CR985" s="929"/>
    </row>
    <row r="986" spans="7:96" ht="14.25" customHeight="1">
      <c r="G986" s="929"/>
      <c r="H986" s="929"/>
      <c r="I986" s="929"/>
      <c r="CN986" s="936"/>
      <c r="CR986" s="929"/>
    </row>
    <row r="987" spans="7:96" ht="14.25" customHeight="1">
      <c r="G987" s="929"/>
      <c r="H987" s="929"/>
      <c r="I987" s="929"/>
      <c r="CN987" s="936"/>
      <c r="CR987" s="929"/>
    </row>
    <row r="988" spans="7:96" ht="14.25" customHeight="1">
      <c r="G988" s="929"/>
      <c r="H988" s="929"/>
      <c r="I988" s="929"/>
      <c r="CN988" s="936"/>
      <c r="CR988" s="929"/>
    </row>
    <row r="989" spans="7:96" ht="14.25" customHeight="1">
      <c r="G989" s="929"/>
      <c r="H989" s="929"/>
      <c r="I989" s="929"/>
      <c r="CN989" s="936"/>
      <c r="CR989" s="929"/>
    </row>
    <row r="990" spans="7:96" ht="14.25" customHeight="1">
      <c r="G990" s="929"/>
      <c r="H990" s="929"/>
      <c r="I990" s="929"/>
      <c r="CN990" s="936"/>
      <c r="CR990" s="929"/>
    </row>
    <row r="991" spans="7:96" ht="14.25" customHeight="1">
      <c r="G991" s="929"/>
      <c r="H991" s="929"/>
      <c r="I991" s="929"/>
      <c r="CN991" s="936"/>
      <c r="CR991" s="929"/>
    </row>
    <row r="992" spans="7:96" ht="14.25" customHeight="1">
      <c r="G992" s="929"/>
      <c r="H992" s="929"/>
      <c r="I992" s="929"/>
      <c r="CN992" s="936"/>
      <c r="CR992" s="929"/>
    </row>
    <row r="993" spans="7:96" ht="14.25" customHeight="1">
      <c r="G993" s="929"/>
      <c r="H993" s="929"/>
      <c r="I993" s="929"/>
      <c r="CN993" s="936"/>
      <c r="CR993" s="929"/>
    </row>
    <row r="994" spans="7:96" ht="14.25" customHeight="1">
      <c r="G994" s="929"/>
      <c r="H994" s="929"/>
      <c r="I994" s="929"/>
      <c r="CN994" s="936"/>
      <c r="CR994" s="929"/>
    </row>
    <row r="995" spans="7:96" ht="14.25" customHeight="1">
      <c r="G995" s="929"/>
      <c r="H995" s="929"/>
      <c r="I995" s="929"/>
      <c r="CN995" s="936"/>
      <c r="CR995" s="929"/>
    </row>
    <row r="996" spans="7:96" ht="14.25" customHeight="1">
      <c r="G996" s="929"/>
      <c r="H996" s="929"/>
      <c r="I996" s="929"/>
      <c r="CN996" s="936"/>
      <c r="CR996" s="929"/>
    </row>
    <row r="997" spans="7:96" ht="14.25" customHeight="1">
      <c r="G997" s="929"/>
      <c r="H997" s="929"/>
      <c r="I997" s="929"/>
      <c r="CN997" s="936"/>
      <c r="CR997" s="929"/>
    </row>
    <row r="998" spans="7:96" ht="14.25" customHeight="1">
      <c r="G998" s="929"/>
      <c r="H998" s="929"/>
      <c r="I998" s="929"/>
      <c r="CN998" s="936"/>
      <c r="CR998" s="929"/>
    </row>
    <row r="999" spans="7:96" ht="14.25" customHeight="1">
      <c r="G999" s="929"/>
      <c r="H999" s="929"/>
      <c r="I999" s="929"/>
      <c r="CN999" s="936"/>
      <c r="CR999" s="929"/>
    </row>
    <row r="1000" spans="7:96" ht="14.25" customHeight="1">
      <c r="G1000" s="929"/>
      <c r="H1000" s="929"/>
      <c r="I1000" s="929"/>
      <c r="CN1000" s="936"/>
      <c r="CR1000" s="929"/>
    </row>
    <row r="1001" spans="7:96" ht="14.25" customHeight="1">
      <c r="G1001" s="929"/>
      <c r="H1001" s="929"/>
      <c r="I1001" s="929"/>
      <c r="CN1001" s="936"/>
      <c r="CR1001" s="929"/>
    </row>
    <row r="1002" spans="7:96" ht="14.25" customHeight="1">
      <c r="G1002" s="929"/>
      <c r="H1002" s="929"/>
      <c r="I1002" s="929"/>
      <c r="CN1002" s="936"/>
      <c r="CR1002" s="929"/>
    </row>
    <row r="1003" spans="7:96" ht="14.25" customHeight="1">
      <c r="G1003" s="929"/>
      <c r="H1003" s="929"/>
      <c r="I1003" s="929"/>
      <c r="CN1003" s="936"/>
      <c r="CR1003" s="929"/>
    </row>
    <row r="1004" spans="7:96" ht="14.25" customHeight="1">
      <c r="G1004" s="929"/>
      <c r="H1004" s="929"/>
      <c r="I1004" s="929"/>
      <c r="CN1004" s="936"/>
      <c r="CR1004" s="929"/>
    </row>
    <row r="1005" spans="7:96" ht="14.25" customHeight="1">
      <c r="G1005" s="929"/>
      <c r="H1005" s="929"/>
      <c r="I1005" s="929"/>
      <c r="CN1005" s="936"/>
      <c r="CR1005" s="929"/>
    </row>
    <row r="1006" spans="7:96" ht="14.25" customHeight="1">
      <c r="G1006" s="929"/>
      <c r="H1006" s="929"/>
      <c r="I1006" s="929"/>
      <c r="CN1006" s="936"/>
      <c r="CR1006" s="929"/>
    </row>
    <row r="1007" spans="7:96" ht="14.25" customHeight="1">
      <c r="G1007" s="929"/>
      <c r="H1007" s="929"/>
      <c r="I1007" s="929"/>
      <c r="CN1007" s="936"/>
      <c r="CR1007" s="929"/>
    </row>
    <row r="1008" spans="7:96" ht="14.25" customHeight="1">
      <c r="G1008" s="929"/>
      <c r="H1008" s="929"/>
      <c r="I1008" s="929"/>
      <c r="CN1008" s="936"/>
      <c r="CR1008" s="929"/>
    </row>
    <row r="1009" spans="7:96" ht="14.25" customHeight="1">
      <c r="G1009" s="929"/>
      <c r="H1009" s="929"/>
      <c r="I1009" s="929"/>
      <c r="CN1009" s="936"/>
      <c r="CR1009" s="929"/>
    </row>
    <row r="1010" spans="7:96" ht="14.25" customHeight="1">
      <c r="G1010" s="929"/>
      <c r="H1010" s="929"/>
      <c r="I1010" s="929"/>
      <c r="CN1010" s="936"/>
      <c r="CR1010" s="929"/>
    </row>
    <row r="1011" spans="7:96" ht="14.25" customHeight="1">
      <c r="G1011" s="929"/>
      <c r="H1011" s="929"/>
      <c r="I1011" s="929"/>
      <c r="CN1011" s="936"/>
      <c r="CR1011" s="929"/>
    </row>
    <row r="1012" spans="7:96" ht="14.25" customHeight="1">
      <c r="G1012" s="929"/>
      <c r="H1012" s="929"/>
      <c r="I1012" s="929"/>
      <c r="CN1012" s="936"/>
      <c r="CR1012" s="929"/>
    </row>
    <row r="1013" spans="7:96" ht="14.25" customHeight="1">
      <c r="G1013" s="929"/>
      <c r="H1013" s="929"/>
      <c r="I1013" s="929"/>
      <c r="CN1013" s="936"/>
      <c r="CR1013" s="929"/>
    </row>
    <row r="1014" spans="7:96" ht="14.25" customHeight="1">
      <c r="G1014" s="929"/>
      <c r="H1014" s="929"/>
      <c r="I1014" s="929"/>
      <c r="CN1014" s="936"/>
      <c r="CR1014" s="929"/>
    </row>
    <row r="1015" spans="7:96" ht="14.25" customHeight="1">
      <c r="G1015" s="929"/>
      <c r="H1015" s="929"/>
      <c r="I1015" s="929"/>
      <c r="CN1015" s="936"/>
      <c r="CR1015" s="929"/>
    </row>
    <row r="1016" spans="7:96" ht="14.25" customHeight="1">
      <c r="G1016" s="929"/>
      <c r="H1016" s="929"/>
      <c r="I1016" s="929"/>
      <c r="CN1016" s="936"/>
      <c r="CR1016" s="929"/>
    </row>
    <row r="1017" spans="7:96" ht="14.25" customHeight="1">
      <c r="G1017" s="929"/>
      <c r="H1017" s="929"/>
      <c r="I1017" s="929"/>
      <c r="CN1017" s="936"/>
      <c r="CR1017" s="929"/>
    </row>
    <row r="1018" spans="7:96" ht="14.25" customHeight="1">
      <c r="G1018" s="929"/>
      <c r="H1018" s="929"/>
      <c r="I1018" s="929"/>
      <c r="CN1018" s="936"/>
      <c r="CR1018" s="929"/>
    </row>
    <row r="1019" spans="7:96" ht="14.25" customHeight="1">
      <c r="G1019" s="929"/>
      <c r="H1019" s="929"/>
      <c r="I1019" s="929"/>
      <c r="CN1019" s="936"/>
      <c r="CR1019" s="929"/>
    </row>
    <row r="1020" spans="7:96" ht="14.25" customHeight="1">
      <c r="G1020" s="929"/>
      <c r="H1020" s="929"/>
      <c r="I1020" s="929"/>
      <c r="CN1020" s="936"/>
      <c r="CR1020" s="929"/>
    </row>
    <row r="1021" spans="7:96" ht="14.25" customHeight="1">
      <c r="G1021" s="929"/>
      <c r="H1021" s="929"/>
      <c r="I1021" s="929"/>
      <c r="CN1021" s="936"/>
      <c r="CR1021" s="929"/>
    </row>
    <row r="1022" spans="7:96" ht="14.25" customHeight="1">
      <c r="G1022" s="929"/>
      <c r="H1022" s="929"/>
      <c r="I1022" s="929"/>
      <c r="CN1022" s="936"/>
      <c r="CR1022" s="929"/>
    </row>
    <row r="1023" spans="7:96" ht="14.25" customHeight="1">
      <c r="G1023" s="929"/>
      <c r="H1023" s="929"/>
      <c r="I1023" s="929"/>
      <c r="CN1023" s="936"/>
      <c r="CR1023" s="929"/>
    </row>
    <row r="1024" spans="7:96" ht="14.25" customHeight="1">
      <c r="G1024" s="929"/>
      <c r="H1024" s="929"/>
      <c r="I1024" s="929"/>
      <c r="CN1024" s="936"/>
      <c r="CR1024" s="929"/>
    </row>
    <row r="1025" spans="7:96" ht="14.25" customHeight="1">
      <c r="G1025" s="929"/>
      <c r="H1025" s="929"/>
      <c r="I1025" s="929"/>
      <c r="CN1025" s="936"/>
      <c r="CR1025" s="929"/>
    </row>
    <row r="1026" spans="7:96" ht="14.25" customHeight="1">
      <c r="G1026" s="929"/>
      <c r="H1026" s="929"/>
      <c r="I1026" s="929"/>
      <c r="CN1026" s="936"/>
      <c r="CR1026" s="929"/>
    </row>
    <row r="1027" spans="7:96" ht="14.25" customHeight="1">
      <c r="G1027" s="929"/>
      <c r="H1027" s="929"/>
      <c r="I1027" s="929"/>
      <c r="CN1027" s="936"/>
      <c r="CR1027" s="929"/>
    </row>
    <row r="1028" spans="7:96" ht="14.25" customHeight="1">
      <c r="G1028" s="929"/>
      <c r="H1028" s="929"/>
      <c r="I1028" s="929"/>
      <c r="CN1028" s="936"/>
      <c r="CR1028" s="929"/>
    </row>
    <row r="1029" spans="7:96" ht="14.25" customHeight="1">
      <c r="G1029" s="929"/>
      <c r="H1029" s="929"/>
      <c r="I1029" s="929"/>
      <c r="CN1029" s="936"/>
      <c r="CR1029" s="929"/>
    </row>
    <row r="1030" spans="7:96" ht="14.25" customHeight="1">
      <c r="G1030" s="929"/>
      <c r="H1030" s="929"/>
      <c r="I1030" s="929"/>
      <c r="CN1030" s="936"/>
      <c r="CR1030" s="929"/>
    </row>
    <row r="1031" spans="7:96" ht="14.25" customHeight="1">
      <c r="G1031" s="929"/>
      <c r="H1031" s="929"/>
      <c r="I1031" s="929"/>
      <c r="CN1031" s="936"/>
      <c r="CR1031" s="929"/>
    </row>
    <row r="1032" spans="7:96" ht="14.25" customHeight="1">
      <c r="G1032" s="929"/>
      <c r="H1032" s="929"/>
      <c r="I1032" s="929"/>
      <c r="CN1032" s="936"/>
      <c r="CR1032" s="929"/>
    </row>
    <row r="1033" spans="7:96" ht="14.25" customHeight="1">
      <c r="G1033" s="929"/>
      <c r="H1033" s="929"/>
      <c r="I1033" s="929"/>
      <c r="CN1033" s="936"/>
      <c r="CR1033" s="929"/>
    </row>
    <row r="1034" spans="7:96" ht="14.25" customHeight="1">
      <c r="G1034" s="929"/>
      <c r="H1034" s="929"/>
      <c r="I1034" s="929"/>
      <c r="CN1034" s="936"/>
      <c r="CR1034" s="929"/>
    </row>
    <row r="1035" spans="7:96" ht="14.25" customHeight="1">
      <c r="G1035" s="929"/>
      <c r="H1035" s="929"/>
      <c r="I1035" s="929"/>
      <c r="CN1035" s="936"/>
      <c r="CR1035" s="929"/>
    </row>
    <row r="1036" spans="7:96" ht="14.25" customHeight="1">
      <c r="G1036" s="929"/>
      <c r="H1036" s="929"/>
      <c r="I1036" s="929"/>
      <c r="CN1036" s="936"/>
      <c r="CR1036" s="929"/>
    </row>
    <row r="1037" spans="7:96" ht="14.25" customHeight="1">
      <c r="G1037" s="929"/>
      <c r="H1037" s="929"/>
      <c r="I1037" s="929"/>
      <c r="CN1037" s="936"/>
      <c r="CR1037" s="929"/>
    </row>
    <row r="1038" spans="7:96" ht="14.25" customHeight="1">
      <c r="G1038" s="929"/>
      <c r="H1038" s="929"/>
      <c r="I1038" s="929"/>
      <c r="CN1038" s="936"/>
      <c r="CR1038" s="929"/>
    </row>
    <row r="1039" spans="7:96" ht="14.25" customHeight="1">
      <c r="G1039" s="929"/>
      <c r="H1039" s="929"/>
      <c r="I1039" s="929"/>
      <c r="CN1039" s="936"/>
      <c r="CR1039" s="929"/>
    </row>
    <row r="1040" spans="7:96" ht="14.25" customHeight="1">
      <c r="G1040" s="929"/>
      <c r="H1040" s="929"/>
      <c r="I1040" s="929"/>
      <c r="CN1040" s="936"/>
      <c r="CR1040" s="929"/>
    </row>
    <row r="1041" spans="7:96" ht="14.25" customHeight="1">
      <c r="G1041" s="929"/>
      <c r="H1041" s="929"/>
      <c r="I1041" s="929"/>
      <c r="CN1041" s="936"/>
      <c r="CR1041" s="929"/>
    </row>
    <row r="1042" spans="7:96" ht="14.25" customHeight="1">
      <c r="G1042" s="929"/>
      <c r="H1042" s="929"/>
      <c r="I1042" s="929"/>
      <c r="CN1042" s="936"/>
      <c r="CR1042" s="929"/>
    </row>
    <row r="1043" spans="7:96" ht="14.25" customHeight="1">
      <c r="G1043" s="929"/>
      <c r="H1043" s="929"/>
      <c r="I1043" s="929"/>
      <c r="CN1043" s="936"/>
      <c r="CR1043" s="929"/>
    </row>
    <row r="1044" spans="7:96" ht="14.25" customHeight="1">
      <c r="G1044" s="929"/>
      <c r="H1044" s="929"/>
      <c r="I1044" s="929"/>
      <c r="CN1044" s="936"/>
      <c r="CR1044" s="929"/>
    </row>
    <row r="1045" spans="7:96" ht="14.25" customHeight="1">
      <c r="G1045" s="929"/>
      <c r="H1045" s="929"/>
      <c r="I1045" s="929"/>
      <c r="CN1045" s="936"/>
      <c r="CR1045" s="929"/>
    </row>
    <row r="1046" spans="7:96" ht="14.25" customHeight="1">
      <c r="G1046" s="929"/>
      <c r="H1046" s="929"/>
      <c r="I1046" s="929"/>
      <c r="CN1046" s="936"/>
      <c r="CR1046" s="929"/>
    </row>
    <row r="1047" spans="7:96" ht="14.25" customHeight="1">
      <c r="G1047" s="929"/>
      <c r="H1047" s="929"/>
      <c r="I1047" s="929"/>
      <c r="CN1047" s="936"/>
      <c r="CR1047" s="929"/>
    </row>
    <row r="1048" spans="7:96" ht="14.25" customHeight="1">
      <c r="G1048" s="929"/>
      <c r="H1048" s="929"/>
      <c r="I1048" s="929"/>
      <c r="CN1048" s="936"/>
      <c r="CR1048" s="929"/>
    </row>
    <row r="1049" spans="7:96" ht="14.25" customHeight="1">
      <c r="G1049" s="929"/>
      <c r="H1049" s="929"/>
      <c r="I1049" s="929"/>
      <c r="CN1049" s="936"/>
      <c r="CR1049" s="929"/>
    </row>
  </sheetData>
  <sheetProtection password="CC2E" sheet="1" objects="1" scenarios="1"/>
  <autoFilter ref="A6:IE220" xr:uid="{6AB6F806-41EE-42F9-808A-8CB789E8F739}">
    <filterColumn colId="147">
      <filters>
        <filter val="UNSOLD"/>
      </filters>
    </filterColumn>
  </autoFilter>
  <mergeCells count="10">
    <mergeCell ref="AI224:AI225"/>
    <mergeCell ref="GI1:GO1"/>
    <mergeCell ref="CZ4:DC4"/>
    <mergeCell ref="AS1:AY1"/>
    <mergeCell ref="CB1:CH1"/>
    <mergeCell ref="GW1:HC1"/>
    <mergeCell ref="FF4:FH4"/>
    <mergeCell ref="FI4:FK4"/>
    <mergeCell ref="AE5:AE6"/>
    <mergeCell ref="AI222:AI223"/>
  </mergeCells>
  <pageMargins left="0.7" right="0.7" top="0.75" bottom="0.75" header="0.3" footer="0.3"/>
  <pageSetup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8">
    <tabColor rgb="FFFF0000"/>
  </sheetPr>
  <dimension ref="A1:AZ1000"/>
  <sheetViews>
    <sheetView zoomScaleNormal="100" workbookViewId="0">
      <pane xSplit="4" ySplit="6" topLeftCell="T7" activePane="bottomRight" state="frozen"/>
      <selection pane="bottomRight" activeCell="X20" sqref="X20"/>
      <selection pane="bottomLeft" activeCell="A7" sqref="A7"/>
      <selection pane="topRight" activeCell="E1" sqref="E1"/>
    </sheetView>
  </sheetViews>
  <sheetFormatPr defaultColWidth="14.42578125" defaultRowHeight="14.45"/>
  <cols>
    <col min="1" max="2" width="14.5703125" customWidth="1"/>
    <col min="3" max="3" width="11.85546875" customWidth="1"/>
    <col min="4" max="4" width="9" customWidth="1"/>
    <col min="5" max="5" width="14.140625" customWidth="1"/>
    <col min="6" max="6" width="10.85546875" customWidth="1"/>
    <col min="7" max="7" width="13.140625" style="613" bestFit="1" customWidth="1"/>
    <col min="8" max="8" width="12.42578125" style="105" customWidth="1"/>
    <col min="9" max="10" width="13.85546875" style="105" customWidth="1"/>
    <col min="11" max="11" width="13.85546875" style="673" customWidth="1"/>
    <col min="12" max="14" width="13.85546875" customWidth="1"/>
    <col min="15" max="16" width="13.85546875" style="647" hidden="1" customWidth="1"/>
    <col min="17" max="17" width="13.85546875" customWidth="1"/>
    <col min="18" max="18" width="13.140625" bestFit="1" customWidth="1"/>
    <col min="19" max="19" width="18.140625" style="103" customWidth="1"/>
    <col min="20" max="20" width="10.5703125" style="348" customWidth="1"/>
    <col min="21" max="23" width="14.42578125" customWidth="1"/>
    <col min="24" max="24" width="11" customWidth="1"/>
    <col min="25" max="25" width="13.140625" customWidth="1"/>
    <col min="26" max="26" width="16.42578125" bestFit="1" customWidth="1"/>
    <col min="27" max="27" width="13.42578125" customWidth="1"/>
    <col min="28" max="30" width="13.5703125" customWidth="1"/>
    <col min="31" max="31" width="10.5703125" customWidth="1"/>
    <col min="32" max="32" width="17.42578125" customWidth="1"/>
    <col min="33" max="33" width="17.140625" customWidth="1"/>
    <col min="34" max="34" width="18.140625" customWidth="1"/>
    <col min="35" max="35" width="15.140625" customWidth="1"/>
    <col min="36" max="36" width="11" customWidth="1"/>
    <col min="37" max="37" width="15.42578125" customWidth="1"/>
    <col min="38" max="38" width="13.42578125" style="103" customWidth="1"/>
    <col min="39" max="41" width="8.85546875" customWidth="1"/>
    <col min="49" max="51" width="9.85546875" style="103" customWidth="1"/>
    <col min="52" max="52" width="5.42578125" customWidth="1"/>
  </cols>
  <sheetData>
    <row r="1" spans="1:52" ht="14.25" customHeight="1">
      <c r="A1" s="320" t="s">
        <v>53</v>
      </c>
      <c r="B1" s="320"/>
      <c r="C1" s="320"/>
      <c r="D1" s="321"/>
      <c r="E1" s="321"/>
      <c r="T1" s="347"/>
      <c r="X1" s="321"/>
    </row>
    <row r="2" spans="1:52" ht="14.25" customHeight="1">
      <c r="A2" s="320" t="s">
        <v>63</v>
      </c>
      <c r="B2" s="320"/>
      <c r="C2" s="320"/>
      <c r="D2" s="321"/>
      <c r="E2" s="321"/>
      <c r="L2" t="s">
        <v>68</v>
      </c>
      <c r="T2" s="687" t="s">
        <v>680</v>
      </c>
      <c r="X2" s="321"/>
    </row>
    <row r="3" spans="1:52" ht="14.25" customHeight="1">
      <c r="A3" s="320" t="s">
        <v>71</v>
      </c>
      <c r="B3" s="320"/>
      <c r="C3" s="320"/>
      <c r="D3" s="321"/>
      <c r="E3" s="321"/>
      <c r="I3" s="619"/>
      <c r="J3" s="619"/>
      <c r="K3" s="674"/>
      <c r="L3" s="400" t="s">
        <v>76</v>
      </c>
      <c r="M3" s="400" t="s">
        <v>681</v>
      </c>
      <c r="N3" s="400"/>
      <c r="O3" s="648"/>
      <c r="P3" s="648"/>
      <c r="Q3" s="400"/>
      <c r="R3" s="427">
        <v>3199200</v>
      </c>
      <c r="T3" s="688">
        <v>0.1</v>
      </c>
      <c r="X3" s="321"/>
    </row>
    <row r="4" spans="1:52" ht="14.25" customHeight="1">
      <c r="A4" s="678" t="s">
        <v>682</v>
      </c>
      <c r="B4" s="320"/>
      <c r="C4" s="320"/>
      <c r="D4" s="321"/>
      <c r="E4" s="321"/>
      <c r="G4" s="618" t="s">
        <v>80</v>
      </c>
      <c r="H4" s="618" t="s">
        <v>80</v>
      </c>
      <c r="I4" s="618" t="s">
        <v>80</v>
      </c>
      <c r="J4" s="618" t="s">
        <v>683</v>
      </c>
      <c r="K4" s="675"/>
      <c r="L4" s="322">
        <v>100000</v>
      </c>
      <c r="M4" s="679"/>
      <c r="N4" s="322"/>
      <c r="O4" s="649" t="s">
        <v>80</v>
      </c>
      <c r="P4" s="649" t="s">
        <v>80</v>
      </c>
      <c r="Q4" s="322"/>
      <c r="R4" s="323"/>
      <c r="T4" s="687" t="s">
        <v>684</v>
      </c>
      <c r="U4" s="349"/>
      <c r="V4" s="349"/>
      <c r="W4" s="349"/>
      <c r="X4" s="350"/>
      <c r="AB4" s="351"/>
      <c r="AC4" s="351"/>
      <c r="AD4" s="351"/>
      <c r="AE4" s="351"/>
    </row>
    <row r="5" spans="1:52" ht="14.25" customHeight="1" thickBot="1">
      <c r="A5" s="321"/>
      <c r="B5" s="362"/>
      <c r="C5" s="321"/>
      <c r="D5" s="321"/>
      <c r="E5" s="321"/>
      <c r="F5" s="321"/>
      <c r="G5" s="686" t="s">
        <v>93</v>
      </c>
      <c r="H5" s="612">
        <v>5000</v>
      </c>
      <c r="I5" s="620">
        <v>0.12</v>
      </c>
      <c r="J5" s="620">
        <v>0.91</v>
      </c>
      <c r="K5" s="676" t="s">
        <v>683</v>
      </c>
      <c r="L5" s="324">
        <v>90000</v>
      </c>
      <c r="M5" s="612"/>
      <c r="N5" s="324"/>
      <c r="O5" s="649" t="s">
        <v>685</v>
      </c>
      <c r="P5" s="649" t="s">
        <v>685</v>
      </c>
      <c r="Q5" s="623">
        <v>7.4999999999999997E-2</v>
      </c>
      <c r="R5" s="624">
        <v>2.5000000000000001E-2</v>
      </c>
      <c r="S5" s="402"/>
      <c r="T5" s="696">
        <v>0.1</v>
      </c>
      <c r="U5" s="403"/>
      <c r="V5" s="686">
        <v>15000</v>
      </c>
      <c r="W5" s="403"/>
      <c r="X5" s="351">
        <v>17</v>
      </c>
      <c r="Y5" s="321"/>
      <c r="Z5" s="321"/>
      <c r="AA5" s="402">
        <v>7.7529893561887461E-3</v>
      </c>
      <c r="AB5" s="325">
        <v>8.9882826999999992E-3</v>
      </c>
      <c r="AC5" s="397">
        <v>1.1610847921862406E-2</v>
      </c>
      <c r="AD5" s="397">
        <v>1.9801198540349535E-2</v>
      </c>
      <c r="AE5" s="321"/>
      <c r="AF5" s="321"/>
      <c r="AG5" s="321"/>
      <c r="AH5" s="321"/>
      <c r="AI5" s="321"/>
      <c r="AJ5" s="321"/>
      <c r="AK5" s="321"/>
      <c r="AL5" s="321"/>
      <c r="AM5" s="321"/>
      <c r="AN5" s="321"/>
      <c r="AO5" s="321"/>
      <c r="AR5" s="654">
        <v>1</v>
      </c>
    </row>
    <row r="6" spans="1:52" s="400" customFormat="1" ht="35.1" customHeight="1" thickBot="1">
      <c r="A6" s="418" t="s">
        <v>686</v>
      </c>
      <c r="B6" s="419" t="s">
        <v>109</v>
      </c>
      <c r="C6" s="420" t="s">
        <v>687</v>
      </c>
      <c r="D6" s="450" t="s">
        <v>688</v>
      </c>
      <c r="E6" s="451" t="s">
        <v>112</v>
      </c>
      <c r="F6" s="452" t="s">
        <v>113</v>
      </c>
      <c r="G6" s="614" t="s">
        <v>689</v>
      </c>
      <c r="H6" s="615" t="s">
        <v>690</v>
      </c>
      <c r="I6" s="621" t="s">
        <v>146</v>
      </c>
      <c r="J6" s="646" t="s">
        <v>691</v>
      </c>
      <c r="K6" s="699" t="s">
        <v>692</v>
      </c>
      <c r="L6" s="660" t="s">
        <v>96</v>
      </c>
      <c r="M6" s="700" t="s">
        <v>681</v>
      </c>
      <c r="N6" s="701" t="s">
        <v>96</v>
      </c>
      <c r="O6" s="664" t="s">
        <v>693</v>
      </c>
      <c r="P6" s="664" t="s">
        <v>694</v>
      </c>
      <c r="Q6" s="660" t="s">
        <v>176</v>
      </c>
      <c r="R6" s="452" t="s">
        <v>177</v>
      </c>
      <c r="S6" s="421" t="s">
        <v>178</v>
      </c>
      <c r="T6" s="702" t="s">
        <v>179</v>
      </c>
      <c r="U6" s="421" t="s">
        <v>180</v>
      </c>
      <c r="V6" s="421" t="s">
        <v>181</v>
      </c>
      <c r="W6" s="421" t="s">
        <v>182</v>
      </c>
      <c r="X6" s="422" t="s">
        <v>183</v>
      </c>
      <c r="Y6" s="421" t="s">
        <v>184</v>
      </c>
      <c r="Z6" s="450" t="s">
        <v>186</v>
      </c>
      <c r="AA6" s="641" t="s">
        <v>187</v>
      </c>
      <c r="AB6" s="637" t="s">
        <v>188</v>
      </c>
      <c r="AC6" s="401" t="s">
        <v>189</v>
      </c>
      <c r="AD6" s="401" t="s">
        <v>190</v>
      </c>
      <c r="AE6" s="326"/>
      <c r="AF6" s="326"/>
      <c r="AG6" s="1429" t="s">
        <v>215</v>
      </c>
      <c r="AH6" s="1430"/>
      <c r="AI6" s="1932"/>
      <c r="AJ6" s="1932"/>
      <c r="AK6" s="1932"/>
      <c r="AL6" s="1933"/>
      <c r="AM6" s="326"/>
      <c r="AN6" s="326"/>
      <c r="AO6" s="326"/>
      <c r="AP6" s="399" t="s">
        <v>695</v>
      </c>
      <c r="AR6" s="656" t="s">
        <v>696</v>
      </c>
      <c r="AW6" s="1431" t="s">
        <v>697</v>
      </c>
      <c r="AX6" s="1431"/>
      <c r="AY6" s="1431"/>
    </row>
    <row r="7" spans="1:52" ht="14.25" customHeight="1">
      <c r="A7" s="414" t="s">
        <v>698</v>
      </c>
      <c r="B7" s="415">
        <f t="shared" ref="B7:B38" si="0">L7/F7</f>
        <v>102813.63636363637</v>
      </c>
      <c r="C7" s="416" t="s">
        <v>65</v>
      </c>
      <c r="D7" s="441" t="s">
        <v>699</v>
      </c>
      <c r="E7" s="425" t="s">
        <v>267</v>
      </c>
      <c r="F7" s="381">
        <v>22</v>
      </c>
      <c r="G7" s="616">
        <v>2000000</v>
      </c>
      <c r="H7" s="617">
        <f>H$5*F7</f>
        <v>110000</v>
      </c>
      <c r="I7" s="661">
        <f>H7*I$5</f>
        <v>13200</v>
      </c>
      <c r="J7" s="662">
        <f t="shared" ref="J7:J38" si="1">+(O7+P7)*$J$5</f>
        <v>63700</v>
      </c>
      <c r="K7" s="697">
        <v>75000</v>
      </c>
      <c r="L7" s="652">
        <f>G7+H7+I7+J7+K7</f>
        <v>2261900</v>
      </c>
      <c r="M7" s="698">
        <f>M$155</f>
        <v>200000</v>
      </c>
      <c r="N7" s="698">
        <f>L7-M7</f>
        <v>2061900</v>
      </c>
      <c r="O7" s="694">
        <v>20000</v>
      </c>
      <c r="P7" s="663">
        <v>50000</v>
      </c>
      <c r="Q7" s="458">
        <f>L7*Q$5</f>
        <v>169642.5</v>
      </c>
      <c r="R7" s="458">
        <f>L7*R$5</f>
        <v>56547.5</v>
      </c>
      <c r="S7" s="651">
        <f>+N7+Q7+R7</f>
        <v>2288090</v>
      </c>
      <c r="T7" s="417">
        <f>T$3</f>
        <v>0.1</v>
      </c>
      <c r="U7" s="383">
        <f>S7*T7</f>
        <v>228809</v>
      </c>
      <c r="V7" s="383">
        <f>V5</f>
        <v>15000</v>
      </c>
      <c r="W7" s="383">
        <f>U7-V7</f>
        <v>213809</v>
      </c>
      <c r="X7" s="366">
        <f>X$5</f>
        <v>17</v>
      </c>
      <c r="Y7" s="383">
        <f>W7/X7</f>
        <v>12577</v>
      </c>
      <c r="Z7" s="627">
        <f>S7*(100%-T7)</f>
        <v>2059281</v>
      </c>
      <c r="AA7" s="640">
        <f>Z7*AA$5</f>
        <v>15965.583674401718</v>
      </c>
      <c r="AB7" s="633">
        <f>Z7*$AB$5</f>
        <v>18509.399786738697</v>
      </c>
      <c r="AC7" s="398">
        <f>Z7*$AC$5</f>
        <v>23909.998519380737</v>
      </c>
      <c r="AD7" s="398">
        <f>Z7*$AD$5</f>
        <v>40776.231931369533</v>
      </c>
      <c r="AG7" s="327" t="s">
        <v>182</v>
      </c>
      <c r="AH7" s="428"/>
      <c r="AI7" s="328">
        <f>W7</f>
        <v>213809</v>
      </c>
      <c r="AJ7" s="329"/>
      <c r="AK7" s="329"/>
      <c r="AL7" s="709"/>
      <c r="AP7" s="353" t="s">
        <v>264</v>
      </c>
      <c r="AR7" s="653">
        <f>X7+AR$5</f>
        <v>18</v>
      </c>
      <c r="AU7" s="655"/>
      <c r="AW7" s="669">
        <v>1</v>
      </c>
      <c r="AX7" s="670" t="s">
        <v>700</v>
      </c>
      <c r="AY7" s="665">
        <v>22</v>
      </c>
      <c r="AZ7" s="667">
        <f>AY7-F7</f>
        <v>0</v>
      </c>
    </row>
    <row r="8" spans="1:52" ht="14.25" customHeight="1">
      <c r="A8" s="404" t="s">
        <v>698</v>
      </c>
      <c r="B8" s="413">
        <f t="shared" si="0"/>
        <v>102813.63636363637</v>
      </c>
      <c r="C8" s="408" t="s">
        <v>79</v>
      </c>
      <c r="D8" s="377" t="s">
        <v>701</v>
      </c>
      <c r="E8" s="371" t="s">
        <v>267</v>
      </c>
      <c r="F8" s="376">
        <v>22</v>
      </c>
      <c r="G8" s="616">
        <v>2000000</v>
      </c>
      <c r="H8" s="617">
        <f t="shared" ref="H8:H71" si="2">H$5*F8</f>
        <v>110000</v>
      </c>
      <c r="I8" s="622">
        <f t="shared" ref="I8:I71" si="3">H8*I$5</f>
        <v>13200</v>
      </c>
      <c r="J8" s="659">
        <f t="shared" si="1"/>
        <v>63700</v>
      </c>
      <c r="K8" s="677">
        <v>75000</v>
      </c>
      <c r="L8" s="652">
        <f>G8+H8+I8+J8+K8</f>
        <v>2261900</v>
      </c>
      <c r="M8" s="352">
        <f t="shared" ref="M8:M71" si="4">M$155</f>
        <v>200000</v>
      </c>
      <c r="N8" s="352">
        <f>L8-M8</f>
        <v>2061900</v>
      </c>
      <c r="O8" s="695">
        <v>20000</v>
      </c>
      <c r="P8" s="650">
        <v>50000</v>
      </c>
      <c r="Q8" s="458">
        <f t="shared" ref="Q8:Q71" si="5">L8*Q$5</f>
        <v>169642.5</v>
      </c>
      <c r="R8" s="458">
        <f t="shared" ref="R8:R71" si="6">L8*R$5</f>
        <v>56547.5</v>
      </c>
      <c r="S8" s="651">
        <f t="shared" ref="S8:S71" si="7">+N8+Q8+R8</f>
        <v>2288090</v>
      </c>
      <c r="T8" s="417">
        <f t="shared" ref="T8:T71" si="8">T$3</f>
        <v>0.1</v>
      </c>
      <c r="U8" s="372">
        <f t="shared" ref="U8:U149" si="9">S8*T8</f>
        <v>228809</v>
      </c>
      <c r="V8" s="372">
        <f>V$5</f>
        <v>15000</v>
      </c>
      <c r="W8" s="372">
        <f t="shared" ref="W8:W149" si="10">U8-V8</f>
        <v>213809</v>
      </c>
      <c r="X8" s="370">
        <f>X$5</f>
        <v>17</v>
      </c>
      <c r="Y8" s="373">
        <f t="shared" ref="Y8:Y149" si="11">W8/X8</f>
        <v>12577</v>
      </c>
      <c r="Z8" s="628">
        <f t="shared" ref="Z8:Z71" si="12">S8*(100%-T8)</f>
        <v>2059281</v>
      </c>
      <c r="AA8" s="638">
        <f t="shared" ref="AA8:AA71" si="13">Z8*AA$5</f>
        <v>15965.583674401718</v>
      </c>
      <c r="AB8" s="633">
        <f>Z8*$AB$5</f>
        <v>18509.399786738697</v>
      </c>
      <c r="AC8" s="398">
        <f t="shared" ref="AC8:AC71" si="14">Z8*$AC$5</f>
        <v>23909.998519380737</v>
      </c>
      <c r="AD8" s="398">
        <f t="shared" ref="AD8:AD71" si="15">Z8*$AD$5</f>
        <v>40776.231931369533</v>
      </c>
      <c r="AG8" s="333"/>
      <c r="AH8" s="431" t="s">
        <v>249</v>
      </c>
      <c r="AI8" s="334" t="s">
        <v>250</v>
      </c>
      <c r="AJ8" s="334" t="s">
        <v>251</v>
      </c>
      <c r="AK8" s="334" t="s">
        <v>103</v>
      </c>
      <c r="AL8" s="335" t="s">
        <v>252</v>
      </c>
      <c r="AP8" s="353" t="s">
        <v>264</v>
      </c>
      <c r="AQ8" t="s">
        <v>702</v>
      </c>
      <c r="AR8" s="653">
        <f t="shared" ref="AR8:AR71" si="16">X8+AR$5</f>
        <v>18</v>
      </c>
      <c r="AT8" s="708">
        <v>44743</v>
      </c>
      <c r="AU8" s="103" t="s">
        <v>703</v>
      </c>
      <c r="AW8" s="669">
        <v>2</v>
      </c>
      <c r="AX8" s="670" t="s">
        <v>704</v>
      </c>
      <c r="AY8" s="665">
        <v>22</v>
      </c>
      <c r="AZ8" s="668">
        <f t="shared" ref="AZ8:AZ71" si="17">AY8-F8</f>
        <v>0</v>
      </c>
    </row>
    <row r="9" spans="1:52" ht="14.25" customHeight="1">
      <c r="A9" s="404" t="s">
        <v>698</v>
      </c>
      <c r="B9" s="413">
        <f t="shared" si="0"/>
        <v>102813.63636363637</v>
      </c>
      <c r="C9" s="408" t="s">
        <v>79</v>
      </c>
      <c r="D9" s="377" t="s">
        <v>705</v>
      </c>
      <c r="E9" s="371" t="s">
        <v>267</v>
      </c>
      <c r="F9" s="376">
        <v>22</v>
      </c>
      <c r="G9" s="616">
        <v>2000000</v>
      </c>
      <c r="H9" s="617">
        <f t="shared" si="2"/>
        <v>110000</v>
      </c>
      <c r="I9" s="622">
        <f t="shared" si="3"/>
        <v>13200</v>
      </c>
      <c r="J9" s="659">
        <f t="shared" si="1"/>
        <v>63700</v>
      </c>
      <c r="K9" s="677">
        <v>75000</v>
      </c>
      <c r="L9" s="652">
        <f t="shared" ref="L9:L71" si="18">G9+H9+I9+J9+K9</f>
        <v>2261900</v>
      </c>
      <c r="M9" s="352">
        <f t="shared" si="4"/>
        <v>200000</v>
      </c>
      <c r="N9" s="352">
        <f>L9-M9</f>
        <v>2061900</v>
      </c>
      <c r="O9" s="695">
        <v>20000</v>
      </c>
      <c r="P9" s="650">
        <v>50000</v>
      </c>
      <c r="Q9" s="458">
        <f t="shared" si="5"/>
        <v>169642.5</v>
      </c>
      <c r="R9" s="458">
        <f t="shared" si="6"/>
        <v>56547.5</v>
      </c>
      <c r="S9" s="651">
        <f t="shared" si="7"/>
        <v>2288090</v>
      </c>
      <c r="T9" s="417">
        <f t="shared" si="8"/>
        <v>0.1</v>
      </c>
      <c r="U9" s="372">
        <f t="shared" si="9"/>
        <v>228809</v>
      </c>
      <c r="V9" s="372">
        <f t="shared" ref="V9:V12" si="19">V$5</f>
        <v>15000</v>
      </c>
      <c r="W9" s="372">
        <f t="shared" si="10"/>
        <v>213809</v>
      </c>
      <c r="X9" s="370">
        <f t="shared" ref="X9:X22" si="20">X$5</f>
        <v>17</v>
      </c>
      <c r="Y9" s="373">
        <f t="shared" si="11"/>
        <v>12577</v>
      </c>
      <c r="Z9" s="628">
        <f t="shared" si="12"/>
        <v>2059281</v>
      </c>
      <c r="AA9" s="638">
        <f t="shared" si="13"/>
        <v>15965.583674401718</v>
      </c>
      <c r="AB9" s="633">
        <f t="shared" ref="AB9:AB71" si="21">Z9*$AB$5</f>
        <v>18509.399786738697</v>
      </c>
      <c r="AC9" s="398">
        <f t="shared" si="14"/>
        <v>23909.998519380737</v>
      </c>
      <c r="AD9" s="398">
        <f t="shared" si="15"/>
        <v>40776.231931369533</v>
      </c>
      <c r="AG9" s="333" t="s">
        <v>255</v>
      </c>
      <c r="AH9" s="431" t="s">
        <v>706</v>
      </c>
      <c r="AI9" s="332">
        <v>5</v>
      </c>
      <c r="AJ9" s="331">
        <v>0.25</v>
      </c>
      <c r="AK9" s="330">
        <f>AI7*AJ9</f>
        <v>53452.25</v>
      </c>
      <c r="AL9" s="710">
        <f t="shared" ref="AL9:AL11" si="22">AK9/AI9</f>
        <v>10690.45</v>
      </c>
      <c r="AP9" s="353" t="s">
        <v>264</v>
      </c>
      <c r="AR9" s="653">
        <f t="shared" si="16"/>
        <v>18</v>
      </c>
      <c r="AT9" s="708">
        <v>44774</v>
      </c>
      <c r="AU9" s="103">
        <v>1</v>
      </c>
      <c r="AW9" s="669">
        <v>3</v>
      </c>
      <c r="AX9" s="670" t="s">
        <v>707</v>
      </c>
      <c r="AY9" s="665">
        <v>22</v>
      </c>
      <c r="AZ9" s="668">
        <f t="shared" si="17"/>
        <v>0</v>
      </c>
    </row>
    <row r="10" spans="1:52" ht="14.25" customHeight="1">
      <c r="A10" s="404" t="s">
        <v>698</v>
      </c>
      <c r="B10" s="413">
        <f t="shared" si="0"/>
        <v>102813.63636363637</v>
      </c>
      <c r="C10" s="408" t="s">
        <v>79</v>
      </c>
      <c r="D10" s="377" t="s">
        <v>708</v>
      </c>
      <c r="E10" s="371" t="s">
        <v>267</v>
      </c>
      <c r="F10" s="376">
        <v>22</v>
      </c>
      <c r="G10" s="616">
        <v>2000000</v>
      </c>
      <c r="H10" s="617">
        <f t="shared" si="2"/>
        <v>110000</v>
      </c>
      <c r="I10" s="622">
        <f t="shared" si="3"/>
        <v>13200</v>
      </c>
      <c r="J10" s="659">
        <f t="shared" si="1"/>
        <v>63700</v>
      </c>
      <c r="K10" s="677">
        <v>75000</v>
      </c>
      <c r="L10" s="652">
        <f t="shared" si="18"/>
        <v>2261900</v>
      </c>
      <c r="M10" s="352">
        <f t="shared" si="4"/>
        <v>200000</v>
      </c>
      <c r="N10" s="352">
        <f t="shared" ref="N10:N71" si="23">L10-M10</f>
        <v>2061900</v>
      </c>
      <c r="O10" s="695">
        <v>20000</v>
      </c>
      <c r="P10" s="650">
        <v>50000</v>
      </c>
      <c r="Q10" s="458">
        <f t="shared" si="5"/>
        <v>169642.5</v>
      </c>
      <c r="R10" s="458">
        <f t="shared" si="6"/>
        <v>56547.5</v>
      </c>
      <c r="S10" s="651">
        <f t="shared" si="7"/>
        <v>2288090</v>
      </c>
      <c r="T10" s="417">
        <f t="shared" si="8"/>
        <v>0.1</v>
      </c>
      <c r="U10" s="372">
        <f t="shared" si="9"/>
        <v>228809</v>
      </c>
      <c r="V10" s="372">
        <f t="shared" si="19"/>
        <v>15000</v>
      </c>
      <c r="W10" s="372">
        <f t="shared" si="10"/>
        <v>213809</v>
      </c>
      <c r="X10" s="370">
        <f t="shared" si="20"/>
        <v>17</v>
      </c>
      <c r="Y10" s="373">
        <f>W10/X10</f>
        <v>12577</v>
      </c>
      <c r="Z10" s="628">
        <f t="shared" si="12"/>
        <v>2059281</v>
      </c>
      <c r="AA10" s="638">
        <f t="shared" si="13"/>
        <v>15965.583674401718</v>
      </c>
      <c r="AB10" s="633">
        <f t="shared" si="21"/>
        <v>18509.399786738697</v>
      </c>
      <c r="AC10" s="398">
        <f t="shared" si="14"/>
        <v>23909.998519380737</v>
      </c>
      <c r="AD10" s="398">
        <f t="shared" si="15"/>
        <v>40776.231931369533</v>
      </c>
      <c r="AG10" s="333" t="s">
        <v>258</v>
      </c>
      <c r="AH10" s="431" t="s">
        <v>709</v>
      </c>
      <c r="AI10" s="332">
        <v>6</v>
      </c>
      <c r="AJ10" s="331">
        <v>0.35</v>
      </c>
      <c r="AK10" s="330">
        <f>AI7*AJ10</f>
        <v>74833.149999999994</v>
      </c>
      <c r="AL10" s="710">
        <f t="shared" si="22"/>
        <v>12472.191666666666</v>
      </c>
      <c r="AP10" s="353" t="s">
        <v>264</v>
      </c>
      <c r="AR10" s="653">
        <f t="shared" si="16"/>
        <v>18</v>
      </c>
      <c r="AT10" s="708">
        <v>44805</v>
      </c>
      <c r="AU10" s="103">
        <f>AU9+1</f>
        <v>2</v>
      </c>
      <c r="AW10" s="669">
        <v>4</v>
      </c>
      <c r="AX10" s="670" t="s">
        <v>710</v>
      </c>
      <c r="AY10" s="665">
        <v>22</v>
      </c>
      <c r="AZ10" s="668">
        <f t="shared" si="17"/>
        <v>0</v>
      </c>
    </row>
    <row r="11" spans="1:52" ht="14.25" customHeight="1">
      <c r="A11" s="404" t="s">
        <v>698</v>
      </c>
      <c r="B11" s="413">
        <f t="shared" si="0"/>
        <v>102813.63636363637</v>
      </c>
      <c r="C11" s="408" t="s">
        <v>79</v>
      </c>
      <c r="D11" s="377" t="s">
        <v>711</v>
      </c>
      <c r="E11" s="371" t="s">
        <v>267</v>
      </c>
      <c r="F11" s="379">
        <v>22</v>
      </c>
      <c r="G11" s="616">
        <v>2000000</v>
      </c>
      <c r="H11" s="617">
        <f t="shared" si="2"/>
        <v>110000</v>
      </c>
      <c r="I11" s="622">
        <f t="shared" si="3"/>
        <v>13200</v>
      </c>
      <c r="J11" s="659">
        <f t="shared" si="1"/>
        <v>63700</v>
      </c>
      <c r="K11" s="677">
        <v>75000</v>
      </c>
      <c r="L11" s="652">
        <f t="shared" si="18"/>
        <v>2261900</v>
      </c>
      <c r="M11" s="352">
        <f t="shared" si="4"/>
        <v>200000</v>
      </c>
      <c r="N11" s="352">
        <f t="shared" si="23"/>
        <v>2061900</v>
      </c>
      <c r="O11" s="695">
        <v>20000</v>
      </c>
      <c r="P11" s="650">
        <v>50000</v>
      </c>
      <c r="Q11" s="458">
        <f t="shared" si="5"/>
        <v>169642.5</v>
      </c>
      <c r="R11" s="458">
        <f t="shared" si="6"/>
        <v>56547.5</v>
      </c>
      <c r="S11" s="651">
        <f t="shared" si="7"/>
        <v>2288090</v>
      </c>
      <c r="T11" s="417">
        <f t="shared" si="8"/>
        <v>0.1</v>
      </c>
      <c r="U11" s="376">
        <f t="shared" si="9"/>
        <v>228809</v>
      </c>
      <c r="V11" s="372">
        <f t="shared" si="19"/>
        <v>15000</v>
      </c>
      <c r="W11" s="372">
        <f t="shared" si="10"/>
        <v>213809</v>
      </c>
      <c r="X11" s="370">
        <f t="shared" si="20"/>
        <v>17</v>
      </c>
      <c r="Y11" s="373">
        <f t="shared" si="11"/>
        <v>12577</v>
      </c>
      <c r="Z11" s="628">
        <f t="shared" si="12"/>
        <v>2059281</v>
      </c>
      <c r="AA11" s="638">
        <f t="shared" si="13"/>
        <v>15965.583674401718</v>
      </c>
      <c r="AB11" s="633">
        <f t="shared" si="21"/>
        <v>18509.399786738697</v>
      </c>
      <c r="AC11" s="398">
        <f t="shared" si="14"/>
        <v>23909.998519380737</v>
      </c>
      <c r="AD11" s="398">
        <f t="shared" si="15"/>
        <v>40776.231931369533</v>
      </c>
      <c r="AG11" s="333" t="s">
        <v>712</v>
      </c>
      <c r="AH11" s="431" t="s">
        <v>713</v>
      </c>
      <c r="AI11" s="332">
        <v>6</v>
      </c>
      <c r="AJ11" s="331">
        <v>0.4</v>
      </c>
      <c r="AK11" s="330">
        <f>AI7*AJ11</f>
        <v>85523.6</v>
      </c>
      <c r="AL11" s="710">
        <f t="shared" si="22"/>
        <v>14253.933333333334</v>
      </c>
      <c r="AP11" s="353" t="s">
        <v>264</v>
      </c>
      <c r="AR11" s="653">
        <f t="shared" si="16"/>
        <v>18</v>
      </c>
      <c r="AT11" s="708">
        <v>44835</v>
      </c>
      <c r="AU11" s="103">
        <f t="shared" ref="AU11:AU37" si="24">AU10+1</f>
        <v>3</v>
      </c>
      <c r="AW11" s="669">
        <v>5</v>
      </c>
      <c r="AX11" s="670" t="s">
        <v>714</v>
      </c>
      <c r="AY11" s="665">
        <v>22</v>
      </c>
      <c r="AZ11" s="668">
        <f t="shared" si="17"/>
        <v>0</v>
      </c>
    </row>
    <row r="12" spans="1:52" ht="14.25" customHeight="1" thickBot="1">
      <c r="A12" s="404" t="s">
        <v>698</v>
      </c>
      <c r="B12" s="413">
        <f t="shared" si="0"/>
        <v>102813.63636363637</v>
      </c>
      <c r="C12" s="408" t="s">
        <v>79</v>
      </c>
      <c r="D12" s="377" t="s">
        <v>715</v>
      </c>
      <c r="E12" s="371" t="s">
        <v>267</v>
      </c>
      <c r="F12" s="378">
        <v>22</v>
      </c>
      <c r="G12" s="616">
        <v>2000000</v>
      </c>
      <c r="H12" s="617">
        <f t="shared" si="2"/>
        <v>110000</v>
      </c>
      <c r="I12" s="622">
        <f t="shared" si="3"/>
        <v>13200</v>
      </c>
      <c r="J12" s="659">
        <f t="shared" si="1"/>
        <v>63700</v>
      </c>
      <c r="K12" s="677">
        <v>75000</v>
      </c>
      <c r="L12" s="652">
        <f t="shared" si="18"/>
        <v>2261900</v>
      </c>
      <c r="M12" s="352">
        <f t="shared" si="4"/>
        <v>200000</v>
      </c>
      <c r="N12" s="352">
        <f t="shared" si="23"/>
        <v>2061900</v>
      </c>
      <c r="O12" s="695">
        <v>20000</v>
      </c>
      <c r="P12" s="650">
        <v>50000</v>
      </c>
      <c r="Q12" s="458">
        <f t="shared" si="5"/>
        <v>169642.5</v>
      </c>
      <c r="R12" s="458">
        <f t="shared" si="6"/>
        <v>56547.5</v>
      </c>
      <c r="S12" s="651">
        <f t="shared" si="7"/>
        <v>2288090</v>
      </c>
      <c r="T12" s="417">
        <f t="shared" si="8"/>
        <v>0.1</v>
      </c>
      <c r="U12" s="376">
        <f t="shared" si="9"/>
        <v>228809</v>
      </c>
      <c r="V12" s="372">
        <f t="shared" si="19"/>
        <v>15000</v>
      </c>
      <c r="W12" s="372">
        <f t="shared" si="10"/>
        <v>213809</v>
      </c>
      <c r="X12" s="368">
        <f t="shared" si="20"/>
        <v>17</v>
      </c>
      <c r="Y12" s="373">
        <f t="shared" si="11"/>
        <v>12577</v>
      </c>
      <c r="Z12" s="628">
        <f t="shared" si="12"/>
        <v>2059281</v>
      </c>
      <c r="AA12" s="638">
        <f t="shared" si="13"/>
        <v>15965.583674401718</v>
      </c>
      <c r="AB12" s="633">
        <f t="shared" si="21"/>
        <v>18509.399786738697</v>
      </c>
      <c r="AC12" s="398">
        <f t="shared" si="14"/>
        <v>23909.998519380737</v>
      </c>
      <c r="AD12" s="398">
        <f t="shared" si="15"/>
        <v>40776.231931369533</v>
      </c>
      <c r="AG12" s="336" t="s">
        <v>103</v>
      </c>
      <c r="AH12" s="430"/>
      <c r="AI12" s="337">
        <f t="shared" ref="AI12:AK12" si="25">SUM(AI9:AI11)</f>
        <v>17</v>
      </c>
      <c r="AJ12" s="338">
        <f t="shared" si="25"/>
        <v>1</v>
      </c>
      <c r="AK12" s="339">
        <f t="shared" si="25"/>
        <v>213809</v>
      </c>
      <c r="AL12" s="711"/>
      <c r="AP12" s="353" t="s">
        <v>264</v>
      </c>
      <c r="AR12" s="653">
        <f t="shared" si="16"/>
        <v>18</v>
      </c>
      <c r="AT12" s="708">
        <v>44866</v>
      </c>
      <c r="AU12" s="103">
        <f t="shared" si="24"/>
        <v>4</v>
      </c>
      <c r="AW12" s="670">
        <v>6</v>
      </c>
      <c r="AX12" s="670" t="s">
        <v>716</v>
      </c>
      <c r="AY12" s="665">
        <v>22</v>
      </c>
      <c r="AZ12" s="668">
        <f t="shared" si="17"/>
        <v>0</v>
      </c>
    </row>
    <row r="13" spans="1:52" ht="14.25" customHeight="1" thickBot="1">
      <c r="A13" s="404" t="s">
        <v>698</v>
      </c>
      <c r="B13" s="413">
        <f t="shared" si="0"/>
        <v>101334.10922112802</v>
      </c>
      <c r="C13" s="408" t="s">
        <v>65</v>
      </c>
      <c r="D13" s="377" t="s">
        <v>717</v>
      </c>
      <c r="E13" s="371" t="s">
        <v>267</v>
      </c>
      <c r="F13" s="378">
        <v>22.34</v>
      </c>
      <c r="G13" s="616">
        <v>2000000</v>
      </c>
      <c r="H13" s="617">
        <f t="shared" si="2"/>
        <v>111700</v>
      </c>
      <c r="I13" s="622">
        <f t="shared" si="3"/>
        <v>13404</v>
      </c>
      <c r="J13" s="659">
        <f t="shared" si="1"/>
        <v>63700</v>
      </c>
      <c r="K13" s="677">
        <v>75000</v>
      </c>
      <c r="L13" s="652">
        <f t="shared" si="18"/>
        <v>2263804</v>
      </c>
      <c r="M13" s="352">
        <f t="shared" si="4"/>
        <v>200000</v>
      </c>
      <c r="N13" s="352">
        <f t="shared" si="23"/>
        <v>2063804</v>
      </c>
      <c r="O13" s="695">
        <v>20000</v>
      </c>
      <c r="P13" s="650">
        <v>50000</v>
      </c>
      <c r="Q13" s="458">
        <f t="shared" si="5"/>
        <v>169785.3</v>
      </c>
      <c r="R13" s="458">
        <f t="shared" si="6"/>
        <v>56595.100000000006</v>
      </c>
      <c r="S13" s="651">
        <f t="shared" si="7"/>
        <v>2290184.4</v>
      </c>
      <c r="T13" s="417">
        <f t="shared" si="8"/>
        <v>0.1</v>
      </c>
      <c r="U13" s="376">
        <f t="shared" si="9"/>
        <v>229018.44</v>
      </c>
      <c r="V13" s="372">
        <f>V5</f>
        <v>15000</v>
      </c>
      <c r="W13" s="372">
        <f t="shared" si="10"/>
        <v>214018.44</v>
      </c>
      <c r="X13" s="363">
        <f>X$5</f>
        <v>17</v>
      </c>
      <c r="Y13" s="373">
        <f t="shared" si="11"/>
        <v>12589.32</v>
      </c>
      <c r="Z13" s="628">
        <f t="shared" si="12"/>
        <v>2061165.96</v>
      </c>
      <c r="AA13" s="638">
        <f t="shared" si="13"/>
        <v>15980.197749218558</v>
      </c>
      <c r="AB13" s="633">
        <f t="shared" si="21"/>
        <v>18526.34234009689</v>
      </c>
      <c r="AC13" s="398">
        <f t="shared" si="14"/>
        <v>23931.884503279533</v>
      </c>
      <c r="AD13" s="398">
        <f t="shared" si="15"/>
        <v>40813.556398570145</v>
      </c>
      <c r="AG13" s="340"/>
      <c r="AH13" s="341"/>
      <c r="AI13" s="341"/>
      <c r="AJ13" s="341"/>
      <c r="AK13" s="341"/>
      <c r="AL13" s="712"/>
      <c r="AP13" s="353" t="s">
        <v>264</v>
      </c>
      <c r="AR13" s="653">
        <f t="shared" si="16"/>
        <v>18</v>
      </c>
      <c r="AT13" s="708">
        <v>44896</v>
      </c>
      <c r="AU13" s="103">
        <f t="shared" si="24"/>
        <v>5</v>
      </c>
      <c r="AW13" s="669">
        <v>7</v>
      </c>
      <c r="AX13" s="671" t="s">
        <v>718</v>
      </c>
      <c r="AY13" s="666">
        <v>22.34</v>
      </c>
      <c r="AZ13" s="668">
        <f t="shared" si="17"/>
        <v>0</v>
      </c>
    </row>
    <row r="14" spans="1:52" ht="14.25" customHeight="1">
      <c r="A14" s="404" t="s">
        <v>698</v>
      </c>
      <c r="B14" s="413">
        <f t="shared" si="0"/>
        <v>102813.63636363637</v>
      </c>
      <c r="C14" s="408" t="s">
        <v>79</v>
      </c>
      <c r="D14" s="377" t="s">
        <v>719</v>
      </c>
      <c r="E14" s="371" t="s">
        <v>267</v>
      </c>
      <c r="F14" s="378">
        <v>22</v>
      </c>
      <c r="G14" s="616">
        <v>2000000</v>
      </c>
      <c r="H14" s="617">
        <f t="shared" si="2"/>
        <v>110000</v>
      </c>
      <c r="I14" s="622">
        <f t="shared" si="3"/>
        <v>13200</v>
      </c>
      <c r="J14" s="659">
        <f t="shared" si="1"/>
        <v>63700</v>
      </c>
      <c r="K14" s="677">
        <v>75000</v>
      </c>
      <c r="L14" s="652">
        <f t="shared" si="18"/>
        <v>2261900</v>
      </c>
      <c r="M14" s="352">
        <f t="shared" si="4"/>
        <v>200000</v>
      </c>
      <c r="N14" s="352">
        <f t="shared" si="23"/>
        <v>2061900</v>
      </c>
      <c r="O14" s="695">
        <v>20000</v>
      </c>
      <c r="P14" s="650">
        <v>50000</v>
      </c>
      <c r="Q14" s="458">
        <f t="shared" si="5"/>
        <v>169642.5</v>
      </c>
      <c r="R14" s="458">
        <f t="shared" si="6"/>
        <v>56547.5</v>
      </c>
      <c r="S14" s="651">
        <f t="shared" si="7"/>
        <v>2288090</v>
      </c>
      <c r="T14" s="417">
        <f t="shared" si="8"/>
        <v>0.1</v>
      </c>
      <c r="U14" s="372">
        <f t="shared" si="9"/>
        <v>228809</v>
      </c>
      <c r="V14" s="372">
        <f t="shared" ref="V14:V22" si="26">V$5</f>
        <v>15000</v>
      </c>
      <c r="W14" s="373">
        <f t="shared" si="10"/>
        <v>213809</v>
      </c>
      <c r="X14" s="363">
        <f t="shared" si="20"/>
        <v>17</v>
      </c>
      <c r="Y14" s="380">
        <f t="shared" si="11"/>
        <v>12577</v>
      </c>
      <c r="Z14" s="628">
        <f t="shared" si="12"/>
        <v>2059281</v>
      </c>
      <c r="AA14" s="638">
        <f t="shared" si="13"/>
        <v>15965.583674401718</v>
      </c>
      <c r="AB14" s="633">
        <f t="shared" si="21"/>
        <v>18509.399786738697</v>
      </c>
      <c r="AC14" s="398">
        <f t="shared" si="14"/>
        <v>23909.998519380737</v>
      </c>
      <c r="AD14" s="398">
        <f t="shared" si="15"/>
        <v>40776.231931369533</v>
      </c>
      <c r="AG14" s="327" t="s">
        <v>182</v>
      </c>
      <c r="AH14" s="428"/>
      <c r="AI14" s="328">
        <f>W31</f>
        <v>214018.44</v>
      </c>
      <c r="AJ14" s="329"/>
      <c r="AK14" s="329"/>
      <c r="AL14" s="709"/>
      <c r="AP14" s="353" t="s">
        <v>264</v>
      </c>
      <c r="AR14" s="653">
        <f t="shared" si="16"/>
        <v>18</v>
      </c>
      <c r="AT14" s="708">
        <v>44927</v>
      </c>
      <c r="AU14" s="103">
        <f t="shared" si="24"/>
        <v>6</v>
      </c>
      <c r="AW14" s="669">
        <v>8</v>
      </c>
      <c r="AX14" s="670" t="s">
        <v>720</v>
      </c>
      <c r="AY14" s="665">
        <v>22</v>
      </c>
      <c r="AZ14" s="668">
        <f t="shared" si="17"/>
        <v>0</v>
      </c>
    </row>
    <row r="15" spans="1:52" ht="14.25" customHeight="1">
      <c r="A15" s="404" t="s">
        <v>698</v>
      </c>
      <c r="B15" s="413">
        <f t="shared" si="0"/>
        <v>102813.63636363637</v>
      </c>
      <c r="C15" s="408" t="s">
        <v>79</v>
      </c>
      <c r="D15" s="377" t="s">
        <v>721</v>
      </c>
      <c r="E15" s="371" t="s">
        <v>267</v>
      </c>
      <c r="F15" s="378">
        <v>22</v>
      </c>
      <c r="G15" s="616">
        <v>2000000</v>
      </c>
      <c r="H15" s="617">
        <f t="shared" si="2"/>
        <v>110000</v>
      </c>
      <c r="I15" s="622">
        <f t="shared" si="3"/>
        <v>13200</v>
      </c>
      <c r="J15" s="659">
        <f t="shared" si="1"/>
        <v>63700</v>
      </c>
      <c r="K15" s="677">
        <v>75000</v>
      </c>
      <c r="L15" s="652">
        <f t="shared" si="18"/>
        <v>2261900</v>
      </c>
      <c r="M15" s="352">
        <f t="shared" si="4"/>
        <v>200000</v>
      </c>
      <c r="N15" s="352">
        <f t="shared" si="23"/>
        <v>2061900</v>
      </c>
      <c r="O15" s="695">
        <v>20000</v>
      </c>
      <c r="P15" s="650">
        <v>50000</v>
      </c>
      <c r="Q15" s="458">
        <f t="shared" si="5"/>
        <v>169642.5</v>
      </c>
      <c r="R15" s="458">
        <f t="shared" si="6"/>
        <v>56547.5</v>
      </c>
      <c r="S15" s="651">
        <f t="shared" si="7"/>
        <v>2288090</v>
      </c>
      <c r="T15" s="417">
        <f t="shared" si="8"/>
        <v>0.1</v>
      </c>
      <c r="U15" s="372">
        <f t="shared" si="9"/>
        <v>228809</v>
      </c>
      <c r="V15" s="372">
        <f t="shared" si="26"/>
        <v>15000</v>
      </c>
      <c r="W15" s="373">
        <f t="shared" si="10"/>
        <v>213809</v>
      </c>
      <c r="X15" s="363">
        <f t="shared" si="20"/>
        <v>17</v>
      </c>
      <c r="Y15" s="380">
        <f t="shared" si="11"/>
        <v>12577</v>
      </c>
      <c r="Z15" s="628">
        <f t="shared" si="12"/>
        <v>2059281</v>
      </c>
      <c r="AA15" s="638">
        <f t="shared" si="13"/>
        <v>15965.583674401718</v>
      </c>
      <c r="AB15" s="633">
        <f t="shared" si="21"/>
        <v>18509.399786738697</v>
      </c>
      <c r="AC15" s="398">
        <f t="shared" si="14"/>
        <v>23909.998519380737</v>
      </c>
      <c r="AD15" s="398">
        <f t="shared" si="15"/>
        <v>40776.231931369533</v>
      </c>
      <c r="AG15" s="333"/>
      <c r="AH15" s="429"/>
      <c r="AI15" s="334" t="s">
        <v>250</v>
      </c>
      <c r="AJ15" s="334" t="s">
        <v>251</v>
      </c>
      <c r="AK15" s="334" t="s">
        <v>103</v>
      </c>
      <c r="AL15" s="335" t="s">
        <v>252</v>
      </c>
      <c r="AP15" s="353" t="s">
        <v>264</v>
      </c>
      <c r="AR15" s="653">
        <f t="shared" si="16"/>
        <v>18</v>
      </c>
      <c r="AT15" s="708">
        <v>44958</v>
      </c>
      <c r="AU15" s="103">
        <f t="shared" si="24"/>
        <v>7</v>
      </c>
      <c r="AW15" s="669">
        <v>9</v>
      </c>
      <c r="AX15" s="670" t="s">
        <v>722</v>
      </c>
      <c r="AY15" s="665">
        <v>22</v>
      </c>
      <c r="AZ15" s="668">
        <f t="shared" si="17"/>
        <v>0</v>
      </c>
    </row>
    <row r="16" spans="1:52" ht="14.25" customHeight="1">
      <c r="A16" s="404" t="s">
        <v>698</v>
      </c>
      <c r="B16" s="413">
        <f t="shared" si="0"/>
        <v>102813.63636363637</v>
      </c>
      <c r="C16" s="408" t="s">
        <v>79</v>
      </c>
      <c r="D16" s="377" t="s">
        <v>723</v>
      </c>
      <c r="E16" s="371" t="s">
        <v>267</v>
      </c>
      <c r="F16" s="378">
        <v>22</v>
      </c>
      <c r="G16" s="616">
        <v>2000000</v>
      </c>
      <c r="H16" s="617">
        <f t="shared" si="2"/>
        <v>110000</v>
      </c>
      <c r="I16" s="622">
        <f t="shared" si="3"/>
        <v>13200</v>
      </c>
      <c r="J16" s="659">
        <f t="shared" si="1"/>
        <v>63700</v>
      </c>
      <c r="K16" s="677">
        <v>75000</v>
      </c>
      <c r="L16" s="652">
        <f t="shared" si="18"/>
        <v>2261900</v>
      </c>
      <c r="M16" s="352">
        <f t="shared" si="4"/>
        <v>200000</v>
      </c>
      <c r="N16" s="352">
        <f t="shared" si="23"/>
        <v>2061900</v>
      </c>
      <c r="O16" s="695">
        <v>20000</v>
      </c>
      <c r="P16" s="650">
        <v>50000</v>
      </c>
      <c r="Q16" s="458">
        <f t="shared" si="5"/>
        <v>169642.5</v>
      </c>
      <c r="R16" s="458">
        <f t="shared" si="6"/>
        <v>56547.5</v>
      </c>
      <c r="S16" s="651">
        <f t="shared" si="7"/>
        <v>2288090</v>
      </c>
      <c r="T16" s="417">
        <f t="shared" si="8"/>
        <v>0.1</v>
      </c>
      <c r="U16" s="372">
        <f t="shared" si="9"/>
        <v>228809</v>
      </c>
      <c r="V16" s="372">
        <f t="shared" si="26"/>
        <v>15000</v>
      </c>
      <c r="W16" s="373">
        <f t="shared" si="10"/>
        <v>213809</v>
      </c>
      <c r="X16" s="363">
        <f t="shared" si="20"/>
        <v>17</v>
      </c>
      <c r="Y16" s="380">
        <f t="shared" si="11"/>
        <v>12577</v>
      </c>
      <c r="Z16" s="628">
        <f t="shared" si="12"/>
        <v>2059281</v>
      </c>
      <c r="AA16" s="638">
        <f t="shared" si="13"/>
        <v>15965.583674401718</v>
      </c>
      <c r="AB16" s="633">
        <f t="shared" si="21"/>
        <v>18509.399786738697</v>
      </c>
      <c r="AC16" s="398">
        <f t="shared" si="14"/>
        <v>23909.998519380737</v>
      </c>
      <c r="AD16" s="398">
        <f t="shared" si="15"/>
        <v>40776.231931369533</v>
      </c>
      <c r="AG16" s="333" t="s">
        <v>255</v>
      </c>
      <c r="AH16" s="429"/>
      <c r="AI16" s="332"/>
      <c r="AJ16" s="331">
        <v>0.25</v>
      </c>
      <c r="AK16" s="330">
        <f>AI14*AJ16</f>
        <v>53504.61</v>
      </c>
      <c r="AL16" s="710" t="e">
        <f t="shared" ref="AL16:AL18" si="27">AK16/AI16</f>
        <v>#DIV/0!</v>
      </c>
      <c r="AP16" s="353" t="s">
        <v>264</v>
      </c>
      <c r="AR16" s="653">
        <f t="shared" si="16"/>
        <v>18</v>
      </c>
      <c r="AT16" s="708">
        <v>44986</v>
      </c>
      <c r="AU16" s="103">
        <f t="shared" si="24"/>
        <v>8</v>
      </c>
      <c r="AW16" s="669">
        <v>10</v>
      </c>
      <c r="AX16" s="670" t="s">
        <v>724</v>
      </c>
      <c r="AY16" s="665">
        <v>22</v>
      </c>
      <c r="AZ16" s="668">
        <f t="shared" si="17"/>
        <v>0</v>
      </c>
    </row>
    <row r="17" spans="1:52" ht="14.25" customHeight="1">
      <c r="A17" s="405" t="s">
        <v>698</v>
      </c>
      <c r="B17" s="413">
        <f t="shared" si="0"/>
        <v>102813.63636363637</v>
      </c>
      <c r="C17" s="408" t="s">
        <v>79</v>
      </c>
      <c r="D17" s="377" t="s">
        <v>725</v>
      </c>
      <c r="E17" s="371" t="s">
        <v>267</v>
      </c>
      <c r="F17" s="378">
        <v>22</v>
      </c>
      <c r="G17" s="616">
        <v>2000000</v>
      </c>
      <c r="H17" s="617">
        <f t="shared" si="2"/>
        <v>110000</v>
      </c>
      <c r="I17" s="622">
        <f t="shared" si="3"/>
        <v>13200</v>
      </c>
      <c r="J17" s="659">
        <f t="shared" si="1"/>
        <v>63700</v>
      </c>
      <c r="K17" s="677">
        <v>75000</v>
      </c>
      <c r="L17" s="652">
        <f t="shared" si="18"/>
        <v>2261900</v>
      </c>
      <c r="M17" s="352">
        <f t="shared" si="4"/>
        <v>200000</v>
      </c>
      <c r="N17" s="352">
        <f t="shared" si="23"/>
        <v>2061900</v>
      </c>
      <c r="O17" s="695">
        <v>20000</v>
      </c>
      <c r="P17" s="650">
        <v>50000</v>
      </c>
      <c r="Q17" s="458">
        <f t="shared" si="5"/>
        <v>169642.5</v>
      </c>
      <c r="R17" s="458">
        <f t="shared" si="6"/>
        <v>56547.5</v>
      </c>
      <c r="S17" s="651">
        <f t="shared" si="7"/>
        <v>2288090</v>
      </c>
      <c r="T17" s="417">
        <f t="shared" si="8"/>
        <v>0.1</v>
      </c>
      <c r="U17" s="372">
        <f t="shared" si="9"/>
        <v>228809</v>
      </c>
      <c r="V17" s="372">
        <f t="shared" si="26"/>
        <v>15000</v>
      </c>
      <c r="W17" s="373">
        <f t="shared" si="10"/>
        <v>213809</v>
      </c>
      <c r="X17" s="363">
        <f t="shared" si="20"/>
        <v>17</v>
      </c>
      <c r="Y17" s="380">
        <f t="shared" si="11"/>
        <v>12577</v>
      </c>
      <c r="Z17" s="628">
        <f t="shared" si="12"/>
        <v>2059281</v>
      </c>
      <c r="AA17" s="638">
        <f t="shared" si="13"/>
        <v>15965.583674401718</v>
      </c>
      <c r="AB17" s="633">
        <f t="shared" si="21"/>
        <v>18509.399786738697</v>
      </c>
      <c r="AC17" s="398">
        <f t="shared" si="14"/>
        <v>23909.998519380737</v>
      </c>
      <c r="AD17" s="398">
        <f t="shared" si="15"/>
        <v>40776.231931369533</v>
      </c>
      <c r="AG17" s="333" t="s">
        <v>258</v>
      </c>
      <c r="AH17" s="429"/>
      <c r="AI17" s="332"/>
      <c r="AJ17" s="331">
        <v>0.35</v>
      </c>
      <c r="AK17" s="330">
        <f>AI14*AJ17</f>
        <v>74906.453999999998</v>
      </c>
      <c r="AL17" s="710" t="e">
        <f t="shared" si="27"/>
        <v>#DIV/0!</v>
      </c>
      <c r="AP17" s="353" t="s">
        <v>264</v>
      </c>
      <c r="AR17" s="653">
        <f t="shared" si="16"/>
        <v>18</v>
      </c>
      <c r="AT17" s="708">
        <v>45017</v>
      </c>
      <c r="AU17" s="103">
        <f t="shared" si="24"/>
        <v>9</v>
      </c>
      <c r="AW17" s="669">
        <v>11</v>
      </c>
      <c r="AX17" s="670" t="s">
        <v>726</v>
      </c>
      <c r="AY17" s="665">
        <v>22</v>
      </c>
      <c r="AZ17" s="668">
        <f t="shared" si="17"/>
        <v>0</v>
      </c>
    </row>
    <row r="18" spans="1:52" ht="14.25" customHeight="1">
      <c r="A18" s="448" t="s">
        <v>698</v>
      </c>
      <c r="B18" s="413">
        <f t="shared" si="0"/>
        <v>102813.63636363637</v>
      </c>
      <c r="C18" s="408" t="s">
        <v>79</v>
      </c>
      <c r="D18" s="377" t="s">
        <v>727</v>
      </c>
      <c r="E18" s="371" t="s">
        <v>267</v>
      </c>
      <c r="F18" s="378">
        <v>22</v>
      </c>
      <c r="G18" s="616">
        <v>2000000</v>
      </c>
      <c r="H18" s="617">
        <f t="shared" si="2"/>
        <v>110000</v>
      </c>
      <c r="I18" s="622">
        <f t="shared" si="3"/>
        <v>13200</v>
      </c>
      <c r="J18" s="659">
        <f t="shared" si="1"/>
        <v>63700</v>
      </c>
      <c r="K18" s="677">
        <v>75000</v>
      </c>
      <c r="L18" s="652">
        <f t="shared" si="18"/>
        <v>2261900</v>
      </c>
      <c r="M18" s="352">
        <f t="shared" si="4"/>
        <v>200000</v>
      </c>
      <c r="N18" s="352">
        <f t="shared" si="23"/>
        <v>2061900</v>
      </c>
      <c r="O18" s="695">
        <v>20000</v>
      </c>
      <c r="P18" s="650">
        <v>50000</v>
      </c>
      <c r="Q18" s="458">
        <f t="shared" si="5"/>
        <v>169642.5</v>
      </c>
      <c r="R18" s="458">
        <f t="shared" si="6"/>
        <v>56547.5</v>
      </c>
      <c r="S18" s="651">
        <f t="shared" si="7"/>
        <v>2288090</v>
      </c>
      <c r="T18" s="417">
        <f t="shared" si="8"/>
        <v>0.1</v>
      </c>
      <c r="U18" s="372">
        <f>S18*T18</f>
        <v>228809</v>
      </c>
      <c r="V18" s="372">
        <f t="shared" si="26"/>
        <v>15000</v>
      </c>
      <c r="W18" s="373">
        <f t="shared" si="10"/>
        <v>213809</v>
      </c>
      <c r="X18" s="363">
        <f t="shared" si="20"/>
        <v>17</v>
      </c>
      <c r="Y18" s="380">
        <f t="shared" si="11"/>
        <v>12577</v>
      </c>
      <c r="Z18" s="628">
        <f t="shared" si="12"/>
        <v>2059281</v>
      </c>
      <c r="AA18" s="638">
        <f t="shared" si="13"/>
        <v>15965.583674401718</v>
      </c>
      <c r="AB18" s="633">
        <f t="shared" si="21"/>
        <v>18509.399786738697</v>
      </c>
      <c r="AC18" s="398">
        <f t="shared" si="14"/>
        <v>23909.998519380737</v>
      </c>
      <c r="AD18" s="398">
        <f t="shared" si="15"/>
        <v>40776.231931369533</v>
      </c>
      <c r="AG18" s="333" t="s">
        <v>712</v>
      </c>
      <c r="AH18" s="429"/>
      <c r="AI18" s="332"/>
      <c r="AJ18" s="331">
        <v>0.4</v>
      </c>
      <c r="AK18" s="330">
        <f>AI14*AJ18</f>
        <v>85607.376000000004</v>
      </c>
      <c r="AL18" s="710" t="e">
        <f t="shared" si="27"/>
        <v>#DIV/0!</v>
      </c>
      <c r="AP18" s="353" t="s">
        <v>264</v>
      </c>
      <c r="AR18" s="653">
        <f t="shared" si="16"/>
        <v>18</v>
      </c>
      <c r="AT18" s="708">
        <v>45047</v>
      </c>
      <c r="AU18" s="103">
        <f t="shared" si="24"/>
        <v>10</v>
      </c>
      <c r="AW18" s="669">
        <v>12</v>
      </c>
      <c r="AX18" s="670" t="s">
        <v>728</v>
      </c>
      <c r="AY18" s="665">
        <v>22</v>
      </c>
      <c r="AZ18" s="668">
        <f t="shared" si="17"/>
        <v>0</v>
      </c>
    </row>
    <row r="19" spans="1:52" ht="14.25" customHeight="1" thickBot="1">
      <c r="A19" s="414" t="s">
        <v>698</v>
      </c>
      <c r="B19" s="413">
        <f t="shared" si="0"/>
        <v>102813.63636363637</v>
      </c>
      <c r="C19" s="408" t="s">
        <v>79</v>
      </c>
      <c r="D19" s="377" t="s">
        <v>729</v>
      </c>
      <c r="E19" s="371" t="s">
        <v>267</v>
      </c>
      <c r="F19" s="378">
        <v>22</v>
      </c>
      <c r="G19" s="616">
        <v>2000000</v>
      </c>
      <c r="H19" s="617">
        <f>H$5*F19</f>
        <v>110000</v>
      </c>
      <c r="I19" s="622">
        <f t="shared" si="3"/>
        <v>13200</v>
      </c>
      <c r="J19" s="659">
        <f t="shared" si="1"/>
        <v>63700</v>
      </c>
      <c r="K19" s="677">
        <v>75000</v>
      </c>
      <c r="L19" s="652">
        <f>G19+H19+I19+J19+K19</f>
        <v>2261900</v>
      </c>
      <c r="M19" s="352">
        <f t="shared" si="4"/>
        <v>200000</v>
      </c>
      <c r="N19" s="352">
        <f t="shared" si="23"/>
        <v>2061900</v>
      </c>
      <c r="O19" s="695">
        <v>20000</v>
      </c>
      <c r="P19" s="650">
        <v>50000</v>
      </c>
      <c r="Q19" s="458">
        <f>L19*Q$5</f>
        <v>169642.5</v>
      </c>
      <c r="R19" s="458">
        <f t="shared" si="6"/>
        <v>56547.5</v>
      </c>
      <c r="S19" s="651">
        <f t="shared" si="7"/>
        <v>2288090</v>
      </c>
      <c r="T19" s="417">
        <f t="shared" si="8"/>
        <v>0.1</v>
      </c>
      <c r="U19" s="372">
        <f t="shared" si="9"/>
        <v>228809</v>
      </c>
      <c r="V19" s="372">
        <f t="shared" si="26"/>
        <v>15000</v>
      </c>
      <c r="W19" s="373">
        <f t="shared" si="10"/>
        <v>213809</v>
      </c>
      <c r="X19" s="363">
        <f t="shared" si="20"/>
        <v>17</v>
      </c>
      <c r="Y19" s="380">
        <f t="shared" si="11"/>
        <v>12577</v>
      </c>
      <c r="Z19" s="628">
        <f t="shared" si="12"/>
        <v>2059281</v>
      </c>
      <c r="AA19" s="638">
        <f t="shared" si="13"/>
        <v>15965.583674401718</v>
      </c>
      <c r="AB19" s="633">
        <f t="shared" si="21"/>
        <v>18509.399786738697</v>
      </c>
      <c r="AC19" s="398">
        <f t="shared" si="14"/>
        <v>23909.998519380737</v>
      </c>
      <c r="AD19" s="398">
        <f t="shared" si="15"/>
        <v>40776.231931369533</v>
      </c>
      <c r="AG19" s="336" t="s">
        <v>103</v>
      </c>
      <c r="AH19" s="430"/>
      <c r="AI19" s="337">
        <f t="shared" ref="AI19:AK19" si="28">SUM(AI16:AI18)</f>
        <v>0</v>
      </c>
      <c r="AJ19" s="338">
        <f t="shared" si="28"/>
        <v>1</v>
      </c>
      <c r="AK19" s="339">
        <f t="shared" si="28"/>
        <v>214018.44</v>
      </c>
      <c r="AL19" s="711"/>
      <c r="AP19" s="658" t="s">
        <v>243</v>
      </c>
      <c r="AR19" s="653">
        <f t="shared" si="16"/>
        <v>18</v>
      </c>
      <c r="AT19" s="708">
        <v>45078</v>
      </c>
      <c r="AU19" s="103">
        <f t="shared" si="24"/>
        <v>11</v>
      </c>
      <c r="AW19" s="669">
        <v>13</v>
      </c>
      <c r="AX19" s="670" t="s">
        <v>730</v>
      </c>
      <c r="AY19" s="665">
        <v>22</v>
      </c>
      <c r="AZ19" s="668">
        <f t="shared" si="17"/>
        <v>0</v>
      </c>
    </row>
    <row r="20" spans="1:52" ht="14.25" customHeight="1" thickBot="1">
      <c r="A20" s="405" t="s">
        <v>698</v>
      </c>
      <c r="B20" s="413">
        <f t="shared" si="0"/>
        <v>102813.63636363637</v>
      </c>
      <c r="C20" s="408" t="s">
        <v>79</v>
      </c>
      <c r="D20" s="377" t="s">
        <v>731</v>
      </c>
      <c r="E20" s="371" t="s">
        <v>267</v>
      </c>
      <c r="F20" s="378">
        <v>22</v>
      </c>
      <c r="G20" s="616">
        <v>2000000</v>
      </c>
      <c r="H20" s="617">
        <f t="shared" si="2"/>
        <v>110000</v>
      </c>
      <c r="I20" s="622">
        <f t="shared" si="3"/>
        <v>13200</v>
      </c>
      <c r="J20" s="659">
        <f t="shared" si="1"/>
        <v>63700</v>
      </c>
      <c r="K20" s="677">
        <v>75000</v>
      </c>
      <c r="L20" s="652">
        <f t="shared" si="18"/>
        <v>2261900</v>
      </c>
      <c r="M20" s="352">
        <f t="shared" si="4"/>
        <v>200000</v>
      </c>
      <c r="N20" s="352">
        <f t="shared" si="23"/>
        <v>2061900</v>
      </c>
      <c r="O20" s="695">
        <v>20000</v>
      </c>
      <c r="P20" s="650">
        <v>50000</v>
      </c>
      <c r="Q20" s="458">
        <f t="shared" si="5"/>
        <v>169642.5</v>
      </c>
      <c r="R20" s="458">
        <f t="shared" si="6"/>
        <v>56547.5</v>
      </c>
      <c r="S20" s="651">
        <f t="shared" si="7"/>
        <v>2288090</v>
      </c>
      <c r="T20" s="417">
        <f t="shared" si="8"/>
        <v>0.1</v>
      </c>
      <c r="U20" s="372">
        <f t="shared" si="9"/>
        <v>228809</v>
      </c>
      <c r="V20" s="372">
        <f t="shared" si="26"/>
        <v>15000</v>
      </c>
      <c r="W20" s="373">
        <f t="shared" si="10"/>
        <v>213809</v>
      </c>
      <c r="X20" s="363">
        <f t="shared" si="20"/>
        <v>17</v>
      </c>
      <c r="Y20" s="380">
        <f t="shared" si="11"/>
        <v>12577</v>
      </c>
      <c r="Z20" s="628">
        <f t="shared" si="12"/>
        <v>2059281</v>
      </c>
      <c r="AA20" s="638">
        <f t="shared" si="13"/>
        <v>15965.583674401718</v>
      </c>
      <c r="AB20" s="633">
        <f t="shared" si="21"/>
        <v>18509.399786738697</v>
      </c>
      <c r="AC20" s="398">
        <f t="shared" si="14"/>
        <v>23909.998519380737</v>
      </c>
      <c r="AD20" s="398">
        <f t="shared" si="15"/>
        <v>40776.231931369533</v>
      </c>
      <c r="AG20" s="342"/>
      <c r="AH20" s="343"/>
      <c r="AI20" s="343"/>
      <c r="AJ20" s="343"/>
      <c r="AK20" s="343"/>
      <c r="AL20" s="713"/>
      <c r="AP20" s="353" t="s">
        <v>264</v>
      </c>
      <c r="AR20" s="653">
        <f t="shared" si="16"/>
        <v>18</v>
      </c>
      <c r="AT20" s="708">
        <v>45108</v>
      </c>
      <c r="AU20" s="103">
        <f t="shared" si="24"/>
        <v>12</v>
      </c>
      <c r="AW20" s="669">
        <v>14</v>
      </c>
      <c r="AX20" s="670" t="s">
        <v>732</v>
      </c>
      <c r="AY20" s="665">
        <v>22</v>
      </c>
      <c r="AZ20" s="668">
        <f t="shared" si="17"/>
        <v>0</v>
      </c>
    </row>
    <row r="21" spans="1:52" ht="14.25" customHeight="1">
      <c r="A21" s="448" t="s">
        <v>698</v>
      </c>
      <c r="B21" s="413">
        <f t="shared" si="0"/>
        <v>102813.63636363637</v>
      </c>
      <c r="C21" s="408" t="s">
        <v>79</v>
      </c>
      <c r="D21" s="377" t="s">
        <v>733</v>
      </c>
      <c r="E21" s="371" t="s">
        <v>267</v>
      </c>
      <c r="F21" s="378">
        <v>22</v>
      </c>
      <c r="G21" s="616">
        <v>2000000</v>
      </c>
      <c r="H21" s="617">
        <f>H$5*F21</f>
        <v>110000</v>
      </c>
      <c r="I21" s="622">
        <f>H21*I$5</f>
        <v>13200</v>
      </c>
      <c r="J21" s="659">
        <f t="shared" si="1"/>
        <v>63700</v>
      </c>
      <c r="K21" s="677">
        <v>75000</v>
      </c>
      <c r="L21" s="652">
        <f t="shared" si="18"/>
        <v>2261900</v>
      </c>
      <c r="M21" s="352">
        <f t="shared" si="4"/>
        <v>200000</v>
      </c>
      <c r="N21" s="352">
        <f t="shared" si="23"/>
        <v>2061900</v>
      </c>
      <c r="O21" s="695">
        <v>20000</v>
      </c>
      <c r="P21" s="650">
        <v>50000</v>
      </c>
      <c r="Q21" s="458">
        <f>L21*Q$5</f>
        <v>169642.5</v>
      </c>
      <c r="R21" s="458">
        <f>L21*R$5</f>
        <v>56547.5</v>
      </c>
      <c r="S21" s="651">
        <f t="shared" si="7"/>
        <v>2288090</v>
      </c>
      <c r="T21" s="417">
        <f t="shared" si="8"/>
        <v>0.1</v>
      </c>
      <c r="U21" s="372">
        <f t="shared" si="9"/>
        <v>228809</v>
      </c>
      <c r="V21" s="372">
        <f t="shared" si="26"/>
        <v>15000</v>
      </c>
      <c r="W21" s="373">
        <f t="shared" si="10"/>
        <v>213809</v>
      </c>
      <c r="X21" s="363">
        <f t="shared" si="20"/>
        <v>17</v>
      </c>
      <c r="Y21" s="380">
        <f t="shared" si="11"/>
        <v>12577</v>
      </c>
      <c r="Z21" s="628">
        <f t="shared" si="12"/>
        <v>2059281</v>
      </c>
      <c r="AA21" s="638">
        <f t="shared" si="13"/>
        <v>15965.583674401718</v>
      </c>
      <c r="AB21" s="633">
        <f t="shared" si="21"/>
        <v>18509.399786738697</v>
      </c>
      <c r="AC21" s="398">
        <f t="shared" si="14"/>
        <v>23909.998519380737</v>
      </c>
      <c r="AD21" s="398">
        <f t="shared" si="15"/>
        <v>40776.231931369533</v>
      </c>
      <c r="AH21" s="440" t="s">
        <v>302</v>
      </c>
      <c r="AP21" s="658" t="s">
        <v>243</v>
      </c>
      <c r="AR21" s="653">
        <f t="shared" si="16"/>
        <v>18</v>
      </c>
      <c r="AT21" s="708">
        <v>45139</v>
      </c>
      <c r="AU21" s="103">
        <f t="shared" si="24"/>
        <v>13</v>
      </c>
      <c r="AW21" s="669">
        <v>15</v>
      </c>
      <c r="AX21" s="670" t="s">
        <v>734</v>
      </c>
      <c r="AY21" s="665">
        <v>22</v>
      </c>
      <c r="AZ21" s="668">
        <f t="shared" si="17"/>
        <v>0</v>
      </c>
    </row>
    <row r="22" spans="1:52" ht="14.25" customHeight="1">
      <c r="A22" s="414" t="s">
        <v>698</v>
      </c>
      <c r="B22" s="413">
        <f t="shared" si="0"/>
        <v>102813.63636363637</v>
      </c>
      <c r="C22" s="408" t="s">
        <v>79</v>
      </c>
      <c r="D22" s="377" t="s">
        <v>735</v>
      </c>
      <c r="E22" s="371" t="s">
        <v>267</v>
      </c>
      <c r="F22" s="378">
        <v>22</v>
      </c>
      <c r="G22" s="616">
        <v>2000000</v>
      </c>
      <c r="H22" s="617">
        <f t="shared" si="2"/>
        <v>110000</v>
      </c>
      <c r="I22" s="622">
        <f t="shared" si="3"/>
        <v>13200</v>
      </c>
      <c r="J22" s="659">
        <f t="shared" si="1"/>
        <v>63700</v>
      </c>
      <c r="K22" s="677">
        <v>75000</v>
      </c>
      <c r="L22" s="652">
        <f>G22+H22+I22+J22+K22</f>
        <v>2261900</v>
      </c>
      <c r="M22" s="352">
        <f t="shared" si="4"/>
        <v>200000</v>
      </c>
      <c r="N22" s="352">
        <f t="shared" si="23"/>
        <v>2061900</v>
      </c>
      <c r="O22" s="695">
        <v>20000</v>
      </c>
      <c r="P22" s="650">
        <v>50000</v>
      </c>
      <c r="Q22" s="458">
        <f t="shared" si="5"/>
        <v>169642.5</v>
      </c>
      <c r="R22" s="458">
        <f t="shared" si="6"/>
        <v>56547.5</v>
      </c>
      <c r="S22" s="651">
        <f t="shared" si="7"/>
        <v>2288090</v>
      </c>
      <c r="T22" s="417">
        <f t="shared" si="8"/>
        <v>0.1</v>
      </c>
      <c r="U22" s="372">
        <f t="shared" si="9"/>
        <v>228809</v>
      </c>
      <c r="V22" s="372">
        <f t="shared" si="26"/>
        <v>15000</v>
      </c>
      <c r="W22" s="373">
        <f t="shared" si="10"/>
        <v>213809</v>
      </c>
      <c r="X22" s="363">
        <f t="shared" si="20"/>
        <v>17</v>
      </c>
      <c r="Y22" s="380">
        <f t="shared" si="11"/>
        <v>12577</v>
      </c>
      <c r="Z22" s="628">
        <f t="shared" si="12"/>
        <v>2059281</v>
      </c>
      <c r="AA22" s="638">
        <f t="shared" si="13"/>
        <v>15965.583674401718</v>
      </c>
      <c r="AB22" s="633">
        <f t="shared" si="21"/>
        <v>18509.399786738697</v>
      </c>
      <c r="AC22" s="398">
        <f t="shared" si="14"/>
        <v>23909.998519380737</v>
      </c>
      <c r="AD22" s="398">
        <f t="shared" si="15"/>
        <v>40776.231931369533</v>
      </c>
      <c r="AH22" s="438" t="s">
        <v>736</v>
      </c>
      <c r="AI22" s="439"/>
      <c r="AK22" s="400" t="s">
        <v>304</v>
      </c>
      <c r="AP22" s="353" t="s">
        <v>264</v>
      </c>
      <c r="AR22" s="653">
        <f t="shared" si="16"/>
        <v>18</v>
      </c>
      <c r="AT22" s="708">
        <v>45170</v>
      </c>
      <c r="AU22" s="103">
        <f>AU21+1</f>
        <v>14</v>
      </c>
      <c r="AW22" s="669">
        <v>16</v>
      </c>
      <c r="AX22" s="670" t="s">
        <v>737</v>
      </c>
      <c r="AY22" s="665">
        <v>22</v>
      </c>
      <c r="AZ22" s="668">
        <f t="shared" si="17"/>
        <v>0</v>
      </c>
    </row>
    <row r="23" spans="1:52" ht="14.25" customHeight="1">
      <c r="A23" s="405" t="s">
        <v>698</v>
      </c>
      <c r="B23" s="444">
        <f t="shared" si="0"/>
        <v>101334.10922112802</v>
      </c>
      <c r="C23" s="445" t="s">
        <v>65</v>
      </c>
      <c r="D23" s="386" t="s">
        <v>738</v>
      </c>
      <c r="E23" s="371" t="s">
        <v>267</v>
      </c>
      <c r="F23" s="387">
        <v>22.34</v>
      </c>
      <c r="G23" s="616">
        <v>2000000</v>
      </c>
      <c r="H23" s="617">
        <f t="shared" si="2"/>
        <v>111700</v>
      </c>
      <c r="I23" s="622">
        <f t="shared" si="3"/>
        <v>13404</v>
      </c>
      <c r="J23" s="659">
        <f t="shared" si="1"/>
        <v>63700</v>
      </c>
      <c r="K23" s="677">
        <v>75000</v>
      </c>
      <c r="L23" s="652">
        <f t="shared" si="18"/>
        <v>2263804</v>
      </c>
      <c r="M23" s="352">
        <f t="shared" si="4"/>
        <v>200000</v>
      </c>
      <c r="N23" s="352">
        <f t="shared" si="23"/>
        <v>2063804</v>
      </c>
      <c r="O23" s="695">
        <v>20000</v>
      </c>
      <c r="P23" s="650">
        <v>50000</v>
      </c>
      <c r="Q23" s="458">
        <f t="shared" si="5"/>
        <v>169785.3</v>
      </c>
      <c r="R23" s="458">
        <f t="shared" si="6"/>
        <v>56595.100000000006</v>
      </c>
      <c r="S23" s="651">
        <f t="shared" si="7"/>
        <v>2290184.4</v>
      </c>
      <c r="T23" s="417">
        <f t="shared" si="8"/>
        <v>0.1</v>
      </c>
      <c r="U23" s="374">
        <f t="shared" si="9"/>
        <v>229018.44</v>
      </c>
      <c r="V23" s="374">
        <f>V5</f>
        <v>15000</v>
      </c>
      <c r="W23" s="374">
        <f t="shared" si="10"/>
        <v>214018.44</v>
      </c>
      <c r="X23" s="382">
        <f>X$5</f>
        <v>17</v>
      </c>
      <c r="Y23" s="388">
        <f t="shared" si="11"/>
        <v>12589.32</v>
      </c>
      <c r="Z23" s="629">
        <f t="shared" si="12"/>
        <v>2061165.96</v>
      </c>
      <c r="AA23" s="638">
        <f t="shared" si="13"/>
        <v>15980.197749218558</v>
      </c>
      <c r="AB23" s="634">
        <f t="shared" si="21"/>
        <v>18526.34234009689</v>
      </c>
      <c r="AC23" s="446">
        <f t="shared" si="14"/>
        <v>23931.884503279533</v>
      </c>
      <c r="AD23" s="446">
        <f t="shared" si="15"/>
        <v>40813.556398570145</v>
      </c>
      <c r="AK23" t="s">
        <v>739</v>
      </c>
      <c r="AP23" s="353" t="s">
        <v>264</v>
      </c>
      <c r="AR23" s="653">
        <f t="shared" si="16"/>
        <v>18</v>
      </c>
      <c r="AT23" s="708">
        <v>45200</v>
      </c>
      <c r="AU23" s="103">
        <f t="shared" si="24"/>
        <v>15</v>
      </c>
      <c r="AW23" s="669">
        <v>17</v>
      </c>
      <c r="AX23" s="671" t="s">
        <v>740</v>
      </c>
      <c r="AY23" s="666">
        <v>22.34</v>
      </c>
      <c r="AZ23" s="668">
        <f t="shared" si="17"/>
        <v>0</v>
      </c>
    </row>
    <row r="24" spans="1:52" ht="14.25" customHeight="1">
      <c r="A24" s="448" t="s">
        <v>741</v>
      </c>
      <c r="B24" s="413">
        <f t="shared" si="0"/>
        <v>102813.63636363637</v>
      </c>
      <c r="C24" s="371" t="s">
        <v>65</v>
      </c>
      <c r="D24" s="371" t="s">
        <v>265</v>
      </c>
      <c r="E24" s="371" t="s">
        <v>267</v>
      </c>
      <c r="F24" s="352">
        <v>22</v>
      </c>
      <c r="G24" s="616">
        <v>2000000</v>
      </c>
      <c r="H24" s="617">
        <f t="shared" si="2"/>
        <v>110000</v>
      </c>
      <c r="I24" s="622">
        <f t="shared" si="3"/>
        <v>13200</v>
      </c>
      <c r="J24" s="659">
        <f t="shared" si="1"/>
        <v>63700</v>
      </c>
      <c r="K24" s="677">
        <v>75000</v>
      </c>
      <c r="L24" s="652">
        <f t="shared" si="18"/>
        <v>2261900</v>
      </c>
      <c r="M24" s="352">
        <f t="shared" si="4"/>
        <v>200000</v>
      </c>
      <c r="N24" s="352">
        <f t="shared" si="23"/>
        <v>2061900</v>
      </c>
      <c r="O24" s="695">
        <v>20000</v>
      </c>
      <c r="P24" s="650">
        <v>50000</v>
      </c>
      <c r="Q24" s="458">
        <f t="shared" si="5"/>
        <v>169642.5</v>
      </c>
      <c r="R24" s="458">
        <f t="shared" si="6"/>
        <v>56547.5</v>
      </c>
      <c r="S24" s="651">
        <f t="shared" si="7"/>
        <v>2288090</v>
      </c>
      <c r="T24" s="417">
        <f t="shared" si="8"/>
        <v>0.1</v>
      </c>
      <c r="U24" s="352">
        <f t="shared" si="9"/>
        <v>228809</v>
      </c>
      <c r="V24" s="352">
        <f>V5</f>
        <v>15000</v>
      </c>
      <c r="W24" s="352">
        <f t="shared" si="10"/>
        <v>213809</v>
      </c>
      <c r="X24" s="363">
        <f>X$5</f>
        <v>17</v>
      </c>
      <c r="Y24" s="352">
        <f t="shared" si="11"/>
        <v>12577</v>
      </c>
      <c r="Z24" s="628">
        <f t="shared" si="12"/>
        <v>2059281</v>
      </c>
      <c r="AA24" s="638">
        <f t="shared" si="13"/>
        <v>15965.583674401718</v>
      </c>
      <c r="AB24" s="378">
        <f t="shared" si="21"/>
        <v>18509.399786738697</v>
      </c>
      <c r="AC24" s="352">
        <f t="shared" si="14"/>
        <v>23909.998519380737</v>
      </c>
      <c r="AD24" s="352">
        <f t="shared" si="15"/>
        <v>40776.231931369533</v>
      </c>
      <c r="AE24" t="s">
        <v>742</v>
      </c>
      <c r="AF24" t="s">
        <v>742</v>
      </c>
      <c r="AG24" s="400" t="s">
        <v>743</v>
      </c>
      <c r="AH24" s="703" t="s">
        <v>744</v>
      </c>
      <c r="AI24" s="439"/>
      <c r="AP24" s="353" t="s">
        <v>264</v>
      </c>
      <c r="AR24" s="653">
        <f t="shared" si="16"/>
        <v>18</v>
      </c>
      <c r="AT24" s="708">
        <v>45231</v>
      </c>
      <c r="AU24" s="103">
        <f t="shared" si="24"/>
        <v>16</v>
      </c>
      <c r="AW24" s="669">
        <v>1</v>
      </c>
      <c r="AX24" s="670" t="s">
        <v>700</v>
      </c>
      <c r="AY24" s="665">
        <v>22</v>
      </c>
      <c r="AZ24" s="668">
        <f t="shared" si="17"/>
        <v>0</v>
      </c>
    </row>
    <row r="25" spans="1:52" ht="14.25" customHeight="1">
      <c r="A25" s="626" t="s">
        <v>741</v>
      </c>
      <c r="B25" s="413">
        <f t="shared" si="0"/>
        <v>102813.63636363637</v>
      </c>
      <c r="C25" s="371" t="s">
        <v>79</v>
      </c>
      <c r="D25" s="371" t="s">
        <v>277</v>
      </c>
      <c r="E25" s="371" t="s">
        <v>267</v>
      </c>
      <c r="F25" s="352">
        <v>22</v>
      </c>
      <c r="G25" s="616">
        <v>2000000</v>
      </c>
      <c r="H25" s="617">
        <f t="shared" si="2"/>
        <v>110000</v>
      </c>
      <c r="I25" s="622">
        <f t="shared" si="3"/>
        <v>13200</v>
      </c>
      <c r="J25" s="659">
        <f t="shared" si="1"/>
        <v>63700</v>
      </c>
      <c r="K25" s="677">
        <v>75000</v>
      </c>
      <c r="L25" s="652">
        <f t="shared" si="18"/>
        <v>2261900</v>
      </c>
      <c r="M25" s="352">
        <f t="shared" si="4"/>
        <v>200000</v>
      </c>
      <c r="N25" s="352">
        <f t="shared" si="23"/>
        <v>2061900</v>
      </c>
      <c r="O25" s="695">
        <v>20000</v>
      </c>
      <c r="P25" s="650">
        <v>50000</v>
      </c>
      <c r="Q25" s="458">
        <f t="shared" si="5"/>
        <v>169642.5</v>
      </c>
      <c r="R25" s="458">
        <f t="shared" si="6"/>
        <v>56547.5</v>
      </c>
      <c r="S25" s="651">
        <f t="shared" si="7"/>
        <v>2288090</v>
      </c>
      <c r="T25" s="417">
        <f t="shared" si="8"/>
        <v>0.1</v>
      </c>
      <c r="U25" s="352">
        <f t="shared" si="9"/>
        <v>228809</v>
      </c>
      <c r="V25" s="352">
        <f>V$5</f>
        <v>15000</v>
      </c>
      <c r="W25" s="352">
        <f t="shared" si="10"/>
        <v>213809</v>
      </c>
      <c r="X25" s="363">
        <f>X$5</f>
        <v>17</v>
      </c>
      <c r="Y25" s="352">
        <f t="shared" si="11"/>
        <v>12577</v>
      </c>
      <c r="Z25" s="628">
        <f t="shared" si="12"/>
        <v>2059281</v>
      </c>
      <c r="AA25" s="638">
        <f t="shared" si="13"/>
        <v>15965.583674401718</v>
      </c>
      <c r="AB25" s="378">
        <f t="shared" si="21"/>
        <v>18509.399786738697</v>
      </c>
      <c r="AC25" s="352">
        <f t="shared" si="14"/>
        <v>23909.998519380737</v>
      </c>
      <c r="AD25" s="352">
        <f t="shared" si="15"/>
        <v>40776.231931369533</v>
      </c>
      <c r="AG25" s="400" t="s">
        <v>313</v>
      </c>
      <c r="AH25" s="439" t="s">
        <v>745</v>
      </c>
      <c r="AI25" s="439"/>
      <c r="AP25" s="353" t="s">
        <v>264</v>
      </c>
      <c r="AQ25" t="s">
        <v>702</v>
      </c>
      <c r="AR25" s="653">
        <f t="shared" si="16"/>
        <v>18</v>
      </c>
      <c r="AT25" s="708">
        <v>45261</v>
      </c>
      <c r="AU25" s="103">
        <f t="shared" si="24"/>
        <v>17</v>
      </c>
      <c r="AW25" s="669">
        <v>2</v>
      </c>
      <c r="AX25" s="670" t="s">
        <v>704</v>
      </c>
      <c r="AY25" s="665">
        <v>22</v>
      </c>
      <c r="AZ25" s="668">
        <f t="shared" si="17"/>
        <v>0</v>
      </c>
    </row>
    <row r="26" spans="1:52" ht="14.25" customHeight="1">
      <c r="A26" s="448" t="s">
        <v>741</v>
      </c>
      <c r="B26" s="413">
        <f t="shared" si="0"/>
        <v>102813.63636363637</v>
      </c>
      <c r="C26" s="371" t="s">
        <v>79</v>
      </c>
      <c r="D26" s="371" t="s">
        <v>282</v>
      </c>
      <c r="E26" s="371" t="s">
        <v>267</v>
      </c>
      <c r="F26" s="352">
        <v>22</v>
      </c>
      <c r="G26" s="616">
        <v>2000000</v>
      </c>
      <c r="H26" s="617">
        <f t="shared" si="2"/>
        <v>110000</v>
      </c>
      <c r="I26" s="622">
        <f t="shared" si="3"/>
        <v>13200</v>
      </c>
      <c r="J26" s="659">
        <f t="shared" si="1"/>
        <v>63700</v>
      </c>
      <c r="K26" s="677">
        <v>75000</v>
      </c>
      <c r="L26" s="652">
        <f t="shared" si="18"/>
        <v>2261900</v>
      </c>
      <c r="M26" s="352">
        <f t="shared" si="4"/>
        <v>200000</v>
      </c>
      <c r="N26" s="352">
        <f t="shared" si="23"/>
        <v>2061900</v>
      </c>
      <c r="O26" s="695">
        <v>20000</v>
      </c>
      <c r="P26" s="650">
        <v>50000</v>
      </c>
      <c r="Q26" s="458">
        <f t="shared" si="5"/>
        <v>169642.5</v>
      </c>
      <c r="R26" s="458">
        <f t="shared" si="6"/>
        <v>56547.5</v>
      </c>
      <c r="S26" s="651">
        <f t="shared" si="7"/>
        <v>2288090</v>
      </c>
      <c r="T26" s="417">
        <f t="shared" si="8"/>
        <v>0.1</v>
      </c>
      <c r="U26" s="352">
        <f t="shared" si="9"/>
        <v>228809</v>
      </c>
      <c r="V26" s="352">
        <f t="shared" ref="V26:V30" si="29">V$5</f>
        <v>15000</v>
      </c>
      <c r="W26" s="352">
        <f t="shared" si="10"/>
        <v>213809</v>
      </c>
      <c r="X26" s="363">
        <f t="shared" ref="X26:X40" si="30">X$5</f>
        <v>17</v>
      </c>
      <c r="Y26" s="352">
        <f t="shared" si="11"/>
        <v>12577</v>
      </c>
      <c r="Z26" s="628">
        <f t="shared" si="12"/>
        <v>2059281</v>
      </c>
      <c r="AA26" s="638">
        <f t="shared" si="13"/>
        <v>15965.583674401718</v>
      </c>
      <c r="AB26" s="378">
        <f t="shared" si="21"/>
        <v>18509.399786738697</v>
      </c>
      <c r="AC26" s="352">
        <f t="shared" si="14"/>
        <v>23909.998519380737</v>
      </c>
      <c r="AD26" s="352">
        <f t="shared" si="15"/>
        <v>40776.231931369533</v>
      </c>
      <c r="AG26" s="400" t="s">
        <v>318</v>
      </c>
      <c r="AH26" s="439" t="s">
        <v>746</v>
      </c>
      <c r="AI26" s="439"/>
      <c r="AP26" s="353" t="s">
        <v>264</v>
      </c>
      <c r="AR26" s="653">
        <f t="shared" si="16"/>
        <v>18</v>
      </c>
      <c r="AT26" s="708">
        <v>45292</v>
      </c>
      <c r="AU26" s="103">
        <f t="shared" si="24"/>
        <v>18</v>
      </c>
      <c r="AW26" s="669">
        <v>3</v>
      </c>
      <c r="AX26" s="670" t="s">
        <v>707</v>
      </c>
      <c r="AY26" s="665">
        <v>22</v>
      </c>
      <c r="AZ26" s="668">
        <f t="shared" si="17"/>
        <v>0</v>
      </c>
    </row>
    <row r="27" spans="1:52" ht="14.25" customHeight="1">
      <c r="A27" s="625" t="s">
        <v>741</v>
      </c>
      <c r="B27" s="413">
        <f t="shared" si="0"/>
        <v>102813.63636363637</v>
      </c>
      <c r="C27" s="371" t="s">
        <v>79</v>
      </c>
      <c r="D27" s="371" t="s">
        <v>287</v>
      </c>
      <c r="E27" s="371" t="s">
        <v>267</v>
      </c>
      <c r="F27" s="352">
        <v>22</v>
      </c>
      <c r="G27" s="616">
        <v>2000000</v>
      </c>
      <c r="H27" s="617">
        <f t="shared" si="2"/>
        <v>110000</v>
      </c>
      <c r="I27" s="622">
        <f t="shared" si="3"/>
        <v>13200</v>
      </c>
      <c r="J27" s="659">
        <f t="shared" si="1"/>
        <v>63700</v>
      </c>
      <c r="K27" s="677">
        <v>75000</v>
      </c>
      <c r="L27" s="652">
        <f t="shared" si="18"/>
        <v>2261900</v>
      </c>
      <c r="M27" s="352">
        <f t="shared" si="4"/>
        <v>200000</v>
      </c>
      <c r="N27" s="352">
        <f t="shared" si="23"/>
        <v>2061900</v>
      </c>
      <c r="O27" s="695">
        <v>20000</v>
      </c>
      <c r="P27" s="650">
        <v>50000</v>
      </c>
      <c r="Q27" s="458">
        <f t="shared" si="5"/>
        <v>169642.5</v>
      </c>
      <c r="R27" s="458">
        <f t="shared" si="6"/>
        <v>56547.5</v>
      </c>
      <c r="S27" s="651">
        <f t="shared" si="7"/>
        <v>2288090</v>
      </c>
      <c r="T27" s="417">
        <f t="shared" si="8"/>
        <v>0.1</v>
      </c>
      <c r="U27" s="352">
        <f t="shared" si="9"/>
        <v>228809</v>
      </c>
      <c r="V27" s="352">
        <f t="shared" si="29"/>
        <v>15000</v>
      </c>
      <c r="W27" s="352">
        <f t="shared" si="10"/>
        <v>213809</v>
      </c>
      <c r="X27" s="363">
        <f t="shared" si="30"/>
        <v>17</v>
      </c>
      <c r="Y27" s="352">
        <f t="shared" si="11"/>
        <v>12577</v>
      </c>
      <c r="Z27" s="628">
        <f t="shared" si="12"/>
        <v>2059281</v>
      </c>
      <c r="AA27" s="638">
        <f t="shared" si="13"/>
        <v>15965.583674401718</v>
      </c>
      <c r="AB27" s="378">
        <f t="shared" si="21"/>
        <v>18509.399786738697</v>
      </c>
      <c r="AC27" s="352">
        <f t="shared" si="14"/>
        <v>23909.998519380737</v>
      </c>
      <c r="AD27" s="352">
        <f t="shared" si="15"/>
        <v>40776.231931369533</v>
      </c>
      <c r="AG27" s="400"/>
      <c r="AP27" s="353" t="s">
        <v>264</v>
      </c>
      <c r="AQ27" t="s">
        <v>702</v>
      </c>
      <c r="AR27" s="653">
        <f t="shared" si="16"/>
        <v>18</v>
      </c>
      <c r="AT27" s="708">
        <v>45323</v>
      </c>
      <c r="AU27" s="103">
        <f t="shared" si="24"/>
        <v>19</v>
      </c>
      <c r="AW27" s="669">
        <v>4</v>
      </c>
      <c r="AX27" s="670" t="s">
        <v>710</v>
      </c>
      <c r="AY27" s="665">
        <v>22</v>
      </c>
      <c r="AZ27" s="668">
        <f t="shared" si="17"/>
        <v>0</v>
      </c>
    </row>
    <row r="28" spans="1:52" ht="14.25" customHeight="1">
      <c r="A28" s="448" t="s">
        <v>741</v>
      </c>
      <c r="B28" s="413">
        <f t="shared" si="0"/>
        <v>102813.63636363637</v>
      </c>
      <c r="C28" s="371" t="s">
        <v>79</v>
      </c>
      <c r="D28" s="371" t="s">
        <v>291</v>
      </c>
      <c r="E28" s="371" t="s">
        <v>267</v>
      </c>
      <c r="F28" s="352">
        <v>22</v>
      </c>
      <c r="G28" s="616">
        <v>2000000</v>
      </c>
      <c r="H28" s="617">
        <f>H$5*F28</f>
        <v>110000</v>
      </c>
      <c r="I28" s="622">
        <f t="shared" si="3"/>
        <v>13200</v>
      </c>
      <c r="J28" s="659">
        <f t="shared" si="1"/>
        <v>63700</v>
      </c>
      <c r="K28" s="677">
        <v>75000</v>
      </c>
      <c r="L28" s="652">
        <f t="shared" si="18"/>
        <v>2261900</v>
      </c>
      <c r="M28" s="352">
        <f t="shared" si="4"/>
        <v>200000</v>
      </c>
      <c r="N28" s="352">
        <f t="shared" si="23"/>
        <v>2061900</v>
      </c>
      <c r="O28" s="695">
        <v>20000</v>
      </c>
      <c r="P28" s="650">
        <v>50000</v>
      </c>
      <c r="Q28" s="458">
        <f t="shared" si="5"/>
        <v>169642.5</v>
      </c>
      <c r="R28" s="458">
        <f t="shared" si="6"/>
        <v>56547.5</v>
      </c>
      <c r="S28" s="651">
        <f t="shared" si="7"/>
        <v>2288090</v>
      </c>
      <c r="T28" s="417">
        <f t="shared" si="8"/>
        <v>0.1</v>
      </c>
      <c r="U28" s="352">
        <f t="shared" si="9"/>
        <v>228809</v>
      </c>
      <c r="V28" s="352">
        <f t="shared" si="29"/>
        <v>15000</v>
      </c>
      <c r="W28" s="352">
        <f t="shared" si="10"/>
        <v>213809</v>
      </c>
      <c r="X28" s="363">
        <f t="shared" si="30"/>
        <v>17</v>
      </c>
      <c r="Y28" s="352">
        <f t="shared" si="11"/>
        <v>12577</v>
      </c>
      <c r="Z28" s="628">
        <f t="shared" si="12"/>
        <v>2059281</v>
      </c>
      <c r="AA28" s="638">
        <f t="shared" si="13"/>
        <v>15965.583674401718</v>
      </c>
      <c r="AB28" s="378">
        <f t="shared" si="21"/>
        <v>18509.399786738697</v>
      </c>
      <c r="AC28" s="352">
        <f t="shared" si="14"/>
        <v>23909.998519380737</v>
      </c>
      <c r="AD28" s="352">
        <f t="shared" si="15"/>
        <v>40776.231931369533</v>
      </c>
      <c r="AP28" s="658" t="s">
        <v>243</v>
      </c>
      <c r="AR28" s="653">
        <f t="shared" si="16"/>
        <v>18</v>
      </c>
      <c r="AT28" s="708">
        <v>45352</v>
      </c>
      <c r="AU28" s="103">
        <f t="shared" si="24"/>
        <v>20</v>
      </c>
      <c r="AW28" s="669">
        <v>5</v>
      </c>
      <c r="AX28" s="670" t="s">
        <v>714</v>
      </c>
      <c r="AY28" s="665">
        <v>22</v>
      </c>
      <c r="AZ28" s="668">
        <f t="shared" si="17"/>
        <v>0</v>
      </c>
    </row>
    <row r="29" spans="1:52" ht="14.25" customHeight="1">
      <c r="A29" s="626" t="s">
        <v>741</v>
      </c>
      <c r="B29" s="413">
        <f t="shared" si="0"/>
        <v>102813.63636363637</v>
      </c>
      <c r="C29" s="371" t="s">
        <v>79</v>
      </c>
      <c r="D29" s="371" t="s">
        <v>295</v>
      </c>
      <c r="E29" s="371" t="s">
        <v>267</v>
      </c>
      <c r="F29" s="352">
        <v>22</v>
      </c>
      <c r="G29" s="616">
        <v>2000000</v>
      </c>
      <c r="H29" s="617">
        <f t="shared" si="2"/>
        <v>110000</v>
      </c>
      <c r="I29" s="622">
        <f t="shared" si="3"/>
        <v>13200</v>
      </c>
      <c r="J29" s="659">
        <f t="shared" si="1"/>
        <v>63700</v>
      </c>
      <c r="K29" s="677">
        <v>75000</v>
      </c>
      <c r="L29" s="652">
        <f t="shared" si="18"/>
        <v>2261900</v>
      </c>
      <c r="M29" s="352">
        <f t="shared" si="4"/>
        <v>200000</v>
      </c>
      <c r="N29" s="352">
        <f t="shared" si="23"/>
        <v>2061900</v>
      </c>
      <c r="O29" s="695">
        <v>20000</v>
      </c>
      <c r="P29" s="650">
        <v>50000</v>
      </c>
      <c r="Q29" s="458">
        <f t="shared" si="5"/>
        <v>169642.5</v>
      </c>
      <c r="R29" s="458">
        <f t="shared" si="6"/>
        <v>56547.5</v>
      </c>
      <c r="S29" s="651">
        <f t="shared" si="7"/>
        <v>2288090</v>
      </c>
      <c r="T29" s="417">
        <f t="shared" si="8"/>
        <v>0.1</v>
      </c>
      <c r="U29" s="352">
        <f t="shared" si="9"/>
        <v>228809</v>
      </c>
      <c r="V29" s="352">
        <f t="shared" si="29"/>
        <v>15000</v>
      </c>
      <c r="W29" s="352">
        <f t="shared" si="10"/>
        <v>213809</v>
      </c>
      <c r="X29" s="363">
        <f t="shared" si="30"/>
        <v>17</v>
      </c>
      <c r="Y29" s="352">
        <f t="shared" si="11"/>
        <v>12577</v>
      </c>
      <c r="Z29" s="628">
        <f t="shared" si="12"/>
        <v>2059281</v>
      </c>
      <c r="AA29" s="638">
        <f t="shared" si="13"/>
        <v>15965.583674401718</v>
      </c>
      <c r="AB29" s="378">
        <f t="shared" si="21"/>
        <v>18509.399786738697</v>
      </c>
      <c r="AC29" s="352">
        <f t="shared" si="14"/>
        <v>23909.998519380737</v>
      </c>
      <c r="AD29" s="352">
        <f t="shared" si="15"/>
        <v>40776.231931369533</v>
      </c>
      <c r="AK29" s="708"/>
      <c r="AP29" s="353" t="s">
        <v>264</v>
      </c>
      <c r="AQ29" t="s">
        <v>702</v>
      </c>
      <c r="AR29" s="653">
        <f t="shared" si="16"/>
        <v>18</v>
      </c>
      <c r="AT29" s="708">
        <v>45383</v>
      </c>
      <c r="AU29" s="103">
        <f t="shared" si="24"/>
        <v>21</v>
      </c>
      <c r="AW29" s="670">
        <v>6</v>
      </c>
      <c r="AX29" s="670" t="s">
        <v>716</v>
      </c>
      <c r="AY29" s="665">
        <v>22</v>
      </c>
      <c r="AZ29" s="668">
        <f t="shared" si="17"/>
        <v>0</v>
      </c>
    </row>
    <row r="30" spans="1:52" ht="14.25" customHeight="1">
      <c r="A30" s="448" t="s">
        <v>741</v>
      </c>
      <c r="B30" s="413">
        <f t="shared" si="0"/>
        <v>102813.63636363637</v>
      </c>
      <c r="C30" s="371" t="s">
        <v>79</v>
      </c>
      <c r="D30" s="371" t="s">
        <v>747</v>
      </c>
      <c r="E30" s="371" t="s">
        <v>267</v>
      </c>
      <c r="F30" s="352">
        <v>22</v>
      </c>
      <c r="G30" s="616">
        <v>2000000</v>
      </c>
      <c r="H30" s="617">
        <f t="shared" si="2"/>
        <v>110000</v>
      </c>
      <c r="I30" s="622">
        <f t="shared" si="3"/>
        <v>13200</v>
      </c>
      <c r="J30" s="659">
        <f t="shared" si="1"/>
        <v>63700</v>
      </c>
      <c r="K30" s="677">
        <v>75000</v>
      </c>
      <c r="L30" s="652">
        <f t="shared" si="18"/>
        <v>2261900</v>
      </c>
      <c r="M30" s="352">
        <f t="shared" si="4"/>
        <v>200000</v>
      </c>
      <c r="N30" s="352">
        <f t="shared" si="23"/>
        <v>2061900</v>
      </c>
      <c r="O30" s="695">
        <v>20000</v>
      </c>
      <c r="P30" s="650">
        <v>50000</v>
      </c>
      <c r="Q30" s="458">
        <f t="shared" si="5"/>
        <v>169642.5</v>
      </c>
      <c r="R30" s="458">
        <f t="shared" si="6"/>
        <v>56547.5</v>
      </c>
      <c r="S30" s="651">
        <f t="shared" si="7"/>
        <v>2288090</v>
      </c>
      <c r="T30" s="417">
        <f t="shared" si="8"/>
        <v>0.1</v>
      </c>
      <c r="U30" s="352">
        <f t="shared" si="9"/>
        <v>228809</v>
      </c>
      <c r="V30" s="352">
        <f t="shared" si="29"/>
        <v>15000</v>
      </c>
      <c r="W30" s="352">
        <f t="shared" si="10"/>
        <v>213809</v>
      </c>
      <c r="X30" s="363">
        <f t="shared" si="30"/>
        <v>17</v>
      </c>
      <c r="Y30" s="352">
        <f t="shared" si="11"/>
        <v>12577</v>
      </c>
      <c r="Z30" s="628">
        <f t="shared" si="12"/>
        <v>2059281</v>
      </c>
      <c r="AA30" s="638">
        <f t="shared" si="13"/>
        <v>15965.583674401718</v>
      </c>
      <c r="AB30" s="378">
        <f t="shared" si="21"/>
        <v>18509.399786738697</v>
      </c>
      <c r="AC30" s="352">
        <f t="shared" si="14"/>
        <v>23909.998519380737</v>
      </c>
      <c r="AD30" s="352">
        <f t="shared" si="15"/>
        <v>40776.231931369533</v>
      </c>
      <c r="AG30" s="400" t="s">
        <v>333</v>
      </c>
      <c r="AP30" s="353" t="s">
        <v>264</v>
      </c>
      <c r="AR30" s="653">
        <f t="shared" si="16"/>
        <v>18</v>
      </c>
      <c r="AT30" s="708">
        <v>45413</v>
      </c>
      <c r="AU30" s="103">
        <f t="shared" si="24"/>
        <v>22</v>
      </c>
      <c r="AW30" s="669">
        <v>7</v>
      </c>
      <c r="AX30" s="672" t="s">
        <v>718</v>
      </c>
      <c r="AY30" s="665">
        <v>22</v>
      </c>
      <c r="AZ30" s="668">
        <f t="shared" si="17"/>
        <v>0</v>
      </c>
    </row>
    <row r="31" spans="1:52" ht="14.25" customHeight="1">
      <c r="A31" s="448" t="s">
        <v>741</v>
      </c>
      <c r="B31" s="413">
        <f t="shared" si="0"/>
        <v>101334.10922112802</v>
      </c>
      <c r="C31" s="371" t="s">
        <v>65</v>
      </c>
      <c r="D31" s="371" t="s">
        <v>748</v>
      </c>
      <c r="E31" s="371" t="s">
        <v>267</v>
      </c>
      <c r="F31" s="352">
        <v>22.34</v>
      </c>
      <c r="G31" s="616">
        <v>2000000</v>
      </c>
      <c r="H31" s="617">
        <f t="shared" si="2"/>
        <v>111700</v>
      </c>
      <c r="I31" s="622">
        <f t="shared" si="3"/>
        <v>13404</v>
      </c>
      <c r="J31" s="659">
        <f t="shared" si="1"/>
        <v>63700</v>
      </c>
      <c r="K31" s="677">
        <v>75000</v>
      </c>
      <c r="L31" s="652">
        <f t="shared" si="18"/>
        <v>2263804</v>
      </c>
      <c r="M31" s="352">
        <f t="shared" si="4"/>
        <v>200000</v>
      </c>
      <c r="N31" s="352">
        <f t="shared" si="23"/>
        <v>2063804</v>
      </c>
      <c r="O31" s="695">
        <v>20000</v>
      </c>
      <c r="P31" s="650">
        <v>50000</v>
      </c>
      <c r="Q31" s="458">
        <f t="shared" si="5"/>
        <v>169785.3</v>
      </c>
      <c r="R31" s="458">
        <f t="shared" si="6"/>
        <v>56595.100000000006</v>
      </c>
      <c r="S31" s="651">
        <f t="shared" si="7"/>
        <v>2290184.4</v>
      </c>
      <c r="T31" s="417">
        <f t="shared" si="8"/>
        <v>0.1</v>
      </c>
      <c r="U31" s="352">
        <f t="shared" si="9"/>
        <v>229018.44</v>
      </c>
      <c r="V31" s="352">
        <f>V5</f>
        <v>15000</v>
      </c>
      <c r="W31" s="352">
        <f t="shared" si="10"/>
        <v>214018.44</v>
      </c>
      <c r="X31" s="363">
        <f>X$5</f>
        <v>17</v>
      </c>
      <c r="Y31" s="352">
        <f t="shared" si="11"/>
        <v>12589.32</v>
      </c>
      <c r="Z31" s="628">
        <f t="shared" si="12"/>
        <v>2061165.96</v>
      </c>
      <c r="AA31" s="638">
        <f t="shared" si="13"/>
        <v>15980.197749218558</v>
      </c>
      <c r="AB31" s="378">
        <f t="shared" si="21"/>
        <v>18526.34234009689</v>
      </c>
      <c r="AC31" s="352">
        <f t="shared" si="14"/>
        <v>23931.884503279533</v>
      </c>
      <c r="AD31" s="352">
        <f t="shared" si="15"/>
        <v>40813.556398570145</v>
      </c>
      <c r="AG31" s="346">
        <f>AI9</f>
        <v>5</v>
      </c>
      <c r="AH31" t="str">
        <f>AH9</f>
        <v>1st to 5th month</v>
      </c>
      <c r="AP31" s="353" t="s">
        <v>264</v>
      </c>
      <c r="AR31" s="653">
        <f t="shared" si="16"/>
        <v>18</v>
      </c>
      <c r="AT31" s="708">
        <v>45444</v>
      </c>
      <c r="AU31" s="103">
        <f t="shared" si="24"/>
        <v>23</v>
      </c>
      <c r="AW31" s="669">
        <v>8</v>
      </c>
      <c r="AX31" s="671" t="s">
        <v>720</v>
      </c>
      <c r="AY31" s="666">
        <v>22.34</v>
      </c>
      <c r="AZ31" s="668">
        <f t="shared" si="17"/>
        <v>0</v>
      </c>
    </row>
    <row r="32" spans="1:52" ht="14.25" customHeight="1">
      <c r="A32" s="448" t="s">
        <v>741</v>
      </c>
      <c r="B32" s="413">
        <f t="shared" si="0"/>
        <v>102813.63636363637</v>
      </c>
      <c r="C32" s="371" t="s">
        <v>79</v>
      </c>
      <c r="D32" s="371" t="s">
        <v>749</v>
      </c>
      <c r="E32" s="371" t="s">
        <v>267</v>
      </c>
      <c r="F32" s="352">
        <v>22</v>
      </c>
      <c r="G32" s="616">
        <v>2000000</v>
      </c>
      <c r="H32" s="617">
        <f t="shared" si="2"/>
        <v>110000</v>
      </c>
      <c r="I32" s="622">
        <f t="shared" si="3"/>
        <v>13200</v>
      </c>
      <c r="J32" s="659">
        <f t="shared" si="1"/>
        <v>63700</v>
      </c>
      <c r="K32" s="677">
        <v>75000</v>
      </c>
      <c r="L32" s="652">
        <f t="shared" si="18"/>
        <v>2261900</v>
      </c>
      <c r="M32" s="352">
        <f t="shared" si="4"/>
        <v>200000</v>
      </c>
      <c r="N32" s="352">
        <f t="shared" si="23"/>
        <v>2061900</v>
      </c>
      <c r="O32" s="695">
        <v>20000</v>
      </c>
      <c r="P32" s="650">
        <v>50000</v>
      </c>
      <c r="Q32" s="458">
        <f t="shared" si="5"/>
        <v>169642.5</v>
      </c>
      <c r="R32" s="458">
        <f t="shared" si="6"/>
        <v>56547.5</v>
      </c>
      <c r="S32" s="651">
        <f t="shared" si="7"/>
        <v>2288090</v>
      </c>
      <c r="T32" s="417">
        <f t="shared" si="8"/>
        <v>0.1</v>
      </c>
      <c r="U32" s="352">
        <f t="shared" si="9"/>
        <v>228809</v>
      </c>
      <c r="V32" s="352">
        <f t="shared" ref="V32:V40" si="31">V$5</f>
        <v>15000</v>
      </c>
      <c r="W32" s="352">
        <f t="shared" si="10"/>
        <v>213809</v>
      </c>
      <c r="X32" s="363">
        <f t="shared" si="30"/>
        <v>17</v>
      </c>
      <c r="Y32" s="352">
        <f t="shared" si="11"/>
        <v>12577</v>
      </c>
      <c r="Z32" s="628">
        <f t="shared" si="12"/>
        <v>2059281</v>
      </c>
      <c r="AA32" s="638">
        <f t="shared" si="13"/>
        <v>15965.583674401718</v>
      </c>
      <c r="AB32" s="378">
        <f t="shared" si="21"/>
        <v>18509.399786738697</v>
      </c>
      <c r="AC32" s="352">
        <f t="shared" si="14"/>
        <v>23909.998519380737</v>
      </c>
      <c r="AD32" s="352">
        <f t="shared" si="15"/>
        <v>40776.231931369533</v>
      </c>
      <c r="AG32" s="346">
        <f>AI10</f>
        <v>6</v>
      </c>
      <c r="AH32" t="str">
        <f>AH10</f>
        <v>6th to 11th month</v>
      </c>
      <c r="AP32" s="353" t="s">
        <v>264</v>
      </c>
      <c r="AQ32" t="s">
        <v>702</v>
      </c>
      <c r="AR32" s="653">
        <f t="shared" si="16"/>
        <v>18</v>
      </c>
      <c r="AT32" s="708">
        <v>45474</v>
      </c>
      <c r="AU32" s="103">
        <f t="shared" si="24"/>
        <v>24</v>
      </c>
      <c r="AW32" s="669">
        <v>9</v>
      </c>
      <c r="AX32" s="670" t="s">
        <v>722</v>
      </c>
      <c r="AY32" s="665">
        <v>22</v>
      </c>
      <c r="AZ32" s="668">
        <f t="shared" si="17"/>
        <v>0</v>
      </c>
    </row>
    <row r="33" spans="1:52" ht="14.25" customHeight="1">
      <c r="A33" s="448" t="s">
        <v>741</v>
      </c>
      <c r="B33" s="413">
        <f t="shared" si="0"/>
        <v>102813.63636363637</v>
      </c>
      <c r="C33" s="371" t="s">
        <v>79</v>
      </c>
      <c r="D33" s="371" t="s">
        <v>750</v>
      </c>
      <c r="E33" s="371" t="s">
        <v>267</v>
      </c>
      <c r="F33" s="352">
        <v>22</v>
      </c>
      <c r="G33" s="616">
        <v>2000000</v>
      </c>
      <c r="H33" s="617">
        <f t="shared" si="2"/>
        <v>110000</v>
      </c>
      <c r="I33" s="622">
        <f t="shared" si="3"/>
        <v>13200</v>
      </c>
      <c r="J33" s="659">
        <f t="shared" si="1"/>
        <v>63700</v>
      </c>
      <c r="K33" s="677">
        <v>75000</v>
      </c>
      <c r="L33" s="652">
        <f t="shared" si="18"/>
        <v>2261900</v>
      </c>
      <c r="M33" s="352">
        <f t="shared" si="4"/>
        <v>200000</v>
      </c>
      <c r="N33" s="352">
        <f t="shared" si="23"/>
        <v>2061900</v>
      </c>
      <c r="O33" s="695">
        <v>20000</v>
      </c>
      <c r="P33" s="650">
        <v>50000</v>
      </c>
      <c r="Q33" s="458">
        <f t="shared" si="5"/>
        <v>169642.5</v>
      </c>
      <c r="R33" s="458">
        <f t="shared" si="6"/>
        <v>56547.5</v>
      </c>
      <c r="S33" s="651">
        <f t="shared" si="7"/>
        <v>2288090</v>
      </c>
      <c r="T33" s="417">
        <f t="shared" si="8"/>
        <v>0.1</v>
      </c>
      <c r="U33" s="352">
        <f t="shared" si="9"/>
        <v>228809</v>
      </c>
      <c r="V33" s="352">
        <f t="shared" si="31"/>
        <v>15000</v>
      </c>
      <c r="W33" s="352">
        <f t="shared" si="10"/>
        <v>213809</v>
      </c>
      <c r="X33" s="363">
        <f t="shared" si="30"/>
        <v>17</v>
      </c>
      <c r="Y33" s="352">
        <f t="shared" si="11"/>
        <v>12577</v>
      </c>
      <c r="Z33" s="628">
        <f t="shared" si="12"/>
        <v>2059281</v>
      </c>
      <c r="AA33" s="638">
        <f t="shared" si="13"/>
        <v>15965.583674401718</v>
      </c>
      <c r="AB33" s="378">
        <f t="shared" si="21"/>
        <v>18509.399786738697</v>
      </c>
      <c r="AC33" s="352">
        <f t="shared" si="14"/>
        <v>23909.998519380737</v>
      </c>
      <c r="AD33" s="352">
        <f t="shared" si="15"/>
        <v>40776.231931369533</v>
      </c>
      <c r="AG33" s="346">
        <f>AI11</f>
        <v>6</v>
      </c>
      <c r="AH33" t="str">
        <f>AH11</f>
        <v>12th to 17th month</v>
      </c>
      <c r="AP33" s="353" t="s">
        <v>264</v>
      </c>
      <c r="AR33" s="653">
        <f t="shared" si="16"/>
        <v>18</v>
      </c>
      <c r="AT33" s="708">
        <v>45505</v>
      </c>
      <c r="AU33" s="103">
        <f t="shared" si="24"/>
        <v>25</v>
      </c>
      <c r="AW33" s="669">
        <v>10</v>
      </c>
      <c r="AX33" s="670" t="s">
        <v>724</v>
      </c>
      <c r="AY33" s="665">
        <v>22</v>
      </c>
      <c r="AZ33" s="668">
        <f t="shared" si="17"/>
        <v>0</v>
      </c>
    </row>
    <row r="34" spans="1:52" ht="14.25" customHeight="1">
      <c r="A34" s="448" t="s">
        <v>741</v>
      </c>
      <c r="B34" s="413">
        <f t="shared" si="0"/>
        <v>102813.63636363637</v>
      </c>
      <c r="C34" s="371" t="s">
        <v>79</v>
      </c>
      <c r="D34" s="371" t="s">
        <v>751</v>
      </c>
      <c r="E34" s="371" t="s">
        <v>267</v>
      </c>
      <c r="F34" s="352">
        <v>22</v>
      </c>
      <c r="G34" s="616">
        <v>2000000</v>
      </c>
      <c r="H34" s="617">
        <f t="shared" si="2"/>
        <v>110000</v>
      </c>
      <c r="I34" s="622">
        <f t="shared" si="3"/>
        <v>13200</v>
      </c>
      <c r="J34" s="659">
        <f t="shared" si="1"/>
        <v>63700</v>
      </c>
      <c r="K34" s="677">
        <v>75000</v>
      </c>
      <c r="L34" s="652">
        <f t="shared" si="18"/>
        <v>2261900</v>
      </c>
      <c r="M34" s="352">
        <f t="shared" si="4"/>
        <v>200000</v>
      </c>
      <c r="N34" s="352">
        <f t="shared" si="23"/>
        <v>2061900</v>
      </c>
      <c r="O34" s="695">
        <v>20000</v>
      </c>
      <c r="P34" s="650">
        <v>50000</v>
      </c>
      <c r="Q34" s="458">
        <f t="shared" si="5"/>
        <v>169642.5</v>
      </c>
      <c r="R34" s="458">
        <f t="shared" si="6"/>
        <v>56547.5</v>
      </c>
      <c r="S34" s="651">
        <f t="shared" si="7"/>
        <v>2288090</v>
      </c>
      <c r="T34" s="417">
        <f t="shared" si="8"/>
        <v>0.1</v>
      </c>
      <c r="U34" s="352">
        <f t="shared" si="9"/>
        <v>228809</v>
      </c>
      <c r="V34" s="352">
        <f t="shared" si="31"/>
        <v>15000</v>
      </c>
      <c r="W34" s="352">
        <f t="shared" si="10"/>
        <v>213809</v>
      </c>
      <c r="X34" s="363">
        <f t="shared" si="30"/>
        <v>17</v>
      </c>
      <c r="Y34" s="352">
        <f t="shared" si="11"/>
        <v>12577</v>
      </c>
      <c r="Z34" s="628">
        <f t="shared" si="12"/>
        <v>2059281</v>
      </c>
      <c r="AA34" s="638">
        <f t="shared" si="13"/>
        <v>15965.583674401718</v>
      </c>
      <c r="AB34" s="378">
        <f t="shared" si="21"/>
        <v>18509.399786738697</v>
      </c>
      <c r="AC34" s="352">
        <f t="shared" si="14"/>
        <v>23909.998519380737</v>
      </c>
      <c r="AD34" s="352">
        <f t="shared" si="15"/>
        <v>40776.231931369533</v>
      </c>
      <c r="AG34" s="692">
        <f>SUM(AG31:AG33)</f>
        <v>17</v>
      </c>
      <c r="AP34" s="353" t="s">
        <v>264</v>
      </c>
      <c r="AR34" s="653">
        <f t="shared" si="16"/>
        <v>18</v>
      </c>
      <c r="AT34" s="708">
        <v>45536</v>
      </c>
      <c r="AU34" s="103">
        <f t="shared" si="24"/>
        <v>26</v>
      </c>
      <c r="AW34" s="669">
        <v>11</v>
      </c>
      <c r="AX34" s="670" t="s">
        <v>726</v>
      </c>
      <c r="AY34" s="665">
        <v>22</v>
      </c>
      <c r="AZ34" s="668">
        <f t="shared" si="17"/>
        <v>0</v>
      </c>
    </row>
    <row r="35" spans="1:52" ht="14.25" customHeight="1">
      <c r="A35" s="448" t="s">
        <v>741</v>
      </c>
      <c r="B35" s="413">
        <f t="shared" si="0"/>
        <v>102813.63636363637</v>
      </c>
      <c r="C35" s="371" t="s">
        <v>79</v>
      </c>
      <c r="D35" s="371" t="s">
        <v>752</v>
      </c>
      <c r="E35" s="371" t="s">
        <v>267</v>
      </c>
      <c r="F35" s="352">
        <v>22</v>
      </c>
      <c r="G35" s="616">
        <v>2000000</v>
      </c>
      <c r="H35" s="617">
        <f t="shared" si="2"/>
        <v>110000</v>
      </c>
      <c r="I35" s="622">
        <f t="shared" si="3"/>
        <v>13200</v>
      </c>
      <c r="J35" s="659">
        <f t="shared" si="1"/>
        <v>63700</v>
      </c>
      <c r="K35" s="677">
        <v>75000</v>
      </c>
      <c r="L35" s="652">
        <f t="shared" si="18"/>
        <v>2261900</v>
      </c>
      <c r="M35" s="352">
        <f t="shared" si="4"/>
        <v>200000</v>
      </c>
      <c r="N35" s="352">
        <f t="shared" si="23"/>
        <v>2061900</v>
      </c>
      <c r="O35" s="695">
        <v>20000</v>
      </c>
      <c r="P35" s="650">
        <v>50000</v>
      </c>
      <c r="Q35" s="458">
        <f t="shared" si="5"/>
        <v>169642.5</v>
      </c>
      <c r="R35" s="458">
        <f t="shared" si="6"/>
        <v>56547.5</v>
      </c>
      <c r="S35" s="651">
        <f t="shared" si="7"/>
        <v>2288090</v>
      </c>
      <c r="T35" s="417">
        <f t="shared" si="8"/>
        <v>0.1</v>
      </c>
      <c r="U35" s="352">
        <f t="shared" si="9"/>
        <v>228809</v>
      </c>
      <c r="V35" s="352">
        <f t="shared" si="31"/>
        <v>15000</v>
      </c>
      <c r="W35" s="352">
        <f t="shared" si="10"/>
        <v>213809</v>
      </c>
      <c r="X35" s="363">
        <f t="shared" si="30"/>
        <v>17</v>
      </c>
      <c r="Y35" s="352">
        <f t="shared" si="11"/>
        <v>12577</v>
      </c>
      <c r="Z35" s="628">
        <f t="shared" si="12"/>
        <v>2059281</v>
      </c>
      <c r="AA35" s="638">
        <f t="shared" si="13"/>
        <v>15965.583674401718</v>
      </c>
      <c r="AB35" s="378">
        <f t="shared" si="21"/>
        <v>18509.399786738697</v>
      </c>
      <c r="AC35" s="352">
        <f t="shared" si="14"/>
        <v>23909.998519380737</v>
      </c>
      <c r="AD35" s="352">
        <f t="shared" si="15"/>
        <v>40776.231931369533</v>
      </c>
      <c r="AH35" t="s">
        <v>753</v>
      </c>
      <c r="AP35" s="353" t="s">
        <v>264</v>
      </c>
      <c r="AR35" s="653">
        <f t="shared" si="16"/>
        <v>18</v>
      </c>
      <c r="AT35" s="708">
        <v>45566</v>
      </c>
      <c r="AU35" s="103">
        <f t="shared" si="24"/>
        <v>27</v>
      </c>
      <c r="AW35" s="669">
        <v>12</v>
      </c>
      <c r="AX35" s="670" t="s">
        <v>728</v>
      </c>
      <c r="AY35" s="665">
        <v>22</v>
      </c>
      <c r="AZ35" s="668">
        <f t="shared" si="17"/>
        <v>0</v>
      </c>
    </row>
    <row r="36" spans="1:52" ht="14.25" customHeight="1">
      <c r="A36" s="448" t="s">
        <v>741</v>
      </c>
      <c r="B36" s="413">
        <f t="shared" si="0"/>
        <v>102813.63636363637</v>
      </c>
      <c r="C36" s="371" t="s">
        <v>79</v>
      </c>
      <c r="D36" s="371" t="s">
        <v>754</v>
      </c>
      <c r="E36" s="371" t="s">
        <v>267</v>
      </c>
      <c r="F36" s="352">
        <v>22</v>
      </c>
      <c r="G36" s="616">
        <v>2000000</v>
      </c>
      <c r="H36" s="617">
        <f t="shared" si="2"/>
        <v>110000</v>
      </c>
      <c r="I36" s="622">
        <f t="shared" si="3"/>
        <v>13200</v>
      </c>
      <c r="J36" s="659">
        <f t="shared" si="1"/>
        <v>63700</v>
      </c>
      <c r="K36" s="677">
        <v>75000</v>
      </c>
      <c r="L36" s="652">
        <f t="shared" si="18"/>
        <v>2261900</v>
      </c>
      <c r="M36" s="352">
        <f t="shared" si="4"/>
        <v>200000</v>
      </c>
      <c r="N36" s="352">
        <f t="shared" si="23"/>
        <v>2061900</v>
      </c>
      <c r="O36" s="695">
        <v>20000</v>
      </c>
      <c r="P36" s="650">
        <v>50000</v>
      </c>
      <c r="Q36" s="458">
        <f t="shared" si="5"/>
        <v>169642.5</v>
      </c>
      <c r="R36" s="458">
        <f t="shared" si="6"/>
        <v>56547.5</v>
      </c>
      <c r="S36" s="651">
        <f t="shared" si="7"/>
        <v>2288090</v>
      </c>
      <c r="T36" s="417">
        <f t="shared" si="8"/>
        <v>0.1</v>
      </c>
      <c r="U36" s="352">
        <f t="shared" si="9"/>
        <v>228809</v>
      </c>
      <c r="V36" s="352">
        <f t="shared" si="31"/>
        <v>15000</v>
      </c>
      <c r="W36" s="352">
        <f t="shared" si="10"/>
        <v>213809</v>
      </c>
      <c r="X36" s="363">
        <f t="shared" si="30"/>
        <v>17</v>
      </c>
      <c r="Y36" s="352">
        <f t="shared" si="11"/>
        <v>12577</v>
      </c>
      <c r="Z36" s="628">
        <f t="shared" si="12"/>
        <v>2059281</v>
      </c>
      <c r="AA36" s="638">
        <f t="shared" si="13"/>
        <v>15965.583674401718</v>
      </c>
      <c r="AB36" s="378">
        <f t="shared" si="21"/>
        <v>18509.399786738697</v>
      </c>
      <c r="AC36" s="352">
        <f t="shared" si="14"/>
        <v>23909.998519380737</v>
      </c>
      <c r="AD36" s="352">
        <f t="shared" si="15"/>
        <v>40776.231931369533</v>
      </c>
      <c r="AP36" s="353" t="s">
        <v>264</v>
      </c>
      <c r="AR36" s="653">
        <f t="shared" si="16"/>
        <v>18</v>
      </c>
      <c r="AT36" s="708">
        <v>45597</v>
      </c>
      <c r="AU36" s="103">
        <f t="shared" si="24"/>
        <v>28</v>
      </c>
      <c r="AW36" s="669">
        <v>13</v>
      </c>
      <c r="AX36" s="670" t="s">
        <v>730</v>
      </c>
      <c r="AY36" s="665">
        <v>22</v>
      </c>
      <c r="AZ36" s="668">
        <f t="shared" si="17"/>
        <v>0</v>
      </c>
    </row>
    <row r="37" spans="1:52" ht="14.25" customHeight="1">
      <c r="A37" s="448" t="s">
        <v>741</v>
      </c>
      <c r="B37" s="413">
        <f t="shared" si="0"/>
        <v>102813.63636363637</v>
      </c>
      <c r="C37" s="371" t="s">
        <v>79</v>
      </c>
      <c r="D37" s="371" t="s">
        <v>755</v>
      </c>
      <c r="E37" s="371" t="s">
        <v>267</v>
      </c>
      <c r="F37" s="352">
        <v>22</v>
      </c>
      <c r="G37" s="616">
        <v>2000000</v>
      </c>
      <c r="H37" s="617">
        <f t="shared" si="2"/>
        <v>110000</v>
      </c>
      <c r="I37" s="622">
        <f t="shared" si="3"/>
        <v>13200</v>
      </c>
      <c r="J37" s="659">
        <f t="shared" si="1"/>
        <v>63700</v>
      </c>
      <c r="K37" s="677">
        <v>75000</v>
      </c>
      <c r="L37" s="652">
        <f t="shared" si="18"/>
        <v>2261900</v>
      </c>
      <c r="M37" s="352">
        <f t="shared" si="4"/>
        <v>200000</v>
      </c>
      <c r="N37" s="352">
        <f t="shared" si="23"/>
        <v>2061900</v>
      </c>
      <c r="O37" s="695">
        <v>20000</v>
      </c>
      <c r="P37" s="650">
        <v>50000</v>
      </c>
      <c r="Q37" s="458">
        <f t="shared" si="5"/>
        <v>169642.5</v>
      </c>
      <c r="R37" s="458">
        <f t="shared" si="6"/>
        <v>56547.5</v>
      </c>
      <c r="S37" s="651">
        <f t="shared" si="7"/>
        <v>2288090</v>
      </c>
      <c r="T37" s="417">
        <f t="shared" si="8"/>
        <v>0.1</v>
      </c>
      <c r="U37" s="352">
        <f t="shared" si="9"/>
        <v>228809</v>
      </c>
      <c r="V37" s="352">
        <f t="shared" si="31"/>
        <v>15000</v>
      </c>
      <c r="W37" s="352">
        <f t="shared" si="10"/>
        <v>213809</v>
      </c>
      <c r="X37" s="363">
        <f t="shared" si="30"/>
        <v>17</v>
      </c>
      <c r="Y37" s="352">
        <f t="shared" si="11"/>
        <v>12577</v>
      </c>
      <c r="Z37" s="628">
        <f t="shared" si="12"/>
        <v>2059281</v>
      </c>
      <c r="AA37" s="638">
        <f t="shared" si="13"/>
        <v>15965.583674401718</v>
      </c>
      <c r="AB37" s="378">
        <f t="shared" si="21"/>
        <v>18509.399786738697</v>
      </c>
      <c r="AC37" s="352">
        <f t="shared" si="14"/>
        <v>23909.998519380737</v>
      </c>
      <c r="AD37" s="352">
        <f t="shared" si="15"/>
        <v>40776.231931369533</v>
      </c>
      <c r="AP37" s="658" t="s">
        <v>264</v>
      </c>
      <c r="AR37" s="653">
        <f t="shared" si="16"/>
        <v>18</v>
      </c>
      <c r="AT37" s="708">
        <v>45627</v>
      </c>
      <c r="AU37" s="103">
        <f t="shared" si="24"/>
        <v>29</v>
      </c>
      <c r="AW37" s="669">
        <v>14</v>
      </c>
      <c r="AX37" s="670" t="s">
        <v>732</v>
      </c>
      <c r="AY37" s="665">
        <v>22</v>
      </c>
      <c r="AZ37" s="668">
        <f t="shared" si="17"/>
        <v>0</v>
      </c>
    </row>
    <row r="38" spans="1:52" ht="14.25" customHeight="1">
      <c r="A38" s="448" t="s">
        <v>741</v>
      </c>
      <c r="B38" s="413">
        <f t="shared" si="0"/>
        <v>102813.63636363637</v>
      </c>
      <c r="C38" s="371" t="s">
        <v>79</v>
      </c>
      <c r="D38" s="371" t="s">
        <v>756</v>
      </c>
      <c r="E38" s="371" t="s">
        <v>267</v>
      </c>
      <c r="F38" s="352">
        <v>22</v>
      </c>
      <c r="G38" s="616">
        <v>2000000</v>
      </c>
      <c r="H38" s="617">
        <f t="shared" si="2"/>
        <v>110000</v>
      </c>
      <c r="I38" s="622">
        <f t="shared" si="3"/>
        <v>13200</v>
      </c>
      <c r="J38" s="659">
        <f t="shared" si="1"/>
        <v>63700</v>
      </c>
      <c r="K38" s="677">
        <v>75000</v>
      </c>
      <c r="L38" s="652">
        <f t="shared" si="18"/>
        <v>2261900</v>
      </c>
      <c r="M38" s="352">
        <f t="shared" si="4"/>
        <v>200000</v>
      </c>
      <c r="N38" s="352">
        <f t="shared" si="23"/>
        <v>2061900</v>
      </c>
      <c r="O38" s="695">
        <v>20000</v>
      </c>
      <c r="P38" s="650">
        <v>50000</v>
      </c>
      <c r="Q38" s="458">
        <f t="shared" si="5"/>
        <v>169642.5</v>
      </c>
      <c r="R38" s="458">
        <f t="shared" si="6"/>
        <v>56547.5</v>
      </c>
      <c r="S38" s="651">
        <f t="shared" si="7"/>
        <v>2288090</v>
      </c>
      <c r="T38" s="417">
        <f t="shared" si="8"/>
        <v>0.1</v>
      </c>
      <c r="U38" s="352">
        <f t="shared" si="9"/>
        <v>228809</v>
      </c>
      <c r="V38" s="352">
        <f t="shared" si="31"/>
        <v>15000</v>
      </c>
      <c r="W38" s="352">
        <f t="shared" si="10"/>
        <v>213809</v>
      </c>
      <c r="X38" s="363">
        <f t="shared" si="30"/>
        <v>17</v>
      </c>
      <c r="Y38" s="352">
        <f t="shared" si="11"/>
        <v>12577</v>
      </c>
      <c r="Z38" s="628">
        <f t="shared" si="12"/>
        <v>2059281</v>
      </c>
      <c r="AA38" s="638">
        <f t="shared" si="13"/>
        <v>15965.583674401718</v>
      </c>
      <c r="AB38" s="378">
        <f t="shared" si="21"/>
        <v>18509.399786738697</v>
      </c>
      <c r="AC38" s="352">
        <f t="shared" si="14"/>
        <v>23909.998519380737</v>
      </c>
      <c r="AD38" s="352">
        <f t="shared" si="15"/>
        <v>40776.231931369533</v>
      </c>
      <c r="AP38" s="353" t="s">
        <v>264</v>
      </c>
      <c r="AR38" s="653">
        <f t="shared" si="16"/>
        <v>18</v>
      </c>
      <c r="AT38" s="708">
        <v>45658</v>
      </c>
      <c r="AU38" s="103"/>
      <c r="AW38" s="669">
        <v>15</v>
      </c>
      <c r="AX38" s="670" t="s">
        <v>734</v>
      </c>
      <c r="AY38" s="665">
        <v>22</v>
      </c>
      <c r="AZ38" s="668">
        <f t="shared" si="17"/>
        <v>0</v>
      </c>
    </row>
    <row r="39" spans="1:52" ht="14.25" customHeight="1">
      <c r="A39" s="448" t="s">
        <v>741</v>
      </c>
      <c r="B39" s="413">
        <f t="shared" ref="B39:B70" si="32">L39/F39</f>
        <v>102813.63636363637</v>
      </c>
      <c r="C39" s="371" t="s">
        <v>79</v>
      </c>
      <c r="D39" s="371" t="s">
        <v>757</v>
      </c>
      <c r="E39" s="371" t="s">
        <v>267</v>
      </c>
      <c r="F39" s="352">
        <v>22</v>
      </c>
      <c r="G39" s="616">
        <v>2000000</v>
      </c>
      <c r="H39" s="617">
        <f t="shared" si="2"/>
        <v>110000</v>
      </c>
      <c r="I39" s="622">
        <f t="shared" si="3"/>
        <v>13200</v>
      </c>
      <c r="J39" s="659">
        <f t="shared" ref="J39:J70" si="33">+(O39+P39)*$J$5</f>
        <v>63700</v>
      </c>
      <c r="K39" s="677">
        <v>75000</v>
      </c>
      <c r="L39" s="652">
        <f t="shared" si="18"/>
        <v>2261900</v>
      </c>
      <c r="M39" s="352">
        <f t="shared" si="4"/>
        <v>200000</v>
      </c>
      <c r="N39" s="352">
        <f t="shared" si="23"/>
        <v>2061900</v>
      </c>
      <c r="O39" s="695">
        <v>20000</v>
      </c>
      <c r="P39" s="650">
        <v>50000</v>
      </c>
      <c r="Q39" s="458">
        <f t="shared" si="5"/>
        <v>169642.5</v>
      </c>
      <c r="R39" s="458">
        <f t="shared" si="6"/>
        <v>56547.5</v>
      </c>
      <c r="S39" s="651">
        <f t="shared" si="7"/>
        <v>2288090</v>
      </c>
      <c r="T39" s="417">
        <f t="shared" si="8"/>
        <v>0.1</v>
      </c>
      <c r="U39" s="352">
        <f t="shared" si="9"/>
        <v>228809</v>
      </c>
      <c r="V39" s="352">
        <f t="shared" si="31"/>
        <v>15000</v>
      </c>
      <c r="W39" s="352">
        <f t="shared" si="10"/>
        <v>213809</v>
      </c>
      <c r="X39" s="363">
        <f t="shared" si="30"/>
        <v>17</v>
      </c>
      <c r="Y39" s="352">
        <f t="shared" si="11"/>
        <v>12577</v>
      </c>
      <c r="Z39" s="628">
        <f t="shared" si="12"/>
        <v>2059281</v>
      </c>
      <c r="AA39" s="638">
        <f t="shared" si="13"/>
        <v>15965.583674401718</v>
      </c>
      <c r="AB39" s="378">
        <f t="shared" si="21"/>
        <v>18509.399786738697</v>
      </c>
      <c r="AC39" s="352">
        <f t="shared" si="14"/>
        <v>23909.998519380737</v>
      </c>
      <c r="AD39" s="352">
        <f t="shared" si="15"/>
        <v>40776.231931369533</v>
      </c>
      <c r="AP39" s="353" t="s">
        <v>264</v>
      </c>
      <c r="AR39" s="653">
        <f t="shared" si="16"/>
        <v>18</v>
      </c>
      <c r="AU39" s="655"/>
      <c r="AW39" s="669">
        <v>16</v>
      </c>
      <c r="AX39" s="670" t="s">
        <v>737</v>
      </c>
      <c r="AY39" s="665">
        <v>22</v>
      </c>
      <c r="AZ39" s="668">
        <f t="shared" si="17"/>
        <v>0</v>
      </c>
    </row>
    <row r="40" spans="1:52" ht="14.25" customHeight="1">
      <c r="A40" s="625" t="s">
        <v>741</v>
      </c>
      <c r="B40" s="413">
        <f t="shared" si="32"/>
        <v>102813.63636363637</v>
      </c>
      <c r="C40" s="371" t="s">
        <v>79</v>
      </c>
      <c r="D40" s="371" t="s">
        <v>758</v>
      </c>
      <c r="E40" s="371" t="s">
        <v>267</v>
      </c>
      <c r="F40" s="352">
        <v>22</v>
      </c>
      <c r="G40" s="616">
        <v>2000000</v>
      </c>
      <c r="H40" s="617">
        <f t="shared" si="2"/>
        <v>110000</v>
      </c>
      <c r="I40" s="622">
        <f t="shared" si="3"/>
        <v>13200</v>
      </c>
      <c r="J40" s="659">
        <f t="shared" si="33"/>
        <v>63700</v>
      </c>
      <c r="K40" s="677">
        <v>75000</v>
      </c>
      <c r="L40" s="652">
        <f t="shared" si="18"/>
        <v>2261900</v>
      </c>
      <c r="M40" s="352">
        <f t="shared" si="4"/>
        <v>200000</v>
      </c>
      <c r="N40" s="352">
        <f t="shared" si="23"/>
        <v>2061900</v>
      </c>
      <c r="O40" s="695">
        <v>20000</v>
      </c>
      <c r="P40" s="650">
        <v>50000</v>
      </c>
      <c r="Q40" s="458">
        <f t="shared" si="5"/>
        <v>169642.5</v>
      </c>
      <c r="R40" s="458">
        <f t="shared" si="6"/>
        <v>56547.5</v>
      </c>
      <c r="S40" s="651">
        <f t="shared" si="7"/>
        <v>2288090</v>
      </c>
      <c r="T40" s="417">
        <f t="shared" si="8"/>
        <v>0.1</v>
      </c>
      <c r="U40" s="352">
        <f t="shared" si="9"/>
        <v>228809</v>
      </c>
      <c r="V40" s="352">
        <f t="shared" si="31"/>
        <v>15000</v>
      </c>
      <c r="W40" s="352">
        <f t="shared" si="10"/>
        <v>213809</v>
      </c>
      <c r="X40" s="363">
        <f t="shared" si="30"/>
        <v>17</v>
      </c>
      <c r="Y40" s="352">
        <f t="shared" si="11"/>
        <v>12577</v>
      </c>
      <c r="Z40" s="628">
        <f t="shared" si="12"/>
        <v>2059281</v>
      </c>
      <c r="AA40" s="638">
        <f t="shared" si="13"/>
        <v>15965.583674401718</v>
      </c>
      <c r="AB40" s="378">
        <f t="shared" si="21"/>
        <v>18509.399786738697</v>
      </c>
      <c r="AC40" s="352">
        <f t="shared" si="14"/>
        <v>23909.998519380737</v>
      </c>
      <c r="AD40" s="352">
        <f t="shared" si="15"/>
        <v>40776.231931369533</v>
      </c>
      <c r="AP40" s="353" t="s">
        <v>264</v>
      </c>
      <c r="AR40" s="653">
        <f t="shared" si="16"/>
        <v>18</v>
      </c>
      <c r="AU40" s="655"/>
      <c r="AW40" s="669">
        <v>17</v>
      </c>
      <c r="AX40" s="672" t="s">
        <v>740</v>
      </c>
      <c r="AY40" s="665">
        <v>22</v>
      </c>
      <c r="AZ40" s="668">
        <f t="shared" si="17"/>
        <v>0</v>
      </c>
    </row>
    <row r="41" spans="1:52" ht="14.25" customHeight="1">
      <c r="A41" s="448" t="s">
        <v>741</v>
      </c>
      <c r="B41" s="413">
        <f t="shared" si="32"/>
        <v>101334.10922112802</v>
      </c>
      <c r="C41" s="371" t="s">
        <v>65</v>
      </c>
      <c r="D41" s="371" t="s">
        <v>759</v>
      </c>
      <c r="E41" s="371" t="s">
        <v>267</v>
      </c>
      <c r="F41" s="352">
        <v>22.34</v>
      </c>
      <c r="G41" s="616">
        <v>2000000</v>
      </c>
      <c r="H41" s="617">
        <f t="shared" si="2"/>
        <v>111700</v>
      </c>
      <c r="I41" s="622">
        <f t="shared" si="3"/>
        <v>13404</v>
      </c>
      <c r="J41" s="659">
        <f t="shared" si="33"/>
        <v>63700</v>
      </c>
      <c r="K41" s="677">
        <v>75000</v>
      </c>
      <c r="L41" s="652">
        <f t="shared" si="18"/>
        <v>2263804</v>
      </c>
      <c r="M41" s="352">
        <f t="shared" si="4"/>
        <v>200000</v>
      </c>
      <c r="N41" s="352">
        <f t="shared" si="23"/>
        <v>2063804</v>
      </c>
      <c r="O41" s="695">
        <v>20000</v>
      </c>
      <c r="P41" s="650">
        <v>50000</v>
      </c>
      <c r="Q41" s="458">
        <f t="shared" si="5"/>
        <v>169785.3</v>
      </c>
      <c r="R41" s="458">
        <f t="shared" si="6"/>
        <v>56595.100000000006</v>
      </c>
      <c r="S41" s="651">
        <f t="shared" si="7"/>
        <v>2290184.4</v>
      </c>
      <c r="T41" s="417">
        <f t="shared" si="8"/>
        <v>0.1</v>
      </c>
      <c r="U41" s="352">
        <f t="shared" si="9"/>
        <v>229018.44</v>
      </c>
      <c r="V41" s="352">
        <f>V5</f>
        <v>15000</v>
      </c>
      <c r="W41" s="352">
        <f t="shared" si="10"/>
        <v>214018.44</v>
      </c>
      <c r="X41" s="363">
        <f>X$5</f>
        <v>17</v>
      </c>
      <c r="Y41" s="352">
        <f t="shared" si="11"/>
        <v>12589.32</v>
      </c>
      <c r="Z41" s="628">
        <f t="shared" si="12"/>
        <v>2061165.96</v>
      </c>
      <c r="AA41" s="638">
        <f t="shared" si="13"/>
        <v>15980.197749218558</v>
      </c>
      <c r="AB41" s="378">
        <f t="shared" si="21"/>
        <v>18526.34234009689</v>
      </c>
      <c r="AC41" s="352">
        <f t="shared" si="14"/>
        <v>23931.884503279533</v>
      </c>
      <c r="AD41" s="352">
        <f t="shared" si="15"/>
        <v>40813.556398570145</v>
      </c>
      <c r="AE41" t="s">
        <v>742</v>
      </c>
      <c r="AF41" t="s">
        <v>742</v>
      </c>
      <c r="AP41" s="658" t="s">
        <v>264</v>
      </c>
      <c r="AR41" s="653">
        <f t="shared" si="16"/>
        <v>18</v>
      </c>
      <c r="AU41" s="655"/>
      <c r="AW41" s="669">
        <v>18</v>
      </c>
      <c r="AX41" s="671" t="s">
        <v>760</v>
      </c>
      <c r="AY41" s="666">
        <v>22.34</v>
      </c>
      <c r="AZ41" s="668">
        <f t="shared" si="17"/>
        <v>0</v>
      </c>
    </row>
    <row r="42" spans="1:52" ht="14.25" customHeight="1">
      <c r="A42" s="626" t="s">
        <v>761</v>
      </c>
      <c r="B42" s="413">
        <f t="shared" si="32"/>
        <v>102813.63636363637</v>
      </c>
      <c r="C42" s="371" t="s">
        <v>65</v>
      </c>
      <c r="D42" s="371" t="s">
        <v>298</v>
      </c>
      <c r="E42" s="371" t="s">
        <v>267</v>
      </c>
      <c r="F42" s="352">
        <v>22</v>
      </c>
      <c r="G42" s="616">
        <v>2000000</v>
      </c>
      <c r="H42" s="617">
        <f t="shared" si="2"/>
        <v>110000</v>
      </c>
      <c r="I42" s="622">
        <f t="shared" si="3"/>
        <v>13200</v>
      </c>
      <c r="J42" s="659">
        <f t="shared" si="33"/>
        <v>63700</v>
      </c>
      <c r="K42" s="677">
        <v>75000</v>
      </c>
      <c r="L42" s="652">
        <f t="shared" si="18"/>
        <v>2261900</v>
      </c>
      <c r="M42" s="352">
        <f t="shared" si="4"/>
        <v>200000</v>
      </c>
      <c r="N42" s="352">
        <f t="shared" si="23"/>
        <v>2061900</v>
      </c>
      <c r="O42" s="695">
        <v>20000</v>
      </c>
      <c r="P42" s="650">
        <v>50000</v>
      </c>
      <c r="Q42" s="458">
        <f t="shared" si="5"/>
        <v>169642.5</v>
      </c>
      <c r="R42" s="458">
        <f t="shared" si="6"/>
        <v>56547.5</v>
      </c>
      <c r="S42" s="651">
        <f t="shared" si="7"/>
        <v>2288090</v>
      </c>
      <c r="T42" s="417">
        <f t="shared" si="8"/>
        <v>0.1</v>
      </c>
      <c r="U42" s="352">
        <f t="shared" si="9"/>
        <v>228809</v>
      </c>
      <c r="V42" s="352">
        <f>V5</f>
        <v>15000</v>
      </c>
      <c r="W42" s="352">
        <f t="shared" si="10"/>
        <v>213809</v>
      </c>
      <c r="X42" s="363">
        <f>X$5</f>
        <v>17</v>
      </c>
      <c r="Y42" s="352">
        <f t="shared" si="11"/>
        <v>12577</v>
      </c>
      <c r="Z42" s="628">
        <f t="shared" si="12"/>
        <v>2059281</v>
      </c>
      <c r="AA42" s="638">
        <f t="shared" si="13"/>
        <v>15965.583674401718</v>
      </c>
      <c r="AB42" s="378">
        <f t="shared" si="21"/>
        <v>18509.399786738697</v>
      </c>
      <c r="AC42" s="352">
        <f t="shared" si="14"/>
        <v>23909.998519380737</v>
      </c>
      <c r="AD42" s="352">
        <f t="shared" si="15"/>
        <v>40776.231931369533</v>
      </c>
      <c r="AE42" t="s">
        <v>742</v>
      </c>
      <c r="AF42" t="s">
        <v>742</v>
      </c>
      <c r="AP42" s="353" t="s">
        <v>264</v>
      </c>
      <c r="AR42" s="653">
        <f t="shared" si="16"/>
        <v>18</v>
      </c>
      <c r="AU42" s="655"/>
      <c r="AW42" s="669">
        <v>1</v>
      </c>
      <c r="AX42" s="670" t="s">
        <v>700</v>
      </c>
      <c r="AY42" s="665">
        <v>22</v>
      </c>
      <c r="AZ42" s="668">
        <f t="shared" si="17"/>
        <v>0</v>
      </c>
    </row>
    <row r="43" spans="1:52" ht="14.25" customHeight="1">
      <c r="A43" s="448" t="s">
        <v>761</v>
      </c>
      <c r="B43" s="413">
        <f t="shared" si="32"/>
        <v>102813.63636363637</v>
      </c>
      <c r="C43" s="371" t="s">
        <v>79</v>
      </c>
      <c r="D43" s="371" t="s">
        <v>300</v>
      </c>
      <c r="E43" s="371" t="s">
        <v>267</v>
      </c>
      <c r="F43" s="352">
        <v>22</v>
      </c>
      <c r="G43" s="616">
        <v>2000000</v>
      </c>
      <c r="H43" s="617">
        <f t="shared" si="2"/>
        <v>110000</v>
      </c>
      <c r="I43" s="622">
        <f t="shared" si="3"/>
        <v>13200</v>
      </c>
      <c r="J43" s="659">
        <f t="shared" si="33"/>
        <v>63700</v>
      </c>
      <c r="K43" s="677">
        <v>75000</v>
      </c>
      <c r="L43" s="652">
        <f t="shared" si="18"/>
        <v>2261900</v>
      </c>
      <c r="M43" s="352">
        <f t="shared" si="4"/>
        <v>200000</v>
      </c>
      <c r="N43" s="352">
        <f t="shared" si="23"/>
        <v>2061900</v>
      </c>
      <c r="O43" s="695">
        <v>20000</v>
      </c>
      <c r="P43" s="650">
        <v>50000</v>
      </c>
      <c r="Q43" s="458">
        <f t="shared" si="5"/>
        <v>169642.5</v>
      </c>
      <c r="R43" s="458">
        <f t="shared" si="6"/>
        <v>56547.5</v>
      </c>
      <c r="S43" s="651">
        <f t="shared" si="7"/>
        <v>2288090</v>
      </c>
      <c r="T43" s="417">
        <f t="shared" si="8"/>
        <v>0.1</v>
      </c>
      <c r="U43" s="352">
        <f t="shared" si="9"/>
        <v>228809</v>
      </c>
      <c r="V43" s="352">
        <f>V$5</f>
        <v>15000</v>
      </c>
      <c r="W43" s="352">
        <f t="shared" si="10"/>
        <v>213809</v>
      </c>
      <c r="X43" s="363">
        <f t="shared" ref="X43:X48" si="34">X$5</f>
        <v>17</v>
      </c>
      <c r="Y43" s="352">
        <f t="shared" si="11"/>
        <v>12577</v>
      </c>
      <c r="Z43" s="628">
        <f t="shared" si="12"/>
        <v>2059281</v>
      </c>
      <c r="AA43" s="638">
        <f t="shared" si="13"/>
        <v>15965.583674401718</v>
      </c>
      <c r="AB43" s="378">
        <f t="shared" si="21"/>
        <v>18509.399786738697</v>
      </c>
      <c r="AC43" s="352">
        <f t="shared" si="14"/>
        <v>23909.998519380737</v>
      </c>
      <c r="AD43" s="352">
        <f t="shared" si="15"/>
        <v>40776.231931369533</v>
      </c>
      <c r="AP43" s="353" t="s">
        <v>264</v>
      </c>
      <c r="AR43" s="653">
        <f t="shared" si="16"/>
        <v>18</v>
      </c>
      <c r="AU43" s="655"/>
      <c r="AW43" s="669">
        <v>2</v>
      </c>
      <c r="AX43" s="670" t="s">
        <v>704</v>
      </c>
      <c r="AY43" s="665">
        <v>22</v>
      </c>
      <c r="AZ43" s="668">
        <f t="shared" si="17"/>
        <v>0</v>
      </c>
    </row>
    <row r="44" spans="1:52" ht="14.25" customHeight="1">
      <c r="A44" s="448" t="s">
        <v>761</v>
      </c>
      <c r="B44" s="413">
        <f t="shared" si="32"/>
        <v>102813.63636363637</v>
      </c>
      <c r="C44" s="371" t="s">
        <v>79</v>
      </c>
      <c r="D44" s="371" t="s">
        <v>301</v>
      </c>
      <c r="E44" s="371" t="s">
        <v>267</v>
      </c>
      <c r="F44" s="352">
        <v>22</v>
      </c>
      <c r="G44" s="616">
        <v>2000000</v>
      </c>
      <c r="H44" s="617">
        <f t="shared" si="2"/>
        <v>110000</v>
      </c>
      <c r="I44" s="622">
        <f t="shared" si="3"/>
        <v>13200</v>
      </c>
      <c r="J44" s="659">
        <f t="shared" si="33"/>
        <v>63700</v>
      </c>
      <c r="K44" s="677">
        <v>75000</v>
      </c>
      <c r="L44" s="652">
        <f t="shared" si="18"/>
        <v>2261900</v>
      </c>
      <c r="M44" s="352">
        <f t="shared" si="4"/>
        <v>200000</v>
      </c>
      <c r="N44" s="352">
        <f t="shared" si="23"/>
        <v>2061900</v>
      </c>
      <c r="O44" s="695">
        <v>20000</v>
      </c>
      <c r="P44" s="650">
        <v>50000</v>
      </c>
      <c r="Q44" s="458">
        <f t="shared" si="5"/>
        <v>169642.5</v>
      </c>
      <c r="R44" s="458">
        <f t="shared" si="6"/>
        <v>56547.5</v>
      </c>
      <c r="S44" s="651">
        <f t="shared" si="7"/>
        <v>2288090</v>
      </c>
      <c r="T44" s="417">
        <f t="shared" si="8"/>
        <v>0.1</v>
      </c>
      <c r="U44" s="352">
        <f t="shared" si="9"/>
        <v>228809</v>
      </c>
      <c r="V44" s="352">
        <f t="shared" ref="V44:V48" si="35">V$5</f>
        <v>15000</v>
      </c>
      <c r="W44" s="352">
        <f t="shared" si="10"/>
        <v>213809</v>
      </c>
      <c r="X44" s="363">
        <f t="shared" si="34"/>
        <v>17</v>
      </c>
      <c r="Y44" s="352">
        <f t="shared" si="11"/>
        <v>12577</v>
      </c>
      <c r="Z44" s="628">
        <f t="shared" si="12"/>
        <v>2059281</v>
      </c>
      <c r="AA44" s="638">
        <f t="shared" si="13"/>
        <v>15965.583674401718</v>
      </c>
      <c r="AB44" s="378">
        <f t="shared" si="21"/>
        <v>18509.399786738697</v>
      </c>
      <c r="AC44" s="352">
        <f t="shared" si="14"/>
        <v>23909.998519380737</v>
      </c>
      <c r="AD44" s="352">
        <f t="shared" si="15"/>
        <v>40776.231931369533</v>
      </c>
      <c r="AP44" s="353" t="s">
        <v>264</v>
      </c>
      <c r="AQ44" t="s">
        <v>702</v>
      </c>
      <c r="AR44" s="653">
        <f t="shared" si="16"/>
        <v>18</v>
      </c>
      <c r="AU44" s="655"/>
      <c r="AW44" s="669">
        <v>3</v>
      </c>
      <c r="AX44" s="670" t="s">
        <v>707</v>
      </c>
      <c r="AY44" s="665">
        <v>22</v>
      </c>
      <c r="AZ44" s="668">
        <f t="shared" si="17"/>
        <v>0</v>
      </c>
    </row>
    <row r="45" spans="1:52" ht="14.25" customHeight="1">
      <c r="A45" s="448" t="s">
        <v>761</v>
      </c>
      <c r="B45" s="413">
        <f t="shared" si="32"/>
        <v>102813.63636363637</v>
      </c>
      <c r="C45" s="371" t="s">
        <v>79</v>
      </c>
      <c r="D45" s="371" t="s">
        <v>303</v>
      </c>
      <c r="E45" s="371" t="s">
        <v>267</v>
      </c>
      <c r="F45" s="352">
        <v>22</v>
      </c>
      <c r="G45" s="616">
        <v>2000000</v>
      </c>
      <c r="H45" s="617">
        <f t="shared" si="2"/>
        <v>110000</v>
      </c>
      <c r="I45" s="622">
        <f t="shared" si="3"/>
        <v>13200</v>
      </c>
      <c r="J45" s="659">
        <f t="shared" si="33"/>
        <v>63700</v>
      </c>
      <c r="K45" s="677">
        <v>75000</v>
      </c>
      <c r="L45" s="652">
        <f t="shared" si="18"/>
        <v>2261900</v>
      </c>
      <c r="M45" s="352">
        <f t="shared" si="4"/>
        <v>200000</v>
      </c>
      <c r="N45" s="352">
        <f t="shared" si="23"/>
        <v>2061900</v>
      </c>
      <c r="O45" s="695">
        <v>20000</v>
      </c>
      <c r="P45" s="650">
        <v>50000</v>
      </c>
      <c r="Q45" s="458">
        <f t="shared" si="5"/>
        <v>169642.5</v>
      </c>
      <c r="R45" s="458">
        <f t="shared" si="6"/>
        <v>56547.5</v>
      </c>
      <c r="S45" s="651">
        <f t="shared" si="7"/>
        <v>2288090</v>
      </c>
      <c r="T45" s="417">
        <f t="shared" si="8"/>
        <v>0.1</v>
      </c>
      <c r="U45" s="352">
        <f t="shared" si="9"/>
        <v>228809</v>
      </c>
      <c r="V45" s="352">
        <f t="shared" si="35"/>
        <v>15000</v>
      </c>
      <c r="W45" s="352">
        <f t="shared" si="10"/>
        <v>213809</v>
      </c>
      <c r="X45" s="363">
        <f t="shared" si="34"/>
        <v>17</v>
      </c>
      <c r="Y45" s="352">
        <f t="shared" si="11"/>
        <v>12577</v>
      </c>
      <c r="Z45" s="628">
        <f t="shared" si="12"/>
        <v>2059281</v>
      </c>
      <c r="AA45" s="638">
        <f t="shared" si="13"/>
        <v>15965.583674401718</v>
      </c>
      <c r="AB45" s="378">
        <f t="shared" si="21"/>
        <v>18509.399786738697</v>
      </c>
      <c r="AC45" s="352">
        <f t="shared" si="14"/>
        <v>23909.998519380737</v>
      </c>
      <c r="AD45" s="352">
        <f t="shared" si="15"/>
        <v>40776.231931369533</v>
      </c>
      <c r="AP45" s="353" t="s">
        <v>264</v>
      </c>
      <c r="AQ45" t="s">
        <v>702</v>
      </c>
      <c r="AR45" s="653">
        <f t="shared" si="16"/>
        <v>18</v>
      </c>
      <c r="AU45" s="655"/>
      <c r="AW45" s="669">
        <v>4</v>
      </c>
      <c r="AX45" s="670" t="s">
        <v>710</v>
      </c>
      <c r="AY45" s="665">
        <v>22</v>
      </c>
      <c r="AZ45" s="668">
        <f t="shared" si="17"/>
        <v>0</v>
      </c>
    </row>
    <row r="46" spans="1:52" ht="14.25" customHeight="1">
      <c r="A46" s="448" t="s">
        <v>761</v>
      </c>
      <c r="B46" s="413">
        <f t="shared" si="32"/>
        <v>102813.63636363637</v>
      </c>
      <c r="C46" s="371" t="s">
        <v>79</v>
      </c>
      <c r="D46" s="371" t="s">
        <v>305</v>
      </c>
      <c r="E46" s="371" t="s">
        <v>267</v>
      </c>
      <c r="F46" s="352">
        <v>22</v>
      </c>
      <c r="G46" s="616">
        <v>2000000</v>
      </c>
      <c r="H46" s="617">
        <f t="shared" si="2"/>
        <v>110000</v>
      </c>
      <c r="I46" s="622">
        <f t="shared" si="3"/>
        <v>13200</v>
      </c>
      <c r="J46" s="659">
        <f t="shared" si="33"/>
        <v>63700</v>
      </c>
      <c r="K46" s="677">
        <v>75000</v>
      </c>
      <c r="L46" s="652">
        <f t="shared" si="18"/>
        <v>2261900</v>
      </c>
      <c r="M46" s="352">
        <f t="shared" si="4"/>
        <v>200000</v>
      </c>
      <c r="N46" s="352">
        <f t="shared" si="23"/>
        <v>2061900</v>
      </c>
      <c r="O46" s="695">
        <v>20000</v>
      </c>
      <c r="P46" s="650">
        <v>50000</v>
      </c>
      <c r="Q46" s="458">
        <f t="shared" si="5"/>
        <v>169642.5</v>
      </c>
      <c r="R46" s="458">
        <f t="shared" si="6"/>
        <v>56547.5</v>
      </c>
      <c r="S46" s="651">
        <f t="shared" si="7"/>
        <v>2288090</v>
      </c>
      <c r="T46" s="417">
        <f t="shared" si="8"/>
        <v>0.1</v>
      </c>
      <c r="U46" s="352">
        <f t="shared" si="9"/>
        <v>228809</v>
      </c>
      <c r="V46" s="352">
        <f t="shared" si="35"/>
        <v>15000</v>
      </c>
      <c r="W46" s="352">
        <f t="shared" si="10"/>
        <v>213809</v>
      </c>
      <c r="X46" s="363">
        <f t="shared" si="34"/>
        <v>17</v>
      </c>
      <c r="Y46" s="352">
        <f t="shared" si="11"/>
        <v>12577</v>
      </c>
      <c r="Z46" s="628">
        <f t="shared" si="12"/>
        <v>2059281</v>
      </c>
      <c r="AA46" s="638">
        <f t="shared" si="13"/>
        <v>15965.583674401718</v>
      </c>
      <c r="AB46" s="378">
        <f t="shared" si="21"/>
        <v>18509.399786738697</v>
      </c>
      <c r="AC46" s="352">
        <f t="shared" si="14"/>
        <v>23909.998519380737</v>
      </c>
      <c r="AD46" s="352">
        <f t="shared" si="15"/>
        <v>40776.231931369533</v>
      </c>
      <c r="AP46" s="353" t="s">
        <v>264</v>
      </c>
      <c r="AQ46" t="s">
        <v>702</v>
      </c>
      <c r="AR46" s="653">
        <f t="shared" si="16"/>
        <v>18</v>
      </c>
      <c r="AU46" s="655"/>
      <c r="AW46" s="669">
        <v>5</v>
      </c>
      <c r="AX46" s="670" t="s">
        <v>714</v>
      </c>
      <c r="AY46" s="665">
        <v>22</v>
      </c>
      <c r="AZ46" s="668">
        <f t="shared" si="17"/>
        <v>0</v>
      </c>
    </row>
    <row r="47" spans="1:52" ht="14.25" customHeight="1">
      <c r="A47" s="448" t="s">
        <v>761</v>
      </c>
      <c r="B47" s="413">
        <f t="shared" si="32"/>
        <v>102813.63636363637</v>
      </c>
      <c r="C47" s="371" t="s">
        <v>79</v>
      </c>
      <c r="D47" s="371" t="s">
        <v>306</v>
      </c>
      <c r="E47" s="371" t="s">
        <v>267</v>
      </c>
      <c r="F47" s="352">
        <v>22</v>
      </c>
      <c r="G47" s="616">
        <v>2000000</v>
      </c>
      <c r="H47" s="617">
        <f t="shared" si="2"/>
        <v>110000</v>
      </c>
      <c r="I47" s="622">
        <f t="shared" si="3"/>
        <v>13200</v>
      </c>
      <c r="J47" s="659">
        <f t="shared" si="33"/>
        <v>63700</v>
      </c>
      <c r="K47" s="677">
        <v>75000</v>
      </c>
      <c r="L47" s="652">
        <f t="shared" si="18"/>
        <v>2261900</v>
      </c>
      <c r="M47" s="352">
        <f t="shared" si="4"/>
        <v>200000</v>
      </c>
      <c r="N47" s="352">
        <f t="shared" si="23"/>
        <v>2061900</v>
      </c>
      <c r="O47" s="695">
        <v>20000</v>
      </c>
      <c r="P47" s="650">
        <v>50000</v>
      </c>
      <c r="Q47" s="458">
        <f t="shared" si="5"/>
        <v>169642.5</v>
      </c>
      <c r="R47" s="458">
        <f t="shared" si="6"/>
        <v>56547.5</v>
      </c>
      <c r="S47" s="651">
        <f t="shared" si="7"/>
        <v>2288090</v>
      </c>
      <c r="T47" s="417">
        <f t="shared" si="8"/>
        <v>0.1</v>
      </c>
      <c r="U47" s="352">
        <f t="shared" si="9"/>
        <v>228809</v>
      </c>
      <c r="V47" s="352">
        <f t="shared" si="35"/>
        <v>15000</v>
      </c>
      <c r="W47" s="352">
        <f t="shared" si="10"/>
        <v>213809</v>
      </c>
      <c r="X47" s="363">
        <f t="shared" si="34"/>
        <v>17</v>
      </c>
      <c r="Y47" s="352">
        <f t="shared" si="11"/>
        <v>12577</v>
      </c>
      <c r="Z47" s="628">
        <f t="shared" si="12"/>
        <v>2059281</v>
      </c>
      <c r="AA47" s="638">
        <f t="shared" si="13"/>
        <v>15965.583674401718</v>
      </c>
      <c r="AB47" s="378">
        <f t="shared" si="21"/>
        <v>18509.399786738697</v>
      </c>
      <c r="AC47" s="352">
        <f t="shared" si="14"/>
        <v>23909.998519380737</v>
      </c>
      <c r="AD47" s="352">
        <f t="shared" si="15"/>
        <v>40776.231931369533</v>
      </c>
      <c r="AP47" s="353" t="s">
        <v>264</v>
      </c>
      <c r="AQ47" t="s">
        <v>702</v>
      </c>
      <c r="AR47" s="653">
        <f t="shared" si="16"/>
        <v>18</v>
      </c>
      <c r="AU47" s="655"/>
      <c r="AW47" s="670">
        <v>6</v>
      </c>
      <c r="AX47" s="670" t="s">
        <v>716</v>
      </c>
      <c r="AY47" s="665">
        <v>22</v>
      </c>
      <c r="AZ47" s="668">
        <f t="shared" si="17"/>
        <v>0</v>
      </c>
    </row>
    <row r="48" spans="1:52" ht="14.25" customHeight="1">
      <c r="A48" s="448" t="s">
        <v>761</v>
      </c>
      <c r="B48" s="413">
        <f t="shared" si="32"/>
        <v>102813.63636363637</v>
      </c>
      <c r="C48" s="371" t="s">
        <v>79</v>
      </c>
      <c r="D48" s="371" t="s">
        <v>309</v>
      </c>
      <c r="E48" s="371" t="s">
        <v>267</v>
      </c>
      <c r="F48" s="352">
        <v>22</v>
      </c>
      <c r="G48" s="616">
        <v>2000000</v>
      </c>
      <c r="H48" s="617">
        <f t="shared" si="2"/>
        <v>110000</v>
      </c>
      <c r="I48" s="622">
        <f t="shared" si="3"/>
        <v>13200</v>
      </c>
      <c r="J48" s="659">
        <f t="shared" si="33"/>
        <v>63700</v>
      </c>
      <c r="K48" s="677">
        <v>75000</v>
      </c>
      <c r="L48" s="652">
        <f t="shared" si="18"/>
        <v>2261900</v>
      </c>
      <c r="M48" s="352">
        <f t="shared" si="4"/>
        <v>200000</v>
      </c>
      <c r="N48" s="352">
        <f t="shared" si="23"/>
        <v>2061900</v>
      </c>
      <c r="O48" s="695">
        <v>20000</v>
      </c>
      <c r="P48" s="650">
        <v>50000</v>
      </c>
      <c r="Q48" s="458">
        <f t="shared" si="5"/>
        <v>169642.5</v>
      </c>
      <c r="R48" s="458">
        <f t="shared" si="6"/>
        <v>56547.5</v>
      </c>
      <c r="S48" s="651">
        <f t="shared" si="7"/>
        <v>2288090</v>
      </c>
      <c r="T48" s="417">
        <f t="shared" si="8"/>
        <v>0.1</v>
      </c>
      <c r="U48" s="352">
        <f t="shared" si="9"/>
        <v>228809</v>
      </c>
      <c r="V48" s="352">
        <f t="shared" si="35"/>
        <v>15000</v>
      </c>
      <c r="W48" s="352">
        <f t="shared" si="10"/>
        <v>213809</v>
      </c>
      <c r="X48" s="363">
        <f t="shared" si="34"/>
        <v>17</v>
      </c>
      <c r="Y48" s="352">
        <f t="shared" si="11"/>
        <v>12577</v>
      </c>
      <c r="Z48" s="628">
        <f t="shared" si="12"/>
        <v>2059281</v>
      </c>
      <c r="AA48" s="638">
        <f t="shared" si="13"/>
        <v>15965.583674401718</v>
      </c>
      <c r="AB48" s="378">
        <f t="shared" si="21"/>
        <v>18509.399786738697</v>
      </c>
      <c r="AC48" s="352">
        <f t="shared" si="14"/>
        <v>23909.998519380737</v>
      </c>
      <c r="AD48" s="352">
        <f t="shared" si="15"/>
        <v>40776.231931369533</v>
      </c>
      <c r="AP48" s="353" t="s">
        <v>264</v>
      </c>
      <c r="AR48" s="653">
        <f t="shared" si="16"/>
        <v>18</v>
      </c>
      <c r="AU48" s="655"/>
      <c r="AW48" s="669">
        <v>7</v>
      </c>
      <c r="AX48" s="672" t="s">
        <v>718</v>
      </c>
      <c r="AY48" s="665">
        <v>22</v>
      </c>
      <c r="AZ48" s="668">
        <f t="shared" si="17"/>
        <v>0</v>
      </c>
    </row>
    <row r="49" spans="1:52" ht="14.25" customHeight="1">
      <c r="A49" s="448" t="s">
        <v>761</v>
      </c>
      <c r="B49" s="413">
        <f t="shared" si="32"/>
        <v>101334.10922112802</v>
      </c>
      <c r="C49" s="371" t="s">
        <v>65</v>
      </c>
      <c r="D49" s="371" t="s">
        <v>315</v>
      </c>
      <c r="E49" s="371" t="s">
        <v>267</v>
      </c>
      <c r="F49" s="352">
        <v>22.34</v>
      </c>
      <c r="G49" s="616">
        <v>2000000</v>
      </c>
      <c r="H49" s="617">
        <f t="shared" si="2"/>
        <v>111700</v>
      </c>
      <c r="I49" s="622">
        <f t="shared" si="3"/>
        <v>13404</v>
      </c>
      <c r="J49" s="659">
        <f t="shared" si="33"/>
        <v>63700</v>
      </c>
      <c r="K49" s="677">
        <v>75000</v>
      </c>
      <c r="L49" s="652">
        <f t="shared" si="18"/>
        <v>2263804</v>
      </c>
      <c r="M49" s="352">
        <f t="shared" si="4"/>
        <v>200000</v>
      </c>
      <c r="N49" s="352">
        <f t="shared" si="23"/>
        <v>2063804</v>
      </c>
      <c r="O49" s="695">
        <v>20000</v>
      </c>
      <c r="P49" s="650">
        <v>50000</v>
      </c>
      <c r="Q49" s="458">
        <f t="shared" si="5"/>
        <v>169785.3</v>
      </c>
      <c r="R49" s="458">
        <f t="shared" si="6"/>
        <v>56595.100000000006</v>
      </c>
      <c r="S49" s="651">
        <f t="shared" si="7"/>
        <v>2290184.4</v>
      </c>
      <c r="T49" s="417">
        <f t="shared" si="8"/>
        <v>0.1</v>
      </c>
      <c r="U49" s="352">
        <f t="shared" si="9"/>
        <v>229018.44</v>
      </c>
      <c r="V49" s="352">
        <f>V5</f>
        <v>15000</v>
      </c>
      <c r="W49" s="352">
        <f t="shared" si="10"/>
        <v>214018.44</v>
      </c>
      <c r="X49" s="363">
        <f>X$5</f>
        <v>17</v>
      </c>
      <c r="Y49" s="352">
        <f t="shared" si="11"/>
        <v>12589.32</v>
      </c>
      <c r="Z49" s="628">
        <f t="shared" si="12"/>
        <v>2061165.96</v>
      </c>
      <c r="AA49" s="638">
        <f t="shared" si="13"/>
        <v>15980.197749218558</v>
      </c>
      <c r="AB49" s="378">
        <f t="shared" si="21"/>
        <v>18526.34234009689</v>
      </c>
      <c r="AC49" s="352">
        <f t="shared" si="14"/>
        <v>23931.884503279533</v>
      </c>
      <c r="AD49" s="352">
        <f t="shared" si="15"/>
        <v>40813.556398570145</v>
      </c>
      <c r="AP49" s="353" t="s">
        <v>264</v>
      </c>
      <c r="AR49" s="653">
        <f t="shared" si="16"/>
        <v>18</v>
      </c>
      <c r="AU49" s="655"/>
      <c r="AW49" s="669">
        <v>8</v>
      </c>
      <c r="AX49" s="671" t="s">
        <v>720</v>
      </c>
      <c r="AY49" s="666">
        <v>22.34</v>
      </c>
      <c r="AZ49" s="668">
        <f t="shared" si="17"/>
        <v>0</v>
      </c>
    </row>
    <row r="50" spans="1:52" ht="14.25" customHeight="1">
      <c r="A50" s="448" t="s">
        <v>761</v>
      </c>
      <c r="B50" s="413">
        <f t="shared" si="32"/>
        <v>102813.63636363637</v>
      </c>
      <c r="C50" s="371" t="s">
        <v>79</v>
      </c>
      <c r="D50" s="371" t="s">
        <v>320</v>
      </c>
      <c r="E50" s="371" t="s">
        <v>267</v>
      </c>
      <c r="F50" s="352">
        <v>22</v>
      </c>
      <c r="G50" s="616">
        <v>2000000</v>
      </c>
      <c r="H50" s="617">
        <f t="shared" si="2"/>
        <v>110000</v>
      </c>
      <c r="I50" s="622">
        <f t="shared" si="3"/>
        <v>13200</v>
      </c>
      <c r="J50" s="659">
        <f t="shared" si="33"/>
        <v>63700</v>
      </c>
      <c r="K50" s="677">
        <v>75000</v>
      </c>
      <c r="L50" s="652">
        <f t="shared" si="18"/>
        <v>2261900</v>
      </c>
      <c r="M50" s="352">
        <f t="shared" si="4"/>
        <v>200000</v>
      </c>
      <c r="N50" s="352">
        <f t="shared" si="23"/>
        <v>2061900</v>
      </c>
      <c r="O50" s="695">
        <v>20000</v>
      </c>
      <c r="P50" s="650">
        <v>50000</v>
      </c>
      <c r="Q50" s="458">
        <f t="shared" si="5"/>
        <v>169642.5</v>
      </c>
      <c r="R50" s="458">
        <f t="shared" si="6"/>
        <v>56547.5</v>
      </c>
      <c r="S50" s="651">
        <f t="shared" si="7"/>
        <v>2288090</v>
      </c>
      <c r="T50" s="417">
        <f t="shared" si="8"/>
        <v>0.1</v>
      </c>
      <c r="U50" s="352">
        <f t="shared" si="9"/>
        <v>228809</v>
      </c>
      <c r="V50" s="352">
        <f t="shared" ref="V50:V58" si="36">V$5</f>
        <v>15000</v>
      </c>
      <c r="W50" s="352">
        <f t="shared" si="10"/>
        <v>213809</v>
      </c>
      <c r="X50" s="363">
        <f t="shared" ref="X50:X58" si="37">X$5</f>
        <v>17</v>
      </c>
      <c r="Y50" s="352">
        <f t="shared" si="11"/>
        <v>12577</v>
      </c>
      <c r="Z50" s="628">
        <f t="shared" si="12"/>
        <v>2059281</v>
      </c>
      <c r="AA50" s="638">
        <f t="shared" si="13"/>
        <v>15965.583674401718</v>
      </c>
      <c r="AB50" s="378">
        <f t="shared" si="21"/>
        <v>18509.399786738697</v>
      </c>
      <c r="AC50" s="352">
        <f t="shared" si="14"/>
        <v>23909.998519380737</v>
      </c>
      <c r="AD50" s="352">
        <f t="shared" si="15"/>
        <v>40776.231931369533</v>
      </c>
      <c r="AP50" s="353" t="s">
        <v>264</v>
      </c>
      <c r="AQ50" t="s">
        <v>702</v>
      </c>
      <c r="AR50" s="653">
        <f t="shared" si="16"/>
        <v>18</v>
      </c>
      <c r="AU50" s="655"/>
      <c r="AW50" s="669">
        <v>9</v>
      </c>
      <c r="AX50" s="670" t="s">
        <v>722</v>
      </c>
      <c r="AY50" s="665">
        <v>22</v>
      </c>
      <c r="AZ50" s="668">
        <f t="shared" si="17"/>
        <v>0</v>
      </c>
    </row>
    <row r="51" spans="1:52" ht="14.25" customHeight="1">
      <c r="A51" s="448" t="s">
        <v>761</v>
      </c>
      <c r="B51" s="413">
        <f t="shared" si="32"/>
        <v>102813.63636363637</v>
      </c>
      <c r="C51" s="371" t="s">
        <v>79</v>
      </c>
      <c r="D51" s="371" t="s">
        <v>324</v>
      </c>
      <c r="E51" s="371" t="s">
        <v>267</v>
      </c>
      <c r="F51" s="352">
        <v>22</v>
      </c>
      <c r="G51" s="616">
        <v>2000000</v>
      </c>
      <c r="H51" s="617">
        <f t="shared" si="2"/>
        <v>110000</v>
      </c>
      <c r="I51" s="622">
        <f t="shared" si="3"/>
        <v>13200</v>
      </c>
      <c r="J51" s="659">
        <f t="shared" si="33"/>
        <v>63700</v>
      </c>
      <c r="K51" s="677">
        <v>75000</v>
      </c>
      <c r="L51" s="652">
        <f t="shared" si="18"/>
        <v>2261900</v>
      </c>
      <c r="M51" s="352">
        <f t="shared" si="4"/>
        <v>200000</v>
      </c>
      <c r="N51" s="352">
        <f t="shared" si="23"/>
        <v>2061900</v>
      </c>
      <c r="O51" s="695">
        <v>20000</v>
      </c>
      <c r="P51" s="650">
        <v>50000</v>
      </c>
      <c r="Q51" s="458">
        <f t="shared" si="5"/>
        <v>169642.5</v>
      </c>
      <c r="R51" s="458">
        <f t="shared" si="6"/>
        <v>56547.5</v>
      </c>
      <c r="S51" s="651">
        <f t="shared" si="7"/>
        <v>2288090</v>
      </c>
      <c r="T51" s="417">
        <f t="shared" si="8"/>
        <v>0.1</v>
      </c>
      <c r="U51" s="352">
        <f t="shared" si="9"/>
        <v>228809</v>
      </c>
      <c r="V51" s="352">
        <f t="shared" si="36"/>
        <v>15000</v>
      </c>
      <c r="W51" s="352">
        <f t="shared" si="10"/>
        <v>213809</v>
      </c>
      <c r="X51" s="363">
        <f t="shared" si="37"/>
        <v>17</v>
      </c>
      <c r="Y51" s="352">
        <f t="shared" si="11"/>
        <v>12577</v>
      </c>
      <c r="Z51" s="628">
        <f t="shared" si="12"/>
        <v>2059281</v>
      </c>
      <c r="AA51" s="638">
        <f t="shared" si="13"/>
        <v>15965.583674401718</v>
      </c>
      <c r="AB51" s="378">
        <f t="shared" si="21"/>
        <v>18509.399786738697</v>
      </c>
      <c r="AC51" s="352">
        <f t="shared" si="14"/>
        <v>23909.998519380737</v>
      </c>
      <c r="AD51" s="352">
        <f t="shared" si="15"/>
        <v>40776.231931369533</v>
      </c>
      <c r="AP51" s="353" t="s">
        <v>264</v>
      </c>
      <c r="AQ51" t="s">
        <v>702</v>
      </c>
      <c r="AR51" s="653">
        <f t="shared" si="16"/>
        <v>18</v>
      </c>
      <c r="AU51" s="655"/>
      <c r="AW51" s="669">
        <v>10</v>
      </c>
      <c r="AX51" s="670" t="s">
        <v>724</v>
      </c>
      <c r="AY51" s="665">
        <v>22</v>
      </c>
      <c r="AZ51" s="668">
        <f t="shared" si="17"/>
        <v>0</v>
      </c>
    </row>
    <row r="52" spans="1:52" ht="14.25" customHeight="1">
      <c r="A52" s="448" t="s">
        <v>761</v>
      </c>
      <c r="B52" s="413">
        <f t="shared" si="32"/>
        <v>102813.63636363637</v>
      </c>
      <c r="C52" s="371" t="s">
        <v>79</v>
      </c>
      <c r="D52" s="371" t="s">
        <v>327</v>
      </c>
      <c r="E52" s="371" t="s">
        <v>267</v>
      </c>
      <c r="F52" s="352">
        <v>22</v>
      </c>
      <c r="G52" s="616">
        <v>2000000</v>
      </c>
      <c r="H52" s="617">
        <f t="shared" si="2"/>
        <v>110000</v>
      </c>
      <c r="I52" s="622">
        <f t="shared" si="3"/>
        <v>13200</v>
      </c>
      <c r="J52" s="659">
        <f t="shared" si="33"/>
        <v>63700</v>
      </c>
      <c r="K52" s="677">
        <v>75000</v>
      </c>
      <c r="L52" s="652">
        <f t="shared" si="18"/>
        <v>2261900</v>
      </c>
      <c r="M52" s="352">
        <f t="shared" si="4"/>
        <v>200000</v>
      </c>
      <c r="N52" s="352">
        <f t="shared" si="23"/>
        <v>2061900</v>
      </c>
      <c r="O52" s="695">
        <v>20000</v>
      </c>
      <c r="P52" s="650">
        <v>50000</v>
      </c>
      <c r="Q52" s="458">
        <f t="shared" si="5"/>
        <v>169642.5</v>
      </c>
      <c r="R52" s="458">
        <f t="shared" si="6"/>
        <v>56547.5</v>
      </c>
      <c r="S52" s="651">
        <f t="shared" si="7"/>
        <v>2288090</v>
      </c>
      <c r="T52" s="417">
        <f t="shared" si="8"/>
        <v>0.1</v>
      </c>
      <c r="U52" s="352">
        <f t="shared" si="9"/>
        <v>228809</v>
      </c>
      <c r="V52" s="352">
        <f t="shared" si="36"/>
        <v>15000</v>
      </c>
      <c r="W52" s="352">
        <f t="shared" si="10"/>
        <v>213809</v>
      </c>
      <c r="X52" s="363">
        <f t="shared" si="37"/>
        <v>17</v>
      </c>
      <c r="Y52" s="352">
        <f t="shared" si="11"/>
        <v>12577</v>
      </c>
      <c r="Z52" s="628">
        <f t="shared" si="12"/>
        <v>2059281</v>
      </c>
      <c r="AA52" s="638">
        <f t="shared" si="13"/>
        <v>15965.583674401718</v>
      </c>
      <c r="AB52" s="378">
        <f t="shared" si="21"/>
        <v>18509.399786738697</v>
      </c>
      <c r="AC52" s="352">
        <f t="shared" si="14"/>
        <v>23909.998519380737</v>
      </c>
      <c r="AD52" s="352">
        <f t="shared" si="15"/>
        <v>40776.231931369533</v>
      </c>
      <c r="AP52" s="353" t="s">
        <v>264</v>
      </c>
      <c r="AQ52" t="s">
        <v>702</v>
      </c>
      <c r="AR52" s="653">
        <f t="shared" si="16"/>
        <v>18</v>
      </c>
      <c r="AU52" s="655"/>
      <c r="AW52" s="669">
        <v>11</v>
      </c>
      <c r="AX52" s="670" t="s">
        <v>726</v>
      </c>
      <c r="AY52" s="665">
        <v>22</v>
      </c>
      <c r="AZ52" s="668">
        <f t="shared" si="17"/>
        <v>0</v>
      </c>
    </row>
    <row r="53" spans="1:52" ht="14.25" customHeight="1">
      <c r="A53" s="448" t="s">
        <v>761</v>
      </c>
      <c r="B53" s="413">
        <f t="shared" si="32"/>
        <v>102813.63636363637</v>
      </c>
      <c r="C53" s="371" t="s">
        <v>79</v>
      </c>
      <c r="D53" s="371" t="s">
        <v>330</v>
      </c>
      <c r="E53" s="371" t="s">
        <v>267</v>
      </c>
      <c r="F53" s="352">
        <v>22</v>
      </c>
      <c r="G53" s="616">
        <v>2000000</v>
      </c>
      <c r="H53" s="617">
        <f t="shared" si="2"/>
        <v>110000</v>
      </c>
      <c r="I53" s="622">
        <f t="shared" si="3"/>
        <v>13200</v>
      </c>
      <c r="J53" s="659">
        <f t="shared" si="33"/>
        <v>63700</v>
      </c>
      <c r="K53" s="677">
        <v>75000</v>
      </c>
      <c r="L53" s="652">
        <f t="shared" si="18"/>
        <v>2261900</v>
      </c>
      <c r="M53" s="352">
        <f t="shared" si="4"/>
        <v>200000</v>
      </c>
      <c r="N53" s="352">
        <f t="shared" si="23"/>
        <v>2061900</v>
      </c>
      <c r="O53" s="695">
        <v>20000</v>
      </c>
      <c r="P53" s="650">
        <v>50000</v>
      </c>
      <c r="Q53" s="458">
        <f t="shared" si="5"/>
        <v>169642.5</v>
      </c>
      <c r="R53" s="458">
        <f t="shared" si="6"/>
        <v>56547.5</v>
      </c>
      <c r="S53" s="651">
        <f t="shared" si="7"/>
        <v>2288090</v>
      </c>
      <c r="T53" s="417">
        <f t="shared" si="8"/>
        <v>0.1</v>
      </c>
      <c r="U53" s="352">
        <f t="shared" si="9"/>
        <v>228809</v>
      </c>
      <c r="V53" s="352">
        <f t="shared" si="36"/>
        <v>15000</v>
      </c>
      <c r="W53" s="352">
        <f t="shared" si="10"/>
        <v>213809</v>
      </c>
      <c r="X53" s="363">
        <f t="shared" si="37"/>
        <v>17</v>
      </c>
      <c r="Y53" s="352">
        <f t="shared" si="11"/>
        <v>12577</v>
      </c>
      <c r="Z53" s="628">
        <f t="shared" si="12"/>
        <v>2059281</v>
      </c>
      <c r="AA53" s="638">
        <f t="shared" si="13"/>
        <v>15965.583674401718</v>
      </c>
      <c r="AB53" s="378">
        <f t="shared" si="21"/>
        <v>18509.399786738697</v>
      </c>
      <c r="AC53" s="352">
        <f t="shared" si="14"/>
        <v>23909.998519380737</v>
      </c>
      <c r="AD53" s="352">
        <f t="shared" si="15"/>
        <v>40776.231931369533</v>
      </c>
      <c r="AP53" s="353" t="s">
        <v>264</v>
      </c>
      <c r="AR53" s="653">
        <f t="shared" si="16"/>
        <v>18</v>
      </c>
      <c r="AU53" s="655"/>
      <c r="AW53" s="669">
        <v>12</v>
      </c>
      <c r="AX53" s="670" t="s">
        <v>728</v>
      </c>
      <c r="AY53" s="665">
        <v>22</v>
      </c>
      <c r="AZ53" s="668">
        <f t="shared" si="17"/>
        <v>0</v>
      </c>
    </row>
    <row r="54" spans="1:52" ht="14.25" customHeight="1">
      <c r="A54" s="448" t="s">
        <v>761</v>
      </c>
      <c r="B54" s="413">
        <f t="shared" si="32"/>
        <v>102813.63636363637</v>
      </c>
      <c r="C54" s="371" t="s">
        <v>79</v>
      </c>
      <c r="D54" s="371" t="s">
        <v>335</v>
      </c>
      <c r="E54" s="371" t="s">
        <v>267</v>
      </c>
      <c r="F54" s="352">
        <v>22</v>
      </c>
      <c r="G54" s="616">
        <v>2000000</v>
      </c>
      <c r="H54" s="617">
        <f t="shared" si="2"/>
        <v>110000</v>
      </c>
      <c r="I54" s="622">
        <f t="shared" si="3"/>
        <v>13200</v>
      </c>
      <c r="J54" s="659">
        <f t="shared" si="33"/>
        <v>63700</v>
      </c>
      <c r="K54" s="677">
        <v>75000</v>
      </c>
      <c r="L54" s="652">
        <f t="shared" si="18"/>
        <v>2261900</v>
      </c>
      <c r="M54" s="352">
        <f t="shared" si="4"/>
        <v>200000</v>
      </c>
      <c r="N54" s="352">
        <f t="shared" si="23"/>
        <v>2061900</v>
      </c>
      <c r="O54" s="695">
        <v>20000</v>
      </c>
      <c r="P54" s="650">
        <v>50000</v>
      </c>
      <c r="Q54" s="458">
        <f t="shared" si="5"/>
        <v>169642.5</v>
      </c>
      <c r="R54" s="458">
        <f t="shared" si="6"/>
        <v>56547.5</v>
      </c>
      <c r="S54" s="651">
        <f t="shared" si="7"/>
        <v>2288090</v>
      </c>
      <c r="T54" s="417">
        <f t="shared" si="8"/>
        <v>0.1</v>
      </c>
      <c r="U54" s="352">
        <f t="shared" si="9"/>
        <v>228809</v>
      </c>
      <c r="V54" s="352">
        <f t="shared" si="36"/>
        <v>15000</v>
      </c>
      <c r="W54" s="352">
        <f t="shared" si="10"/>
        <v>213809</v>
      </c>
      <c r="X54" s="363">
        <f t="shared" si="37"/>
        <v>17</v>
      </c>
      <c r="Y54" s="352">
        <f t="shared" si="11"/>
        <v>12577</v>
      </c>
      <c r="Z54" s="628">
        <f t="shared" si="12"/>
        <v>2059281</v>
      </c>
      <c r="AA54" s="638">
        <f t="shared" si="13"/>
        <v>15965.583674401718</v>
      </c>
      <c r="AB54" s="378">
        <f t="shared" si="21"/>
        <v>18509.399786738697</v>
      </c>
      <c r="AC54" s="352">
        <f t="shared" si="14"/>
        <v>23909.998519380737</v>
      </c>
      <c r="AD54" s="352">
        <f t="shared" si="15"/>
        <v>40776.231931369533</v>
      </c>
      <c r="AP54" s="353" t="s">
        <v>264</v>
      </c>
      <c r="AQ54" t="s">
        <v>702</v>
      </c>
      <c r="AR54" s="653">
        <f t="shared" si="16"/>
        <v>18</v>
      </c>
      <c r="AU54" s="655"/>
      <c r="AW54" s="669">
        <v>13</v>
      </c>
      <c r="AX54" s="670" t="s">
        <v>730</v>
      </c>
      <c r="AY54" s="665">
        <v>22</v>
      </c>
      <c r="AZ54" s="668">
        <f t="shared" si="17"/>
        <v>0</v>
      </c>
    </row>
    <row r="55" spans="1:52" ht="14.25" customHeight="1">
      <c r="A55" s="448" t="s">
        <v>761</v>
      </c>
      <c r="B55" s="413">
        <f t="shared" si="32"/>
        <v>102813.63636363637</v>
      </c>
      <c r="C55" s="371" t="s">
        <v>79</v>
      </c>
      <c r="D55" s="371" t="s">
        <v>337</v>
      </c>
      <c r="E55" s="371" t="s">
        <v>267</v>
      </c>
      <c r="F55" s="352">
        <v>22</v>
      </c>
      <c r="G55" s="616">
        <v>2000000</v>
      </c>
      <c r="H55" s="617">
        <f t="shared" si="2"/>
        <v>110000</v>
      </c>
      <c r="I55" s="622">
        <f t="shared" si="3"/>
        <v>13200</v>
      </c>
      <c r="J55" s="659">
        <f t="shared" si="33"/>
        <v>63700</v>
      </c>
      <c r="K55" s="677">
        <v>75000</v>
      </c>
      <c r="L55" s="652">
        <f t="shared" si="18"/>
        <v>2261900</v>
      </c>
      <c r="M55" s="352">
        <f t="shared" si="4"/>
        <v>200000</v>
      </c>
      <c r="N55" s="352">
        <f t="shared" si="23"/>
        <v>2061900</v>
      </c>
      <c r="O55" s="695">
        <v>20000</v>
      </c>
      <c r="P55" s="650">
        <v>50000</v>
      </c>
      <c r="Q55" s="458">
        <f t="shared" si="5"/>
        <v>169642.5</v>
      </c>
      <c r="R55" s="458">
        <f t="shared" si="6"/>
        <v>56547.5</v>
      </c>
      <c r="S55" s="651">
        <f t="shared" si="7"/>
        <v>2288090</v>
      </c>
      <c r="T55" s="417">
        <f t="shared" si="8"/>
        <v>0.1</v>
      </c>
      <c r="U55" s="352">
        <f t="shared" si="9"/>
        <v>228809</v>
      </c>
      <c r="V55" s="352">
        <f t="shared" si="36"/>
        <v>15000</v>
      </c>
      <c r="W55" s="352">
        <f t="shared" si="10"/>
        <v>213809</v>
      </c>
      <c r="X55" s="363">
        <f t="shared" si="37"/>
        <v>17</v>
      </c>
      <c r="Y55" s="352">
        <f t="shared" si="11"/>
        <v>12577</v>
      </c>
      <c r="Z55" s="628">
        <f t="shared" si="12"/>
        <v>2059281</v>
      </c>
      <c r="AA55" s="638">
        <f t="shared" si="13"/>
        <v>15965.583674401718</v>
      </c>
      <c r="AB55" s="378">
        <f t="shared" si="21"/>
        <v>18509.399786738697</v>
      </c>
      <c r="AC55" s="352">
        <f t="shared" si="14"/>
        <v>23909.998519380737</v>
      </c>
      <c r="AD55" s="352">
        <f t="shared" si="15"/>
        <v>40776.231931369533</v>
      </c>
      <c r="AP55" s="353" t="s">
        <v>264</v>
      </c>
      <c r="AQ55" t="s">
        <v>702</v>
      </c>
      <c r="AR55" s="653">
        <f t="shared" si="16"/>
        <v>18</v>
      </c>
      <c r="AU55" s="655"/>
      <c r="AW55" s="669">
        <v>14</v>
      </c>
      <c r="AX55" s="670" t="s">
        <v>732</v>
      </c>
      <c r="AY55" s="665">
        <v>22</v>
      </c>
      <c r="AZ55" s="668">
        <f t="shared" si="17"/>
        <v>0</v>
      </c>
    </row>
    <row r="56" spans="1:52" ht="14.25" customHeight="1">
      <c r="A56" s="448" t="s">
        <v>761</v>
      </c>
      <c r="B56" s="413">
        <f t="shared" si="32"/>
        <v>102813.63636363637</v>
      </c>
      <c r="C56" s="371" t="s">
        <v>79</v>
      </c>
      <c r="D56" s="371" t="s">
        <v>341</v>
      </c>
      <c r="E56" s="371" t="s">
        <v>267</v>
      </c>
      <c r="F56" s="352">
        <v>22</v>
      </c>
      <c r="G56" s="616">
        <v>2000000</v>
      </c>
      <c r="H56" s="617">
        <f t="shared" si="2"/>
        <v>110000</v>
      </c>
      <c r="I56" s="622">
        <f t="shared" si="3"/>
        <v>13200</v>
      </c>
      <c r="J56" s="659">
        <f t="shared" si="33"/>
        <v>63700</v>
      </c>
      <c r="K56" s="677">
        <v>75000</v>
      </c>
      <c r="L56" s="652">
        <f t="shared" si="18"/>
        <v>2261900</v>
      </c>
      <c r="M56" s="352">
        <f t="shared" si="4"/>
        <v>200000</v>
      </c>
      <c r="N56" s="352">
        <f t="shared" si="23"/>
        <v>2061900</v>
      </c>
      <c r="O56" s="695">
        <v>20000</v>
      </c>
      <c r="P56" s="650">
        <v>50000</v>
      </c>
      <c r="Q56" s="458">
        <f t="shared" si="5"/>
        <v>169642.5</v>
      </c>
      <c r="R56" s="458">
        <f t="shared" si="6"/>
        <v>56547.5</v>
      </c>
      <c r="S56" s="651">
        <f t="shared" si="7"/>
        <v>2288090</v>
      </c>
      <c r="T56" s="417">
        <f t="shared" si="8"/>
        <v>0.1</v>
      </c>
      <c r="U56" s="352">
        <f t="shared" si="9"/>
        <v>228809</v>
      </c>
      <c r="V56" s="352">
        <f t="shared" si="36"/>
        <v>15000</v>
      </c>
      <c r="W56" s="352">
        <f t="shared" si="10"/>
        <v>213809</v>
      </c>
      <c r="X56" s="363">
        <f t="shared" si="37"/>
        <v>17</v>
      </c>
      <c r="Y56" s="352">
        <f t="shared" si="11"/>
        <v>12577</v>
      </c>
      <c r="Z56" s="628">
        <f t="shared" si="12"/>
        <v>2059281</v>
      </c>
      <c r="AA56" s="638">
        <f t="shared" si="13"/>
        <v>15965.583674401718</v>
      </c>
      <c r="AB56" s="378">
        <f t="shared" si="21"/>
        <v>18509.399786738697</v>
      </c>
      <c r="AC56" s="352">
        <f t="shared" si="14"/>
        <v>23909.998519380737</v>
      </c>
      <c r="AD56" s="352">
        <f t="shared" si="15"/>
        <v>40776.231931369533</v>
      </c>
      <c r="AP56" s="353" t="s">
        <v>264</v>
      </c>
      <c r="AQ56" t="s">
        <v>702</v>
      </c>
      <c r="AR56" s="653">
        <f t="shared" si="16"/>
        <v>18</v>
      </c>
      <c r="AU56" s="655"/>
      <c r="AW56" s="669">
        <v>15</v>
      </c>
      <c r="AX56" s="670" t="s">
        <v>734</v>
      </c>
      <c r="AY56" s="665">
        <v>22</v>
      </c>
      <c r="AZ56" s="668">
        <f t="shared" si="17"/>
        <v>0</v>
      </c>
    </row>
    <row r="57" spans="1:52" ht="14.25" customHeight="1">
      <c r="A57" s="448" t="s">
        <v>761</v>
      </c>
      <c r="B57" s="413">
        <f t="shared" si="32"/>
        <v>102813.63636363637</v>
      </c>
      <c r="C57" s="371" t="s">
        <v>79</v>
      </c>
      <c r="D57" s="371" t="s">
        <v>344</v>
      </c>
      <c r="E57" s="371" t="s">
        <v>267</v>
      </c>
      <c r="F57" s="352">
        <v>22</v>
      </c>
      <c r="G57" s="616">
        <v>2000000</v>
      </c>
      <c r="H57" s="617">
        <f t="shared" si="2"/>
        <v>110000</v>
      </c>
      <c r="I57" s="622">
        <f t="shared" si="3"/>
        <v>13200</v>
      </c>
      <c r="J57" s="659">
        <f t="shared" si="33"/>
        <v>63700</v>
      </c>
      <c r="K57" s="677">
        <v>75000</v>
      </c>
      <c r="L57" s="652">
        <f t="shared" si="18"/>
        <v>2261900</v>
      </c>
      <c r="M57" s="352">
        <f t="shared" si="4"/>
        <v>200000</v>
      </c>
      <c r="N57" s="352">
        <f t="shared" si="23"/>
        <v>2061900</v>
      </c>
      <c r="O57" s="695">
        <v>20000</v>
      </c>
      <c r="P57" s="650">
        <v>50000</v>
      </c>
      <c r="Q57" s="458">
        <f t="shared" si="5"/>
        <v>169642.5</v>
      </c>
      <c r="R57" s="458">
        <f t="shared" si="6"/>
        <v>56547.5</v>
      </c>
      <c r="S57" s="651">
        <f t="shared" si="7"/>
        <v>2288090</v>
      </c>
      <c r="T57" s="417">
        <f t="shared" si="8"/>
        <v>0.1</v>
      </c>
      <c r="U57" s="352">
        <f t="shared" si="9"/>
        <v>228809</v>
      </c>
      <c r="V57" s="352">
        <f t="shared" si="36"/>
        <v>15000</v>
      </c>
      <c r="W57" s="352">
        <f t="shared" si="10"/>
        <v>213809</v>
      </c>
      <c r="X57" s="363">
        <f t="shared" si="37"/>
        <v>17</v>
      </c>
      <c r="Y57" s="352">
        <f t="shared" si="11"/>
        <v>12577</v>
      </c>
      <c r="Z57" s="628">
        <f t="shared" si="12"/>
        <v>2059281</v>
      </c>
      <c r="AA57" s="638">
        <f t="shared" si="13"/>
        <v>15965.583674401718</v>
      </c>
      <c r="AB57" s="378">
        <f t="shared" si="21"/>
        <v>18509.399786738697</v>
      </c>
      <c r="AC57" s="352">
        <f t="shared" si="14"/>
        <v>23909.998519380737</v>
      </c>
      <c r="AD57" s="352">
        <f t="shared" si="15"/>
        <v>40776.231931369533</v>
      </c>
      <c r="AP57" s="353" t="s">
        <v>264</v>
      </c>
      <c r="AR57" s="653">
        <f t="shared" si="16"/>
        <v>18</v>
      </c>
      <c r="AU57" s="655"/>
      <c r="AW57" s="669">
        <v>16</v>
      </c>
      <c r="AX57" s="670" t="s">
        <v>737</v>
      </c>
      <c r="AY57" s="665">
        <v>22</v>
      </c>
      <c r="AZ57" s="668">
        <f t="shared" si="17"/>
        <v>0</v>
      </c>
    </row>
    <row r="58" spans="1:52" ht="14.25" customHeight="1">
      <c r="A58" s="625" t="s">
        <v>761</v>
      </c>
      <c r="B58" s="413">
        <f t="shared" si="32"/>
        <v>102813.63636363637</v>
      </c>
      <c r="C58" s="371" t="s">
        <v>79</v>
      </c>
      <c r="D58" s="371" t="s">
        <v>348</v>
      </c>
      <c r="E58" s="371" t="s">
        <v>267</v>
      </c>
      <c r="F58" s="352">
        <v>22</v>
      </c>
      <c r="G58" s="616">
        <v>2000000</v>
      </c>
      <c r="H58" s="617">
        <f t="shared" si="2"/>
        <v>110000</v>
      </c>
      <c r="I58" s="622">
        <f t="shared" si="3"/>
        <v>13200</v>
      </c>
      <c r="J58" s="659">
        <f t="shared" si="33"/>
        <v>63700</v>
      </c>
      <c r="K58" s="677">
        <v>75000</v>
      </c>
      <c r="L58" s="652">
        <f t="shared" si="18"/>
        <v>2261900</v>
      </c>
      <c r="M58" s="352">
        <f t="shared" si="4"/>
        <v>200000</v>
      </c>
      <c r="N58" s="352">
        <f t="shared" si="23"/>
        <v>2061900</v>
      </c>
      <c r="O58" s="695">
        <v>20000</v>
      </c>
      <c r="P58" s="650">
        <v>50000</v>
      </c>
      <c r="Q58" s="458">
        <f t="shared" si="5"/>
        <v>169642.5</v>
      </c>
      <c r="R58" s="458">
        <f t="shared" si="6"/>
        <v>56547.5</v>
      </c>
      <c r="S58" s="651">
        <f t="shared" si="7"/>
        <v>2288090</v>
      </c>
      <c r="T58" s="417">
        <f t="shared" si="8"/>
        <v>0.1</v>
      </c>
      <c r="U58" s="352">
        <f t="shared" si="9"/>
        <v>228809</v>
      </c>
      <c r="V58" s="352">
        <f t="shared" si="36"/>
        <v>15000</v>
      </c>
      <c r="W58" s="352">
        <f t="shared" si="10"/>
        <v>213809</v>
      </c>
      <c r="X58" s="363">
        <f t="shared" si="37"/>
        <v>17</v>
      </c>
      <c r="Y58" s="352">
        <f t="shared" si="11"/>
        <v>12577</v>
      </c>
      <c r="Z58" s="628">
        <f t="shared" si="12"/>
        <v>2059281</v>
      </c>
      <c r="AA58" s="638">
        <f t="shared" si="13"/>
        <v>15965.583674401718</v>
      </c>
      <c r="AB58" s="378">
        <f t="shared" si="21"/>
        <v>18509.399786738697</v>
      </c>
      <c r="AC58" s="352">
        <f t="shared" si="14"/>
        <v>23909.998519380737</v>
      </c>
      <c r="AD58" s="352">
        <f t="shared" si="15"/>
        <v>40776.231931369533</v>
      </c>
      <c r="AP58" s="353" t="s">
        <v>264</v>
      </c>
      <c r="AR58" s="653">
        <f t="shared" si="16"/>
        <v>18</v>
      </c>
      <c r="AU58" s="655"/>
      <c r="AW58" s="669">
        <v>17</v>
      </c>
      <c r="AX58" s="672" t="s">
        <v>740</v>
      </c>
      <c r="AY58" s="665">
        <v>22</v>
      </c>
      <c r="AZ58" s="668">
        <f t="shared" si="17"/>
        <v>0</v>
      </c>
    </row>
    <row r="59" spans="1:52" ht="14.25" customHeight="1">
      <c r="A59" s="448" t="s">
        <v>761</v>
      </c>
      <c r="B59" s="413">
        <f t="shared" si="32"/>
        <v>101334.10922112802</v>
      </c>
      <c r="C59" s="371" t="s">
        <v>65</v>
      </c>
      <c r="D59" s="371" t="s">
        <v>352</v>
      </c>
      <c r="E59" s="371" t="s">
        <v>267</v>
      </c>
      <c r="F59" s="352">
        <v>22.34</v>
      </c>
      <c r="G59" s="616">
        <v>2000000</v>
      </c>
      <c r="H59" s="617">
        <f t="shared" si="2"/>
        <v>111700</v>
      </c>
      <c r="I59" s="622">
        <f t="shared" si="3"/>
        <v>13404</v>
      </c>
      <c r="J59" s="659">
        <f t="shared" si="33"/>
        <v>63700</v>
      </c>
      <c r="K59" s="677">
        <v>75000</v>
      </c>
      <c r="L59" s="652">
        <f t="shared" si="18"/>
        <v>2263804</v>
      </c>
      <c r="M59" s="352">
        <f t="shared" si="4"/>
        <v>200000</v>
      </c>
      <c r="N59" s="352">
        <f t="shared" si="23"/>
        <v>2063804</v>
      </c>
      <c r="O59" s="695">
        <v>20000</v>
      </c>
      <c r="P59" s="650">
        <v>50000</v>
      </c>
      <c r="Q59" s="458">
        <f t="shared" si="5"/>
        <v>169785.3</v>
      </c>
      <c r="R59" s="458">
        <f t="shared" si="6"/>
        <v>56595.100000000006</v>
      </c>
      <c r="S59" s="651">
        <f t="shared" si="7"/>
        <v>2290184.4</v>
      </c>
      <c r="T59" s="417">
        <f t="shared" si="8"/>
        <v>0.1</v>
      </c>
      <c r="U59" s="352">
        <f t="shared" si="9"/>
        <v>229018.44</v>
      </c>
      <c r="V59" s="352">
        <f>V5</f>
        <v>15000</v>
      </c>
      <c r="W59" s="352">
        <f t="shared" si="10"/>
        <v>214018.44</v>
      </c>
      <c r="X59" s="363">
        <f>X$5</f>
        <v>17</v>
      </c>
      <c r="Y59" s="352">
        <f t="shared" si="11"/>
        <v>12589.32</v>
      </c>
      <c r="Z59" s="628">
        <f t="shared" si="12"/>
        <v>2061165.96</v>
      </c>
      <c r="AA59" s="638">
        <f t="shared" si="13"/>
        <v>15980.197749218558</v>
      </c>
      <c r="AB59" s="378">
        <f t="shared" si="21"/>
        <v>18526.34234009689</v>
      </c>
      <c r="AC59" s="352">
        <f t="shared" si="14"/>
        <v>23931.884503279533</v>
      </c>
      <c r="AD59" s="352">
        <f t="shared" si="15"/>
        <v>40813.556398570145</v>
      </c>
      <c r="AE59" t="s">
        <v>742</v>
      </c>
      <c r="AF59" t="s">
        <v>742</v>
      </c>
      <c r="AP59" s="353" t="s">
        <v>264</v>
      </c>
      <c r="AR59" s="653">
        <f t="shared" si="16"/>
        <v>18</v>
      </c>
      <c r="AW59" s="669">
        <v>18</v>
      </c>
      <c r="AX59" s="671" t="s">
        <v>760</v>
      </c>
      <c r="AY59" s="666">
        <v>22.34</v>
      </c>
      <c r="AZ59" s="668">
        <f t="shared" si="17"/>
        <v>0</v>
      </c>
    </row>
    <row r="60" spans="1:52" ht="14.25" customHeight="1">
      <c r="A60" s="448" t="s">
        <v>762</v>
      </c>
      <c r="B60" s="415">
        <f t="shared" si="32"/>
        <v>102813.63636363637</v>
      </c>
      <c r="C60" s="447" t="s">
        <v>65</v>
      </c>
      <c r="D60" s="441" t="s">
        <v>355</v>
      </c>
      <c r="E60" s="371" t="s">
        <v>267</v>
      </c>
      <c r="F60" s="381">
        <v>22</v>
      </c>
      <c r="G60" s="616">
        <v>2000000</v>
      </c>
      <c r="H60" s="617">
        <f t="shared" si="2"/>
        <v>110000</v>
      </c>
      <c r="I60" s="622">
        <f t="shared" si="3"/>
        <v>13200</v>
      </c>
      <c r="J60" s="659">
        <f t="shared" si="33"/>
        <v>63700</v>
      </c>
      <c r="K60" s="677">
        <v>75000</v>
      </c>
      <c r="L60" s="652">
        <f t="shared" si="18"/>
        <v>2261900</v>
      </c>
      <c r="M60" s="352">
        <f t="shared" si="4"/>
        <v>200000</v>
      </c>
      <c r="N60" s="352">
        <f t="shared" si="23"/>
        <v>2061900</v>
      </c>
      <c r="O60" s="695">
        <v>20000</v>
      </c>
      <c r="P60" s="650">
        <v>50000</v>
      </c>
      <c r="Q60" s="458">
        <f t="shared" si="5"/>
        <v>169642.5</v>
      </c>
      <c r="R60" s="458">
        <f t="shared" si="6"/>
        <v>56547.5</v>
      </c>
      <c r="S60" s="651">
        <f t="shared" si="7"/>
        <v>2288090</v>
      </c>
      <c r="T60" s="417">
        <f t="shared" si="8"/>
        <v>0.1</v>
      </c>
      <c r="U60" s="383">
        <f t="shared" si="9"/>
        <v>228809</v>
      </c>
      <c r="V60" s="383">
        <f>V5</f>
        <v>15000</v>
      </c>
      <c r="W60" s="383">
        <f t="shared" si="10"/>
        <v>213809</v>
      </c>
      <c r="X60" s="366">
        <f>X$5</f>
        <v>17</v>
      </c>
      <c r="Y60" s="426">
        <f t="shared" si="11"/>
        <v>12577</v>
      </c>
      <c r="Z60" s="630">
        <f t="shared" si="12"/>
        <v>2059281</v>
      </c>
      <c r="AA60" s="638">
        <f t="shared" si="13"/>
        <v>15965.583674401718</v>
      </c>
      <c r="AB60" s="633">
        <f t="shared" si="21"/>
        <v>18509.399786738697</v>
      </c>
      <c r="AC60" s="398">
        <f t="shared" si="14"/>
        <v>23909.998519380737</v>
      </c>
      <c r="AD60" s="398">
        <f t="shared" si="15"/>
        <v>40776.231931369533</v>
      </c>
      <c r="AE60" t="s">
        <v>742</v>
      </c>
      <c r="AF60" t="s">
        <v>742</v>
      </c>
      <c r="AP60" s="353" t="s">
        <v>264</v>
      </c>
      <c r="AR60" s="653">
        <f t="shared" si="16"/>
        <v>18</v>
      </c>
      <c r="AW60" s="669">
        <v>1</v>
      </c>
      <c r="AX60" s="670" t="s">
        <v>700</v>
      </c>
      <c r="AY60" s="665">
        <v>22</v>
      </c>
      <c r="AZ60" s="668">
        <f t="shared" si="17"/>
        <v>0</v>
      </c>
    </row>
    <row r="61" spans="1:52" ht="14.25" customHeight="1">
      <c r="A61" s="414" t="s">
        <v>762</v>
      </c>
      <c r="B61" s="413">
        <f t="shared" si="32"/>
        <v>102813.63636363637</v>
      </c>
      <c r="C61" s="409" t="s">
        <v>79</v>
      </c>
      <c r="D61" s="377" t="s">
        <v>359</v>
      </c>
      <c r="E61" s="371" t="s">
        <v>267</v>
      </c>
      <c r="F61" s="376">
        <v>22</v>
      </c>
      <c r="G61" s="616">
        <v>2000000</v>
      </c>
      <c r="H61" s="617">
        <f t="shared" si="2"/>
        <v>110000</v>
      </c>
      <c r="I61" s="622">
        <f t="shared" si="3"/>
        <v>13200</v>
      </c>
      <c r="J61" s="659">
        <f t="shared" si="33"/>
        <v>63700</v>
      </c>
      <c r="K61" s="677">
        <v>75000</v>
      </c>
      <c r="L61" s="652">
        <f t="shared" si="18"/>
        <v>2261900</v>
      </c>
      <c r="M61" s="352">
        <f t="shared" si="4"/>
        <v>200000</v>
      </c>
      <c r="N61" s="352">
        <f t="shared" si="23"/>
        <v>2061900</v>
      </c>
      <c r="O61" s="695">
        <v>20000</v>
      </c>
      <c r="P61" s="650">
        <v>50000</v>
      </c>
      <c r="Q61" s="458">
        <f t="shared" si="5"/>
        <v>169642.5</v>
      </c>
      <c r="R61" s="458">
        <f t="shared" si="6"/>
        <v>56547.5</v>
      </c>
      <c r="S61" s="651">
        <f t="shared" si="7"/>
        <v>2288090</v>
      </c>
      <c r="T61" s="417">
        <f t="shared" si="8"/>
        <v>0.1</v>
      </c>
      <c r="U61" s="372">
        <f t="shared" si="9"/>
        <v>228809</v>
      </c>
      <c r="V61" s="372">
        <f>V$5</f>
        <v>15000</v>
      </c>
      <c r="W61" s="372">
        <f t="shared" si="10"/>
        <v>213809</v>
      </c>
      <c r="X61" s="368">
        <f t="shared" ref="X61:X65" si="38">X$5</f>
        <v>17</v>
      </c>
      <c r="Y61" s="373">
        <f t="shared" si="11"/>
        <v>12577</v>
      </c>
      <c r="Z61" s="628">
        <f t="shared" si="12"/>
        <v>2059281</v>
      </c>
      <c r="AA61" s="638">
        <f t="shared" si="13"/>
        <v>15965.583674401718</v>
      </c>
      <c r="AB61" s="633">
        <f t="shared" si="21"/>
        <v>18509.399786738697</v>
      </c>
      <c r="AC61" s="398">
        <f t="shared" si="14"/>
        <v>23909.998519380737</v>
      </c>
      <c r="AD61" s="398">
        <f t="shared" si="15"/>
        <v>40776.231931369533</v>
      </c>
      <c r="AP61" s="353" t="s">
        <v>264</v>
      </c>
      <c r="AR61" s="653">
        <f t="shared" si="16"/>
        <v>18</v>
      </c>
      <c r="AW61" s="669">
        <v>2</v>
      </c>
      <c r="AX61" s="670" t="s">
        <v>704</v>
      </c>
      <c r="AY61" s="665">
        <v>22</v>
      </c>
      <c r="AZ61" s="668">
        <f t="shared" si="17"/>
        <v>0</v>
      </c>
    </row>
    <row r="62" spans="1:52" ht="14.25" customHeight="1">
      <c r="A62" s="404" t="s">
        <v>762</v>
      </c>
      <c r="B62" s="413">
        <f t="shared" si="32"/>
        <v>102813.63636363637</v>
      </c>
      <c r="C62" s="409" t="s">
        <v>79</v>
      </c>
      <c r="D62" s="377" t="s">
        <v>362</v>
      </c>
      <c r="E62" s="371" t="s">
        <v>267</v>
      </c>
      <c r="F62" s="376">
        <v>22</v>
      </c>
      <c r="G62" s="616">
        <v>2000000</v>
      </c>
      <c r="H62" s="617">
        <f t="shared" si="2"/>
        <v>110000</v>
      </c>
      <c r="I62" s="622">
        <f t="shared" si="3"/>
        <v>13200</v>
      </c>
      <c r="J62" s="659">
        <f t="shared" si="33"/>
        <v>63700</v>
      </c>
      <c r="K62" s="677">
        <v>75000</v>
      </c>
      <c r="L62" s="652">
        <f t="shared" si="18"/>
        <v>2261900</v>
      </c>
      <c r="M62" s="352">
        <f t="shared" si="4"/>
        <v>200000</v>
      </c>
      <c r="N62" s="352">
        <f t="shared" si="23"/>
        <v>2061900</v>
      </c>
      <c r="O62" s="695">
        <v>20000</v>
      </c>
      <c r="P62" s="650">
        <v>50000</v>
      </c>
      <c r="Q62" s="458">
        <f t="shared" si="5"/>
        <v>169642.5</v>
      </c>
      <c r="R62" s="458">
        <f t="shared" si="6"/>
        <v>56547.5</v>
      </c>
      <c r="S62" s="651">
        <f t="shared" si="7"/>
        <v>2288090</v>
      </c>
      <c r="T62" s="417">
        <f t="shared" si="8"/>
        <v>0.1</v>
      </c>
      <c r="U62" s="372">
        <f t="shared" si="9"/>
        <v>228809</v>
      </c>
      <c r="V62" s="372">
        <f t="shared" ref="V62:V65" si="39">V$5</f>
        <v>15000</v>
      </c>
      <c r="W62" s="372">
        <f t="shared" si="10"/>
        <v>213809</v>
      </c>
      <c r="X62" s="368">
        <f t="shared" si="38"/>
        <v>17</v>
      </c>
      <c r="Y62" s="373">
        <f t="shared" si="11"/>
        <v>12577</v>
      </c>
      <c r="Z62" s="628">
        <f t="shared" si="12"/>
        <v>2059281</v>
      </c>
      <c r="AA62" s="638">
        <f t="shared" si="13"/>
        <v>15965.583674401718</v>
      </c>
      <c r="AB62" s="633">
        <f t="shared" si="21"/>
        <v>18509.399786738697</v>
      </c>
      <c r="AC62" s="398">
        <f t="shared" si="14"/>
        <v>23909.998519380737</v>
      </c>
      <c r="AD62" s="398">
        <f t="shared" si="15"/>
        <v>40776.231931369533</v>
      </c>
      <c r="AP62" s="353" t="s">
        <v>264</v>
      </c>
      <c r="AQ62" t="s">
        <v>702</v>
      </c>
      <c r="AR62" s="653">
        <f t="shared" si="16"/>
        <v>18</v>
      </c>
      <c r="AW62" s="669">
        <v>3</v>
      </c>
      <c r="AX62" s="670" t="s">
        <v>707</v>
      </c>
      <c r="AY62" s="665">
        <v>22</v>
      </c>
      <c r="AZ62" s="668">
        <f t="shared" si="17"/>
        <v>0</v>
      </c>
    </row>
    <row r="63" spans="1:52" ht="14.25" customHeight="1">
      <c r="A63" s="404" t="s">
        <v>762</v>
      </c>
      <c r="B63" s="413">
        <f t="shared" si="32"/>
        <v>102813.63636363637</v>
      </c>
      <c r="C63" s="409" t="s">
        <v>79</v>
      </c>
      <c r="D63" s="377" t="s">
        <v>365</v>
      </c>
      <c r="E63" s="371" t="s">
        <v>267</v>
      </c>
      <c r="F63" s="376">
        <v>22</v>
      </c>
      <c r="G63" s="616">
        <v>2000000</v>
      </c>
      <c r="H63" s="617">
        <f t="shared" si="2"/>
        <v>110000</v>
      </c>
      <c r="I63" s="622">
        <f t="shared" si="3"/>
        <v>13200</v>
      </c>
      <c r="J63" s="659">
        <f t="shared" si="33"/>
        <v>63700</v>
      </c>
      <c r="K63" s="677">
        <v>75000</v>
      </c>
      <c r="L63" s="652">
        <f t="shared" si="18"/>
        <v>2261900</v>
      </c>
      <c r="M63" s="352">
        <f t="shared" si="4"/>
        <v>200000</v>
      </c>
      <c r="N63" s="352">
        <f t="shared" si="23"/>
        <v>2061900</v>
      </c>
      <c r="O63" s="695">
        <v>20000</v>
      </c>
      <c r="P63" s="650">
        <v>50000</v>
      </c>
      <c r="Q63" s="458">
        <f t="shared" si="5"/>
        <v>169642.5</v>
      </c>
      <c r="R63" s="458">
        <f t="shared" si="6"/>
        <v>56547.5</v>
      </c>
      <c r="S63" s="651">
        <f t="shared" si="7"/>
        <v>2288090</v>
      </c>
      <c r="T63" s="417">
        <f t="shared" si="8"/>
        <v>0.1</v>
      </c>
      <c r="U63" s="372">
        <f t="shared" si="9"/>
        <v>228809</v>
      </c>
      <c r="V63" s="372">
        <f t="shared" si="39"/>
        <v>15000</v>
      </c>
      <c r="W63" s="374">
        <f t="shared" si="10"/>
        <v>213809</v>
      </c>
      <c r="X63" s="368">
        <f t="shared" si="38"/>
        <v>17</v>
      </c>
      <c r="Y63" s="373">
        <f t="shared" si="11"/>
        <v>12577</v>
      </c>
      <c r="Z63" s="628">
        <f t="shared" si="12"/>
        <v>2059281</v>
      </c>
      <c r="AA63" s="638">
        <f t="shared" si="13"/>
        <v>15965.583674401718</v>
      </c>
      <c r="AB63" s="633">
        <f t="shared" si="21"/>
        <v>18509.399786738697</v>
      </c>
      <c r="AC63" s="398">
        <f t="shared" si="14"/>
        <v>23909.998519380737</v>
      </c>
      <c r="AD63" s="398">
        <f t="shared" si="15"/>
        <v>40776.231931369533</v>
      </c>
      <c r="AP63" s="353" t="s">
        <v>264</v>
      </c>
      <c r="AQ63" t="s">
        <v>702</v>
      </c>
      <c r="AR63" s="653">
        <f t="shared" si="16"/>
        <v>18</v>
      </c>
      <c r="AW63" s="669">
        <v>4</v>
      </c>
      <c r="AX63" s="670" t="s">
        <v>710</v>
      </c>
      <c r="AY63" s="665">
        <v>22</v>
      </c>
      <c r="AZ63" s="668">
        <f t="shared" si="17"/>
        <v>0</v>
      </c>
    </row>
    <row r="64" spans="1:52" ht="14.25" customHeight="1">
      <c r="A64" s="404" t="s">
        <v>762</v>
      </c>
      <c r="B64" s="413">
        <f t="shared" si="32"/>
        <v>102813.63636363637</v>
      </c>
      <c r="C64" s="409" t="s">
        <v>79</v>
      </c>
      <c r="D64" s="377" t="s">
        <v>367</v>
      </c>
      <c r="E64" s="371" t="s">
        <v>267</v>
      </c>
      <c r="F64" s="379">
        <v>22</v>
      </c>
      <c r="G64" s="616">
        <v>2000000</v>
      </c>
      <c r="H64" s="617">
        <f t="shared" si="2"/>
        <v>110000</v>
      </c>
      <c r="I64" s="622">
        <f t="shared" si="3"/>
        <v>13200</v>
      </c>
      <c r="J64" s="659">
        <f t="shared" si="33"/>
        <v>63700</v>
      </c>
      <c r="K64" s="677">
        <v>75000</v>
      </c>
      <c r="L64" s="652">
        <f t="shared" si="18"/>
        <v>2261900</v>
      </c>
      <c r="M64" s="352">
        <f t="shared" si="4"/>
        <v>200000</v>
      </c>
      <c r="N64" s="352">
        <f t="shared" si="23"/>
        <v>2061900</v>
      </c>
      <c r="O64" s="695">
        <v>20000</v>
      </c>
      <c r="P64" s="650">
        <v>50000</v>
      </c>
      <c r="Q64" s="458">
        <f t="shared" si="5"/>
        <v>169642.5</v>
      </c>
      <c r="R64" s="458">
        <f t="shared" si="6"/>
        <v>56547.5</v>
      </c>
      <c r="S64" s="651">
        <f t="shared" si="7"/>
        <v>2288090</v>
      </c>
      <c r="T64" s="417">
        <f t="shared" si="8"/>
        <v>0.1</v>
      </c>
      <c r="U64" s="372">
        <f t="shared" si="9"/>
        <v>228809</v>
      </c>
      <c r="V64" s="373">
        <f t="shared" si="39"/>
        <v>15000</v>
      </c>
      <c r="W64" s="352">
        <f t="shared" si="10"/>
        <v>213809</v>
      </c>
      <c r="X64" s="363">
        <f t="shared" si="38"/>
        <v>17</v>
      </c>
      <c r="Y64" s="380">
        <f t="shared" si="11"/>
        <v>12577</v>
      </c>
      <c r="Z64" s="628">
        <f t="shared" si="12"/>
        <v>2059281</v>
      </c>
      <c r="AA64" s="638">
        <f t="shared" si="13"/>
        <v>15965.583674401718</v>
      </c>
      <c r="AB64" s="633">
        <f t="shared" si="21"/>
        <v>18509.399786738697</v>
      </c>
      <c r="AC64" s="398">
        <f t="shared" si="14"/>
        <v>23909.998519380737</v>
      </c>
      <c r="AD64" s="398">
        <f t="shared" si="15"/>
        <v>40776.231931369533</v>
      </c>
      <c r="AP64" s="353" t="s">
        <v>264</v>
      </c>
      <c r="AR64" s="653">
        <f t="shared" si="16"/>
        <v>18</v>
      </c>
      <c r="AW64" s="669">
        <v>5</v>
      </c>
      <c r="AX64" s="670" t="s">
        <v>714</v>
      </c>
      <c r="AY64" s="665">
        <v>22</v>
      </c>
      <c r="AZ64" s="668">
        <f t="shared" si="17"/>
        <v>0</v>
      </c>
    </row>
    <row r="65" spans="1:52" ht="14.25" customHeight="1">
      <c r="A65" s="404" t="s">
        <v>762</v>
      </c>
      <c r="B65" s="413">
        <f t="shared" si="32"/>
        <v>102813.63636363637</v>
      </c>
      <c r="C65" s="409" t="s">
        <v>79</v>
      </c>
      <c r="D65" s="377" t="s">
        <v>369</v>
      </c>
      <c r="E65" s="371" t="s">
        <v>267</v>
      </c>
      <c r="F65" s="378">
        <v>22</v>
      </c>
      <c r="G65" s="616">
        <v>2000000</v>
      </c>
      <c r="H65" s="617">
        <f t="shared" si="2"/>
        <v>110000</v>
      </c>
      <c r="I65" s="622">
        <f t="shared" si="3"/>
        <v>13200</v>
      </c>
      <c r="J65" s="659">
        <f t="shared" si="33"/>
        <v>63700</v>
      </c>
      <c r="K65" s="677">
        <v>75000</v>
      </c>
      <c r="L65" s="652">
        <f t="shared" si="18"/>
        <v>2261900</v>
      </c>
      <c r="M65" s="352">
        <f t="shared" si="4"/>
        <v>200000</v>
      </c>
      <c r="N65" s="352">
        <f t="shared" si="23"/>
        <v>2061900</v>
      </c>
      <c r="O65" s="695">
        <v>20000</v>
      </c>
      <c r="P65" s="650">
        <v>50000</v>
      </c>
      <c r="Q65" s="458">
        <f t="shared" si="5"/>
        <v>169642.5</v>
      </c>
      <c r="R65" s="458">
        <f t="shared" si="6"/>
        <v>56547.5</v>
      </c>
      <c r="S65" s="651">
        <f t="shared" si="7"/>
        <v>2288090</v>
      </c>
      <c r="T65" s="417">
        <f t="shared" si="8"/>
        <v>0.1</v>
      </c>
      <c r="U65" s="372">
        <f t="shared" si="9"/>
        <v>228809</v>
      </c>
      <c r="V65" s="373">
        <f t="shared" si="39"/>
        <v>15000</v>
      </c>
      <c r="W65" s="352">
        <f t="shared" si="10"/>
        <v>213809</v>
      </c>
      <c r="X65" s="363">
        <f t="shared" si="38"/>
        <v>17</v>
      </c>
      <c r="Y65" s="380">
        <f t="shared" si="11"/>
        <v>12577</v>
      </c>
      <c r="Z65" s="628">
        <f t="shared" si="12"/>
        <v>2059281</v>
      </c>
      <c r="AA65" s="638">
        <f t="shared" si="13"/>
        <v>15965.583674401718</v>
      </c>
      <c r="AB65" s="633">
        <f t="shared" si="21"/>
        <v>18509.399786738697</v>
      </c>
      <c r="AC65" s="398">
        <f t="shared" si="14"/>
        <v>23909.998519380737</v>
      </c>
      <c r="AD65" s="398">
        <f t="shared" si="15"/>
        <v>40776.231931369533</v>
      </c>
      <c r="AP65" s="353" t="s">
        <v>243</v>
      </c>
      <c r="AR65" s="653">
        <f t="shared" si="16"/>
        <v>18</v>
      </c>
      <c r="AW65" s="670">
        <v>6</v>
      </c>
      <c r="AX65" s="670" t="s">
        <v>716</v>
      </c>
      <c r="AY65" s="665">
        <v>22</v>
      </c>
      <c r="AZ65" s="668">
        <f t="shared" si="17"/>
        <v>0</v>
      </c>
    </row>
    <row r="66" spans="1:52" ht="14.25" customHeight="1">
      <c r="A66" s="405" t="s">
        <v>762</v>
      </c>
      <c r="B66" s="413">
        <f t="shared" si="32"/>
        <v>102813.63636363637</v>
      </c>
      <c r="C66" s="409" t="s">
        <v>79</v>
      </c>
      <c r="D66" s="377" t="s">
        <v>372</v>
      </c>
      <c r="E66" s="371" t="s">
        <v>267</v>
      </c>
      <c r="F66" s="378">
        <v>22</v>
      </c>
      <c r="G66" s="616">
        <v>2000000</v>
      </c>
      <c r="H66" s="617">
        <f t="shared" si="2"/>
        <v>110000</v>
      </c>
      <c r="I66" s="622">
        <f t="shared" si="3"/>
        <v>13200</v>
      </c>
      <c r="J66" s="659">
        <f t="shared" si="33"/>
        <v>63700</v>
      </c>
      <c r="K66" s="677">
        <v>75000</v>
      </c>
      <c r="L66" s="652">
        <f t="shared" si="18"/>
        <v>2261900</v>
      </c>
      <c r="M66" s="352">
        <f t="shared" si="4"/>
        <v>200000</v>
      </c>
      <c r="N66" s="352">
        <f t="shared" si="23"/>
        <v>2061900</v>
      </c>
      <c r="O66" s="695">
        <v>20000</v>
      </c>
      <c r="P66" s="650">
        <v>50000</v>
      </c>
      <c r="Q66" s="458">
        <f t="shared" si="5"/>
        <v>169642.5</v>
      </c>
      <c r="R66" s="458">
        <f t="shared" si="6"/>
        <v>56547.5</v>
      </c>
      <c r="S66" s="651">
        <f t="shared" si="7"/>
        <v>2288090</v>
      </c>
      <c r="T66" s="417">
        <f t="shared" si="8"/>
        <v>0.1</v>
      </c>
      <c r="U66" s="372">
        <f t="shared" si="9"/>
        <v>228809</v>
      </c>
      <c r="V66" s="373">
        <f>V5</f>
        <v>15000</v>
      </c>
      <c r="W66" s="352">
        <f t="shared" si="10"/>
        <v>213809</v>
      </c>
      <c r="X66" s="363">
        <f>X$5</f>
        <v>17</v>
      </c>
      <c r="Y66" s="380">
        <f t="shared" si="11"/>
        <v>12577</v>
      </c>
      <c r="Z66" s="628">
        <f t="shared" si="12"/>
        <v>2059281</v>
      </c>
      <c r="AA66" s="638">
        <f t="shared" si="13"/>
        <v>15965.583674401718</v>
      </c>
      <c r="AB66" s="633">
        <f t="shared" si="21"/>
        <v>18509.399786738697</v>
      </c>
      <c r="AC66" s="398">
        <f t="shared" si="14"/>
        <v>23909.998519380737</v>
      </c>
      <c r="AD66" s="398">
        <f t="shared" si="15"/>
        <v>40776.231931369533</v>
      </c>
      <c r="AP66" s="353" t="s">
        <v>264</v>
      </c>
      <c r="AQ66" t="s">
        <v>702</v>
      </c>
      <c r="AR66" s="653">
        <f t="shared" si="16"/>
        <v>18</v>
      </c>
      <c r="AW66" s="669">
        <v>7</v>
      </c>
      <c r="AX66" s="672" t="s">
        <v>718</v>
      </c>
      <c r="AY66" s="665">
        <v>22</v>
      </c>
      <c r="AZ66" s="668">
        <f t="shared" si="17"/>
        <v>0</v>
      </c>
    </row>
    <row r="67" spans="1:52" ht="14.25" customHeight="1">
      <c r="A67" s="448" t="s">
        <v>762</v>
      </c>
      <c r="B67" s="413">
        <f t="shared" si="32"/>
        <v>101334.10922112802</v>
      </c>
      <c r="C67" s="409" t="s">
        <v>65</v>
      </c>
      <c r="D67" s="377" t="s">
        <v>375</v>
      </c>
      <c r="E67" s="371" t="s">
        <v>267</v>
      </c>
      <c r="F67" s="378">
        <v>22.34</v>
      </c>
      <c r="G67" s="616">
        <v>2000000</v>
      </c>
      <c r="H67" s="617">
        <f t="shared" si="2"/>
        <v>111700</v>
      </c>
      <c r="I67" s="622">
        <f t="shared" si="3"/>
        <v>13404</v>
      </c>
      <c r="J67" s="659">
        <f t="shared" si="33"/>
        <v>63700</v>
      </c>
      <c r="K67" s="677">
        <v>75000</v>
      </c>
      <c r="L67" s="652">
        <f t="shared" si="18"/>
        <v>2263804</v>
      </c>
      <c r="M67" s="352">
        <f t="shared" si="4"/>
        <v>200000</v>
      </c>
      <c r="N67" s="352">
        <f t="shared" si="23"/>
        <v>2063804</v>
      </c>
      <c r="O67" s="695">
        <v>20000</v>
      </c>
      <c r="P67" s="650">
        <v>50000</v>
      </c>
      <c r="Q67" s="458">
        <f t="shared" si="5"/>
        <v>169785.3</v>
      </c>
      <c r="R67" s="458">
        <f t="shared" si="6"/>
        <v>56595.100000000006</v>
      </c>
      <c r="S67" s="651">
        <f t="shared" si="7"/>
        <v>2290184.4</v>
      </c>
      <c r="T67" s="417">
        <f t="shared" si="8"/>
        <v>0.1</v>
      </c>
      <c r="U67" s="372">
        <f t="shared" si="9"/>
        <v>229018.44</v>
      </c>
      <c r="V67" s="373">
        <f>V5</f>
        <v>15000</v>
      </c>
      <c r="W67" s="352">
        <f t="shared" si="10"/>
        <v>214018.44</v>
      </c>
      <c r="X67" s="363">
        <f>X$5</f>
        <v>17</v>
      </c>
      <c r="Y67" s="380">
        <f t="shared" si="11"/>
        <v>12589.32</v>
      </c>
      <c r="Z67" s="628">
        <f t="shared" si="12"/>
        <v>2061165.96</v>
      </c>
      <c r="AA67" s="638">
        <f t="shared" si="13"/>
        <v>15980.197749218558</v>
      </c>
      <c r="AB67" s="633">
        <f t="shared" si="21"/>
        <v>18526.34234009689</v>
      </c>
      <c r="AC67" s="398">
        <f t="shared" si="14"/>
        <v>23931.884503279533</v>
      </c>
      <c r="AD67" s="398">
        <f t="shared" si="15"/>
        <v>40813.556398570145</v>
      </c>
      <c r="AP67" s="353" t="s">
        <v>264</v>
      </c>
      <c r="AR67" s="653">
        <f t="shared" si="16"/>
        <v>18</v>
      </c>
      <c r="AW67" s="669">
        <v>8</v>
      </c>
      <c r="AX67" s="671" t="s">
        <v>720</v>
      </c>
      <c r="AY67" s="666">
        <v>22.34</v>
      </c>
      <c r="AZ67" s="668">
        <f t="shared" si="17"/>
        <v>0</v>
      </c>
    </row>
    <row r="68" spans="1:52" ht="14.25" customHeight="1">
      <c r="A68" s="414" t="s">
        <v>762</v>
      </c>
      <c r="B68" s="413">
        <f t="shared" si="32"/>
        <v>102813.63636363637</v>
      </c>
      <c r="C68" s="409" t="s">
        <v>79</v>
      </c>
      <c r="D68" s="377" t="s">
        <v>378</v>
      </c>
      <c r="E68" s="371" t="s">
        <v>267</v>
      </c>
      <c r="F68" s="378">
        <v>22</v>
      </c>
      <c r="G68" s="616">
        <v>2000000</v>
      </c>
      <c r="H68" s="617">
        <f t="shared" si="2"/>
        <v>110000</v>
      </c>
      <c r="I68" s="622">
        <f t="shared" si="3"/>
        <v>13200</v>
      </c>
      <c r="J68" s="659">
        <f t="shared" si="33"/>
        <v>63700</v>
      </c>
      <c r="K68" s="677">
        <v>75000</v>
      </c>
      <c r="L68" s="652">
        <f t="shared" si="18"/>
        <v>2261900</v>
      </c>
      <c r="M68" s="352">
        <f t="shared" si="4"/>
        <v>200000</v>
      </c>
      <c r="N68" s="352">
        <f t="shared" si="23"/>
        <v>2061900</v>
      </c>
      <c r="O68" s="695">
        <v>20000</v>
      </c>
      <c r="P68" s="650">
        <v>50000</v>
      </c>
      <c r="Q68" s="458">
        <f t="shared" si="5"/>
        <v>169642.5</v>
      </c>
      <c r="R68" s="458">
        <f t="shared" si="6"/>
        <v>56547.5</v>
      </c>
      <c r="S68" s="651">
        <f t="shared" si="7"/>
        <v>2288090</v>
      </c>
      <c r="T68" s="417">
        <f t="shared" si="8"/>
        <v>0.1</v>
      </c>
      <c r="U68" s="372">
        <f t="shared" si="9"/>
        <v>228809</v>
      </c>
      <c r="V68" s="373">
        <f t="shared" ref="V68:V76" si="40">V$5</f>
        <v>15000</v>
      </c>
      <c r="W68" s="352">
        <f t="shared" si="10"/>
        <v>213809</v>
      </c>
      <c r="X68" s="363">
        <f t="shared" ref="X68:X76" si="41">X$5</f>
        <v>17</v>
      </c>
      <c r="Y68" s="380">
        <f t="shared" si="11"/>
        <v>12577</v>
      </c>
      <c r="Z68" s="628">
        <f t="shared" si="12"/>
        <v>2059281</v>
      </c>
      <c r="AA68" s="638">
        <f t="shared" si="13"/>
        <v>15965.583674401718</v>
      </c>
      <c r="AB68" s="633">
        <f t="shared" si="21"/>
        <v>18509.399786738697</v>
      </c>
      <c r="AC68" s="398">
        <f t="shared" si="14"/>
        <v>23909.998519380737</v>
      </c>
      <c r="AD68" s="398">
        <f t="shared" si="15"/>
        <v>40776.231931369533</v>
      </c>
      <c r="AP68" s="353" t="s">
        <v>264</v>
      </c>
      <c r="AR68" s="653">
        <f t="shared" si="16"/>
        <v>18</v>
      </c>
      <c r="AW68" s="669">
        <v>9</v>
      </c>
      <c r="AX68" s="670" t="s">
        <v>722</v>
      </c>
      <c r="AY68" s="665">
        <v>22</v>
      </c>
      <c r="AZ68" s="668">
        <f t="shared" si="17"/>
        <v>0</v>
      </c>
    </row>
    <row r="69" spans="1:52" ht="14.25" customHeight="1">
      <c r="A69" s="404" t="s">
        <v>762</v>
      </c>
      <c r="B69" s="413">
        <f t="shared" si="32"/>
        <v>102813.63636363637</v>
      </c>
      <c r="C69" s="409" t="s">
        <v>79</v>
      </c>
      <c r="D69" s="377" t="s">
        <v>381</v>
      </c>
      <c r="E69" s="371" t="s">
        <v>267</v>
      </c>
      <c r="F69" s="378">
        <v>22</v>
      </c>
      <c r="G69" s="616">
        <v>2000000</v>
      </c>
      <c r="H69" s="617">
        <f t="shared" si="2"/>
        <v>110000</v>
      </c>
      <c r="I69" s="622">
        <f t="shared" si="3"/>
        <v>13200</v>
      </c>
      <c r="J69" s="659">
        <f t="shared" si="33"/>
        <v>63700</v>
      </c>
      <c r="K69" s="677">
        <v>75000</v>
      </c>
      <c r="L69" s="652">
        <f t="shared" si="18"/>
        <v>2261900</v>
      </c>
      <c r="M69" s="352">
        <f t="shared" si="4"/>
        <v>200000</v>
      </c>
      <c r="N69" s="352">
        <f t="shared" si="23"/>
        <v>2061900</v>
      </c>
      <c r="O69" s="695">
        <v>20000</v>
      </c>
      <c r="P69" s="650">
        <v>50000</v>
      </c>
      <c r="Q69" s="458">
        <f t="shared" si="5"/>
        <v>169642.5</v>
      </c>
      <c r="R69" s="458">
        <f t="shared" si="6"/>
        <v>56547.5</v>
      </c>
      <c r="S69" s="651">
        <f t="shared" si="7"/>
        <v>2288090</v>
      </c>
      <c r="T69" s="417">
        <f t="shared" si="8"/>
        <v>0.1</v>
      </c>
      <c r="U69" s="372">
        <f t="shared" si="9"/>
        <v>228809</v>
      </c>
      <c r="V69" s="373">
        <f t="shared" si="40"/>
        <v>15000</v>
      </c>
      <c r="W69" s="352">
        <f t="shared" si="10"/>
        <v>213809</v>
      </c>
      <c r="X69" s="363">
        <f t="shared" si="41"/>
        <v>17</v>
      </c>
      <c r="Y69" s="380">
        <f t="shared" si="11"/>
        <v>12577</v>
      </c>
      <c r="Z69" s="628">
        <f t="shared" si="12"/>
        <v>2059281</v>
      </c>
      <c r="AA69" s="638">
        <f t="shared" si="13"/>
        <v>15965.583674401718</v>
      </c>
      <c r="AB69" s="633">
        <f t="shared" si="21"/>
        <v>18509.399786738697</v>
      </c>
      <c r="AC69" s="398">
        <f t="shared" si="14"/>
        <v>23909.998519380737</v>
      </c>
      <c r="AD69" s="398">
        <f t="shared" si="15"/>
        <v>40776.231931369533</v>
      </c>
      <c r="AP69" s="353" t="s">
        <v>264</v>
      </c>
      <c r="AQ69" t="s">
        <v>702</v>
      </c>
      <c r="AR69" s="653">
        <f t="shared" si="16"/>
        <v>18</v>
      </c>
      <c r="AW69" s="669">
        <v>10</v>
      </c>
      <c r="AX69" s="670" t="s">
        <v>724</v>
      </c>
      <c r="AY69" s="665">
        <v>22</v>
      </c>
      <c r="AZ69" s="668">
        <f t="shared" si="17"/>
        <v>0</v>
      </c>
    </row>
    <row r="70" spans="1:52" ht="14.25" customHeight="1">
      <c r="A70" s="404" t="s">
        <v>762</v>
      </c>
      <c r="B70" s="413">
        <f t="shared" si="32"/>
        <v>102813.63636363637</v>
      </c>
      <c r="C70" s="409" t="s">
        <v>79</v>
      </c>
      <c r="D70" s="377" t="s">
        <v>384</v>
      </c>
      <c r="E70" s="371" t="s">
        <v>267</v>
      </c>
      <c r="F70" s="378">
        <v>22</v>
      </c>
      <c r="G70" s="616">
        <v>2000000</v>
      </c>
      <c r="H70" s="617">
        <f t="shared" si="2"/>
        <v>110000</v>
      </c>
      <c r="I70" s="622">
        <f t="shared" si="3"/>
        <v>13200</v>
      </c>
      <c r="J70" s="659">
        <f t="shared" si="33"/>
        <v>63700</v>
      </c>
      <c r="K70" s="677">
        <v>75000</v>
      </c>
      <c r="L70" s="652">
        <f t="shared" si="18"/>
        <v>2261900</v>
      </c>
      <c r="M70" s="352">
        <f t="shared" si="4"/>
        <v>200000</v>
      </c>
      <c r="N70" s="352">
        <f>L70-M70</f>
        <v>2061900</v>
      </c>
      <c r="O70" s="695">
        <v>20000</v>
      </c>
      <c r="P70" s="650">
        <v>50000</v>
      </c>
      <c r="Q70" s="458">
        <f t="shared" si="5"/>
        <v>169642.5</v>
      </c>
      <c r="R70" s="458">
        <f t="shared" si="6"/>
        <v>56547.5</v>
      </c>
      <c r="S70" s="651">
        <f t="shared" si="7"/>
        <v>2288090</v>
      </c>
      <c r="T70" s="417">
        <f t="shared" si="8"/>
        <v>0.1</v>
      </c>
      <c r="U70" s="372">
        <f t="shared" si="9"/>
        <v>228809</v>
      </c>
      <c r="V70" s="372">
        <f t="shared" si="40"/>
        <v>15000</v>
      </c>
      <c r="W70" s="383">
        <f t="shared" si="10"/>
        <v>213809</v>
      </c>
      <c r="X70" s="384">
        <f t="shared" si="41"/>
        <v>17</v>
      </c>
      <c r="Y70" s="373">
        <f t="shared" si="11"/>
        <v>12577</v>
      </c>
      <c r="Z70" s="628">
        <f t="shared" si="12"/>
        <v>2059281</v>
      </c>
      <c r="AA70" s="638">
        <f t="shared" si="13"/>
        <v>15965.583674401718</v>
      </c>
      <c r="AB70" s="633">
        <f t="shared" si="21"/>
        <v>18509.399786738697</v>
      </c>
      <c r="AC70" s="398">
        <f t="shared" si="14"/>
        <v>23909.998519380737</v>
      </c>
      <c r="AD70" s="398">
        <f t="shared" si="15"/>
        <v>40776.231931369533</v>
      </c>
      <c r="AP70" s="353" t="s">
        <v>264</v>
      </c>
      <c r="AQ70" t="s">
        <v>702</v>
      </c>
      <c r="AR70" s="653">
        <f t="shared" si="16"/>
        <v>18</v>
      </c>
      <c r="AW70" s="669">
        <v>11</v>
      </c>
      <c r="AX70" s="670" t="s">
        <v>726</v>
      </c>
      <c r="AY70" s="665">
        <v>22</v>
      </c>
      <c r="AZ70" s="668">
        <f t="shared" si="17"/>
        <v>0</v>
      </c>
    </row>
    <row r="71" spans="1:52" ht="14.25" customHeight="1">
      <c r="A71" s="404" t="s">
        <v>762</v>
      </c>
      <c r="B71" s="413">
        <f t="shared" ref="B71:B102" si="42">L71/F71</f>
        <v>102813.63636363637</v>
      </c>
      <c r="C71" s="409" t="s">
        <v>79</v>
      </c>
      <c r="D71" s="377" t="s">
        <v>387</v>
      </c>
      <c r="E71" s="371" t="s">
        <v>267</v>
      </c>
      <c r="F71" s="378">
        <v>22</v>
      </c>
      <c r="G71" s="616">
        <v>2000000</v>
      </c>
      <c r="H71" s="617">
        <f t="shared" si="2"/>
        <v>110000</v>
      </c>
      <c r="I71" s="622">
        <f t="shared" si="3"/>
        <v>13200</v>
      </c>
      <c r="J71" s="659">
        <f t="shared" ref="J71:J102" si="43">+(O71+P71)*$J$5</f>
        <v>63700</v>
      </c>
      <c r="K71" s="677">
        <v>75000</v>
      </c>
      <c r="L71" s="652">
        <f t="shared" si="18"/>
        <v>2261900</v>
      </c>
      <c r="M71" s="352">
        <f t="shared" si="4"/>
        <v>200000</v>
      </c>
      <c r="N71" s="352">
        <f t="shared" si="23"/>
        <v>2061900</v>
      </c>
      <c r="O71" s="695">
        <v>20000</v>
      </c>
      <c r="P71" s="650">
        <v>50000</v>
      </c>
      <c r="Q71" s="458">
        <f t="shared" si="5"/>
        <v>169642.5</v>
      </c>
      <c r="R71" s="458">
        <f t="shared" si="6"/>
        <v>56547.5</v>
      </c>
      <c r="S71" s="651">
        <f t="shared" si="7"/>
        <v>2288090</v>
      </c>
      <c r="T71" s="417">
        <f t="shared" si="8"/>
        <v>0.1</v>
      </c>
      <c r="U71" s="372">
        <f t="shared" si="9"/>
        <v>228809</v>
      </c>
      <c r="V71" s="372">
        <f t="shared" si="40"/>
        <v>15000</v>
      </c>
      <c r="W71" s="372">
        <f t="shared" si="10"/>
        <v>213809</v>
      </c>
      <c r="X71" s="368">
        <f t="shared" si="41"/>
        <v>17</v>
      </c>
      <c r="Y71" s="373">
        <f t="shared" si="11"/>
        <v>12577</v>
      </c>
      <c r="Z71" s="628">
        <f t="shared" si="12"/>
        <v>2059281</v>
      </c>
      <c r="AA71" s="638">
        <f t="shared" si="13"/>
        <v>15965.583674401718</v>
      </c>
      <c r="AB71" s="633">
        <f t="shared" si="21"/>
        <v>18509.399786738697</v>
      </c>
      <c r="AC71" s="398">
        <f t="shared" si="14"/>
        <v>23909.998519380737</v>
      </c>
      <c r="AD71" s="398">
        <f t="shared" si="15"/>
        <v>40776.231931369533</v>
      </c>
      <c r="AP71" s="353" t="s">
        <v>264</v>
      </c>
      <c r="AQ71" t="s">
        <v>702</v>
      </c>
      <c r="AR71" s="653">
        <f t="shared" si="16"/>
        <v>18</v>
      </c>
      <c r="AW71" s="669">
        <v>12</v>
      </c>
      <c r="AX71" s="670" t="s">
        <v>728</v>
      </c>
      <c r="AY71" s="665">
        <v>22</v>
      </c>
      <c r="AZ71" s="668">
        <f t="shared" si="17"/>
        <v>0</v>
      </c>
    </row>
    <row r="72" spans="1:52" ht="14.25" customHeight="1">
      <c r="A72" s="404" t="s">
        <v>762</v>
      </c>
      <c r="B72" s="413">
        <f t="shared" si="42"/>
        <v>102813.63636363637</v>
      </c>
      <c r="C72" s="409" t="s">
        <v>79</v>
      </c>
      <c r="D72" s="377" t="s">
        <v>390</v>
      </c>
      <c r="E72" s="371" t="s">
        <v>267</v>
      </c>
      <c r="F72" s="378">
        <v>22</v>
      </c>
      <c r="G72" s="616">
        <v>2000000</v>
      </c>
      <c r="H72" s="617">
        <f t="shared" ref="H72:H135" si="44">H$5*F72</f>
        <v>110000</v>
      </c>
      <c r="I72" s="622">
        <f t="shared" ref="I72:I135" si="45">H72*I$5</f>
        <v>13200</v>
      </c>
      <c r="J72" s="659">
        <f t="shared" si="43"/>
        <v>63700</v>
      </c>
      <c r="K72" s="677">
        <v>75000</v>
      </c>
      <c r="L72" s="652">
        <f t="shared" ref="L72:L135" si="46">G72+H72+I72+J72+K72</f>
        <v>2261900</v>
      </c>
      <c r="M72" s="352">
        <f t="shared" ref="M72:M77" si="47">M$155</f>
        <v>200000</v>
      </c>
      <c r="N72" s="352">
        <f t="shared" ref="N72:N77" si="48">L72-M72</f>
        <v>2061900</v>
      </c>
      <c r="O72" s="695">
        <v>20000</v>
      </c>
      <c r="P72" s="650">
        <v>50000</v>
      </c>
      <c r="Q72" s="458">
        <f t="shared" ref="Q72:Q135" si="49">L72*Q$5</f>
        <v>169642.5</v>
      </c>
      <c r="R72" s="458">
        <f t="shared" ref="R72:R135" si="50">L72*R$5</f>
        <v>56547.5</v>
      </c>
      <c r="S72" s="651">
        <f t="shared" ref="S72:S77" si="51">+N72+Q72+R72</f>
        <v>2288090</v>
      </c>
      <c r="T72" s="417">
        <f t="shared" ref="T72:T77" si="52">T$3</f>
        <v>0.1</v>
      </c>
      <c r="U72" s="372">
        <f t="shared" si="9"/>
        <v>228809</v>
      </c>
      <c r="V72" s="372">
        <f t="shared" si="40"/>
        <v>15000</v>
      </c>
      <c r="W72" s="372">
        <f t="shared" si="10"/>
        <v>213809</v>
      </c>
      <c r="X72" s="368">
        <f t="shared" si="41"/>
        <v>17</v>
      </c>
      <c r="Y72" s="373">
        <f t="shared" si="11"/>
        <v>12577</v>
      </c>
      <c r="Z72" s="628">
        <f t="shared" ref="Z72:Z135" si="53">S72*(100%-T72)</f>
        <v>2059281</v>
      </c>
      <c r="AA72" s="638">
        <f t="shared" ref="AA72:AA135" si="54">Z72*AA$5</f>
        <v>15965.583674401718</v>
      </c>
      <c r="AB72" s="633">
        <f t="shared" ref="AB72:AB135" si="55">Z72*$AB$5</f>
        <v>18509.399786738697</v>
      </c>
      <c r="AC72" s="398">
        <f t="shared" ref="AC72:AC135" si="56">Z72*$AC$5</f>
        <v>23909.998519380737</v>
      </c>
      <c r="AD72" s="398">
        <f t="shared" ref="AD72:AD135" si="57">Z72*$AD$5</f>
        <v>40776.231931369533</v>
      </c>
      <c r="AP72" s="353" t="s">
        <v>264</v>
      </c>
      <c r="AQ72" t="s">
        <v>702</v>
      </c>
      <c r="AR72" s="653">
        <f t="shared" ref="AR72:AR135" si="58">X72+AR$5</f>
        <v>18</v>
      </c>
      <c r="AW72" s="669">
        <v>13</v>
      </c>
      <c r="AX72" s="670" t="s">
        <v>730</v>
      </c>
      <c r="AY72" s="665">
        <v>22</v>
      </c>
      <c r="AZ72" s="668">
        <f t="shared" ref="AZ72:AZ135" si="59">AY72-F72</f>
        <v>0</v>
      </c>
    </row>
    <row r="73" spans="1:52" ht="14.25" customHeight="1">
      <c r="A73" s="404" t="s">
        <v>762</v>
      </c>
      <c r="B73" s="413">
        <f t="shared" si="42"/>
        <v>102813.63636363637</v>
      </c>
      <c r="C73" s="409" t="s">
        <v>79</v>
      </c>
      <c r="D73" s="377" t="s">
        <v>393</v>
      </c>
      <c r="E73" s="371" t="s">
        <v>267</v>
      </c>
      <c r="F73" s="378">
        <v>22</v>
      </c>
      <c r="G73" s="616">
        <v>2000000</v>
      </c>
      <c r="H73" s="617">
        <f t="shared" si="44"/>
        <v>110000</v>
      </c>
      <c r="I73" s="622">
        <f t="shared" si="45"/>
        <v>13200</v>
      </c>
      <c r="J73" s="659">
        <f t="shared" si="43"/>
        <v>63700</v>
      </c>
      <c r="K73" s="677">
        <v>75000</v>
      </c>
      <c r="L73" s="652">
        <f t="shared" si="46"/>
        <v>2261900</v>
      </c>
      <c r="M73" s="352">
        <f t="shared" si="47"/>
        <v>200000</v>
      </c>
      <c r="N73" s="352">
        <f t="shared" si="48"/>
        <v>2061900</v>
      </c>
      <c r="O73" s="695">
        <v>20000</v>
      </c>
      <c r="P73" s="650">
        <v>50000</v>
      </c>
      <c r="Q73" s="458">
        <f t="shared" si="49"/>
        <v>169642.5</v>
      </c>
      <c r="R73" s="458">
        <f t="shared" si="50"/>
        <v>56547.5</v>
      </c>
      <c r="S73" s="651">
        <f t="shared" si="51"/>
        <v>2288090</v>
      </c>
      <c r="T73" s="417">
        <f t="shared" si="52"/>
        <v>0.1</v>
      </c>
      <c r="U73" s="372">
        <f t="shared" si="9"/>
        <v>228809</v>
      </c>
      <c r="V73" s="372">
        <f t="shared" si="40"/>
        <v>15000</v>
      </c>
      <c r="W73" s="372">
        <f t="shared" si="10"/>
        <v>213809</v>
      </c>
      <c r="X73" s="368">
        <f t="shared" si="41"/>
        <v>17</v>
      </c>
      <c r="Y73" s="373">
        <f t="shared" si="11"/>
        <v>12577</v>
      </c>
      <c r="Z73" s="628">
        <f t="shared" si="53"/>
        <v>2059281</v>
      </c>
      <c r="AA73" s="638">
        <f t="shared" si="54"/>
        <v>15965.583674401718</v>
      </c>
      <c r="AB73" s="633">
        <f t="shared" si="55"/>
        <v>18509.399786738697</v>
      </c>
      <c r="AC73" s="398">
        <f t="shared" si="56"/>
        <v>23909.998519380737</v>
      </c>
      <c r="AD73" s="398">
        <f t="shared" si="57"/>
        <v>40776.231931369533</v>
      </c>
      <c r="AP73" s="353" t="s">
        <v>264</v>
      </c>
      <c r="AQ73" t="s">
        <v>702</v>
      </c>
      <c r="AR73" s="653">
        <f t="shared" si="58"/>
        <v>18</v>
      </c>
      <c r="AW73" s="669">
        <v>14</v>
      </c>
      <c r="AX73" s="670" t="s">
        <v>732</v>
      </c>
      <c r="AY73" s="665">
        <v>22</v>
      </c>
      <c r="AZ73" s="668">
        <f t="shared" si="59"/>
        <v>0</v>
      </c>
    </row>
    <row r="74" spans="1:52" ht="14.25" customHeight="1">
      <c r="A74" s="404" t="s">
        <v>762</v>
      </c>
      <c r="B74" s="413">
        <f t="shared" si="42"/>
        <v>102813.63636363637</v>
      </c>
      <c r="C74" s="409" t="s">
        <v>79</v>
      </c>
      <c r="D74" s="377" t="s">
        <v>396</v>
      </c>
      <c r="E74" s="371" t="s">
        <v>267</v>
      </c>
      <c r="F74" s="378">
        <v>22</v>
      </c>
      <c r="G74" s="616">
        <v>2000000</v>
      </c>
      <c r="H74" s="617">
        <f t="shared" si="44"/>
        <v>110000</v>
      </c>
      <c r="I74" s="622">
        <f t="shared" si="45"/>
        <v>13200</v>
      </c>
      <c r="J74" s="659">
        <f t="shared" si="43"/>
        <v>63700</v>
      </c>
      <c r="K74" s="677">
        <v>75000</v>
      </c>
      <c r="L74" s="652">
        <f t="shared" si="46"/>
        <v>2261900</v>
      </c>
      <c r="M74" s="352">
        <f t="shared" si="47"/>
        <v>200000</v>
      </c>
      <c r="N74" s="352">
        <f t="shared" si="48"/>
        <v>2061900</v>
      </c>
      <c r="O74" s="695">
        <v>20000</v>
      </c>
      <c r="P74" s="650">
        <v>50000</v>
      </c>
      <c r="Q74" s="458">
        <f t="shared" si="49"/>
        <v>169642.5</v>
      </c>
      <c r="R74" s="458">
        <f t="shared" si="50"/>
        <v>56547.5</v>
      </c>
      <c r="S74" s="651">
        <f t="shared" si="51"/>
        <v>2288090</v>
      </c>
      <c r="T74" s="417">
        <f t="shared" si="52"/>
        <v>0.1</v>
      </c>
      <c r="U74" s="372">
        <f t="shared" si="9"/>
        <v>228809</v>
      </c>
      <c r="V74" s="372">
        <f t="shared" si="40"/>
        <v>15000</v>
      </c>
      <c r="W74" s="372">
        <f t="shared" si="10"/>
        <v>213809</v>
      </c>
      <c r="X74" s="368">
        <f t="shared" si="41"/>
        <v>17</v>
      </c>
      <c r="Y74" s="373">
        <f t="shared" si="11"/>
        <v>12577</v>
      </c>
      <c r="Z74" s="628">
        <f t="shared" si="53"/>
        <v>2059281</v>
      </c>
      <c r="AA74" s="638">
        <f t="shared" si="54"/>
        <v>15965.583674401718</v>
      </c>
      <c r="AB74" s="633">
        <f t="shared" si="55"/>
        <v>18509.399786738697</v>
      </c>
      <c r="AC74" s="398">
        <f t="shared" si="56"/>
        <v>23909.998519380737</v>
      </c>
      <c r="AD74" s="398">
        <f t="shared" si="57"/>
        <v>40776.231931369533</v>
      </c>
      <c r="AP74" s="353" t="s">
        <v>264</v>
      </c>
      <c r="AQ74" t="s">
        <v>702</v>
      </c>
      <c r="AR74" s="653">
        <f t="shared" si="58"/>
        <v>18</v>
      </c>
      <c r="AW74" s="669">
        <v>15</v>
      </c>
      <c r="AX74" s="670" t="s">
        <v>734</v>
      </c>
      <c r="AY74" s="665">
        <v>22</v>
      </c>
      <c r="AZ74" s="668">
        <f t="shared" si="59"/>
        <v>0</v>
      </c>
    </row>
    <row r="75" spans="1:52" ht="14.25" customHeight="1">
      <c r="A75" s="404" t="s">
        <v>762</v>
      </c>
      <c r="B75" s="413">
        <f t="shared" si="42"/>
        <v>102813.63636363637</v>
      </c>
      <c r="C75" s="409" t="s">
        <v>79</v>
      </c>
      <c r="D75" s="377" t="s">
        <v>399</v>
      </c>
      <c r="E75" s="371" t="s">
        <v>267</v>
      </c>
      <c r="F75" s="378">
        <v>22</v>
      </c>
      <c r="G75" s="616">
        <v>2000000</v>
      </c>
      <c r="H75" s="617">
        <f t="shared" si="44"/>
        <v>110000</v>
      </c>
      <c r="I75" s="622">
        <f t="shared" si="45"/>
        <v>13200</v>
      </c>
      <c r="J75" s="659">
        <f t="shared" si="43"/>
        <v>63700</v>
      </c>
      <c r="K75" s="677">
        <v>75000</v>
      </c>
      <c r="L75" s="652">
        <f t="shared" si="46"/>
        <v>2261900</v>
      </c>
      <c r="M75" s="352">
        <f t="shared" si="47"/>
        <v>200000</v>
      </c>
      <c r="N75" s="352">
        <f t="shared" si="48"/>
        <v>2061900</v>
      </c>
      <c r="O75" s="695">
        <v>20000</v>
      </c>
      <c r="P75" s="650">
        <v>50000</v>
      </c>
      <c r="Q75" s="458">
        <f t="shared" si="49"/>
        <v>169642.5</v>
      </c>
      <c r="R75" s="458">
        <f t="shared" si="50"/>
        <v>56547.5</v>
      </c>
      <c r="S75" s="651">
        <f t="shared" si="51"/>
        <v>2288090</v>
      </c>
      <c r="T75" s="417">
        <f t="shared" si="52"/>
        <v>0.1</v>
      </c>
      <c r="U75" s="372">
        <f t="shared" si="9"/>
        <v>228809</v>
      </c>
      <c r="V75" s="372">
        <f t="shared" si="40"/>
        <v>15000</v>
      </c>
      <c r="W75" s="372">
        <f t="shared" si="10"/>
        <v>213809</v>
      </c>
      <c r="X75" s="368">
        <f t="shared" si="41"/>
        <v>17</v>
      </c>
      <c r="Y75" s="373">
        <f t="shared" si="11"/>
        <v>12577</v>
      </c>
      <c r="Z75" s="628">
        <f t="shared" si="53"/>
        <v>2059281</v>
      </c>
      <c r="AA75" s="638">
        <f t="shared" si="54"/>
        <v>15965.583674401718</v>
      </c>
      <c r="AB75" s="633">
        <f t="shared" si="55"/>
        <v>18509.399786738697</v>
      </c>
      <c r="AC75" s="398">
        <f t="shared" si="56"/>
        <v>23909.998519380737</v>
      </c>
      <c r="AD75" s="398">
        <f t="shared" si="57"/>
        <v>40776.231931369533</v>
      </c>
      <c r="AP75" s="353" t="s">
        <v>264</v>
      </c>
      <c r="AR75" s="653">
        <f t="shared" si="58"/>
        <v>18</v>
      </c>
      <c r="AW75" s="669">
        <v>16</v>
      </c>
      <c r="AX75" s="670" t="s">
        <v>737</v>
      </c>
      <c r="AY75" s="665">
        <v>22</v>
      </c>
      <c r="AZ75" s="668">
        <f t="shared" si="59"/>
        <v>0</v>
      </c>
    </row>
    <row r="76" spans="1:52" ht="14.25" customHeight="1">
      <c r="A76" s="405" t="s">
        <v>762</v>
      </c>
      <c r="B76" s="413">
        <f t="shared" si="42"/>
        <v>102813.63636363637</v>
      </c>
      <c r="C76" s="409" t="s">
        <v>79</v>
      </c>
      <c r="D76" s="377" t="s">
        <v>402</v>
      </c>
      <c r="E76" s="371" t="s">
        <v>267</v>
      </c>
      <c r="F76" s="378">
        <v>22</v>
      </c>
      <c r="G76" s="616">
        <v>2000000</v>
      </c>
      <c r="H76" s="617">
        <f t="shared" si="44"/>
        <v>110000</v>
      </c>
      <c r="I76" s="622">
        <f t="shared" si="45"/>
        <v>13200</v>
      </c>
      <c r="J76" s="659">
        <f t="shared" si="43"/>
        <v>63700</v>
      </c>
      <c r="K76" s="677">
        <v>75000</v>
      </c>
      <c r="L76" s="652">
        <f t="shared" si="46"/>
        <v>2261900</v>
      </c>
      <c r="M76" s="352">
        <f t="shared" si="47"/>
        <v>200000</v>
      </c>
      <c r="N76" s="352">
        <f t="shared" si="48"/>
        <v>2061900</v>
      </c>
      <c r="O76" s="695">
        <v>20000</v>
      </c>
      <c r="P76" s="650">
        <v>50000</v>
      </c>
      <c r="Q76" s="458">
        <f t="shared" si="49"/>
        <v>169642.5</v>
      </c>
      <c r="R76" s="458">
        <f t="shared" si="50"/>
        <v>56547.5</v>
      </c>
      <c r="S76" s="651">
        <f t="shared" si="51"/>
        <v>2288090</v>
      </c>
      <c r="T76" s="417">
        <f t="shared" si="52"/>
        <v>0.1</v>
      </c>
      <c r="U76" s="372">
        <f t="shared" si="9"/>
        <v>228809</v>
      </c>
      <c r="V76" s="372">
        <f t="shared" si="40"/>
        <v>15000</v>
      </c>
      <c r="W76" s="372">
        <f t="shared" si="10"/>
        <v>213809</v>
      </c>
      <c r="X76" s="368">
        <f t="shared" si="41"/>
        <v>17</v>
      </c>
      <c r="Y76" s="373">
        <f t="shared" si="11"/>
        <v>12577</v>
      </c>
      <c r="Z76" s="628">
        <f t="shared" si="53"/>
        <v>2059281</v>
      </c>
      <c r="AA76" s="638">
        <f t="shared" si="54"/>
        <v>15965.583674401718</v>
      </c>
      <c r="AB76" s="633">
        <f t="shared" si="55"/>
        <v>18509.399786738697</v>
      </c>
      <c r="AC76" s="398">
        <f t="shared" si="56"/>
        <v>23909.998519380737</v>
      </c>
      <c r="AD76" s="398">
        <f t="shared" si="57"/>
        <v>40776.231931369533</v>
      </c>
      <c r="AP76" s="353" t="s">
        <v>264</v>
      </c>
      <c r="AR76" s="653">
        <f t="shared" si="58"/>
        <v>18</v>
      </c>
      <c r="AW76" s="669">
        <v>17</v>
      </c>
      <c r="AX76" s="672" t="s">
        <v>740</v>
      </c>
      <c r="AY76" s="665">
        <v>22</v>
      </c>
      <c r="AZ76" s="668">
        <f t="shared" si="59"/>
        <v>0</v>
      </c>
    </row>
    <row r="77" spans="1:52" ht="14.25" customHeight="1" thickBot="1">
      <c r="A77" s="448" t="s">
        <v>762</v>
      </c>
      <c r="B77" s="444">
        <f t="shared" si="42"/>
        <v>101334.10922112802</v>
      </c>
      <c r="C77" s="410" t="s">
        <v>65</v>
      </c>
      <c r="D77" s="386" t="s">
        <v>405</v>
      </c>
      <c r="E77" s="371" t="s">
        <v>267</v>
      </c>
      <c r="F77" s="387">
        <v>22.34</v>
      </c>
      <c r="G77" s="616">
        <v>2000000</v>
      </c>
      <c r="H77" s="617">
        <f t="shared" si="44"/>
        <v>111700</v>
      </c>
      <c r="I77" s="622">
        <f t="shared" si="45"/>
        <v>13404</v>
      </c>
      <c r="J77" s="659">
        <f t="shared" si="43"/>
        <v>63700</v>
      </c>
      <c r="K77" s="677">
        <v>75000</v>
      </c>
      <c r="L77" s="652">
        <f t="shared" si="46"/>
        <v>2263804</v>
      </c>
      <c r="M77" s="352">
        <f t="shared" si="47"/>
        <v>200000</v>
      </c>
      <c r="N77" s="352">
        <f t="shared" si="48"/>
        <v>2063804</v>
      </c>
      <c r="O77" s="695">
        <v>20000</v>
      </c>
      <c r="P77" s="650">
        <v>50000</v>
      </c>
      <c r="Q77" s="458">
        <f t="shared" si="49"/>
        <v>169785.3</v>
      </c>
      <c r="R77" s="458">
        <f t="shared" si="50"/>
        <v>56595.100000000006</v>
      </c>
      <c r="S77" s="651">
        <f t="shared" si="51"/>
        <v>2290184.4</v>
      </c>
      <c r="T77" s="417">
        <f t="shared" si="52"/>
        <v>0.1</v>
      </c>
      <c r="U77" s="374">
        <f t="shared" si="9"/>
        <v>229018.44</v>
      </c>
      <c r="V77" s="374">
        <f>V5</f>
        <v>15000</v>
      </c>
      <c r="W77" s="374">
        <f t="shared" si="10"/>
        <v>214018.44</v>
      </c>
      <c r="X77" s="364">
        <f>X$5</f>
        <v>17</v>
      </c>
      <c r="Y77" s="388">
        <f t="shared" si="11"/>
        <v>12589.32</v>
      </c>
      <c r="Z77" s="629">
        <f t="shared" si="53"/>
        <v>2061165.96</v>
      </c>
      <c r="AA77" s="638">
        <f t="shared" si="54"/>
        <v>15980.197749218558</v>
      </c>
      <c r="AB77" s="634">
        <f t="shared" si="55"/>
        <v>18526.34234009689</v>
      </c>
      <c r="AC77" s="446">
        <f t="shared" si="56"/>
        <v>23931.884503279533</v>
      </c>
      <c r="AD77" s="446">
        <f t="shared" si="57"/>
        <v>40813.556398570145</v>
      </c>
      <c r="AE77" t="s">
        <v>742</v>
      </c>
      <c r="AF77" t="s">
        <v>742</v>
      </c>
      <c r="AP77" s="353" t="s">
        <v>264</v>
      </c>
      <c r="AR77" s="653">
        <f t="shared" si="58"/>
        <v>18</v>
      </c>
      <c r="AW77" s="669">
        <v>18</v>
      </c>
      <c r="AX77" s="671" t="s">
        <v>760</v>
      </c>
      <c r="AY77" s="666">
        <v>22.34</v>
      </c>
      <c r="AZ77" s="668">
        <f t="shared" si="59"/>
        <v>0</v>
      </c>
    </row>
    <row r="78" spans="1:52" ht="14.25" customHeight="1">
      <c r="A78" s="414" t="s">
        <v>763</v>
      </c>
      <c r="B78" s="442">
        <f t="shared" si="42"/>
        <v>102813.63636363637</v>
      </c>
      <c r="C78" s="411" t="s">
        <v>65</v>
      </c>
      <c r="D78" s="389" t="s">
        <v>408</v>
      </c>
      <c r="E78" s="371" t="s">
        <v>267</v>
      </c>
      <c r="F78" s="390">
        <v>22</v>
      </c>
      <c r="G78" s="616">
        <v>2000000</v>
      </c>
      <c r="H78" s="617">
        <f t="shared" si="44"/>
        <v>110000</v>
      </c>
      <c r="I78" s="622">
        <f t="shared" si="45"/>
        <v>13200</v>
      </c>
      <c r="J78" s="659">
        <f t="shared" si="43"/>
        <v>63700</v>
      </c>
      <c r="K78" s="677">
        <v>75000</v>
      </c>
      <c r="L78" s="652">
        <f t="shared" si="46"/>
        <v>2261900</v>
      </c>
      <c r="M78" s="352">
        <f>M$156</f>
        <v>150000</v>
      </c>
      <c r="N78" s="352">
        <f>L78-M78</f>
        <v>2111900</v>
      </c>
      <c r="O78" s="695">
        <v>20000</v>
      </c>
      <c r="P78" s="650">
        <v>50000</v>
      </c>
      <c r="Q78" s="458">
        <f>L78*Q$5</f>
        <v>169642.5</v>
      </c>
      <c r="R78" s="458">
        <f>L78*R$5</f>
        <v>56547.5</v>
      </c>
      <c r="S78" s="651">
        <f>+N78+Q78+R78</f>
        <v>2338090</v>
      </c>
      <c r="T78" s="690">
        <f>T$5</f>
        <v>0.1</v>
      </c>
      <c r="U78" s="391">
        <f t="shared" si="9"/>
        <v>233809</v>
      </c>
      <c r="V78" s="391">
        <f>V5</f>
        <v>15000</v>
      </c>
      <c r="W78" s="391">
        <f t="shared" si="10"/>
        <v>218809</v>
      </c>
      <c r="X78" s="369">
        <f>X$5</f>
        <v>17</v>
      </c>
      <c r="Y78" s="392">
        <f t="shared" si="11"/>
        <v>12871.117647058823</v>
      </c>
      <c r="Z78" s="631">
        <f t="shared" si="53"/>
        <v>2104281</v>
      </c>
      <c r="AA78" s="638">
        <f t="shared" si="54"/>
        <v>16314.46819543021</v>
      </c>
      <c r="AB78" s="635">
        <f t="shared" si="55"/>
        <v>18913.872508238699</v>
      </c>
      <c r="AC78" s="443">
        <f t="shared" si="56"/>
        <v>24432.486675864548</v>
      </c>
      <c r="AD78" s="443">
        <f t="shared" si="57"/>
        <v>41667.285865685262</v>
      </c>
      <c r="AE78" t="s">
        <v>742</v>
      </c>
      <c r="AF78" t="s">
        <v>742</v>
      </c>
      <c r="AP78" s="353" t="s">
        <v>264</v>
      </c>
      <c r="AR78" s="653">
        <f t="shared" si="58"/>
        <v>18</v>
      </c>
      <c r="AW78" s="669">
        <v>1</v>
      </c>
      <c r="AX78" s="670" t="s">
        <v>700</v>
      </c>
      <c r="AY78" s="665">
        <v>22</v>
      </c>
      <c r="AZ78" s="668">
        <f t="shared" si="59"/>
        <v>0</v>
      </c>
    </row>
    <row r="79" spans="1:52" ht="14.25" customHeight="1">
      <c r="A79" s="404" t="s">
        <v>763</v>
      </c>
      <c r="B79" s="413">
        <f t="shared" si="42"/>
        <v>102813.63636363637</v>
      </c>
      <c r="C79" s="409" t="s">
        <v>79</v>
      </c>
      <c r="D79" s="377" t="s">
        <v>412</v>
      </c>
      <c r="E79" s="371" t="s">
        <v>267</v>
      </c>
      <c r="F79" s="376">
        <v>22</v>
      </c>
      <c r="G79" s="616">
        <v>2000000</v>
      </c>
      <c r="H79" s="617">
        <f t="shared" si="44"/>
        <v>110000</v>
      </c>
      <c r="I79" s="622">
        <f t="shared" si="45"/>
        <v>13200</v>
      </c>
      <c r="J79" s="659">
        <f t="shared" si="43"/>
        <v>63700</v>
      </c>
      <c r="K79" s="677">
        <v>75000</v>
      </c>
      <c r="L79" s="652">
        <f t="shared" si="46"/>
        <v>2261900</v>
      </c>
      <c r="M79" s="352">
        <f t="shared" ref="M79:M142" si="60">M$156</f>
        <v>150000</v>
      </c>
      <c r="N79" s="352">
        <f t="shared" ref="N79:N142" si="61">L79-M79</f>
        <v>2111900</v>
      </c>
      <c r="O79" s="695">
        <v>20000</v>
      </c>
      <c r="P79" s="650">
        <v>50000</v>
      </c>
      <c r="Q79" s="458">
        <f t="shared" si="49"/>
        <v>169642.5</v>
      </c>
      <c r="R79" s="458">
        <f t="shared" si="50"/>
        <v>56547.5</v>
      </c>
      <c r="S79" s="689">
        <f t="shared" ref="S79:S142" si="62">+N79+Q79+R79</f>
        <v>2338090</v>
      </c>
      <c r="T79" s="375">
        <f t="shared" ref="T79:T142" si="63">T$5</f>
        <v>0.1</v>
      </c>
      <c r="U79" s="376">
        <f t="shared" si="9"/>
        <v>233809</v>
      </c>
      <c r="V79" s="372">
        <f>V$5</f>
        <v>15000</v>
      </c>
      <c r="W79" s="372">
        <f t="shared" si="10"/>
        <v>218809</v>
      </c>
      <c r="X79" s="370">
        <f t="shared" ref="X79:X84" si="64">X$5</f>
        <v>17</v>
      </c>
      <c r="Y79" s="373">
        <f t="shared" si="11"/>
        <v>12871.117647058823</v>
      </c>
      <c r="Z79" s="628">
        <f t="shared" si="53"/>
        <v>2104281</v>
      </c>
      <c r="AA79" s="638">
        <f t="shared" si="54"/>
        <v>16314.46819543021</v>
      </c>
      <c r="AB79" s="633">
        <f t="shared" si="55"/>
        <v>18913.872508238699</v>
      </c>
      <c r="AC79" s="398">
        <f t="shared" si="56"/>
        <v>24432.486675864548</v>
      </c>
      <c r="AD79" s="398">
        <f t="shared" si="57"/>
        <v>41667.285865685262</v>
      </c>
      <c r="AP79" s="353" t="s">
        <v>264</v>
      </c>
      <c r="AR79" s="653">
        <f t="shared" si="58"/>
        <v>18</v>
      </c>
      <c r="AW79" s="669">
        <v>2</v>
      </c>
      <c r="AX79" s="670" t="s">
        <v>704</v>
      </c>
      <c r="AY79" s="665">
        <v>22</v>
      </c>
      <c r="AZ79" s="668">
        <f t="shared" si="59"/>
        <v>0</v>
      </c>
    </row>
    <row r="80" spans="1:52" ht="14.25" customHeight="1">
      <c r="A80" s="404" t="s">
        <v>763</v>
      </c>
      <c r="B80" s="413">
        <f t="shared" si="42"/>
        <v>102813.63636363637</v>
      </c>
      <c r="C80" s="409" t="s">
        <v>79</v>
      </c>
      <c r="D80" s="377" t="s">
        <v>415</v>
      </c>
      <c r="E80" s="371" t="s">
        <v>267</v>
      </c>
      <c r="F80" s="376">
        <v>22</v>
      </c>
      <c r="G80" s="616">
        <v>2000000</v>
      </c>
      <c r="H80" s="617">
        <f t="shared" si="44"/>
        <v>110000</v>
      </c>
      <c r="I80" s="622">
        <f t="shared" si="45"/>
        <v>13200</v>
      </c>
      <c r="J80" s="659">
        <f t="shared" si="43"/>
        <v>63700</v>
      </c>
      <c r="K80" s="677">
        <v>75000</v>
      </c>
      <c r="L80" s="652">
        <f t="shared" si="46"/>
        <v>2261900</v>
      </c>
      <c r="M80" s="352">
        <f t="shared" si="60"/>
        <v>150000</v>
      </c>
      <c r="N80" s="352">
        <f t="shared" si="61"/>
        <v>2111900</v>
      </c>
      <c r="O80" s="695">
        <v>20000</v>
      </c>
      <c r="P80" s="650">
        <v>50000</v>
      </c>
      <c r="Q80" s="458">
        <f t="shared" si="49"/>
        <v>169642.5</v>
      </c>
      <c r="R80" s="458">
        <f t="shared" si="50"/>
        <v>56547.5</v>
      </c>
      <c r="S80" s="689">
        <f t="shared" si="62"/>
        <v>2338090</v>
      </c>
      <c r="T80" s="375">
        <f t="shared" si="63"/>
        <v>0.1</v>
      </c>
      <c r="U80" s="376">
        <f t="shared" si="9"/>
        <v>233809</v>
      </c>
      <c r="V80" s="372">
        <f t="shared" ref="V80:V84" si="65">V$5</f>
        <v>15000</v>
      </c>
      <c r="W80" s="372">
        <f t="shared" si="10"/>
        <v>218809</v>
      </c>
      <c r="X80" s="370">
        <f t="shared" si="64"/>
        <v>17</v>
      </c>
      <c r="Y80" s="373">
        <f t="shared" si="11"/>
        <v>12871.117647058823</v>
      </c>
      <c r="Z80" s="628">
        <f t="shared" si="53"/>
        <v>2104281</v>
      </c>
      <c r="AA80" s="638">
        <f t="shared" si="54"/>
        <v>16314.46819543021</v>
      </c>
      <c r="AB80" s="633">
        <f t="shared" si="55"/>
        <v>18913.872508238699</v>
      </c>
      <c r="AC80" s="398">
        <f t="shared" si="56"/>
        <v>24432.486675864548</v>
      </c>
      <c r="AD80" s="398">
        <f t="shared" si="57"/>
        <v>41667.285865685262</v>
      </c>
      <c r="AP80" s="353" t="s">
        <v>243</v>
      </c>
      <c r="AR80" s="653">
        <f t="shared" si="58"/>
        <v>18</v>
      </c>
      <c r="AW80" s="669">
        <v>3</v>
      </c>
      <c r="AX80" s="670" t="s">
        <v>707</v>
      </c>
      <c r="AY80" s="665">
        <v>22</v>
      </c>
      <c r="AZ80" s="668">
        <f t="shared" si="59"/>
        <v>0</v>
      </c>
    </row>
    <row r="81" spans="1:52" ht="14.25" customHeight="1">
      <c r="A81" s="404" t="s">
        <v>763</v>
      </c>
      <c r="B81" s="413">
        <f t="shared" si="42"/>
        <v>102813.63636363637</v>
      </c>
      <c r="C81" s="409" t="s">
        <v>79</v>
      </c>
      <c r="D81" s="377" t="s">
        <v>418</v>
      </c>
      <c r="E81" s="371" t="s">
        <v>267</v>
      </c>
      <c r="F81" s="379">
        <v>22</v>
      </c>
      <c r="G81" s="616">
        <v>2000000</v>
      </c>
      <c r="H81" s="617">
        <f t="shared" si="44"/>
        <v>110000</v>
      </c>
      <c r="I81" s="622">
        <f t="shared" si="45"/>
        <v>13200</v>
      </c>
      <c r="J81" s="659">
        <f t="shared" si="43"/>
        <v>63700</v>
      </c>
      <c r="K81" s="677">
        <v>75000</v>
      </c>
      <c r="L81" s="652">
        <f t="shared" si="46"/>
        <v>2261900</v>
      </c>
      <c r="M81" s="352">
        <f t="shared" si="60"/>
        <v>150000</v>
      </c>
      <c r="N81" s="352">
        <f t="shared" si="61"/>
        <v>2111900</v>
      </c>
      <c r="O81" s="695">
        <v>20000</v>
      </c>
      <c r="P81" s="650">
        <v>50000</v>
      </c>
      <c r="Q81" s="458">
        <f t="shared" si="49"/>
        <v>169642.5</v>
      </c>
      <c r="R81" s="458">
        <f t="shared" si="50"/>
        <v>56547.5</v>
      </c>
      <c r="S81" s="689">
        <f t="shared" si="62"/>
        <v>2338090</v>
      </c>
      <c r="T81" s="375">
        <f t="shared" si="63"/>
        <v>0.1</v>
      </c>
      <c r="U81" s="376">
        <f t="shared" si="9"/>
        <v>233809</v>
      </c>
      <c r="V81" s="372">
        <f t="shared" si="65"/>
        <v>15000</v>
      </c>
      <c r="W81" s="372">
        <f t="shared" si="10"/>
        <v>218809</v>
      </c>
      <c r="X81" s="370">
        <f t="shared" si="64"/>
        <v>17</v>
      </c>
      <c r="Y81" s="373">
        <f t="shared" si="11"/>
        <v>12871.117647058823</v>
      </c>
      <c r="Z81" s="628">
        <f t="shared" si="53"/>
        <v>2104281</v>
      </c>
      <c r="AA81" s="638">
        <f t="shared" si="54"/>
        <v>16314.46819543021</v>
      </c>
      <c r="AB81" s="633">
        <f t="shared" si="55"/>
        <v>18913.872508238699</v>
      </c>
      <c r="AC81" s="398">
        <f t="shared" si="56"/>
        <v>24432.486675864548</v>
      </c>
      <c r="AD81" s="398">
        <f t="shared" si="57"/>
        <v>41667.285865685262</v>
      </c>
      <c r="AP81" s="353" t="s">
        <v>243</v>
      </c>
      <c r="AR81" s="653">
        <f t="shared" si="58"/>
        <v>18</v>
      </c>
      <c r="AW81" s="669">
        <v>4</v>
      </c>
      <c r="AX81" s="670" t="s">
        <v>710</v>
      </c>
      <c r="AY81" s="665">
        <v>22</v>
      </c>
      <c r="AZ81" s="668">
        <f t="shared" si="59"/>
        <v>0</v>
      </c>
    </row>
    <row r="82" spans="1:52" ht="14.25" customHeight="1">
      <c r="A82" s="404" t="s">
        <v>763</v>
      </c>
      <c r="B82" s="413">
        <f t="shared" si="42"/>
        <v>102813.63636363637</v>
      </c>
      <c r="C82" s="409" t="s">
        <v>79</v>
      </c>
      <c r="D82" s="377" t="s">
        <v>421</v>
      </c>
      <c r="E82" s="371" t="s">
        <v>267</v>
      </c>
      <c r="F82" s="378">
        <v>22</v>
      </c>
      <c r="G82" s="616">
        <v>2000000</v>
      </c>
      <c r="H82" s="617">
        <f t="shared" si="44"/>
        <v>110000</v>
      </c>
      <c r="I82" s="622">
        <f t="shared" si="45"/>
        <v>13200</v>
      </c>
      <c r="J82" s="659">
        <f t="shared" si="43"/>
        <v>63700</v>
      </c>
      <c r="K82" s="677">
        <v>75000</v>
      </c>
      <c r="L82" s="652">
        <f t="shared" si="46"/>
        <v>2261900</v>
      </c>
      <c r="M82" s="352">
        <f t="shared" si="60"/>
        <v>150000</v>
      </c>
      <c r="N82" s="352">
        <f t="shared" si="61"/>
        <v>2111900</v>
      </c>
      <c r="O82" s="695">
        <v>20000</v>
      </c>
      <c r="P82" s="650">
        <v>50000</v>
      </c>
      <c r="Q82" s="458">
        <f t="shared" si="49"/>
        <v>169642.5</v>
      </c>
      <c r="R82" s="458">
        <f t="shared" si="50"/>
        <v>56547.5</v>
      </c>
      <c r="S82" s="689">
        <f t="shared" si="62"/>
        <v>2338090</v>
      </c>
      <c r="T82" s="375">
        <f t="shared" si="63"/>
        <v>0.1</v>
      </c>
      <c r="U82" s="376">
        <f t="shared" si="9"/>
        <v>233809</v>
      </c>
      <c r="V82" s="372">
        <f t="shared" si="65"/>
        <v>15000</v>
      </c>
      <c r="W82" s="372">
        <f t="shared" si="10"/>
        <v>218809</v>
      </c>
      <c r="X82" s="370">
        <f t="shared" si="64"/>
        <v>17</v>
      </c>
      <c r="Y82" s="373">
        <f t="shared" si="11"/>
        <v>12871.117647058823</v>
      </c>
      <c r="Z82" s="628">
        <f t="shared" si="53"/>
        <v>2104281</v>
      </c>
      <c r="AA82" s="638">
        <f t="shared" si="54"/>
        <v>16314.46819543021</v>
      </c>
      <c r="AB82" s="633">
        <f t="shared" si="55"/>
        <v>18913.872508238699</v>
      </c>
      <c r="AC82" s="398">
        <f t="shared" si="56"/>
        <v>24432.486675864548</v>
      </c>
      <c r="AD82" s="398">
        <f t="shared" si="57"/>
        <v>41667.285865685262</v>
      </c>
      <c r="AP82" s="353" t="s">
        <v>243</v>
      </c>
      <c r="AR82" s="653">
        <f t="shared" si="58"/>
        <v>18</v>
      </c>
      <c r="AW82" s="669">
        <v>5</v>
      </c>
      <c r="AX82" s="670" t="s">
        <v>714</v>
      </c>
      <c r="AY82" s="665">
        <v>22</v>
      </c>
      <c r="AZ82" s="668">
        <f t="shared" si="59"/>
        <v>0</v>
      </c>
    </row>
    <row r="83" spans="1:52" ht="14.25" customHeight="1">
      <c r="A83" s="404" t="s">
        <v>763</v>
      </c>
      <c r="B83" s="413">
        <f t="shared" si="42"/>
        <v>102813.63636363637</v>
      </c>
      <c r="C83" s="409" t="s">
        <v>79</v>
      </c>
      <c r="D83" s="377" t="s">
        <v>424</v>
      </c>
      <c r="E83" s="371" t="s">
        <v>267</v>
      </c>
      <c r="F83" s="378">
        <v>22</v>
      </c>
      <c r="G83" s="616">
        <v>2000000</v>
      </c>
      <c r="H83" s="617">
        <f t="shared" si="44"/>
        <v>110000</v>
      </c>
      <c r="I83" s="622">
        <f t="shared" si="45"/>
        <v>13200</v>
      </c>
      <c r="J83" s="659">
        <f t="shared" si="43"/>
        <v>63700</v>
      </c>
      <c r="K83" s="677">
        <v>75000</v>
      </c>
      <c r="L83" s="652">
        <f t="shared" si="46"/>
        <v>2261900</v>
      </c>
      <c r="M83" s="352">
        <f t="shared" si="60"/>
        <v>150000</v>
      </c>
      <c r="N83" s="352">
        <f t="shared" si="61"/>
        <v>2111900</v>
      </c>
      <c r="O83" s="695">
        <v>20000</v>
      </c>
      <c r="P83" s="650">
        <v>50000</v>
      </c>
      <c r="Q83" s="458">
        <f t="shared" si="49"/>
        <v>169642.5</v>
      </c>
      <c r="R83" s="458">
        <f t="shared" si="50"/>
        <v>56547.5</v>
      </c>
      <c r="S83" s="689">
        <f t="shared" si="62"/>
        <v>2338090</v>
      </c>
      <c r="T83" s="375">
        <f t="shared" si="63"/>
        <v>0.1</v>
      </c>
      <c r="U83" s="376">
        <f t="shared" si="9"/>
        <v>233809</v>
      </c>
      <c r="V83" s="372">
        <f t="shared" si="65"/>
        <v>15000</v>
      </c>
      <c r="W83" s="372">
        <f t="shared" si="10"/>
        <v>218809</v>
      </c>
      <c r="X83" s="370">
        <f t="shared" si="64"/>
        <v>17</v>
      </c>
      <c r="Y83" s="373">
        <f t="shared" si="11"/>
        <v>12871.117647058823</v>
      </c>
      <c r="Z83" s="628">
        <f t="shared" si="53"/>
        <v>2104281</v>
      </c>
      <c r="AA83" s="638">
        <f t="shared" si="54"/>
        <v>16314.46819543021</v>
      </c>
      <c r="AB83" s="633">
        <f t="shared" si="55"/>
        <v>18913.872508238699</v>
      </c>
      <c r="AC83" s="398">
        <f t="shared" si="56"/>
        <v>24432.486675864548</v>
      </c>
      <c r="AD83" s="398">
        <f t="shared" si="57"/>
        <v>41667.285865685262</v>
      </c>
      <c r="AP83" s="353" t="s">
        <v>243</v>
      </c>
      <c r="AR83" s="653">
        <f t="shared" si="58"/>
        <v>18</v>
      </c>
      <c r="AW83" s="670">
        <v>6</v>
      </c>
      <c r="AX83" s="670" t="s">
        <v>716</v>
      </c>
      <c r="AY83" s="665">
        <v>22</v>
      </c>
      <c r="AZ83" s="668">
        <f t="shared" si="59"/>
        <v>0</v>
      </c>
    </row>
    <row r="84" spans="1:52" ht="14.25" customHeight="1">
      <c r="A84" s="404" t="s">
        <v>763</v>
      </c>
      <c r="B84" s="413">
        <f t="shared" si="42"/>
        <v>102813.63636363637</v>
      </c>
      <c r="C84" s="409" t="s">
        <v>79</v>
      </c>
      <c r="D84" s="377" t="s">
        <v>427</v>
      </c>
      <c r="E84" s="371" t="s">
        <v>267</v>
      </c>
      <c r="F84" s="378">
        <v>22</v>
      </c>
      <c r="G84" s="616">
        <v>2000000</v>
      </c>
      <c r="H84" s="617">
        <f t="shared" si="44"/>
        <v>110000</v>
      </c>
      <c r="I84" s="622">
        <f t="shared" si="45"/>
        <v>13200</v>
      </c>
      <c r="J84" s="659">
        <f t="shared" si="43"/>
        <v>63700</v>
      </c>
      <c r="K84" s="677">
        <v>75000</v>
      </c>
      <c r="L84" s="652">
        <f t="shared" si="46"/>
        <v>2261900</v>
      </c>
      <c r="M84" s="352">
        <f t="shared" si="60"/>
        <v>150000</v>
      </c>
      <c r="N84" s="352">
        <f t="shared" si="61"/>
        <v>2111900</v>
      </c>
      <c r="O84" s="695">
        <v>20000</v>
      </c>
      <c r="P84" s="650">
        <v>50000</v>
      </c>
      <c r="Q84" s="458">
        <f t="shared" si="49"/>
        <v>169642.5</v>
      </c>
      <c r="R84" s="458">
        <f t="shared" si="50"/>
        <v>56547.5</v>
      </c>
      <c r="S84" s="689">
        <f t="shared" si="62"/>
        <v>2338090</v>
      </c>
      <c r="T84" s="375">
        <f t="shared" si="63"/>
        <v>0.1</v>
      </c>
      <c r="U84" s="376">
        <f t="shared" si="9"/>
        <v>233809</v>
      </c>
      <c r="V84" s="372">
        <f t="shared" si="65"/>
        <v>15000</v>
      </c>
      <c r="W84" s="372">
        <f t="shared" si="10"/>
        <v>218809</v>
      </c>
      <c r="X84" s="370">
        <f t="shared" si="64"/>
        <v>17</v>
      </c>
      <c r="Y84" s="373">
        <f t="shared" si="11"/>
        <v>12871.117647058823</v>
      </c>
      <c r="Z84" s="628">
        <f t="shared" si="53"/>
        <v>2104281</v>
      </c>
      <c r="AA84" s="638">
        <f t="shared" si="54"/>
        <v>16314.46819543021</v>
      </c>
      <c r="AB84" s="633">
        <f t="shared" si="55"/>
        <v>18913.872508238699</v>
      </c>
      <c r="AC84" s="398">
        <f t="shared" si="56"/>
        <v>24432.486675864548</v>
      </c>
      <c r="AD84" s="398">
        <f t="shared" si="57"/>
        <v>41667.285865685262</v>
      </c>
      <c r="AP84" s="353" t="s">
        <v>243</v>
      </c>
      <c r="AR84" s="653">
        <f t="shared" si="58"/>
        <v>18</v>
      </c>
      <c r="AW84" s="669">
        <v>7</v>
      </c>
      <c r="AX84" s="672" t="s">
        <v>718</v>
      </c>
      <c r="AY84" s="665">
        <v>22</v>
      </c>
      <c r="AZ84" s="668">
        <f t="shared" si="59"/>
        <v>0</v>
      </c>
    </row>
    <row r="85" spans="1:52" ht="14.25" customHeight="1">
      <c r="A85" s="404" t="s">
        <v>763</v>
      </c>
      <c r="B85" s="413">
        <f t="shared" si="42"/>
        <v>101334.10922112802</v>
      </c>
      <c r="C85" s="409" t="s">
        <v>65</v>
      </c>
      <c r="D85" s="377" t="s">
        <v>429</v>
      </c>
      <c r="E85" s="371" t="s">
        <v>267</v>
      </c>
      <c r="F85" s="378">
        <v>22.34</v>
      </c>
      <c r="G85" s="616">
        <v>2000000</v>
      </c>
      <c r="H85" s="617">
        <f t="shared" si="44"/>
        <v>111700</v>
      </c>
      <c r="I85" s="622">
        <f t="shared" si="45"/>
        <v>13404</v>
      </c>
      <c r="J85" s="659">
        <f t="shared" si="43"/>
        <v>63700</v>
      </c>
      <c r="K85" s="677">
        <v>75000</v>
      </c>
      <c r="L85" s="652">
        <f t="shared" si="46"/>
        <v>2263804</v>
      </c>
      <c r="M85" s="352">
        <f t="shared" si="60"/>
        <v>150000</v>
      </c>
      <c r="N85" s="352">
        <f t="shared" si="61"/>
        <v>2113804</v>
      </c>
      <c r="O85" s="695">
        <v>20000</v>
      </c>
      <c r="P85" s="650">
        <v>50000</v>
      </c>
      <c r="Q85" s="458">
        <f t="shared" si="49"/>
        <v>169785.3</v>
      </c>
      <c r="R85" s="458">
        <f t="shared" si="50"/>
        <v>56595.100000000006</v>
      </c>
      <c r="S85" s="689">
        <f t="shared" si="62"/>
        <v>2340184.4</v>
      </c>
      <c r="T85" s="375">
        <f t="shared" si="63"/>
        <v>0.1</v>
      </c>
      <c r="U85" s="376">
        <f t="shared" si="9"/>
        <v>234018.44</v>
      </c>
      <c r="V85" s="372">
        <f>V5</f>
        <v>15000</v>
      </c>
      <c r="W85" s="372">
        <f t="shared" si="10"/>
        <v>219018.44</v>
      </c>
      <c r="X85" s="363">
        <f>X$5</f>
        <v>17</v>
      </c>
      <c r="Y85" s="373">
        <f t="shared" si="11"/>
        <v>12883.437647058823</v>
      </c>
      <c r="Z85" s="628">
        <f t="shared" si="53"/>
        <v>2106165.96</v>
      </c>
      <c r="AA85" s="638">
        <f t="shared" si="54"/>
        <v>16329.082270247052</v>
      </c>
      <c r="AB85" s="633">
        <f t="shared" si="55"/>
        <v>18930.815061596892</v>
      </c>
      <c r="AC85" s="398">
        <f t="shared" si="56"/>
        <v>24454.372659763339</v>
      </c>
      <c r="AD85" s="398">
        <f t="shared" si="57"/>
        <v>41704.610332885874</v>
      </c>
      <c r="AP85" s="353" t="s">
        <v>264</v>
      </c>
      <c r="AR85" s="653">
        <f t="shared" si="58"/>
        <v>18</v>
      </c>
      <c r="AW85" s="669">
        <v>8</v>
      </c>
      <c r="AX85" s="671" t="s">
        <v>720</v>
      </c>
      <c r="AY85" s="666">
        <v>22.34</v>
      </c>
      <c r="AZ85" s="668">
        <f t="shared" si="59"/>
        <v>0</v>
      </c>
    </row>
    <row r="86" spans="1:52" ht="14.25" customHeight="1">
      <c r="A86" s="404" t="s">
        <v>763</v>
      </c>
      <c r="B86" s="413">
        <f t="shared" si="42"/>
        <v>102813.63636363637</v>
      </c>
      <c r="C86" s="409" t="s">
        <v>79</v>
      </c>
      <c r="D86" s="377" t="s">
        <v>431</v>
      </c>
      <c r="E86" s="371" t="s">
        <v>267</v>
      </c>
      <c r="F86" s="378">
        <v>22</v>
      </c>
      <c r="G86" s="616">
        <v>2000000</v>
      </c>
      <c r="H86" s="617">
        <f t="shared" si="44"/>
        <v>110000</v>
      </c>
      <c r="I86" s="622">
        <f t="shared" si="45"/>
        <v>13200</v>
      </c>
      <c r="J86" s="659">
        <f t="shared" si="43"/>
        <v>63700</v>
      </c>
      <c r="K86" s="677">
        <v>75000</v>
      </c>
      <c r="L86" s="652">
        <f t="shared" si="46"/>
        <v>2261900</v>
      </c>
      <c r="M86" s="352">
        <f t="shared" si="60"/>
        <v>150000</v>
      </c>
      <c r="N86" s="352">
        <f t="shared" si="61"/>
        <v>2111900</v>
      </c>
      <c r="O86" s="695">
        <v>20000</v>
      </c>
      <c r="P86" s="650">
        <v>50000</v>
      </c>
      <c r="Q86" s="458">
        <f t="shared" si="49"/>
        <v>169642.5</v>
      </c>
      <c r="R86" s="458">
        <f t="shared" si="50"/>
        <v>56547.5</v>
      </c>
      <c r="S86" s="689">
        <f t="shared" si="62"/>
        <v>2338090</v>
      </c>
      <c r="T86" s="375">
        <f t="shared" si="63"/>
        <v>0.1</v>
      </c>
      <c r="U86" s="376">
        <f t="shared" si="9"/>
        <v>233809</v>
      </c>
      <c r="V86" s="372">
        <f t="shared" ref="V86:V94" si="66">V$5</f>
        <v>15000</v>
      </c>
      <c r="W86" s="372">
        <f t="shared" si="10"/>
        <v>218809</v>
      </c>
      <c r="X86" s="370">
        <f t="shared" ref="X86:X94" si="67">X$5</f>
        <v>17</v>
      </c>
      <c r="Y86" s="373">
        <f t="shared" si="11"/>
        <v>12871.117647058823</v>
      </c>
      <c r="Z86" s="628">
        <f t="shared" si="53"/>
        <v>2104281</v>
      </c>
      <c r="AA86" s="638">
        <f t="shared" si="54"/>
        <v>16314.46819543021</v>
      </c>
      <c r="AB86" s="633">
        <f t="shared" si="55"/>
        <v>18913.872508238699</v>
      </c>
      <c r="AC86" s="398">
        <f t="shared" si="56"/>
        <v>24432.486675864548</v>
      </c>
      <c r="AD86" s="398">
        <f t="shared" si="57"/>
        <v>41667.285865685262</v>
      </c>
      <c r="AP86" s="353" t="s">
        <v>264</v>
      </c>
      <c r="AR86" s="653">
        <f t="shared" si="58"/>
        <v>18</v>
      </c>
      <c r="AW86" s="669">
        <v>9</v>
      </c>
      <c r="AX86" s="670" t="s">
        <v>722</v>
      </c>
      <c r="AY86" s="665">
        <v>22</v>
      </c>
      <c r="AZ86" s="668">
        <f t="shared" si="59"/>
        <v>0</v>
      </c>
    </row>
    <row r="87" spans="1:52" ht="14.25" customHeight="1">
      <c r="A87" s="404" t="s">
        <v>763</v>
      </c>
      <c r="B87" s="413">
        <f t="shared" si="42"/>
        <v>102813.63636363637</v>
      </c>
      <c r="C87" s="409" t="s">
        <v>79</v>
      </c>
      <c r="D87" s="377" t="s">
        <v>433</v>
      </c>
      <c r="E87" s="371" t="s">
        <v>267</v>
      </c>
      <c r="F87" s="378">
        <v>22</v>
      </c>
      <c r="G87" s="616">
        <v>2000000</v>
      </c>
      <c r="H87" s="617">
        <f t="shared" si="44"/>
        <v>110000</v>
      </c>
      <c r="I87" s="622">
        <f t="shared" si="45"/>
        <v>13200</v>
      </c>
      <c r="J87" s="659">
        <f t="shared" si="43"/>
        <v>63700</v>
      </c>
      <c r="K87" s="677">
        <v>75000</v>
      </c>
      <c r="L87" s="652">
        <f t="shared" si="46"/>
        <v>2261900</v>
      </c>
      <c r="M87" s="352">
        <f t="shared" si="60"/>
        <v>150000</v>
      </c>
      <c r="N87" s="352">
        <f t="shared" si="61"/>
        <v>2111900</v>
      </c>
      <c r="O87" s="695">
        <v>20000</v>
      </c>
      <c r="P87" s="650">
        <v>50000</v>
      </c>
      <c r="Q87" s="458">
        <f t="shared" si="49"/>
        <v>169642.5</v>
      </c>
      <c r="R87" s="458">
        <f t="shared" si="50"/>
        <v>56547.5</v>
      </c>
      <c r="S87" s="689">
        <f t="shared" si="62"/>
        <v>2338090</v>
      </c>
      <c r="T87" s="375">
        <f t="shared" si="63"/>
        <v>0.1</v>
      </c>
      <c r="U87" s="376">
        <f t="shared" si="9"/>
        <v>233809</v>
      </c>
      <c r="V87" s="372">
        <f t="shared" si="66"/>
        <v>15000</v>
      </c>
      <c r="W87" s="372">
        <f t="shared" si="10"/>
        <v>218809</v>
      </c>
      <c r="X87" s="370">
        <f t="shared" si="67"/>
        <v>17</v>
      </c>
      <c r="Y87" s="373">
        <f t="shared" si="11"/>
        <v>12871.117647058823</v>
      </c>
      <c r="Z87" s="628">
        <f t="shared" si="53"/>
        <v>2104281</v>
      </c>
      <c r="AA87" s="638">
        <f t="shared" si="54"/>
        <v>16314.46819543021</v>
      </c>
      <c r="AB87" s="633">
        <f t="shared" si="55"/>
        <v>18913.872508238699</v>
      </c>
      <c r="AC87" s="398">
        <f t="shared" si="56"/>
        <v>24432.486675864548</v>
      </c>
      <c r="AD87" s="398">
        <f t="shared" si="57"/>
        <v>41667.285865685262</v>
      </c>
      <c r="AP87" s="353" t="s">
        <v>264</v>
      </c>
      <c r="AR87" s="653">
        <f t="shared" si="58"/>
        <v>18</v>
      </c>
      <c r="AW87" s="669">
        <v>10</v>
      </c>
      <c r="AX87" s="670" t="s">
        <v>724</v>
      </c>
      <c r="AY87" s="665">
        <v>22</v>
      </c>
      <c r="AZ87" s="668">
        <f t="shared" si="59"/>
        <v>0</v>
      </c>
    </row>
    <row r="88" spans="1:52" ht="14.25" customHeight="1">
      <c r="A88" s="404" t="s">
        <v>763</v>
      </c>
      <c r="B88" s="413">
        <f t="shared" si="42"/>
        <v>102813.63636363637</v>
      </c>
      <c r="C88" s="409" t="s">
        <v>79</v>
      </c>
      <c r="D88" s="377" t="s">
        <v>435</v>
      </c>
      <c r="E88" s="371" t="s">
        <v>267</v>
      </c>
      <c r="F88" s="378">
        <v>22</v>
      </c>
      <c r="G88" s="616">
        <v>2000000</v>
      </c>
      <c r="H88" s="617">
        <f t="shared" si="44"/>
        <v>110000</v>
      </c>
      <c r="I88" s="622">
        <f t="shared" si="45"/>
        <v>13200</v>
      </c>
      <c r="J88" s="659">
        <f t="shared" si="43"/>
        <v>63700</v>
      </c>
      <c r="K88" s="677">
        <v>75000</v>
      </c>
      <c r="L88" s="652">
        <f t="shared" si="46"/>
        <v>2261900</v>
      </c>
      <c r="M88" s="352">
        <f t="shared" si="60"/>
        <v>150000</v>
      </c>
      <c r="N88" s="352">
        <f t="shared" si="61"/>
        <v>2111900</v>
      </c>
      <c r="O88" s="695">
        <v>20000</v>
      </c>
      <c r="P88" s="650">
        <v>50000</v>
      </c>
      <c r="Q88" s="458">
        <f t="shared" si="49"/>
        <v>169642.5</v>
      </c>
      <c r="R88" s="458">
        <f t="shared" si="50"/>
        <v>56547.5</v>
      </c>
      <c r="S88" s="689">
        <f t="shared" si="62"/>
        <v>2338090</v>
      </c>
      <c r="T88" s="375">
        <f t="shared" si="63"/>
        <v>0.1</v>
      </c>
      <c r="U88" s="376">
        <f t="shared" si="9"/>
        <v>233809</v>
      </c>
      <c r="V88" s="372">
        <f t="shared" si="66"/>
        <v>15000</v>
      </c>
      <c r="W88" s="372">
        <f t="shared" si="10"/>
        <v>218809</v>
      </c>
      <c r="X88" s="370">
        <f t="shared" si="67"/>
        <v>17</v>
      </c>
      <c r="Y88" s="373">
        <f t="shared" si="11"/>
        <v>12871.117647058823</v>
      </c>
      <c r="Z88" s="628">
        <f t="shared" si="53"/>
        <v>2104281</v>
      </c>
      <c r="AA88" s="638">
        <f t="shared" si="54"/>
        <v>16314.46819543021</v>
      </c>
      <c r="AB88" s="633">
        <f t="shared" si="55"/>
        <v>18913.872508238699</v>
      </c>
      <c r="AC88" s="398">
        <f t="shared" si="56"/>
        <v>24432.486675864548</v>
      </c>
      <c r="AD88" s="398">
        <f t="shared" si="57"/>
        <v>41667.285865685262</v>
      </c>
      <c r="AP88" s="353" t="s">
        <v>264</v>
      </c>
      <c r="AR88" s="653">
        <f t="shared" si="58"/>
        <v>18</v>
      </c>
      <c r="AW88" s="669">
        <v>11</v>
      </c>
      <c r="AX88" s="670" t="s">
        <v>726</v>
      </c>
      <c r="AY88" s="665">
        <v>22</v>
      </c>
      <c r="AZ88" s="668">
        <f t="shared" si="59"/>
        <v>0</v>
      </c>
    </row>
    <row r="89" spans="1:52" ht="14.25" customHeight="1">
      <c r="A89" s="404" t="s">
        <v>763</v>
      </c>
      <c r="B89" s="413">
        <f t="shared" si="42"/>
        <v>102813.63636363637</v>
      </c>
      <c r="C89" s="409" t="s">
        <v>79</v>
      </c>
      <c r="D89" s="377" t="s">
        <v>437</v>
      </c>
      <c r="E89" s="371" t="s">
        <v>267</v>
      </c>
      <c r="F89" s="378">
        <v>22</v>
      </c>
      <c r="G89" s="616">
        <v>2000000</v>
      </c>
      <c r="H89" s="617">
        <f t="shared" si="44"/>
        <v>110000</v>
      </c>
      <c r="I89" s="622">
        <f t="shared" si="45"/>
        <v>13200</v>
      </c>
      <c r="J89" s="659">
        <f t="shared" si="43"/>
        <v>63700</v>
      </c>
      <c r="K89" s="677">
        <v>75000</v>
      </c>
      <c r="L89" s="652">
        <f t="shared" si="46"/>
        <v>2261900</v>
      </c>
      <c r="M89" s="352">
        <f t="shared" si="60"/>
        <v>150000</v>
      </c>
      <c r="N89" s="352">
        <f t="shared" si="61"/>
        <v>2111900</v>
      </c>
      <c r="O89" s="695">
        <v>20000</v>
      </c>
      <c r="P89" s="650">
        <v>50000</v>
      </c>
      <c r="Q89" s="458">
        <f t="shared" si="49"/>
        <v>169642.5</v>
      </c>
      <c r="R89" s="458">
        <f t="shared" si="50"/>
        <v>56547.5</v>
      </c>
      <c r="S89" s="689">
        <f t="shared" si="62"/>
        <v>2338090</v>
      </c>
      <c r="T89" s="375">
        <f t="shared" si="63"/>
        <v>0.1</v>
      </c>
      <c r="U89" s="376">
        <f t="shared" si="9"/>
        <v>233809</v>
      </c>
      <c r="V89" s="372">
        <f t="shared" si="66"/>
        <v>15000</v>
      </c>
      <c r="W89" s="372">
        <f t="shared" si="10"/>
        <v>218809</v>
      </c>
      <c r="X89" s="370">
        <f t="shared" si="67"/>
        <v>17</v>
      </c>
      <c r="Y89" s="373">
        <f t="shared" si="11"/>
        <v>12871.117647058823</v>
      </c>
      <c r="Z89" s="628">
        <f t="shared" si="53"/>
        <v>2104281</v>
      </c>
      <c r="AA89" s="638">
        <f t="shared" si="54"/>
        <v>16314.46819543021</v>
      </c>
      <c r="AB89" s="633">
        <f t="shared" si="55"/>
        <v>18913.872508238699</v>
      </c>
      <c r="AC89" s="398">
        <f t="shared" si="56"/>
        <v>24432.486675864548</v>
      </c>
      <c r="AD89" s="398">
        <f t="shared" si="57"/>
        <v>41667.285865685262</v>
      </c>
      <c r="AP89" s="353" t="s">
        <v>264</v>
      </c>
      <c r="AR89" s="653">
        <f t="shared" si="58"/>
        <v>18</v>
      </c>
      <c r="AW89" s="669">
        <v>12</v>
      </c>
      <c r="AX89" s="670" t="s">
        <v>728</v>
      </c>
      <c r="AY89" s="665">
        <v>22</v>
      </c>
      <c r="AZ89" s="668">
        <f t="shared" si="59"/>
        <v>0</v>
      </c>
    </row>
    <row r="90" spans="1:52" ht="14.25" customHeight="1">
      <c r="A90" s="404" t="s">
        <v>763</v>
      </c>
      <c r="B90" s="413">
        <f t="shared" si="42"/>
        <v>102813.63636363637</v>
      </c>
      <c r="C90" s="409" t="s">
        <v>79</v>
      </c>
      <c r="D90" s="377" t="s">
        <v>439</v>
      </c>
      <c r="E90" s="371" t="s">
        <v>267</v>
      </c>
      <c r="F90" s="378">
        <v>22</v>
      </c>
      <c r="G90" s="616">
        <v>2000000</v>
      </c>
      <c r="H90" s="617">
        <f t="shared" si="44"/>
        <v>110000</v>
      </c>
      <c r="I90" s="622">
        <f t="shared" si="45"/>
        <v>13200</v>
      </c>
      <c r="J90" s="659">
        <f t="shared" si="43"/>
        <v>63700</v>
      </c>
      <c r="K90" s="677">
        <v>75000</v>
      </c>
      <c r="L90" s="652">
        <f t="shared" si="46"/>
        <v>2261900</v>
      </c>
      <c r="M90" s="352">
        <f t="shared" si="60"/>
        <v>150000</v>
      </c>
      <c r="N90" s="352">
        <f t="shared" si="61"/>
        <v>2111900</v>
      </c>
      <c r="O90" s="695">
        <v>20000</v>
      </c>
      <c r="P90" s="650">
        <v>50000</v>
      </c>
      <c r="Q90" s="458">
        <f t="shared" si="49"/>
        <v>169642.5</v>
      </c>
      <c r="R90" s="458">
        <f t="shared" si="50"/>
        <v>56547.5</v>
      </c>
      <c r="S90" s="689">
        <f t="shared" si="62"/>
        <v>2338090</v>
      </c>
      <c r="T90" s="375">
        <f t="shared" si="63"/>
        <v>0.1</v>
      </c>
      <c r="U90" s="376">
        <f t="shared" si="9"/>
        <v>233809</v>
      </c>
      <c r="V90" s="372">
        <f t="shared" si="66"/>
        <v>15000</v>
      </c>
      <c r="W90" s="372">
        <f t="shared" si="10"/>
        <v>218809</v>
      </c>
      <c r="X90" s="370">
        <f t="shared" si="67"/>
        <v>17</v>
      </c>
      <c r="Y90" s="373">
        <f t="shared" si="11"/>
        <v>12871.117647058823</v>
      </c>
      <c r="Z90" s="628">
        <f t="shared" si="53"/>
        <v>2104281</v>
      </c>
      <c r="AA90" s="638">
        <f t="shared" si="54"/>
        <v>16314.46819543021</v>
      </c>
      <c r="AB90" s="633">
        <f t="shared" si="55"/>
        <v>18913.872508238699</v>
      </c>
      <c r="AC90" s="398">
        <f t="shared" si="56"/>
        <v>24432.486675864548</v>
      </c>
      <c r="AD90" s="398">
        <f t="shared" si="57"/>
        <v>41667.285865685262</v>
      </c>
      <c r="AP90" s="353" t="s">
        <v>264</v>
      </c>
      <c r="AR90" s="653">
        <f t="shared" si="58"/>
        <v>18</v>
      </c>
      <c r="AW90" s="669">
        <v>13</v>
      </c>
      <c r="AX90" s="670" t="s">
        <v>730</v>
      </c>
      <c r="AY90" s="665">
        <v>22</v>
      </c>
      <c r="AZ90" s="668">
        <f t="shared" si="59"/>
        <v>0</v>
      </c>
    </row>
    <row r="91" spans="1:52" ht="14.25" customHeight="1">
      <c r="A91" s="404" t="s">
        <v>763</v>
      </c>
      <c r="B91" s="413">
        <f t="shared" si="42"/>
        <v>102813.63636363637</v>
      </c>
      <c r="C91" s="409" t="s">
        <v>79</v>
      </c>
      <c r="D91" s="377" t="s">
        <v>441</v>
      </c>
      <c r="E91" s="371" t="s">
        <v>267</v>
      </c>
      <c r="F91" s="378">
        <v>22</v>
      </c>
      <c r="G91" s="616">
        <v>2000000</v>
      </c>
      <c r="H91" s="617">
        <f t="shared" si="44"/>
        <v>110000</v>
      </c>
      <c r="I91" s="622">
        <f t="shared" si="45"/>
        <v>13200</v>
      </c>
      <c r="J91" s="659">
        <f t="shared" si="43"/>
        <v>63700</v>
      </c>
      <c r="K91" s="677">
        <v>75000</v>
      </c>
      <c r="L91" s="652">
        <f t="shared" si="46"/>
        <v>2261900</v>
      </c>
      <c r="M91" s="352">
        <f t="shared" si="60"/>
        <v>150000</v>
      </c>
      <c r="N91" s="352">
        <f t="shared" si="61"/>
        <v>2111900</v>
      </c>
      <c r="O91" s="695">
        <v>20000</v>
      </c>
      <c r="P91" s="650">
        <v>50000</v>
      </c>
      <c r="Q91" s="458">
        <f t="shared" si="49"/>
        <v>169642.5</v>
      </c>
      <c r="R91" s="458">
        <f t="shared" si="50"/>
        <v>56547.5</v>
      </c>
      <c r="S91" s="689">
        <f t="shared" si="62"/>
        <v>2338090</v>
      </c>
      <c r="T91" s="375">
        <f t="shared" si="63"/>
        <v>0.1</v>
      </c>
      <c r="U91" s="376">
        <f t="shared" si="9"/>
        <v>233809</v>
      </c>
      <c r="V91" s="372">
        <f t="shared" si="66"/>
        <v>15000</v>
      </c>
      <c r="W91" s="372">
        <f t="shared" si="10"/>
        <v>218809</v>
      </c>
      <c r="X91" s="370">
        <f t="shared" si="67"/>
        <v>17</v>
      </c>
      <c r="Y91" s="373">
        <f t="shared" si="11"/>
        <v>12871.117647058823</v>
      </c>
      <c r="Z91" s="628">
        <f t="shared" si="53"/>
        <v>2104281</v>
      </c>
      <c r="AA91" s="638">
        <f t="shared" si="54"/>
        <v>16314.46819543021</v>
      </c>
      <c r="AB91" s="633">
        <f t="shared" si="55"/>
        <v>18913.872508238699</v>
      </c>
      <c r="AC91" s="398">
        <f t="shared" si="56"/>
        <v>24432.486675864548</v>
      </c>
      <c r="AD91" s="398">
        <f t="shared" si="57"/>
        <v>41667.285865685262</v>
      </c>
      <c r="AP91" s="353" t="s">
        <v>264</v>
      </c>
      <c r="AR91" s="653">
        <f t="shared" si="58"/>
        <v>18</v>
      </c>
      <c r="AW91" s="669">
        <v>14</v>
      </c>
      <c r="AX91" s="670" t="s">
        <v>732</v>
      </c>
      <c r="AY91" s="665">
        <v>22</v>
      </c>
      <c r="AZ91" s="668">
        <f t="shared" si="59"/>
        <v>0</v>
      </c>
    </row>
    <row r="92" spans="1:52" ht="14.25" customHeight="1">
      <c r="A92" s="404" t="s">
        <v>763</v>
      </c>
      <c r="B92" s="413">
        <f t="shared" si="42"/>
        <v>102813.63636363637</v>
      </c>
      <c r="C92" s="409" t="s">
        <v>79</v>
      </c>
      <c r="D92" s="377" t="s">
        <v>443</v>
      </c>
      <c r="E92" s="371" t="s">
        <v>267</v>
      </c>
      <c r="F92" s="378">
        <v>22</v>
      </c>
      <c r="G92" s="616">
        <v>2000000</v>
      </c>
      <c r="H92" s="617">
        <f t="shared" si="44"/>
        <v>110000</v>
      </c>
      <c r="I92" s="622">
        <f t="shared" si="45"/>
        <v>13200</v>
      </c>
      <c r="J92" s="659">
        <f t="shared" si="43"/>
        <v>63700</v>
      </c>
      <c r="K92" s="677">
        <v>75000</v>
      </c>
      <c r="L92" s="652">
        <f t="shared" si="46"/>
        <v>2261900</v>
      </c>
      <c r="M92" s="352">
        <f t="shared" si="60"/>
        <v>150000</v>
      </c>
      <c r="N92" s="352">
        <f t="shared" si="61"/>
        <v>2111900</v>
      </c>
      <c r="O92" s="695">
        <v>20000</v>
      </c>
      <c r="P92" s="650">
        <v>50000</v>
      </c>
      <c r="Q92" s="458">
        <f t="shared" si="49"/>
        <v>169642.5</v>
      </c>
      <c r="R92" s="458">
        <f t="shared" si="50"/>
        <v>56547.5</v>
      </c>
      <c r="S92" s="689">
        <f t="shared" si="62"/>
        <v>2338090</v>
      </c>
      <c r="T92" s="375">
        <f t="shared" si="63"/>
        <v>0.1</v>
      </c>
      <c r="U92" s="376">
        <f t="shared" si="9"/>
        <v>233809</v>
      </c>
      <c r="V92" s="372">
        <f t="shared" si="66"/>
        <v>15000</v>
      </c>
      <c r="W92" s="372">
        <f t="shared" si="10"/>
        <v>218809</v>
      </c>
      <c r="X92" s="368">
        <f t="shared" si="67"/>
        <v>17</v>
      </c>
      <c r="Y92" s="373">
        <f t="shared" si="11"/>
        <v>12871.117647058823</v>
      </c>
      <c r="Z92" s="628">
        <f t="shared" si="53"/>
        <v>2104281</v>
      </c>
      <c r="AA92" s="638">
        <f t="shared" si="54"/>
        <v>16314.46819543021</v>
      </c>
      <c r="AB92" s="633">
        <f t="shared" si="55"/>
        <v>18913.872508238699</v>
      </c>
      <c r="AC92" s="398">
        <f t="shared" si="56"/>
        <v>24432.486675864548</v>
      </c>
      <c r="AD92" s="398">
        <f t="shared" si="57"/>
        <v>41667.285865685262</v>
      </c>
      <c r="AP92" s="353" t="s">
        <v>264</v>
      </c>
      <c r="AR92" s="653">
        <f t="shared" si="58"/>
        <v>18</v>
      </c>
      <c r="AW92" s="669">
        <v>15</v>
      </c>
      <c r="AX92" s="670" t="s">
        <v>734</v>
      </c>
      <c r="AY92" s="665">
        <v>22</v>
      </c>
      <c r="AZ92" s="668">
        <f t="shared" si="59"/>
        <v>0</v>
      </c>
    </row>
    <row r="93" spans="1:52" ht="14.25" customHeight="1">
      <c r="A93" s="404" t="s">
        <v>763</v>
      </c>
      <c r="B93" s="413">
        <f t="shared" si="42"/>
        <v>102813.63636363637</v>
      </c>
      <c r="C93" s="409" t="s">
        <v>79</v>
      </c>
      <c r="D93" s="377" t="s">
        <v>445</v>
      </c>
      <c r="E93" s="371" t="s">
        <v>267</v>
      </c>
      <c r="F93" s="378">
        <v>22</v>
      </c>
      <c r="G93" s="616">
        <v>2000000</v>
      </c>
      <c r="H93" s="617">
        <f t="shared" si="44"/>
        <v>110000</v>
      </c>
      <c r="I93" s="622">
        <f t="shared" si="45"/>
        <v>13200</v>
      </c>
      <c r="J93" s="659">
        <f t="shared" si="43"/>
        <v>63700</v>
      </c>
      <c r="K93" s="677">
        <v>75000</v>
      </c>
      <c r="L93" s="652">
        <f t="shared" si="46"/>
        <v>2261900</v>
      </c>
      <c r="M93" s="352">
        <f t="shared" si="60"/>
        <v>150000</v>
      </c>
      <c r="N93" s="352">
        <f t="shared" si="61"/>
        <v>2111900</v>
      </c>
      <c r="O93" s="695">
        <v>20000</v>
      </c>
      <c r="P93" s="650">
        <v>50000</v>
      </c>
      <c r="Q93" s="458">
        <f t="shared" si="49"/>
        <v>169642.5</v>
      </c>
      <c r="R93" s="458">
        <f t="shared" si="50"/>
        <v>56547.5</v>
      </c>
      <c r="S93" s="689">
        <f t="shared" si="62"/>
        <v>2338090</v>
      </c>
      <c r="T93" s="375">
        <f t="shared" si="63"/>
        <v>0.1</v>
      </c>
      <c r="U93" s="376">
        <f t="shared" si="9"/>
        <v>233809</v>
      </c>
      <c r="V93" s="372">
        <f t="shared" si="66"/>
        <v>15000</v>
      </c>
      <c r="W93" s="373">
        <f t="shared" si="10"/>
        <v>218809</v>
      </c>
      <c r="X93" s="363">
        <f t="shared" si="67"/>
        <v>17</v>
      </c>
      <c r="Y93" s="380">
        <f t="shared" si="11"/>
        <v>12871.117647058823</v>
      </c>
      <c r="Z93" s="628">
        <f t="shared" si="53"/>
        <v>2104281</v>
      </c>
      <c r="AA93" s="638">
        <f t="shared" si="54"/>
        <v>16314.46819543021</v>
      </c>
      <c r="AB93" s="633">
        <f t="shared" si="55"/>
        <v>18913.872508238699</v>
      </c>
      <c r="AC93" s="398">
        <f t="shared" si="56"/>
        <v>24432.486675864548</v>
      </c>
      <c r="AD93" s="398">
        <f t="shared" si="57"/>
        <v>41667.285865685262</v>
      </c>
      <c r="AP93" s="353" t="s">
        <v>264</v>
      </c>
      <c r="AR93" s="653">
        <f t="shared" si="58"/>
        <v>18</v>
      </c>
      <c r="AW93" s="669">
        <v>16</v>
      </c>
      <c r="AX93" s="670" t="s">
        <v>737</v>
      </c>
      <c r="AY93" s="665">
        <v>22</v>
      </c>
      <c r="AZ93" s="668">
        <f t="shared" si="59"/>
        <v>0</v>
      </c>
    </row>
    <row r="94" spans="1:52" ht="14.25" customHeight="1">
      <c r="A94" s="404" t="s">
        <v>763</v>
      </c>
      <c r="B94" s="413">
        <f t="shared" si="42"/>
        <v>102813.63636363637</v>
      </c>
      <c r="C94" s="409" t="s">
        <v>79</v>
      </c>
      <c r="D94" s="377" t="s">
        <v>447</v>
      </c>
      <c r="E94" s="371" t="s">
        <v>267</v>
      </c>
      <c r="F94" s="378">
        <v>22</v>
      </c>
      <c r="G94" s="616">
        <v>2000000</v>
      </c>
      <c r="H94" s="617">
        <f t="shared" si="44"/>
        <v>110000</v>
      </c>
      <c r="I94" s="622">
        <f t="shared" si="45"/>
        <v>13200</v>
      </c>
      <c r="J94" s="659">
        <f t="shared" si="43"/>
        <v>63700</v>
      </c>
      <c r="K94" s="677">
        <v>75000</v>
      </c>
      <c r="L94" s="652">
        <f t="shared" si="46"/>
        <v>2261900</v>
      </c>
      <c r="M94" s="352">
        <f t="shared" si="60"/>
        <v>150000</v>
      </c>
      <c r="N94" s="352">
        <f t="shared" si="61"/>
        <v>2111900</v>
      </c>
      <c r="O94" s="695">
        <v>20000</v>
      </c>
      <c r="P94" s="650">
        <v>50000</v>
      </c>
      <c r="Q94" s="458">
        <f t="shared" si="49"/>
        <v>169642.5</v>
      </c>
      <c r="R94" s="458">
        <f t="shared" si="50"/>
        <v>56547.5</v>
      </c>
      <c r="S94" s="689">
        <f t="shared" si="62"/>
        <v>2338090</v>
      </c>
      <c r="T94" s="375">
        <f t="shared" si="63"/>
        <v>0.1</v>
      </c>
      <c r="U94" s="376">
        <f t="shared" si="9"/>
        <v>233809</v>
      </c>
      <c r="V94" s="372">
        <f t="shared" si="66"/>
        <v>15000</v>
      </c>
      <c r="W94" s="373">
        <f t="shared" si="10"/>
        <v>218809</v>
      </c>
      <c r="X94" s="363">
        <f t="shared" si="67"/>
        <v>17</v>
      </c>
      <c r="Y94" s="380">
        <f t="shared" si="11"/>
        <v>12871.117647058823</v>
      </c>
      <c r="Z94" s="628">
        <f t="shared" si="53"/>
        <v>2104281</v>
      </c>
      <c r="AA94" s="638">
        <f t="shared" si="54"/>
        <v>16314.46819543021</v>
      </c>
      <c r="AB94" s="633">
        <f t="shared" si="55"/>
        <v>18913.872508238699</v>
      </c>
      <c r="AC94" s="398">
        <f t="shared" si="56"/>
        <v>24432.486675864548</v>
      </c>
      <c r="AD94" s="398">
        <f t="shared" si="57"/>
        <v>41667.285865685262</v>
      </c>
      <c r="AP94" s="353" t="s">
        <v>264</v>
      </c>
      <c r="AR94" s="653">
        <f t="shared" si="58"/>
        <v>18</v>
      </c>
      <c r="AW94" s="669">
        <v>17</v>
      </c>
      <c r="AX94" s="672" t="s">
        <v>740</v>
      </c>
      <c r="AY94" s="665">
        <v>22</v>
      </c>
      <c r="AZ94" s="668">
        <f t="shared" si="59"/>
        <v>0</v>
      </c>
    </row>
    <row r="95" spans="1:52" ht="14.25" customHeight="1" thickBot="1">
      <c r="A95" s="407" t="s">
        <v>763</v>
      </c>
      <c r="B95" s="423">
        <f t="shared" si="42"/>
        <v>101334.10922112802</v>
      </c>
      <c r="C95" s="412" t="s">
        <v>65</v>
      </c>
      <c r="D95" s="393" t="s">
        <v>449</v>
      </c>
      <c r="E95" s="371" t="s">
        <v>267</v>
      </c>
      <c r="F95" s="449">
        <v>22.34</v>
      </c>
      <c r="G95" s="616">
        <v>2000000</v>
      </c>
      <c r="H95" s="617">
        <f t="shared" si="44"/>
        <v>111700</v>
      </c>
      <c r="I95" s="622">
        <f t="shared" si="45"/>
        <v>13404</v>
      </c>
      <c r="J95" s="659">
        <f t="shared" si="43"/>
        <v>63700</v>
      </c>
      <c r="K95" s="677">
        <v>75000</v>
      </c>
      <c r="L95" s="652">
        <f t="shared" si="46"/>
        <v>2263804</v>
      </c>
      <c r="M95" s="352">
        <f t="shared" si="60"/>
        <v>150000</v>
      </c>
      <c r="N95" s="352">
        <f t="shared" si="61"/>
        <v>2113804</v>
      </c>
      <c r="O95" s="695">
        <v>20000</v>
      </c>
      <c r="P95" s="650">
        <v>50000</v>
      </c>
      <c r="Q95" s="458">
        <f t="shared" si="49"/>
        <v>169785.3</v>
      </c>
      <c r="R95" s="458">
        <f t="shared" si="50"/>
        <v>56595.100000000006</v>
      </c>
      <c r="S95" s="689">
        <f t="shared" si="62"/>
        <v>2340184.4</v>
      </c>
      <c r="T95" s="375">
        <f t="shared" si="63"/>
        <v>0.1</v>
      </c>
      <c r="U95" s="394">
        <f t="shared" si="9"/>
        <v>234018.44</v>
      </c>
      <c r="V95" s="395">
        <f>V5</f>
        <v>15000</v>
      </c>
      <c r="W95" s="395">
        <f t="shared" si="10"/>
        <v>219018.44</v>
      </c>
      <c r="X95" s="385">
        <f>X$5</f>
        <v>17</v>
      </c>
      <c r="Y95" s="396">
        <f t="shared" si="11"/>
        <v>12883.437647058823</v>
      </c>
      <c r="Z95" s="632">
        <f t="shared" si="53"/>
        <v>2106165.96</v>
      </c>
      <c r="AA95" s="638">
        <f t="shared" si="54"/>
        <v>16329.082270247052</v>
      </c>
      <c r="AB95" s="636">
        <f t="shared" si="55"/>
        <v>18930.815061596892</v>
      </c>
      <c r="AC95" s="424">
        <f t="shared" si="56"/>
        <v>24454.372659763339</v>
      </c>
      <c r="AD95" s="424">
        <f t="shared" si="57"/>
        <v>41704.610332885874</v>
      </c>
      <c r="AE95" t="s">
        <v>742</v>
      </c>
      <c r="AF95" t="s">
        <v>742</v>
      </c>
      <c r="AP95" s="353" t="s">
        <v>264</v>
      </c>
      <c r="AR95" s="653">
        <f t="shared" si="58"/>
        <v>18</v>
      </c>
      <c r="AW95" s="669">
        <v>18</v>
      </c>
      <c r="AX95" s="671" t="s">
        <v>760</v>
      </c>
      <c r="AY95" s="666">
        <v>22.34</v>
      </c>
      <c r="AZ95" s="668">
        <f t="shared" si="59"/>
        <v>0</v>
      </c>
    </row>
    <row r="96" spans="1:52" ht="14.25" customHeight="1">
      <c r="A96" s="414" t="s">
        <v>764</v>
      </c>
      <c r="B96" s="415">
        <f t="shared" si="42"/>
        <v>102813.63636363637</v>
      </c>
      <c r="C96" s="447" t="s">
        <v>65</v>
      </c>
      <c r="D96" s="441" t="s">
        <v>451</v>
      </c>
      <c r="E96" s="371" t="s">
        <v>267</v>
      </c>
      <c r="F96" s="381">
        <v>22</v>
      </c>
      <c r="G96" s="616">
        <v>2000000</v>
      </c>
      <c r="H96" s="617">
        <f t="shared" si="44"/>
        <v>110000</v>
      </c>
      <c r="I96" s="622">
        <f t="shared" si="45"/>
        <v>13200</v>
      </c>
      <c r="J96" s="659">
        <f t="shared" si="43"/>
        <v>63700</v>
      </c>
      <c r="K96" s="677">
        <v>75000</v>
      </c>
      <c r="L96" s="652">
        <f t="shared" si="46"/>
        <v>2261900</v>
      </c>
      <c r="M96" s="352">
        <f t="shared" si="60"/>
        <v>150000</v>
      </c>
      <c r="N96" s="352">
        <f t="shared" si="61"/>
        <v>2111900</v>
      </c>
      <c r="O96" s="695">
        <v>20000</v>
      </c>
      <c r="P96" s="650">
        <v>50000</v>
      </c>
      <c r="Q96" s="458">
        <f t="shared" si="49"/>
        <v>169642.5</v>
      </c>
      <c r="R96" s="458">
        <f t="shared" si="50"/>
        <v>56547.5</v>
      </c>
      <c r="S96" s="689">
        <f t="shared" si="62"/>
        <v>2338090</v>
      </c>
      <c r="T96" s="375">
        <f t="shared" si="63"/>
        <v>0.1</v>
      </c>
      <c r="U96" s="381">
        <f t="shared" si="9"/>
        <v>233809</v>
      </c>
      <c r="V96" s="383">
        <f>V5</f>
        <v>15000</v>
      </c>
      <c r="W96" s="383">
        <f t="shared" si="10"/>
        <v>218809</v>
      </c>
      <c r="X96" s="366">
        <f>X$5</f>
        <v>17</v>
      </c>
      <c r="Y96" s="426">
        <f t="shared" si="11"/>
        <v>12871.117647058823</v>
      </c>
      <c r="Z96" s="630">
        <f t="shared" si="53"/>
        <v>2104281</v>
      </c>
      <c r="AA96" s="638">
        <f t="shared" si="54"/>
        <v>16314.46819543021</v>
      </c>
      <c r="AB96" s="633">
        <f t="shared" si="55"/>
        <v>18913.872508238699</v>
      </c>
      <c r="AC96" s="398">
        <f t="shared" si="56"/>
        <v>24432.486675864548</v>
      </c>
      <c r="AD96" s="398">
        <f t="shared" si="57"/>
        <v>41667.285865685262</v>
      </c>
      <c r="AE96" t="s">
        <v>742</v>
      </c>
      <c r="AF96" t="s">
        <v>742</v>
      </c>
      <c r="AP96" s="353" t="s">
        <v>264</v>
      </c>
      <c r="AR96" s="653">
        <f t="shared" si="58"/>
        <v>18</v>
      </c>
      <c r="AW96" s="669">
        <v>1</v>
      </c>
      <c r="AX96" s="670" t="s">
        <v>700</v>
      </c>
      <c r="AY96" s="665">
        <v>22</v>
      </c>
      <c r="AZ96" s="668">
        <f t="shared" si="59"/>
        <v>0</v>
      </c>
    </row>
    <row r="97" spans="1:52" ht="14.25" customHeight="1">
      <c r="A97" s="404" t="s">
        <v>764</v>
      </c>
      <c r="B97" s="413">
        <f t="shared" si="42"/>
        <v>102813.63636363637</v>
      </c>
      <c r="C97" s="409" t="s">
        <v>79</v>
      </c>
      <c r="D97" s="377" t="s">
        <v>454</v>
      </c>
      <c r="E97" s="371" t="s">
        <v>267</v>
      </c>
      <c r="F97" s="376">
        <v>22</v>
      </c>
      <c r="G97" s="616">
        <v>2000000</v>
      </c>
      <c r="H97" s="617">
        <f t="shared" si="44"/>
        <v>110000</v>
      </c>
      <c r="I97" s="622">
        <f t="shared" si="45"/>
        <v>13200</v>
      </c>
      <c r="J97" s="659">
        <f t="shared" si="43"/>
        <v>63700</v>
      </c>
      <c r="K97" s="677">
        <v>75000</v>
      </c>
      <c r="L97" s="652">
        <f t="shared" si="46"/>
        <v>2261900</v>
      </c>
      <c r="M97" s="352">
        <f t="shared" si="60"/>
        <v>150000</v>
      </c>
      <c r="N97" s="352">
        <f t="shared" si="61"/>
        <v>2111900</v>
      </c>
      <c r="O97" s="695">
        <v>20000</v>
      </c>
      <c r="P97" s="650">
        <v>50000</v>
      </c>
      <c r="Q97" s="458">
        <f t="shared" si="49"/>
        <v>169642.5</v>
      </c>
      <c r="R97" s="458">
        <f t="shared" si="50"/>
        <v>56547.5</v>
      </c>
      <c r="S97" s="689">
        <f t="shared" si="62"/>
        <v>2338090</v>
      </c>
      <c r="T97" s="375">
        <f t="shared" si="63"/>
        <v>0.1</v>
      </c>
      <c r="U97" s="376">
        <f t="shared" si="9"/>
        <v>233809</v>
      </c>
      <c r="V97" s="372">
        <f>V$5</f>
        <v>15000</v>
      </c>
      <c r="W97" s="372">
        <f t="shared" si="10"/>
        <v>218809</v>
      </c>
      <c r="X97" s="368">
        <f t="shared" ref="X97:X102" si="68">X$5</f>
        <v>17</v>
      </c>
      <c r="Y97" s="373">
        <f t="shared" si="11"/>
        <v>12871.117647058823</v>
      </c>
      <c r="Z97" s="628">
        <f t="shared" si="53"/>
        <v>2104281</v>
      </c>
      <c r="AA97" s="638">
        <f t="shared" si="54"/>
        <v>16314.46819543021</v>
      </c>
      <c r="AB97" s="633">
        <f t="shared" si="55"/>
        <v>18913.872508238699</v>
      </c>
      <c r="AC97" s="398">
        <f t="shared" si="56"/>
        <v>24432.486675864548</v>
      </c>
      <c r="AD97" s="398">
        <f t="shared" si="57"/>
        <v>41667.285865685262</v>
      </c>
      <c r="AP97" s="353" t="s">
        <v>264</v>
      </c>
      <c r="AR97" s="653">
        <f t="shared" si="58"/>
        <v>18</v>
      </c>
      <c r="AW97" s="669">
        <v>2</v>
      </c>
      <c r="AX97" s="670" t="s">
        <v>704</v>
      </c>
      <c r="AY97" s="665">
        <v>22</v>
      </c>
      <c r="AZ97" s="668">
        <f t="shared" si="59"/>
        <v>0</v>
      </c>
    </row>
    <row r="98" spans="1:52" ht="14.25" customHeight="1">
      <c r="A98" s="404" t="s">
        <v>764</v>
      </c>
      <c r="B98" s="413">
        <f t="shared" si="42"/>
        <v>102813.63636363637</v>
      </c>
      <c r="C98" s="409" t="s">
        <v>79</v>
      </c>
      <c r="D98" s="377" t="s">
        <v>455</v>
      </c>
      <c r="E98" s="371" t="s">
        <v>267</v>
      </c>
      <c r="F98" s="376">
        <v>22</v>
      </c>
      <c r="G98" s="616">
        <v>2000000</v>
      </c>
      <c r="H98" s="617">
        <f t="shared" si="44"/>
        <v>110000</v>
      </c>
      <c r="I98" s="622">
        <f t="shared" si="45"/>
        <v>13200</v>
      </c>
      <c r="J98" s="659">
        <f t="shared" si="43"/>
        <v>63700</v>
      </c>
      <c r="K98" s="677">
        <v>75000</v>
      </c>
      <c r="L98" s="652">
        <f t="shared" si="46"/>
        <v>2261900</v>
      </c>
      <c r="M98" s="352">
        <f t="shared" si="60"/>
        <v>150000</v>
      </c>
      <c r="N98" s="352">
        <f t="shared" si="61"/>
        <v>2111900</v>
      </c>
      <c r="O98" s="695">
        <v>20000</v>
      </c>
      <c r="P98" s="650">
        <v>50000</v>
      </c>
      <c r="Q98" s="458">
        <f t="shared" si="49"/>
        <v>169642.5</v>
      </c>
      <c r="R98" s="458">
        <f t="shared" si="50"/>
        <v>56547.5</v>
      </c>
      <c r="S98" s="689">
        <f t="shared" si="62"/>
        <v>2338090</v>
      </c>
      <c r="T98" s="375">
        <f t="shared" si="63"/>
        <v>0.1</v>
      </c>
      <c r="U98" s="376">
        <f t="shared" si="9"/>
        <v>233809</v>
      </c>
      <c r="V98" s="372">
        <f t="shared" ref="V98:V112" si="69">V$5</f>
        <v>15000</v>
      </c>
      <c r="W98" s="372">
        <f t="shared" si="10"/>
        <v>218809</v>
      </c>
      <c r="X98" s="368">
        <f t="shared" si="68"/>
        <v>17</v>
      </c>
      <c r="Y98" s="373">
        <f t="shared" si="11"/>
        <v>12871.117647058823</v>
      </c>
      <c r="Z98" s="628">
        <f t="shared" si="53"/>
        <v>2104281</v>
      </c>
      <c r="AA98" s="638">
        <f t="shared" si="54"/>
        <v>16314.46819543021</v>
      </c>
      <c r="AB98" s="633">
        <f t="shared" si="55"/>
        <v>18913.872508238699</v>
      </c>
      <c r="AC98" s="398">
        <f t="shared" si="56"/>
        <v>24432.486675864548</v>
      </c>
      <c r="AD98" s="398">
        <f t="shared" si="57"/>
        <v>41667.285865685262</v>
      </c>
      <c r="AP98" s="353" t="s">
        <v>264</v>
      </c>
      <c r="AR98" s="653">
        <f t="shared" si="58"/>
        <v>18</v>
      </c>
      <c r="AW98" s="669">
        <v>3</v>
      </c>
      <c r="AX98" s="670" t="s">
        <v>707</v>
      </c>
      <c r="AY98" s="665">
        <v>22</v>
      </c>
      <c r="AZ98" s="668">
        <f t="shared" si="59"/>
        <v>0</v>
      </c>
    </row>
    <row r="99" spans="1:52" ht="14.25" customHeight="1">
      <c r="A99" s="404" t="s">
        <v>764</v>
      </c>
      <c r="B99" s="413">
        <f t="shared" si="42"/>
        <v>102813.63636363637</v>
      </c>
      <c r="C99" s="409" t="s">
        <v>79</v>
      </c>
      <c r="D99" s="377" t="s">
        <v>457</v>
      </c>
      <c r="E99" s="371" t="s">
        <v>267</v>
      </c>
      <c r="F99" s="376">
        <v>22</v>
      </c>
      <c r="G99" s="616">
        <v>2000000</v>
      </c>
      <c r="H99" s="617">
        <f t="shared" si="44"/>
        <v>110000</v>
      </c>
      <c r="I99" s="622">
        <f t="shared" si="45"/>
        <v>13200</v>
      </c>
      <c r="J99" s="659">
        <f t="shared" si="43"/>
        <v>63700</v>
      </c>
      <c r="K99" s="677">
        <v>75000</v>
      </c>
      <c r="L99" s="652">
        <f t="shared" si="46"/>
        <v>2261900</v>
      </c>
      <c r="M99" s="352">
        <f t="shared" si="60"/>
        <v>150000</v>
      </c>
      <c r="N99" s="352">
        <f t="shared" si="61"/>
        <v>2111900</v>
      </c>
      <c r="O99" s="695">
        <v>20000</v>
      </c>
      <c r="P99" s="650">
        <v>50000</v>
      </c>
      <c r="Q99" s="458">
        <f t="shared" si="49"/>
        <v>169642.5</v>
      </c>
      <c r="R99" s="458">
        <f t="shared" si="50"/>
        <v>56547.5</v>
      </c>
      <c r="S99" s="689">
        <f t="shared" si="62"/>
        <v>2338090</v>
      </c>
      <c r="T99" s="375">
        <f t="shared" si="63"/>
        <v>0.1</v>
      </c>
      <c r="U99" s="376">
        <f t="shared" si="9"/>
        <v>233809</v>
      </c>
      <c r="V99" s="372">
        <f t="shared" si="69"/>
        <v>15000</v>
      </c>
      <c r="W99" s="372">
        <f t="shared" si="10"/>
        <v>218809</v>
      </c>
      <c r="X99" s="368">
        <f t="shared" si="68"/>
        <v>17</v>
      </c>
      <c r="Y99" s="373">
        <f t="shared" si="11"/>
        <v>12871.117647058823</v>
      </c>
      <c r="Z99" s="628">
        <f t="shared" si="53"/>
        <v>2104281</v>
      </c>
      <c r="AA99" s="638">
        <f t="shared" si="54"/>
        <v>16314.46819543021</v>
      </c>
      <c r="AB99" s="633">
        <f t="shared" si="55"/>
        <v>18913.872508238699</v>
      </c>
      <c r="AC99" s="398">
        <f t="shared" si="56"/>
        <v>24432.486675864548</v>
      </c>
      <c r="AD99" s="398">
        <f t="shared" si="57"/>
        <v>41667.285865685262</v>
      </c>
      <c r="AP99" s="353" t="s">
        <v>243</v>
      </c>
      <c r="AR99" s="653">
        <f t="shared" si="58"/>
        <v>18</v>
      </c>
      <c r="AW99" s="669">
        <v>4</v>
      </c>
      <c r="AX99" s="670" t="s">
        <v>710</v>
      </c>
      <c r="AY99" s="665">
        <v>22</v>
      </c>
      <c r="AZ99" s="668">
        <f t="shared" si="59"/>
        <v>0</v>
      </c>
    </row>
    <row r="100" spans="1:52" ht="14.25" customHeight="1">
      <c r="A100" s="404" t="s">
        <v>764</v>
      </c>
      <c r="B100" s="413">
        <f t="shared" si="42"/>
        <v>102813.63636363637</v>
      </c>
      <c r="C100" s="409" t="s">
        <v>79</v>
      </c>
      <c r="D100" s="377" t="s">
        <v>459</v>
      </c>
      <c r="E100" s="371" t="s">
        <v>267</v>
      </c>
      <c r="F100" s="379">
        <v>22</v>
      </c>
      <c r="G100" s="616">
        <v>2000000</v>
      </c>
      <c r="H100" s="617">
        <f t="shared" si="44"/>
        <v>110000</v>
      </c>
      <c r="I100" s="622">
        <f t="shared" si="45"/>
        <v>13200</v>
      </c>
      <c r="J100" s="659">
        <f t="shared" si="43"/>
        <v>63700</v>
      </c>
      <c r="K100" s="677">
        <v>75000</v>
      </c>
      <c r="L100" s="652">
        <f t="shared" si="46"/>
        <v>2261900</v>
      </c>
      <c r="M100" s="352">
        <f t="shared" si="60"/>
        <v>150000</v>
      </c>
      <c r="N100" s="352">
        <f t="shared" si="61"/>
        <v>2111900</v>
      </c>
      <c r="O100" s="695">
        <v>20000</v>
      </c>
      <c r="P100" s="650">
        <v>50000</v>
      </c>
      <c r="Q100" s="458">
        <f t="shared" si="49"/>
        <v>169642.5</v>
      </c>
      <c r="R100" s="458">
        <f t="shared" si="50"/>
        <v>56547.5</v>
      </c>
      <c r="S100" s="689">
        <f t="shared" si="62"/>
        <v>2338090</v>
      </c>
      <c r="T100" s="375">
        <f t="shared" si="63"/>
        <v>0.1</v>
      </c>
      <c r="U100" s="376">
        <f t="shared" si="9"/>
        <v>233809</v>
      </c>
      <c r="V100" s="372">
        <f t="shared" si="69"/>
        <v>15000</v>
      </c>
      <c r="W100" s="372">
        <f t="shared" si="10"/>
        <v>218809</v>
      </c>
      <c r="X100" s="368">
        <f t="shared" si="68"/>
        <v>17</v>
      </c>
      <c r="Y100" s="373">
        <f t="shared" si="11"/>
        <v>12871.117647058823</v>
      </c>
      <c r="Z100" s="628">
        <f t="shared" si="53"/>
        <v>2104281</v>
      </c>
      <c r="AA100" s="638">
        <f t="shared" si="54"/>
        <v>16314.46819543021</v>
      </c>
      <c r="AB100" s="633">
        <f t="shared" si="55"/>
        <v>18913.872508238699</v>
      </c>
      <c r="AC100" s="398">
        <f t="shared" si="56"/>
        <v>24432.486675864548</v>
      </c>
      <c r="AD100" s="398">
        <f t="shared" si="57"/>
        <v>41667.285865685262</v>
      </c>
      <c r="AP100" s="353" t="s">
        <v>264</v>
      </c>
      <c r="AR100" s="653">
        <f t="shared" si="58"/>
        <v>18</v>
      </c>
      <c r="AW100" s="669">
        <v>5</v>
      </c>
      <c r="AX100" s="670" t="s">
        <v>714</v>
      </c>
      <c r="AY100" s="665">
        <v>22</v>
      </c>
      <c r="AZ100" s="668">
        <f t="shared" si="59"/>
        <v>0</v>
      </c>
    </row>
    <row r="101" spans="1:52" ht="14.25" customHeight="1">
      <c r="A101" s="404" t="s">
        <v>764</v>
      </c>
      <c r="B101" s="413">
        <f t="shared" si="42"/>
        <v>102813.63636363637</v>
      </c>
      <c r="C101" s="409" t="s">
        <v>79</v>
      </c>
      <c r="D101" s="377" t="s">
        <v>461</v>
      </c>
      <c r="E101" s="371" t="s">
        <v>267</v>
      </c>
      <c r="F101" s="378">
        <v>22</v>
      </c>
      <c r="G101" s="616">
        <v>2000000</v>
      </c>
      <c r="H101" s="617">
        <f t="shared" si="44"/>
        <v>110000</v>
      </c>
      <c r="I101" s="622">
        <f t="shared" si="45"/>
        <v>13200</v>
      </c>
      <c r="J101" s="659">
        <f t="shared" si="43"/>
        <v>63700</v>
      </c>
      <c r="K101" s="677">
        <v>75000</v>
      </c>
      <c r="L101" s="652">
        <f t="shared" si="46"/>
        <v>2261900</v>
      </c>
      <c r="M101" s="352">
        <f t="shared" si="60"/>
        <v>150000</v>
      </c>
      <c r="N101" s="352">
        <f t="shared" si="61"/>
        <v>2111900</v>
      </c>
      <c r="O101" s="695">
        <v>20000</v>
      </c>
      <c r="P101" s="650">
        <v>50000</v>
      </c>
      <c r="Q101" s="458">
        <f t="shared" si="49"/>
        <v>169642.5</v>
      </c>
      <c r="R101" s="458">
        <f t="shared" si="50"/>
        <v>56547.5</v>
      </c>
      <c r="S101" s="689">
        <f t="shared" si="62"/>
        <v>2338090</v>
      </c>
      <c r="T101" s="375">
        <f t="shared" si="63"/>
        <v>0.1</v>
      </c>
      <c r="U101" s="376">
        <f t="shared" si="9"/>
        <v>233809</v>
      </c>
      <c r="V101" s="372">
        <f t="shared" si="69"/>
        <v>15000</v>
      </c>
      <c r="W101" s="372">
        <f t="shared" si="10"/>
        <v>218809</v>
      </c>
      <c r="X101" s="368">
        <f t="shared" si="68"/>
        <v>17</v>
      </c>
      <c r="Y101" s="373">
        <f t="shared" si="11"/>
        <v>12871.117647058823</v>
      </c>
      <c r="Z101" s="628">
        <f t="shared" si="53"/>
        <v>2104281</v>
      </c>
      <c r="AA101" s="638">
        <f t="shared" si="54"/>
        <v>16314.46819543021</v>
      </c>
      <c r="AB101" s="633">
        <f t="shared" si="55"/>
        <v>18913.872508238699</v>
      </c>
      <c r="AC101" s="398">
        <f t="shared" si="56"/>
        <v>24432.486675864548</v>
      </c>
      <c r="AD101" s="398">
        <f t="shared" si="57"/>
        <v>41667.285865685262</v>
      </c>
      <c r="AP101" s="353" t="s">
        <v>264</v>
      </c>
      <c r="AR101" s="653">
        <f t="shared" si="58"/>
        <v>18</v>
      </c>
      <c r="AW101" s="670">
        <v>6</v>
      </c>
      <c r="AX101" s="670" t="s">
        <v>716</v>
      </c>
      <c r="AY101" s="665">
        <v>22</v>
      </c>
      <c r="AZ101" s="668">
        <f t="shared" si="59"/>
        <v>0</v>
      </c>
    </row>
    <row r="102" spans="1:52" ht="14.25" customHeight="1">
      <c r="A102" s="404" t="s">
        <v>764</v>
      </c>
      <c r="B102" s="413">
        <f t="shared" si="42"/>
        <v>102813.63636363637</v>
      </c>
      <c r="C102" s="409" t="s">
        <v>79</v>
      </c>
      <c r="D102" s="377" t="s">
        <v>462</v>
      </c>
      <c r="E102" s="371" t="s">
        <v>267</v>
      </c>
      <c r="F102" s="378">
        <v>22</v>
      </c>
      <c r="G102" s="616">
        <v>2000000</v>
      </c>
      <c r="H102" s="617">
        <f t="shared" si="44"/>
        <v>110000</v>
      </c>
      <c r="I102" s="622">
        <f t="shared" si="45"/>
        <v>13200</v>
      </c>
      <c r="J102" s="659">
        <f t="shared" si="43"/>
        <v>63700</v>
      </c>
      <c r="K102" s="677">
        <v>75000</v>
      </c>
      <c r="L102" s="652">
        <f t="shared" si="46"/>
        <v>2261900</v>
      </c>
      <c r="M102" s="352">
        <f t="shared" si="60"/>
        <v>150000</v>
      </c>
      <c r="N102" s="352">
        <f t="shared" si="61"/>
        <v>2111900</v>
      </c>
      <c r="O102" s="695">
        <v>20000</v>
      </c>
      <c r="P102" s="650">
        <v>50000</v>
      </c>
      <c r="Q102" s="458">
        <f t="shared" si="49"/>
        <v>169642.5</v>
      </c>
      <c r="R102" s="458">
        <f t="shared" si="50"/>
        <v>56547.5</v>
      </c>
      <c r="S102" s="689">
        <f t="shared" si="62"/>
        <v>2338090</v>
      </c>
      <c r="T102" s="375">
        <f t="shared" si="63"/>
        <v>0.1</v>
      </c>
      <c r="U102" s="376">
        <f t="shared" si="9"/>
        <v>233809</v>
      </c>
      <c r="V102" s="372">
        <f t="shared" si="69"/>
        <v>15000</v>
      </c>
      <c r="W102" s="372">
        <f t="shared" si="10"/>
        <v>218809</v>
      </c>
      <c r="X102" s="368">
        <f t="shared" si="68"/>
        <v>17</v>
      </c>
      <c r="Y102" s="373">
        <f t="shared" si="11"/>
        <v>12871.117647058823</v>
      </c>
      <c r="Z102" s="628">
        <f t="shared" si="53"/>
        <v>2104281</v>
      </c>
      <c r="AA102" s="638">
        <f t="shared" si="54"/>
        <v>16314.46819543021</v>
      </c>
      <c r="AB102" s="633">
        <f t="shared" si="55"/>
        <v>18913.872508238699</v>
      </c>
      <c r="AC102" s="398">
        <f t="shared" si="56"/>
        <v>24432.486675864548</v>
      </c>
      <c r="AD102" s="398">
        <f t="shared" si="57"/>
        <v>41667.285865685262</v>
      </c>
      <c r="AP102" s="353" t="s">
        <v>264</v>
      </c>
      <c r="AR102" s="653">
        <f t="shared" si="58"/>
        <v>18</v>
      </c>
      <c r="AW102" s="669">
        <v>7</v>
      </c>
      <c r="AX102" s="672" t="s">
        <v>718</v>
      </c>
      <c r="AY102" s="665">
        <v>22</v>
      </c>
      <c r="AZ102" s="668">
        <f t="shared" si="59"/>
        <v>0</v>
      </c>
    </row>
    <row r="103" spans="1:52" ht="14.25" customHeight="1">
      <c r="A103" s="404" t="s">
        <v>764</v>
      </c>
      <c r="B103" s="413">
        <f t="shared" ref="B103:B134" si="70">L103/F103</f>
        <v>101334.10922112802</v>
      </c>
      <c r="C103" s="409" t="s">
        <v>65</v>
      </c>
      <c r="D103" s="377" t="s">
        <v>464</v>
      </c>
      <c r="E103" s="371" t="s">
        <v>267</v>
      </c>
      <c r="F103" s="378">
        <v>22.34</v>
      </c>
      <c r="G103" s="616">
        <v>2000000</v>
      </c>
      <c r="H103" s="617">
        <f t="shared" si="44"/>
        <v>111700</v>
      </c>
      <c r="I103" s="622">
        <f t="shared" si="45"/>
        <v>13404</v>
      </c>
      <c r="J103" s="659">
        <f t="shared" ref="J103:J134" si="71">+(O103+P103)*$J$5</f>
        <v>63700</v>
      </c>
      <c r="K103" s="677">
        <v>75000</v>
      </c>
      <c r="L103" s="652">
        <f t="shared" si="46"/>
        <v>2263804</v>
      </c>
      <c r="M103" s="352">
        <f t="shared" si="60"/>
        <v>150000</v>
      </c>
      <c r="N103" s="352">
        <f t="shared" si="61"/>
        <v>2113804</v>
      </c>
      <c r="O103" s="695">
        <v>20000</v>
      </c>
      <c r="P103" s="650">
        <v>50000</v>
      </c>
      <c r="Q103" s="458">
        <f t="shared" si="49"/>
        <v>169785.3</v>
      </c>
      <c r="R103" s="458">
        <f t="shared" si="50"/>
        <v>56595.100000000006</v>
      </c>
      <c r="S103" s="689">
        <f t="shared" si="62"/>
        <v>2340184.4</v>
      </c>
      <c r="T103" s="375">
        <f t="shared" si="63"/>
        <v>0.1</v>
      </c>
      <c r="U103" s="376">
        <f t="shared" si="9"/>
        <v>234018.44</v>
      </c>
      <c r="V103" s="372">
        <f>V5</f>
        <v>15000</v>
      </c>
      <c r="W103" s="372">
        <f t="shared" si="10"/>
        <v>219018.44</v>
      </c>
      <c r="X103" s="363">
        <f>X$5</f>
        <v>17</v>
      </c>
      <c r="Y103" s="373">
        <f t="shared" si="11"/>
        <v>12883.437647058823</v>
      </c>
      <c r="Z103" s="628">
        <f t="shared" si="53"/>
        <v>2106165.96</v>
      </c>
      <c r="AA103" s="638">
        <f t="shared" si="54"/>
        <v>16329.082270247052</v>
      </c>
      <c r="AB103" s="633">
        <f t="shared" si="55"/>
        <v>18930.815061596892</v>
      </c>
      <c r="AC103" s="398">
        <f t="shared" si="56"/>
        <v>24454.372659763339</v>
      </c>
      <c r="AD103" s="398">
        <f t="shared" si="57"/>
        <v>41704.610332885874</v>
      </c>
      <c r="AP103" s="353" t="s">
        <v>264</v>
      </c>
      <c r="AR103" s="653">
        <f t="shared" si="58"/>
        <v>18</v>
      </c>
      <c r="AW103" s="669">
        <v>8</v>
      </c>
      <c r="AX103" s="671" t="s">
        <v>720</v>
      </c>
      <c r="AY103" s="666">
        <v>22.34</v>
      </c>
      <c r="AZ103" s="668">
        <f t="shared" si="59"/>
        <v>0</v>
      </c>
    </row>
    <row r="104" spans="1:52" ht="14.25" customHeight="1">
      <c r="A104" s="404" t="s">
        <v>764</v>
      </c>
      <c r="B104" s="413">
        <f t="shared" si="70"/>
        <v>102813.63636363637</v>
      </c>
      <c r="C104" s="409" t="s">
        <v>79</v>
      </c>
      <c r="D104" s="377" t="s">
        <v>466</v>
      </c>
      <c r="E104" s="371" t="s">
        <v>267</v>
      </c>
      <c r="F104" s="378">
        <v>22</v>
      </c>
      <c r="G104" s="616">
        <v>2000000</v>
      </c>
      <c r="H104" s="617">
        <f t="shared" si="44"/>
        <v>110000</v>
      </c>
      <c r="I104" s="622">
        <f t="shared" si="45"/>
        <v>13200</v>
      </c>
      <c r="J104" s="659">
        <f t="shared" si="71"/>
        <v>63700</v>
      </c>
      <c r="K104" s="677">
        <v>75000</v>
      </c>
      <c r="L104" s="652">
        <f t="shared" si="46"/>
        <v>2261900</v>
      </c>
      <c r="M104" s="352">
        <f t="shared" si="60"/>
        <v>150000</v>
      </c>
      <c r="N104" s="352">
        <f t="shared" si="61"/>
        <v>2111900</v>
      </c>
      <c r="O104" s="695">
        <v>20000</v>
      </c>
      <c r="P104" s="650">
        <v>50000</v>
      </c>
      <c r="Q104" s="458">
        <f t="shared" si="49"/>
        <v>169642.5</v>
      </c>
      <c r="R104" s="458">
        <f t="shared" si="50"/>
        <v>56547.5</v>
      </c>
      <c r="S104" s="689">
        <f t="shared" si="62"/>
        <v>2338090</v>
      </c>
      <c r="T104" s="375">
        <f t="shared" si="63"/>
        <v>0.1</v>
      </c>
      <c r="U104" s="376">
        <f t="shared" si="9"/>
        <v>233809</v>
      </c>
      <c r="V104" s="372">
        <f t="shared" si="69"/>
        <v>15000</v>
      </c>
      <c r="W104" s="372">
        <f t="shared" si="10"/>
        <v>218809</v>
      </c>
      <c r="X104" s="368">
        <f t="shared" ref="X104:X112" si="72">X$5</f>
        <v>17</v>
      </c>
      <c r="Y104" s="373">
        <f t="shared" si="11"/>
        <v>12871.117647058823</v>
      </c>
      <c r="Z104" s="628">
        <f t="shared" si="53"/>
        <v>2104281</v>
      </c>
      <c r="AA104" s="638">
        <f t="shared" si="54"/>
        <v>16314.46819543021</v>
      </c>
      <c r="AB104" s="633">
        <f t="shared" si="55"/>
        <v>18913.872508238699</v>
      </c>
      <c r="AC104" s="398">
        <f t="shared" si="56"/>
        <v>24432.486675864548</v>
      </c>
      <c r="AD104" s="398">
        <f t="shared" si="57"/>
        <v>41667.285865685262</v>
      </c>
      <c r="AP104" s="353" t="s">
        <v>264</v>
      </c>
      <c r="AR104" s="653">
        <f t="shared" si="58"/>
        <v>18</v>
      </c>
      <c r="AW104" s="669">
        <v>9</v>
      </c>
      <c r="AX104" s="670" t="s">
        <v>722</v>
      </c>
      <c r="AY104" s="665">
        <v>22</v>
      </c>
      <c r="AZ104" s="668">
        <f t="shared" si="59"/>
        <v>0</v>
      </c>
    </row>
    <row r="105" spans="1:52" ht="14.25" customHeight="1">
      <c r="A105" s="405" t="s">
        <v>764</v>
      </c>
      <c r="B105" s="413">
        <f t="shared" si="70"/>
        <v>102813.63636363637</v>
      </c>
      <c r="C105" s="409" t="s">
        <v>79</v>
      </c>
      <c r="D105" s="377" t="s">
        <v>468</v>
      </c>
      <c r="E105" s="371" t="s">
        <v>267</v>
      </c>
      <c r="F105" s="378">
        <v>22</v>
      </c>
      <c r="G105" s="616">
        <v>2000000</v>
      </c>
      <c r="H105" s="617">
        <f t="shared" si="44"/>
        <v>110000</v>
      </c>
      <c r="I105" s="622">
        <f t="shared" si="45"/>
        <v>13200</v>
      </c>
      <c r="J105" s="659">
        <f t="shared" si="71"/>
        <v>63700</v>
      </c>
      <c r="K105" s="677">
        <v>75000</v>
      </c>
      <c r="L105" s="652">
        <f t="shared" si="46"/>
        <v>2261900</v>
      </c>
      <c r="M105" s="352">
        <f t="shared" si="60"/>
        <v>150000</v>
      </c>
      <c r="N105" s="352">
        <f t="shared" si="61"/>
        <v>2111900</v>
      </c>
      <c r="O105" s="695">
        <v>20000</v>
      </c>
      <c r="P105" s="650">
        <v>50000</v>
      </c>
      <c r="Q105" s="458">
        <f t="shared" si="49"/>
        <v>169642.5</v>
      </c>
      <c r="R105" s="458">
        <f t="shared" si="50"/>
        <v>56547.5</v>
      </c>
      <c r="S105" s="689">
        <f t="shared" si="62"/>
        <v>2338090</v>
      </c>
      <c r="T105" s="375">
        <f t="shared" si="63"/>
        <v>0.1</v>
      </c>
      <c r="U105" s="376">
        <f t="shared" si="9"/>
        <v>233809</v>
      </c>
      <c r="V105" s="372">
        <f t="shared" si="69"/>
        <v>15000</v>
      </c>
      <c r="W105" s="372">
        <f t="shared" si="10"/>
        <v>218809</v>
      </c>
      <c r="X105" s="368">
        <f t="shared" si="72"/>
        <v>17</v>
      </c>
      <c r="Y105" s="373">
        <f t="shared" si="11"/>
        <v>12871.117647058823</v>
      </c>
      <c r="Z105" s="628">
        <f t="shared" si="53"/>
        <v>2104281</v>
      </c>
      <c r="AA105" s="638">
        <f t="shared" si="54"/>
        <v>16314.46819543021</v>
      </c>
      <c r="AB105" s="633">
        <f t="shared" si="55"/>
        <v>18913.872508238699</v>
      </c>
      <c r="AC105" s="398">
        <f t="shared" si="56"/>
        <v>24432.486675864548</v>
      </c>
      <c r="AD105" s="398">
        <f t="shared" si="57"/>
        <v>41667.285865685262</v>
      </c>
      <c r="AP105" s="353" t="s">
        <v>264</v>
      </c>
      <c r="AR105" s="653">
        <f t="shared" si="58"/>
        <v>18</v>
      </c>
      <c r="AW105" s="669">
        <v>10</v>
      </c>
      <c r="AX105" s="670" t="s">
        <v>724</v>
      </c>
      <c r="AY105" s="665">
        <v>22</v>
      </c>
      <c r="AZ105" s="668">
        <f t="shared" si="59"/>
        <v>0</v>
      </c>
    </row>
    <row r="106" spans="1:52" ht="14.25" customHeight="1">
      <c r="A106" s="448" t="s">
        <v>764</v>
      </c>
      <c r="B106" s="413">
        <f t="shared" si="70"/>
        <v>102813.63636363637</v>
      </c>
      <c r="C106" s="409" t="s">
        <v>79</v>
      </c>
      <c r="D106" s="377" t="s">
        <v>470</v>
      </c>
      <c r="E106" s="371" t="s">
        <v>267</v>
      </c>
      <c r="F106" s="378">
        <v>22</v>
      </c>
      <c r="G106" s="616">
        <v>2000000</v>
      </c>
      <c r="H106" s="617">
        <f t="shared" si="44"/>
        <v>110000</v>
      </c>
      <c r="I106" s="622">
        <f t="shared" si="45"/>
        <v>13200</v>
      </c>
      <c r="J106" s="659">
        <f t="shared" si="71"/>
        <v>63700</v>
      </c>
      <c r="K106" s="677">
        <v>75000</v>
      </c>
      <c r="L106" s="652">
        <f t="shared" si="46"/>
        <v>2261900</v>
      </c>
      <c r="M106" s="352">
        <f t="shared" si="60"/>
        <v>150000</v>
      </c>
      <c r="N106" s="352">
        <f t="shared" si="61"/>
        <v>2111900</v>
      </c>
      <c r="O106" s="695">
        <v>20000</v>
      </c>
      <c r="P106" s="650">
        <v>50000</v>
      </c>
      <c r="Q106" s="458">
        <f t="shared" si="49"/>
        <v>169642.5</v>
      </c>
      <c r="R106" s="458">
        <f t="shared" si="50"/>
        <v>56547.5</v>
      </c>
      <c r="S106" s="689">
        <f t="shared" si="62"/>
        <v>2338090</v>
      </c>
      <c r="T106" s="375">
        <f t="shared" si="63"/>
        <v>0.1</v>
      </c>
      <c r="U106" s="376">
        <f t="shared" si="9"/>
        <v>233809</v>
      </c>
      <c r="V106" s="372">
        <f t="shared" si="69"/>
        <v>15000</v>
      </c>
      <c r="W106" s="372">
        <f t="shared" si="10"/>
        <v>218809</v>
      </c>
      <c r="X106" s="368">
        <f t="shared" si="72"/>
        <v>17</v>
      </c>
      <c r="Y106" s="373">
        <f t="shared" si="11"/>
        <v>12871.117647058823</v>
      </c>
      <c r="Z106" s="628">
        <f t="shared" si="53"/>
        <v>2104281</v>
      </c>
      <c r="AA106" s="638">
        <f t="shared" si="54"/>
        <v>16314.46819543021</v>
      </c>
      <c r="AB106" s="633">
        <f t="shared" si="55"/>
        <v>18913.872508238699</v>
      </c>
      <c r="AC106" s="398">
        <f t="shared" si="56"/>
        <v>24432.486675864548</v>
      </c>
      <c r="AD106" s="398">
        <f t="shared" si="57"/>
        <v>41667.285865685262</v>
      </c>
      <c r="AP106" s="353" t="s">
        <v>264</v>
      </c>
      <c r="AR106" s="653">
        <f t="shared" si="58"/>
        <v>18</v>
      </c>
      <c r="AW106" s="669">
        <v>11</v>
      </c>
      <c r="AX106" s="670" t="s">
        <v>726</v>
      </c>
      <c r="AY106" s="665">
        <v>22</v>
      </c>
      <c r="AZ106" s="668">
        <f t="shared" si="59"/>
        <v>0</v>
      </c>
    </row>
    <row r="107" spans="1:52" ht="14.25" customHeight="1">
      <c r="A107" s="414" t="s">
        <v>764</v>
      </c>
      <c r="B107" s="413">
        <f t="shared" si="70"/>
        <v>102813.63636363637</v>
      </c>
      <c r="C107" s="409" t="s">
        <v>79</v>
      </c>
      <c r="D107" s="377" t="s">
        <v>472</v>
      </c>
      <c r="E107" s="371" t="s">
        <v>267</v>
      </c>
      <c r="F107" s="378">
        <v>22</v>
      </c>
      <c r="G107" s="616">
        <v>2000000</v>
      </c>
      <c r="H107" s="617">
        <f t="shared" si="44"/>
        <v>110000</v>
      </c>
      <c r="I107" s="622">
        <f t="shared" si="45"/>
        <v>13200</v>
      </c>
      <c r="J107" s="659">
        <f t="shared" si="71"/>
        <v>63700</v>
      </c>
      <c r="K107" s="677">
        <v>75000</v>
      </c>
      <c r="L107" s="652">
        <f t="shared" si="46"/>
        <v>2261900</v>
      </c>
      <c r="M107" s="352">
        <f t="shared" si="60"/>
        <v>150000</v>
      </c>
      <c r="N107" s="352">
        <f t="shared" si="61"/>
        <v>2111900</v>
      </c>
      <c r="O107" s="695">
        <v>20000</v>
      </c>
      <c r="P107" s="650">
        <v>50000</v>
      </c>
      <c r="Q107" s="458">
        <f t="shared" si="49"/>
        <v>169642.5</v>
      </c>
      <c r="R107" s="458">
        <f t="shared" si="50"/>
        <v>56547.5</v>
      </c>
      <c r="S107" s="689">
        <f t="shared" si="62"/>
        <v>2338090</v>
      </c>
      <c r="T107" s="375">
        <f t="shared" si="63"/>
        <v>0.1</v>
      </c>
      <c r="U107" s="376">
        <f t="shared" si="9"/>
        <v>233809</v>
      </c>
      <c r="V107" s="372">
        <f t="shared" si="69"/>
        <v>15000</v>
      </c>
      <c r="W107" s="372">
        <f t="shared" si="10"/>
        <v>218809</v>
      </c>
      <c r="X107" s="368">
        <f t="shared" si="72"/>
        <v>17</v>
      </c>
      <c r="Y107" s="373">
        <f t="shared" si="11"/>
        <v>12871.117647058823</v>
      </c>
      <c r="Z107" s="628">
        <f t="shared" si="53"/>
        <v>2104281</v>
      </c>
      <c r="AA107" s="638">
        <f t="shared" si="54"/>
        <v>16314.46819543021</v>
      </c>
      <c r="AB107" s="633">
        <f t="shared" si="55"/>
        <v>18913.872508238699</v>
      </c>
      <c r="AC107" s="398">
        <f t="shared" si="56"/>
        <v>24432.486675864548</v>
      </c>
      <c r="AD107" s="398">
        <f t="shared" si="57"/>
        <v>41667.285865685262</v>
      </c>
      <c r="AP107" s="353" t="s">
        <v>264</v>
      </c>
      <c r="AR107" s="653">
        <f t="shared" si="58"/>
        <v>18</v>
      </c>
      <c r="AW107" s="669">
        <v>12</v>
      </c>
      <c r="AX107" s="670" t="s">
        <v>728</v>
      </c>
      <c r="AY107" s="665">
        <v>22</v>
      </c>
      <c r="AZ107" s="668">
        <f t="shared" si="59"/>
        <v>0</v>
      </c>
    </row>
    <row r="108" spans="1:52" ht="14.25" customHeight="1">
      <c r="A108" s="404" t="s">
        <v>764</v>
      </c>
      <c r="B108" s="413">
        <f t="shared" si="70"/>
        <v>102813.63636363637</v>
      </c>
      <c r="C108" s="409" t="s">
        <v>79</v>
      </c>
      <c r="D108" s="377" t="s">
        <v>474</v>
      </c>
      <c r="E108" s="371" t="s">
        <v>267</v>
      </c>
      <c r="F108" s="378">
        <v>22</v>
      </c>
      <c r="G108" s="616">
        <v>2000000</v>
      </c>
      <c r="H108" s="617">
        <f t="shared" si="44"/>
        <v>110000</v>
      </c>
      <c r="I108" s="622">
        <f t="shared" si="45"/>
        <v>13200</v>
      </c>
      <c r="J108" s="659">
        <f t="shared" si="71"/>
        <v>63700</v>
      </c>
      <c r="K108" s="677">
        <v>75000</v>
      </c>
      <c r="L108" s="652">
        <f t="shared" si="46"/>
        <v>2261900</v>
      </c>
      <c r="M108" s="352">
        <f t="shared" si="60"/>
        <v>150000</v>
      </c>
      <c r="N108" s="352">
        <f t="shared" si="61"/>
        <v>2111900</v>
      </c>
      <c r="O108" s="695">
        <v>20000</v>
      </c>
      <c r="P108" s="650">
        <v>50000</v>
      </c>
      <c r="Q108" s="458">
        <f t="shared" si="49"/>
        <v>169642.5</v>
      </c>
      <c r="R108" s="458">
        <f t="shared" si="50"/>
        <v>56547.5</v>
      </c>
      <c r="S108" s="689">
        <f t="shared" si="62"/>
        <v>2338090</v>
      </c>
      <c r="T108" s="375">
        <f t="shared" si="63"/>
        <v>0.1</v>
      </c>
      <c r="U108" s="376">
        <f t="shared" si="9"/>
        <v>233809</v>
      </c>
      <c r="V108" s="372">
        <f t="shared" si="69"/>
        <v>15000</v>
      </c>
      <c r="W108" s="372">
        <f t="shared" si="10"/>
        <v>218809</v>
      </c>
      <c r="X108" s="368">
        <f t="shared" si="72"/>
        <v>17</v>
      </c>
      <c r="Y108" s="373">
        <f t="shared" si="11"/>
        <v>12871.117647058823</v>
      </c>
      <c r="Z108" s="628">
        <f t="shared" si="53"/>
        <v>2104281</v>
      </c>
      <c r="AA108" s="638">
        <f t="shared" si="54"/>
        <v>16314.46819543021</v>
      </c>
      <c r="AB108" s="633">
        <f t="shared" si="55"/>
        <v>18913.872508238699</v>
      </c>
      <c r="AC108" s="398">
        <f t="shared" si="56"/>
        <v>24432.486675864548</v>
      </c>
      <c r="AD108" s="398">
        <f t="shared" si="57"/>
        <v>41667.285865685262</v>
      </c>
      <c r="AP108" s="353" t="s">
        <v>264</v>
      </c>
      <c r="AR108" s="653">
        <f t="shared" si="58"/>
        <v>18</v>
      </c>
      <c r="AW108" s="669">
        <v>13</v>
      </c>
      <c r="AX108" s="670" t="s">
        <v>730</v>
      </c>
      <c r="AY108" s="665">
        <v>22</v>
      </c>
      <c r="AZ108" s="668">
        <f t="shared" si="59"/>
        <v>0</v>
      </c>
    </row>
    <row r="109" spans="1:52" ht="14.25" customHeight="1">
      <c r="A109" s="405" t="s">
        <v>764</v>
      </c>
      <c r="B109" s="413">
        <f t="shared" si="70"/>
        <v>102813.63636363637</v>
      </c>
      <c r="C109" s="409" t="s">
        <v>79</v>
      </c>
      <c r="D109" s="377" t="s">
        <v>476</v>
      </c>
      <c r="E109" s="371" t="s">
        <v>267</v>
      </c>
      <c r="F109" s="378">
        <v>22</v>
      </c>
      <c r="G109" s="616">
        <v>2000000</v>
      </c>
      <c r="H109" s="617">
        <f t="shared" si="44"/>
        <v>110000</v>
      </c>
      <c r="I109" s="622">
        <f t="shared" si="45"/>
        <v>13200</v>
      </c>
      <c r="J109" s="659">
        <f t="shared" si="71"/>
        <v>63700</v>
      </c>
      <c r="K109" s="677">
        <v>75000</v>
      </c>
      <c r="L109" s="652">
        <f t="shared" si="46"/>
        <v>2261900</v>
      </c>
      <c r="M109" s="352">
        <f t="shared" si="60"/>
        <v>150000</v>
      </c>
      <c r="N109" s="352">
        <f t="shared" si="61"/>
        <v>2111900</v>
      </c>
      <c r="O109" s="695">
        <v>20000</v>
      </c>
      <c r="P109" s="650">
        <v>50000</v>
      </c>
      <c r="Q109" s="458">
        <f t="shared" si="49"/>
        <v>169642.5</v>
      </c>
      <c r="R109" s="458">
        <f t="shared" si="50"/>
        <v>56547.5</v>
      </c>
      <c r="S109" s="689">
        <f t="shared" si="62"/>
        <v>2338090</v>
      </c>
      <c r="T109" s="375">
        <f t="shared" si="63"/>
        <v>0.1</v>
      </c>
      <c r="U109" s="376">
        <f t="shared" si="9"/>
        <v>233809</v>
      </c>
      <c r="V109" s="372">
        <f t="shared" si="69"/>
        <v>15000</v>
      </c>
      <c r="W109" s="372">
        <f t="shared" si="10"/>
        <v>218809</v>
      </c>
      <c r="X109" s="368">
        <f t="shared" si="72"/>
        <v>17</v>
      </c>
      <c r="Y109" s="373">
        <f t="shared" si="11"/>
        <v>12871.117647058823</v>
      </c>
      <c r="Z109" s="628">
        <f t="shared" si="53"/>
        <v>2104281</v>
      </c>
      <c r="AA109" s="638">
        <f t="shared" si="54"/>
        <v>16314.46819543021</v>
      </c>
      <c r="AB109" s="633">
        <f t="shared" si="55"/>
        <v>18913.872508238699</v>
      </c>
      <c r="AC109" s="398">
        <f t="shared" si="56"/>
        <v>24432.486675864548</v>
      </c>
      <c r="AD109" s="398">
        <f t="shared" si="57"/>
        <v>41667.285865685262</v>
      </c>
      <c r="AP109" s="353" t="s">
        <v>264</v>
      </c>
      <c r="AR109" s="653">
        <f t="shared" si="58"/>
        <v>18</v>
      </c>
      <c r="AW109" s="669">
        <v>14</v>
      </c>
      <c r="AX109" s="670" t="s">
        <v>732</v>
      </c>
      <c r="AY109" s="665">
        <v>22</v>
      </c>
      <c r="AZ109" s="668">
        <f t="shared" si="59"/>
        <v>0</v>
      </c>
    </row>
    <row r="110" spans="1:52" ht="14.25" customHeight="1">
      <c r="A110" s="448" t="s">
        <v>764</v>
      </c>
      <c r="B110" s="413">
        <f t="shared" si="70"/>
        <v>102813.63636363637</v>
      </c>
      <c r="C110" s="409" t="s">
        <v>79</v>
      </c>
      <c r="D110" s="377" t="s">
        <v>478</v>
      </c>
      <c r="E110" s="371" t="s">
        <v>267</v>
      </c>
      <c r="F110" s="378">
        <v>22</v>
      </c>
      <c r="G110" s="616">
        <v>2000000</v>
      </c>
      <c r="H110" s="617">
        <f t="shared" si="44"/>
        <v>110000</v>
      </c>
      <c r="I110" s="622">
        <f t="shared" si="45"/>
        <v>13200</v>
      </c>
      <c r="J110" s="659">
        <f t="shared" si="71"/>
        <v>63700</v>
      </c>
      <c r="K110" s="677">
        <v>75000</v>
      </c>
      <c r="L110" s="652">
        <f t="shared" si="46"/>
        <v>2261900</v>
      </c>
      <c r="M110" s="352">
        <f t="shared" si="60"/>
        <v>150000</v>
      </c>
      <c r="N110" s="352">
        <f t="shared" si="61"/>
        <v>2111900</v>
      </c>
      <c r="O110" s="695">
        <v>20000</v>
      </c>
      <c r="P110" s="650">
        <v>50000</v>
      </c>
      <c r="Q110" s="458">
        <f t="shared" si="49"/>
        <v>169642.5</v>
      </c>
      <c r="R110" s="458">
        <f t="shared" si="50"/>
        <v>56547.5</v>
      </c>
      <c r="S110" s="689">
        <f t="shared" si="62"/>
        <v>2338090</v>
      </c>
      <c r="T110" s="375">
        <f t="shared" si="63"/>
        <v>0.1</v>
      </c>
      <c r="U110" s="376">
        <f t="shared" si="9"/>
        <v>233809</v>
      </c>
      <c r="V110" s="372">
        <f t="shared" si="69"/>
        <v>15000</v>
      </c>
      <c r="W110" s="372">
        <f t="shared" si="10"/>
        <v>218809</v>
      </c>
      <c r="X110" s="368">
        <f t="shared" si="72"/>
        <v>17</v>
      </c>
      <c r="Y110" s="373">
        <f t="shared" si="11"/>
        <v>12871.117647058823</v>
      </c>
      <c r="Z110" s="628">
        <f t="shared" si="53"/>
        <v>2104281</v>
      </c>
      <c r="AA110" s="638">
        <f t="shared" si="54"/>
        <v>16314.46819543021</v>
      </c>
      <c r="AB110" s="633">
        <f t="shared" si="55"/>
        <v>18913.872508238699</v>
      </c>
      <c r="AC110" s="398">
        <f t="shared" si="56"/>
        <v>24432.486675864548</v>
      </c>
      <c r="AD110" s="398">
        <f t="shared" si="57"/>
        <v>41667.285865685262</v>
      </c>
      <c r="AP110" s="353" t="s">
        <v>264</v>
      </c>
      <c r="AR110" s="653">
        <f t="shared" si="58"/>
        <v>18</v>
      </c>
      <c r="AW110" s="669">
        <v>15</v>
      </c>
      <c r="AX110" s="670" t="s">
        <v>734</v>
      </c>
      <c r="AY110" s="665">
        <v>22</v>
      </c>
      <c r="AZ110" s="668">
        <f t="shared" si="59"/>
        <v>0</v>
      </c>
    </row>
    <row r="111" spans="1:52" ht="14.25" customHeight="1">
      <c r="A111" s="414" t="s">
        <v>764</v>
      </c>
      <c r="B111" s="413">
        <f t="shared" si="70"/>
        <v>102813.63636363637</v>
      </c>
      <c r="C111" s="409" t="s">
        <v>79</v>
      </c>
      <c r="D111" s="377" t="s">
        <v>480</v>
      </c>
      <c r="E111" s="371" t="s">
        <v>267</v>
      </c>
      <c r="F111" s="378">
        <v>22</v>
      </c>
      <c r="G111" s="616">
        <v>2000000</v>
      </c>
      <c r="H111" s="617">
        <f t="shared" si="44"/>
        <v>110000</v>
      </c>
      <c r="I111" s="622">
        <f t="shared" si="45"/>
        <v>13200</v>
      </c>
      <c r="J111" s="659">
        <f t="shared" si="71"/>
        <v>63700</v>
      </c>
      <c r="K111" s="677">
        <v>75000</v>
      </c>
      <c r="L111" s="652">
        <f t="shared" si="46"/>
        <v>2261900</v>
      </c>
      <c r="M111" s="352">
        <f t="shared" si="60"/>
        <v>150000</v>
      </c>
      <c r="N111" s="352">
        <f t="shared" si="61"/>
        <v>2111900</v>
      </c>
      <c r="O111" s="695">
        <v>20000</v>
      </c>
      <c r="P111" s="650">
        <v>50000</v>
      </c>
      <c r="Q111" s="458">
        <f t="shared" si="49"/>
        <v>169642.5</v>
      </c>
      <c r="R111" s="458">
        <f t="shared" si="50"/>
        <v>56547.5</v>
      </c>
      <c r="S111" s="689">
        <f t="shared" si="62"/>
        <v>2338090</v>
      </c>
      <c r="T111" s="375">
        <f t="shared" si="63"/>
        <v>0.1</v>
      </c>
      <c r="U111" s="376">
        <f t="shared" si="9"/>
        <v>233809</v>
      </c>
      <c r="V111" s="372">
        <f t="shared" si="69"/>
        <v>15000</v>
      </c>
      <c r="W111" s="372">
        <f t="shared" si="10"/>
        <v>218809</v>
      </c>
      <c r="X111" s="368">
        <f t="shared" si="72"/>
        <v>17</v>
      </c>
      <c r="Y111" s="373">
        <f t="shared" si="11"/>
        <v>12871.117647058823</v>
      </c>
      <c r="Z111" s="628">
        <f t="shared" si="53"/>
        <v>2104281</v>
      </c>
      <c r="AA111" s="638">
        <f t="shared" si="54"/>
        <v>16314.46819543021</v>
      </c>
      <c r="AB111" s="633">
        <f t="shared" si="55"/>
        <v>18913.872508238699</v>
      </c>
      <c r="AC111" s="398">
        <f t="shared" si="56"/>
        <v>24432.486675864548</v>
      </c>
      <c r="AD111" s="398">
        <f t="shared" si="57"/>
        <v>41667.285865685262</v>
      </c>
      <c r="AP111" s="353" t="s">
        <v>264</v>
      </c>
      <c r="AR111" s="653">
        <f t="shared" si="58"/>
        <v>18</v>
      </c>
      <c r="AW111" s="669">
        <v>16</v>
      </c>
      <c r="AX111" s="670" t="s">
        <v>737</v>
      </c>
      <c r="AY111" s="665">
        <v>22</v>
      </c>
      <c r="AZ111" s="668">
        <f t="shared" si="59"/>
        <v>0</v>
      </c>
    </row>
    <row r="112" spans="1:52" ht="14.25" customHeight="1">
      <c r="A112" s="404" t="s">
        <v>764</v>
      </c>
      <c r="B112" s="413">
        <f t="shared" si="70"/>
        <v>102813.63636363637</v>
      </c>
      <c r="C112" s="409" t="s">
        <v>79</v>
      </c>
      <c r="D112" s="377" t="s">
        <v>481</v>
      </c>
      <c r="E112" s="371" t="s">
        <v>267</v>
      </c>
      <c r="F112" s="378">
        <v>22</v>
      </c>
      <c r="G112" s="616">
        <v>2000000</v>
      </c>
      <c r="H112" s="617">
        <f t="shared" si="44"/>
        <v>110000</v>
      </c>
      <c r="I112" s="622">
        <f t="shared" si="45"/>
        <v>13200</v>
      </c>
      <c r="J112" s="659">
        <f t="shared" si="71"/>
        <v>63700</v>
      </c>
      <c r="K112" s="677">
        <v>75000</v>
      </c>
      <c r="L112" s="652">
        <f t="shared" si="46"/>
        <v>2261900</v>
      </c>
      <c r="M112" s="352">
        <f t="shared" si="60"/>
        <v>150000</v>
      </c>
      <c r="N112" s="352">
        <f t="shared" si="61"/>
        <v>2111900</v>
      </c>
      <c r="O112" s="695">
        <v>20000</v>
      </c>
      <c r="P112" s="650">
        <v>50000</v>
      </c>
      <c r="Q112" s="458">
        <f t="shared" si="49"/>
        <v>169642.5</v>
      </c>
      <c r="R112" s="458">
        <f t="shared" si="50"/>
        <v>56547.5</v>
      </c>
      <c r="S112" s="689">
        <f t="shared" si="62"/>
        <v>2338090</v>
      </c>
      <c r="T112" s="375">
        <f t="shared" si="63"/>
        <v>0.1</v>
      </c>
      <c r="U112" s="376">
        <f t="shared" si="9"/>
        <v>233809</v>
      </c>
      <c r="V112" s="372">
        <f t="shared" si="69"/>
        <v>15000</v>
      </c>
      <c r="W112" s="372">
        <f t="shared" si="10"/>
        <v>218809</v>
      </c>
      <c r="X112" s="368">
        <f t="shared" si="72"/>
        <v>17</v>
      </c>
      <c r="Y112" s="373">
        <f t="shared" si="11"/>
        <v>12871.117647058823</v>
      </c>
      <c r="Z112" s="628">
        <f t="shared" si="53"/>
        <v>2104281</v>
      </c>
      <c r="AA112" s="638">
        <f t="shared" si="54"/>
        <v>16314.46819543021</v>
      </c>
      <c r="AB112" s="633">
        <f t="shared" si="55"/>
        <v>18913.872508238699</v>
      </c>
      <c r="AC112" s="398">
        <f t="shared" si="56"/>
        <v>24432.486675864548</v>
      </c>
      <c r="AD112" s="398">
        <f t="shared" si="57"/>
        <v>41667.285865685262</v>
      </c>
      <c r="AP112" s="353" t="s">
        <v>264</v>
      </c>
      <c r="AR112" s="653">
        <f t="shared" si="58"/>
        <v>18</v>
      </c>
      <c r="AW112" s="669">
        <v>17</v>
      </c>
      <c r="AX112" s="672" t="s">
        <v>740</v>
      </c>
      <c r="AY112" s="665">
        <v>22</v>
      </c>
      <c r="AZ112" s="668">
        <f t="shared" si="59"/>
        <v>0</v>
      </c>
    </row>
    <row r="113" spans="1:52" ht="14.25" customHeight="1" thickBot="1">
      <c r="A113" s="405" t="s">
        <v>764</v>
      </c>
      <c r="B113" s="444">
        <f t="shared" si="70"/>
        <v>101334.10922112802</v>
      </c>
      <c r="C113" s="410" t="s">
        <v>65</v>
      </c>
      <c r="D113" s="386" t="s">
        <v>482</v>
      </c>
      <c r="E113" s="371" t="s">
        <v>267</v>
      </c>
      <c r="F113" s="387">
        <v>22.34</v>
      </c>
      <c r="G113" s="616">
        <v>2000000</v>
      </c>
      <c r="H113" s="617">
        <f t="shared" si="44"/>
        <v>111700</v>
      </c>
      <c r="I113" s="622">
        <f t="shared" si="45"/>
        <v>13404</v>
      </c>
      <c r="J113" s="659">
        <f t="shared" si="71"/>
        <v>63700</v>
      </c>
      <c r="K113" s="677">
        <v>75000</v>
      </c>
      <c r="L113" s="652">
        <f t="shared" si="46"/>
        <v>2263804</v>
      </c>
      <c r="M113" s="352">
        <f t="shared" si="60"/>
        <v>150000</v>
      </c>
      <c r="N113" s="352">
        <f t="shared" si="61"/>
        <v>2113804</v>
      </c>
      <c r="O113" s="695">
        <v>20000</v>
      </c>
      <c r="P113" s="650">
        <v>50000</v>
      </c>
      <c r="Q113" s="458">
        <f t="shared" si="49"/>
        <v>169785.3</v>
      </c>
      <c r="R113" s="458">
        <f t="shared" si="50"/>
        <v>56595.100000000006</v>
      </c>
      <c r="S113" s="689">
        <f t="shared" si="62"/>
        <v>2340184.4</v>
      </c>
      <c r="T113" s="375">
        <f t="shared" si="63"/>
        <v>0.1</v>
      </c>
      <c r="U113" s="379">
        <f t="shared" si="9"/>
        <v>234018.44</v>
      </c>
      <c r="V113" s="374">
        <f>V5</f>
        <v>15000</v>
      </c>
      <c r="W113" s="374">
        <f t="shared" si="10"/>
        <v>219018.44</v>
      </c>
      <c r="X113" s="364">
        <f>X$5</f>
        <v>17</v>
      </c>
      <c r="Y113" s="388">
        <f t="shared" si="11"/>
        <v>12883.437647058823</v>
      </c>
      <c r="Z113" s="629">
        <f t="shared" si="53"/>
        <v>2106165.96</v>
      </c>
      <c r="AA113" s="638">
        <f t="shared" si="54"/>
        <v>16329.082270247052</v>
      </c>
      <c r="AB113" s="634">
        <f t="shared" si="55"/>
        <v>18930.815061596892</v>
      </c>
      <c r="AC113" s="446">
        <f t="shared" si="56"/>
        <v>24454.372659763339</v>
      </c>
      <c r="AD113" s="446">
        <f t="shared" si="57"/>
        <v>41704.610332885874</v>
      </c>
      <c r="AE113" t="s">
        <v>742</v>
      </c>
      <c r="AF113" t="s">
        <v>742</v>
      </c>
      <c r="AP113" s="353" t="s">
        <v>264</v>
      </c>
      <c r="AR113" s="653">
        <f t="shared" si="58"/>
        <v>18</v>
      </c>
      <c r="AW113" s="669">
        <v>18</v>
      </c>
      <c r="AX113" s="671" t="s">
        <v>760</v>
      </c>
      <c r="AY113" s="666">
        <v>22.34</v>
      </c>
      <c r="AZ113" s="668">
        <f t="shared" si="59"/>
        <v>0</v>
      </c>
    </row>
    <row r="114" spans="1:52" ht="14.25" customHeight="1">
      <c r="A114" s="406" t="s">
        <v>765</v>
      </c>
      <c r="B114" s="442">
        <f t="shared" si="70"/>
        <v>102813.63636363637</v>
      </c>
      <c r="C114" s="411" t="s">
        <v>65</v>
      </c>
      <c r="D114" s="389" t="s">
        <v>484</v>
      </c>
      <c r="E114" s="371" t="s">
        <v>267</v>
      </c>
      <c r="F114" s="390">
        <v>22</v>
      </c>
      <c r="G114" s="616">
        <v>2000000</v>
      </c>
      <c r="H114" s="617">
        <f t="shared" si="44"/>
        <v>110000</v>
      </c>
      <c r="I114" s="622">
        <f t="shared" si="45"/>
        <v>13200</v>
      </c>
      <c r="J114" s="659">
        <f t="shared" si="71"/>
        <v>63700</v>
      </c>
      <c r="K114" s="677">
        <v>75000</v>
      </c>
      <c r="L114" s="652">
        <f t="shared" si="46"/>
        <v>2261900</v>
      </c>
      <c r="M114" s="352">
        <f t="shared" si="60"/>
        <v>150000</v>
      </c>
      <c r="N114" s="352">
        <f t="shared" si="61"/>
        <v>2111900</v>
      </c>
      <c r="O114" s="695">
        <v>20000</v>
      </c>
      <c r="P114" s="650">
        <v>50000</v>
      </c>
      <c r="Q114" s="458">
        <f t="shared" si="49"/>
        <v>169642.5</v>
      </c>
      <c r="R114" s="458">
        <f t="shared" si="50"/>
        <v>56547.5</v>
      </c>
      <c r="S114" s="689">
        <f t="shared" si="62"/>
        <v>2338090</v>
      </c>
      <c r="T114" s="375">
        <f t="shared" si="63"/>
        <v>0.1</v>
      </c>
      <c r="U114" s="390">
        <f t="shared" si="9"/>
        <v>233809</v>
      </c>
      <c r="V114" s="391">
        <f>V5</f>
        <v>15000</v>
      </c>
      <c r="W114" s="391">
        <f t="shared" si="10"/>
        <v>218809</v>
      </c>
      <c r="X114" s="369">
        <f>X$5</f>
        <v>17</v>
      </c>
      <c r="Y114" s="392">
        <f t="shared" si="11"/>
        <v>12871.117647058823</v>
      </c>
      <c r="Z114" s="631">
        <f t="shared" si="53"/>
        <v>2104281</v>
      </c>
      <c r="AA114" s="638">
        <f t="shared" si="54"/>
        <v>16314.46819543021</v>
      </c>
      <c r="AB114" s="635">
        <f t="shared" si="55"/>
        <v>18913.872508238699</v>
      </c>
      <c r="AC114" s="443">
        <f t="shared" si="56"/>
        <v>24432.486675864548</v>
      </c>
      <c r="AD114" s="443">
        <f t="shared" si="57"/>
        <v>41667.285865685262</v>
      </c>
      <c r="AE114" t="s">
        <v>742</v>
      </c>
      <c r="AF114" t="s">
        <v>742</v>
      </c>
      <c r="AP114" s="353" t="s">
        <v>264</v>
      </c>
      <c r="AR114" s="653">
        <f t="shared" si="58"/>
        <v>18</v>
      </c>
      <c r="AW114" s="669">
        <v>1</v>
      </c>
      <c r="AX114" s="670" t="s">
        <v>700</v>
      </c>
      <c r="AY114" s="665">
        <v>22</v>
      </c>
      <c r="AZ114" s="668">
        <f t="shared" si="59"/>
        <v>0</v>
      </c>
    </row>
    <row r="115" spans="1:52" ht="14.25" customHeight="1">
      <c r="A115" s="404" t="s">
        <v>765</v>
      </c>
      <c r="B115" s="413">
        <f t="shared" si="70"/>
        <v>102813.63636363637</v>
      </c>
      <c r="C115" s="409" t="s">
        <v>79</v>
      </c>
      <c r="D115" s="377" t="s">
        <v>487</v>
      </c>
      <c r="E115" s="371" t="s">
        <v>267</v>
      </c>
      <c r="F115" s="376">
        <v>22</v>
      </c>
      <c r="G115" s="616">
        <v>2000000</v>
      </c>
      <c r="H115" s="617">
        <f t="shared" si="44"/>
        <v>110000</v>
      </c>
      <c r="I115" s="622">
        <f t="shared" si="45"/>
        <v>13200</v>
      </c>
      <c r="J115" s="659">
        <f t="shared" si="71"/>
        <v>63700</v>
      </c>
      <c r="K115" s="677">
        <v>75000</v>
      </c>
      <c r="L115" s="652">
        <f t="shared" si="46"/>
        <v>2261900</v>
      </c>
      <c r="M115" s="352">
        <f t="shared" si="60"/>
        <v>150000</v>
      </c>
      <c r="N115" s="352">
        <f t="shared" si="61"/>
        <v>2111900</v>
      </c>
      <c r="O115" s="695">
        <v>20000</v>
      </c>
      <c r="P115" s="650">
        <v>50000</v>
      </c>
      <c r="Q115" s="458">
        <f t="shared" si="49"/>
        <v>169642.5</v>
      </c>
      <c r="R115" s="458">
        <f t="shared" si="50"/>
        <v>56547.5</v>
      </c>
      <c r="S115" s="689">
        <f t="shared" si="62"/>
        <v>2338090</v>
      </c>
      <c r="T115" s="375">
        <f t="shared" si="63"/>
        <v>0.1</v>
      </c>
      <c r="U115" s="376">
        <f t="shared" si="9"/>
        <v>233809</v>
      </c>
      <c r="V115" s="372">
        <f>V5</f>
        <v>15000</v>
      </c>
      <c r="W115" s="372">
        <f t="shared" si="10"/>
        <v>218809</v>
      </c>
      <c r="X115" s="370">
        <f t="shared" ref="X115:X120" si="73">X$5</f>
        <v>17</v>
      </c>
      <c r="Y115" s="373">
        <f t="shared" si="11"/>
        <v>12871.117647058823</v>
      </c>
      <c r="Z115" s="628">
        <f t="shared" si="53"/>
        <v>2104281</v>
      </c>
      <c r="AA115" s="638">
        <f t="shared" si="54"/>
        <v>16314.46819543021</v>
      </c>
      <c r="AB115" s="633">
        <f t="shared" si="55"/>
        <v>18913.872508238699</v>
      </c>
      <c r="AC115" s="398">
        <f t="shared" si="56"/>
        <v>24432.486675864548</v>
      </c>
      <c r="AD115" s="398">
        <f t="shared" si="57"/>
        <v>41667.285865685262</v>
      </c>
      <c r="AP115" s="353" t="s">
        <v>264</v>
      </c>
      <c r="AR115" s="653">
        <f t="shared" si="58"/>
        <v>18</v>
      </c>
      <c r="AW115" s="669">
        <v>2</v>
      </c>
      <c r="AX115" s="670" t="s">
        <v>704</v>
      </c>
      <c r="AY115" s="665">
        <v>22</v>
      </c>
      <c r="AZ115" s="668">
        <f t="shared" si="59"/>
        <v>0</v>
      </c>
    </row>
    <row r="116" spans="1:52" ht="14.25" customHeight="1">
      <c r="A116" s="404" t="s">
        <v>765</v>
      </c>
      <c r="B116" s="413">
        <f t="shared" si="70"/>
        <v>102813.63636363637</v>
      </c>
      <c r="C116" s="409" t="s">
        <v>79</v>
      </c>
      <c r="D116" s="377" t="s">
        <v>488</v>
      </c>
      <c r="E116" s="371" t="s">
        <v>267</v>
      </c>
      <c r="F116" s="376">
        <v>22</v>
      </c>
      <c r="G116" s="616">
        <v>2000000</v>
      </c>
      <c r="H116" s="617">
        <f t="shared" si="44"/>
        <v>110000</v>
      </c>
      <c r="I116" s="622">
        <f t="shared" si="45"/>
        <v>13200</v>
      </c>
      <c r="J116" s="659">
        <f t="shared" si="71"/>
        <v>63700</v>
      </c>
      <c r="K116" s="677">
        <v>75000</v>
      </c>
      <c r="L116" s="652">
        <f t="shared" si="46"/>
        <v>2261900</v>
      </c>
      <c r="M116" s="352">
        <f t="shared" si="60"/>
        <v>150000</v>
      </c>
      <c r="N116" s="352">
        <f t="shared" si="61"/>
        <v>2111900</v>
      </c>
      <c r="O116" s="695">
        <v>20000</v>
      </c>
      <c r="P116" s="650">
        <v>50000</v>
      </c>
      <c r="Q116" s="458">
        <f t="shared" si="49"/>
        <v>169642.5</v>
      </c>
      <c r="R116" s="458">
        <f t="shared" si="50"/>
        <v>56547.5</v>
      </c>
      <c r="S116" s="689">
        <f t="shared" si="62"/>
        <v>2338090</v>
      </c>
      <c r="T116" s="375">
        <f t="shared" si="63"/>
        <v>0.1</v>
      </c>
      <c r="U116" s="376">
        <f t="shared" si="9"/>
        <v>233809</v>
      </c>
      <c r="V116" s="372">
        <f t="shared" ref="V116:V120" si="74">V$5</f>
        <v>15000</v>
      </c>
      <c r="W116" s="372">
        <f t="shared" si="10"/>
        <v>218809</v>
      </c>
      <c r="X116" s="370">
        <f t="shared" si="73"/>
        <v>17</v>
      </c>
      <c r="Y116" s="373">
        <f t="shared" si="11"/>
        <v>12871.117647058823</v>
      </c>
      <c r="Z116" s="628">
        <f t="shared" si="53"/>
        <v>2104281</v>
      </c>
      <c r="AA116" s="638">
        <f t="shared" si="54"/>
        <v>16314.46819543021</v>
      </c>
      <c r="AB116" s="633">
        <f t="shared" si="55"/>
        <v>18913.872508238699</v>
      </c>
      <c r="AC116" s="398">
        <f t="shared" si="56"/>
        <v>24432.486675864548</v>
      </c>
      <c r="AD116" s="398">
        <f t="shared" si="57"/>
        <v>41667.285865685262</v>
      </c>
      <c r="AP116" s="353" t="s">
        <v>264</v>
      </c>
      <c r="AR116" s="653">
        <f t="shared" si="58"/>
        <v>18</v>
      </c>
      <c r="AW116" s="669">
        <v>3</v>
      </c>
      <c r="AX116" s="670" t="s">
        <v>707</v>
      </c>
      <c r="AY116" s="665">
        <v>22</v>
      </c>
      <c r="AZ116" s="668">
        <f t="shared" si="59"/>
        <v>0</v>
      </c>
    </row>
    <row r="117" spans="1:52" ht="14.25" customHeight="1">
      <c r="A117" s="404" t="s">
        <v>765</v>
      </c>
      <c r="B117" s="413">
        <f t="shared" si="70"/>
        <v>102813.63636363637</v>
      </c>
      <c r="C117" s="409" t="s">
        <v>79</v>
      </c>
      <c r="D117" s="377" t="s">
        <v>490</v>
      </c>
      <c r="E117" s="371" t="s">
        <v>267</v>
      </c>
      <c r="F117" s="379">
        <v>22</v>
      </c>
      <c r="G117" s="616">
        <v>2000000</v>
      </c>
      <c r="H117" s="617">
        <f t="shared" si="44"/>
        <v>110000</v>
      </c>
      <c r="I117" s="622">
        <f t="shared" si="45"/>
        <v>13200</v>
      </c>
      <c r="J117" s="659">
        <f t="shared" si="71"/>
        <v>63700</v>
      </c>
      <c r="K117" s="677">
        <v>75000</v>
      </c>
      <c r="L117" s="652">
        <f t="shared" si="46"/>
        <v>2261900</v>
      </c>
      <c r="M117" s="352">
        <f t="shared" si="60"/>
        <v>150000</v>
      </c>
      <c r="N117" s="352">
        <f t="shared" si="61"/>
        <v>2111900</v>
      </c>
      <c r="O117" s="695">
        <v>20000</v>
      </c>
      <c r="P117" s="650">
        <v>50000</v>
      </c>
      <c r="Q117" s="458">
        <f t="shared" si="49"/>
        <v>169642.5</v>
      </c>
      <c r="R117" s="458">
        <f t="shared" si="50"/>
        <v>56547.5</v>
      </c>
      <c r="S117" s="689">
        <f t="shared" si="62"/>
        <v>2338090</v>
      </c>
      <c r="T117" s="375">
        <f t="shared" si="63"/>
        <v>0.1</v>
      </c>
      <c r="U117" s="376">
        <f t="shared" si="9"/>
        <v>233809</v>
      </c>
      <c r="V117" s="372">
        <f t="shared" si="74"/>
        <v>15000</v>
      </c>
      <c r="W117" s="372">
        <f t="shared" si="10"/>
        <v>218809</v>
      </c>
      <c r="X117" s="370">
        <f t="shared" si="73"/>
        <v>17</v>
      </c>
      <c r="Y117" s="373">
        <f t="shared" si="11"/>
        <v>12871.117647058823</v>
      </c>
      <c r="Z117" s="628">
        <f t="shared" si="53"/>
        <v>2104281</v>
      </c>
      <c r="AA117" s="638">
        <f t="shared" si="54"/>
        <v>16314.46819543021</v>
      </c>
      <c r="AB117" s="633">
        <f t="shared" si="55"/>
        <v>18913.872508238699</v>
      </c>
      <c r="AC117" s="398">
        <f t="shared" si="56"/>
        <v>24432.486675864548</v>
      </c>
      <c r="AD117" s="398">
        <f t="shared" si="57"/>
        <v>41667.285865685262</v>
      </c>
      <c r="AP117" s="353" t="s">
        <v>243</v>
      </c>
      <c r="AR117" s="653">
        <f t="shared" si="58"/>
        <v>18</v>
      </c>
      <c r="AW117" s="669">
        <v>4</v>
      </c>
      <c r="AX117" s="670" t="s">
        <v>710</v>
      </c>
      <c r="AY117" s="665">
        <v>22</v>
      </c>
      <c r="AZ117" s="668">
        <f t="shared" si="59"/>
        <v>0</v>
      </c>
    </row>
    <row r="118" spans="1:52" ht="14.25" customHeight="1">
      <c r="A118" s="404" t="s">
        <v>765</v>
      </c>
      <c r="B118" s="413">
        <f t="shared" si="70"/>
        <v>102813.63636363637</v>
      </c>
      <c r="C118" s="409" t="s">
        <v>79</v>
      </c>
      <c r="D118" s="377" t="s">
        <v>491</v>
      </c>
      <c r="E118" s="371" t="s">
        <v>267</v>
      </c>
      <c r="F118" s="378">
        <v>22</v>
      </c>
      <c r="G118" s="616">
        <v>2000000</v>
      </c>
      <c r="H118" s="617">
        <f t="shared" si="44"/>
        <v>110000</v>
      </c>
      <c r="I118" s="622">
        <f t="shared" si="45"/>
        <v>13200</v>
      </c>
      <c r="J118" s="659">
        <f t="shared" si="71"/>
        <v>63700</v>
      </c>
      <c r="K118" s="677">
        <v>75000</v>
      </c>
      <c r="L118" s="652">
        <f t="shared" si="46"/>
        <v>2261900</v>
      </c>
      <c r="M118" s="352">
        <f t="shared" si="60"/>
        <v>150000</v>
      </c>
      <c r="N118" s="352">
        <f t="shared" si="61"/>
        <v>2111900</v>
      </c>
      <c r="O118" s="695">
        <v>20000</v>
      </c>
      <c r="P118" s="650">
        <v>50000</v>
      </c>
      <c r="Q118" s="458">
        <f t="shared" si="49"/>
        <v>169642.5</v>
      </c>
      <c r="R118" s="458">
        <f t="shared" si="50"/>
        <v>56547.5</v>
      </c>
      <c r="S118" s="689">
        <f t="shared" si="62"/>
        <v>2338090</v>
      </c>
      <c r="T118" s="375">
        <f t="shared" si="63"/>
        <v>0.1</v>
      </c>
      <c r="U118" s="376">
        <f t="shared" si="9"/>
        <v>233809</v>
      </c>
      <c r="V118" s="372">
        <f t="shared" si="74"/>
        <v>15000</v>
      </c>
      <c r="W118" s="372">
        <f t="shared" si="10"/>
        <v>218809</v>
      </c>
      <c r="X118" s="370">
        <f t="shared" si="73"/>
        <v>17</v>
      </c>
      <c r="Y118" s="373">
        <f t="shared" si="11"/>
        <v>12871.117647058823</v>
      </c>
      <c r="Z118" s="628">
        <f t="shared" si="53"/>
        <v>2104281</v>
      </c>
      <c r="AA118" s="638">
        <f t="shared" si="54"/>
        <v>16314.46819543021</v>
      </c>
      <c r="AB118" s="633">
        <f t="shared" si="55"/>
        <v>18913.872508238699</v>
      </c>
      <c r="AC118" s="398">
        <f t="shared" si="56"/>
        <v>24432.486675864548</v>
      </c>
      <c r="AD118" s="398">
        <f t="shared" si="57"/>
        <v>41667.285865685262</v>
      </c>
      <c r="AP118" s="353" t="s">
        <v>243</v>
      </c>
      <c r="AR118" s="653">
        <f t="shared" si="58"/>
        <v>18</v>
      </c>
      <c r="AW118" s="669">
        <v>5</v>
      </c>
      <c r="AX118" s="670" t="s">
        <v>714</v>
      </c>
      <c r="AY118" s="665">
        <v>22</v>
      </c>
      <c r="AZ118" s="668">
        <f t="shared" si="59"/>
        <v>0</v>
      </c>
    </row>
    <row r="119" spans="1:52" ht="14.25" customHeight="1">
      <c r="A119" s="404" t="s">
        <v>765</v>
      </c>
      <c r="B119" s="413">
        <f t="shared" si="70"/>
        <v>102813.63636363637</v>
      </c>
      <c r="C119" s="409" t="s">
        <v>79</v>
      </c>
      <c r="D119" s="377" t="s">
        <v>492</v>
      </c>
      <c r="E119" s="371" t="s">
        <v>267</v>
      </c>
      <c r="F119" s="378">
        <v>22</v>
      </c>
      <c r="G119" s="616">
        <v>2000000</v>
      </c>
      <c r="H119" s="617">
        <f t="shared" si="44"/>
        <v>110000</v>
      </c>
      <c r="I119" s="622">
        <f t="shared" si="45"/>
        <v>13200</v>
      </c>
      <c r="J119" s="659">
        <f t="shared" si="71"/>
        <v>63700</v>
      </c>
      <c r="K119" s="677">
        <v>75000</v>
      </c>
      <c r="L119" s="652">
        <f t="shared" si="46"/>
        <v>2261900</v>
      </c>
      <c r="M119" s="352">
        <f t="shared" si="60"/>
        <v>150000</v>
      </c>
      <c r="N119" s="352">
        <f t="shared" si="61"/>
        <v>2111900</v>
      </c>
      <c r="O119" s="695">
        <v>20000</v>
      </c>
      <c r="P119" s="650">
        <v>50000</v>
      </c>
      <c r="Q119" s="458">
        <f t="shared" si="49"/>
        <v>169642.5</v>
      </c>
      <c r="R119" s="458">
        <f t="shared" si="50"/>
        <v>56547.5</v>
      </c>
      <c r="S119" s="689">
        <f t="shared" si="62"/>
        <v>2338090</v>
      </c>
      <c r="T119" s="375">
        <f t="shared" si="63"/>
        <v>0.1</v>
      </c>
      <c r="U119" s="376">
        <f t="shared" si="9"/>
        <v>233809</v>
      </c>
      <c r="V119" s="372">
        <f t="shared" si="74"/>
        <v>15000</v>
      </c>
      <c r="W119" s="372">
        <f t="shared" si="10"/>
        <v>218809</v>
      </c>
      <c r="X119" s="370">
        <f t="shared" si="73"/>
        <v>17</v>
      </c>
      <c r="Y119" s="373">
        <f t="shared" si="11"/>
        <v>12871.117647058823</v>
      </c>
      <c r="Z119" s="628">
        <f t="shared" si="53"/>
        <v>2104281</v>
      </c>
      <c r="AA119" s="638">
        <f t="shared" si="54"/>
        <v>16314.46819543021</v>
      </c>
      <c r="AB119" s="633">
        <f t="shared" si="55"/>
        <v>18913.872508238699</v>
      </c>
      <c r="AC119" s="398">
        <f t="shared" si="56"/>
        <v>24432.486675864548</v>
      </c>
      <c r="AD119" s="398">
        <f t="shared" si="57"/>
        <v>41667.285865685262</v>
      </c>
      <c r="AP119" s="353" t="s">
        <v>243</v>
      </c>
      <c r="AR119" s="653">
        <f t="shared" si="58"/>
        <v>18</v>
      </c>
      <c r="AW119" s="670">
        <v>6</v>
      </c>
      <c r="AX119" s="670" t="s">
        <v>716</v>
      </c>
      <c r="AY119" s="665">
        <v>22</v>
      </c>
      <c r="AZ119" s="668">
        <f t="shared" si="59"/>
        <v>0</v>
      </c>
    </row>
    <row r="120" spans="1:52" ht="14.25" customHeight="1">
      <c r="A120" s="404" t="s">
        <v>765</v>
      </c>
      <c r="B120" s="413">
        <f t="shared" si="70"/>
        <v>102813.63636363637</v>
      </c>
      <c r="C120" s="409" t="s">
        <v>79</v>
      </c>
      <c r="D120" s="377" t="s">
        <v>493</v>
      </c>
      <c r="E120" s="371" t="s">
        <v>267</v>
      </c>
      <c r="F120" s="378">
        <v>22</v>
      </c>
      <c r="G120" s="616">
        <v>2000000</v>
      </c>
      <c r="H120" s="617">
        <f t="shared" si="44"/>
        <v>110000</v>
      </c>
      <c r="I120" s="622">
        <f t="shared" si="45"/>
        <v>13200</v>
      </c>
      <c r="J120" s="659">
        <f t="shared" si="71"/>
        <v>63700</v>
      </c>
      <c r="K120" s="677">
        <v>75000</v>
      </c>
      <c r="L120" s="652">
        <f t="shared" si="46"/>
        <v>2261900</v>
      </c>
      <c r="M120" s="352">
        <f t="shared" si="60"/>
        <v>150000</v>
      </c>
      <c r="N120" s="352">
        <f t="shared" si="61"/>
        <v>2111900</v>
      </c>
      <c r="O120" s="695">
        <v>20000</v>
      </c>
      <c r="P120" s="650">
        <v>50000</v>
      </c>
      <c r="Q120" s="458">
        <f t="shared" si="49"/>
        <v>169642.5</v>
      </c>
      <c r="R120" s="458">
        <f t="shared" si="50"/>
        <v>56547.5</v>
      </c>
      <c r="S120" s="689">
        <f t="shared" si="62"/>
        <v>2338090</v>
      </c>
      <c r="T120" s="375">
        <f t="shared" si="63"/>
        <v>0.1</v>
      </c>
      <c r="U120" s="376">
        <f t="shared" si="9"/>
        <v>233809</v>
      </c>
      <c r="V120" s="372">
        <f t="shared" si="74"/>
        <v>15000</v>
      </c>
      <c r="W120" s="372">
        <f t="shared" si="10"/>
        <v>218809</v>
      </c>
      <c r="X120" s="370">
        <f t="shared" si="73"/>
        <v>17</v>
      </c>
      <c r="Y120" s="373">
        <f t="shared" si="11"/>
        <v>12871.117647058823</v>
      </c>
      <c r="Z120" s="628">
        <f t="shared" si="53"/>
        <v>2104281</v>
      </c>
      <c r="AA120" s="638">
        <f t="shared" si="54"/>
        <v>16314.46819543021</v>
      </c>
      <c r="AB120" s="633">
        <f t="shared" si="55"/>
        <v>18913.872508238699</v>
      </c>
      <c r="AC120" s="398">
        <f t="shared" si="56"/>
        <v>24432.486675864548</v>
      </c>
      <c r="AD120" s="398">
        <f t="shared" si="57"/>
        <v>41667.285865685262</v>
      </c>
      <c r="AP120" s="353" t="s">
        <v>243</v>
      </c>
      <c r="AR120" s="653">
        <f t="shared" si="58"/>
        <v>18</v>
      </c>
      <c r="AW120" s="669">
        <v>7</v>
      </c>
      <c r="AX120" s="672" t="s">
        <v>718</v>
      </c>
      <c r="AY120" s="665">
        <v>22</v>
      </c>
      <c r="AZ120" s="668">
        <f t="shared" si="59"/>
        <v>0</v>
      </c>
    </row>
    <row r="121" spans="1:52" ht="14.25" customHeight="1">
      <c r="A121" s="404" t="s">
        <v>765</v>
      </c>
      <c r="B121" s="413">
        <f t="shared" si="70"/>
        <v>101334.10922112802</v>
      </c>
      <c r="C121" s="409" t="s">
        <v>65</v>
      </c>
      <c r="D121" s="377" t="s">
        <v>494</v>
      </c>
      <c r="E121" s="371" t="s">
        <v>267</v>
      </c>
      <c r="F121" s="378">
        <v>22.34</v>
      </c>
      <c r="G121" s="616">
        <v>2000000</v>
      </c>
      <c r="H121" s="617">
        <f t="shared" si="44"/>
        <v>111700</v>
      </c>
      <c r="I121" s="622">
        <f t="shared" si="45"/>
        <v>13404</v>
      </c>
      <c r="J121" s="659">
        <f t="shared" si="71"/>
        <v>63700</v>
      </c>
      <c r="K121" s="677">
        <v>75000</v>
      </c>
      <c r="L121" s="652">
        <f t="shared" si="46"/>
        <v>2263804</v>
      </c>
      <c r="M121" s="352">
        <f t="shared" si="60"/>
        <v>150000</v>
      </c>
      <c r="N121" s="352">
        <f t="shared" si="61"/>
        <v>2113804</v>
      </c>
      <c r="O121" s="695">
        <v>20000</v>
      </c>
      <c r="P121" s="650">
        <v>50000</v>
      </c>
      <c r="Q121" s="458">
        <f t="shared" si="49"/>
        <v>169785.3</v>
      </c>
      <c r="R121" s="458">
        <f t="shared" si="50"/>
        <v>56595.100000000006</v>
      </c>
      <c r="S121" s="689">
        <f t="shared" si="62"/>
        <v>2340184.4</v>
      </c>
      <c r="T121" s="375">
        <f t="shared" si="63"/>
        <v>0.1</v>
      </c>
      <c r="U121" s="376">
        <f t="shared" si="9"/>
        <v>234018.44</v>
      </c>
      <c r="V121" s="372">
        <f>V5</f>
        <v>15000</v>
      </c>
      <c r="W121" s="372">
        <f t="shared" si="10"/>
        <v>219018.44</v>
      </c>
      <c r="X121" s="366">
        <f>X$5</f>
        <v>17</v>
      </c>
      <c r="Y121" s="373">
        <f t="shared" si="11"/>
        <v>12883.437647058823</v>
      </c>
      <c r="Z121" s="628">
        <f t="shared" si="53"/>
        <v>2106165.96</v>
      </c>
      <c r="AA121" s="638">
        <f t="shared" si="54"/>
        <v>16329.082270247052</v>
      </c>
      <c r="AB121" s="633">
        <f t="shared" si="55"/>
        <v>18930.815061596892</v>
      </c>
      <c r="AC121" s="398">
        <f t="shared" si="56"/>
        <v>24454.372659763339</v>
      </c>
      <c r="AD121" s="398">
        <f t="shared" si="57"/>
        <v>41704.610332885874</v>
      </c>
      <c r="AP121" s="353" t="s">
        <v>264</v>
      </c>
      <c r="AR121" s="653">
        <f t="shared" si="58"/>
        <v>18</v>
      </c>
      <c r="AW121" s="669">
        <v>8</v>
      </c>
      <c r="AX121" s="671" t="s">
        <v>720</v>
      </c>
      <c r="AY121" s="666">
        <v>22.34</v>
      </c>
      <c r="AZ121" s="668">
        <f t="shared" si="59"/>
        <v>0</v>
      </c>
    </row>
    <row r="122" spans="1:52" ht="14.25" customHeight="1">
      <c r="A122" s="404" t="s">
        <v>765</v>
      </c>
      <c r="B122" s="413">
        <f t="shared" si="70"/>
        <v>102813.63636363637</v>
      </c>
      <c r="C122" s="409" t="s">
        <v>79</v>
      </c>
      <c r="D122" s="377" t="s">
        <v>496</v>
      </c>
      <c r="E122" s="371" t="s">
        <v>267</v>
      </c>
      <c r="F122" s="378">
        <v>22</v>
      </c>
      <c r="G122" s="616">
        <v>2000000</v>
      </c>
      <c r="H122" s="617">
        <f t="shared" si="44"/>
        <v>110000</v>
      </c>
      <c r="I122" s="622">
        <f t="shared" si="45"/>
        <v>13200</v>
      </c>
      <c r="J122" s="659">
        <f t="shared" si="71"/>
        <v>63700</v>
      </c>
      <c r="K122" s="677">
        <v>75000</v>
      </c>
      <c r="L122" s="652">
        <f t="shared" si="46"/>
        <v>2261900</v>
      </c>
      <c r="M122" s="352">
        <f t="shared" si="60"/>
        <v>150000</v>
      </c>
      <c r="N122" s="352">
        <f t="shared" si="61"/>
        <v>2111900</v>
      </c>
      <c r="O122" s="695">
        <v>20000</v>
      </c>
      <c r="P122" s="650">
        <v>50000</v>
      </c>
      <c r="Q122" s="458">
        <f t="shared" si="49"/>
        <v>169642.5</v>
      </c>
      <c r="R122" s="458">
        <f t="shared" si="50"/>
        <v>56547.5</v>
      </c>
      <c r="S122" s="689">
        <f t="shared" si="62"/>
        <v>2338090</v>
      </c>
      <c r="T122" s="375">
        <f t="shared" si="63"/>
        <v>0.1</v>
      </c>
      <c r="U122" s="376">
        <f t="shared" si="9"/>
        <v>233809</v>
      </c>
      <c r="V122" s="372">
        <f t="shared" ref="V122:V130" si="75">V$5</f>
        <v>15000</v>
      </c>
      <c r="W122" s="372">
        <f t="shared" si="10"/>
        <v>218809</v>
      </c>
      <c r="X122" s="370">
        <f>X$5</f>
        <v>17</v>
      </c>
      <c r="Y122" s="373">
        <f t="shared" si="11"/>
        <v>12871.117647058823</v>
      </c>
      <c r="Z122" s="628">
        <f t="shared" si="53"/>
        <v>2104281</v>
      </c>
      <c r="AA122" s="638">
        <f t="shared" si="54"/>
        <v>16314.46819543021</v>
      </c>
      <c r="AB122" s="633">
        <f t="shared" si="55"/>
        <v>18913.872508238699</v>
      </c>
      <c r="AC122" s="398">
        <f t="shared" si="56"/>
        <v>24432.486675864548</v>
      </c>
      <c r="AD122" s="398">
        <f t="shared" si="57"/>
        <v>41667.285865685262</v>
      </c>
      <c r="AP122" s="353" t="s">
        <v>264</v>
      </c>
      <c r="AR122" s="653">
        <f t="shared" si="58"/>
        <v>18</v>
      </c>
      <c r="AW122" s="669">
        <v>9</v>
      </c>
      <c r="AX122" s="670" t="s">
        <v>722</v>
      </c>
      <c r="AY122" s="665">
        <v>22</v>
      </c>
      <c r="AZ122" s="668">
        <f t="shared" si="59"/>
        <v>0</v>
      </c>
    </row>
    <row r="123" spans="1:52" ht="14.25" customHeight="1">
      <c r="A123" s="404" t="s">
        <v>765</v>
      </c>
      <c r="B123" s="413">
        <f t="shared" si="70"/>
        <v>102813.63636363637</v>
      </c>
      <c r="C123" s="409" t="s">
        <v>79</v>
      </c>
      <c r="D123" s="377" t="s">
        <v>497</v>
      </c>
      <c r="E123" s="371" t="s">
        <v>267</v>
      </c>
      <c r="F123" s="378">
        <v>22</v>
      </c>
      <c r="G123" s="616">
        <v>2000000</v>
      </c>
      <c r="H123" s="617">
        <f t="shared" si="44"/>
        <v>110000</v>
      </c>
      <c r="I123" s="622">
        <f t="shared" si="45"/>
        <v>13200</v>
      </c>
      <c r="J123" s="659">
        <f t="shared" si="71"/>
        <v>63700</v>
      </c>
      <c r="K123" s="677">
        <v>75000</v>
      </c>
      <c r="L123" s="652">
        <f t="shared" si="46"/>
        <v>2261900</v>
      </c>
      <c r="M123" s="352">
        <f t="shared" si="60"/>
        <v>150000</v>
      </c>
      <c r="N123" s="352">
        <f t="shared" si="61"/>
        <v>2111900</v>
      </c>
      <c r="O123" s="695">
        <v>20000</v>
      </c>
      <c r="P123" s="650">
        <v>50000</v>
      </c>
      <c r="Q123" s="458">
        <f t="shared" si="49"/>
        <v>169642.5</v>
      </c>
      <c r="R123" s="458">
        <f t="shared" si="50"/>
        <v>56547.5</v>
      </c>
      <c r="S123" s="689">
        <f t="shared" si="62"/>
        <v>2338090</v>
      </c>
      <c r="T123" s="375">
        <f t="shared" si="63"/>
        <v>0.1</v>
      </c>
      <c r="U123" s="376">
        <f t="shared" si="9"/>
        <v>233809</v>
      </c>
      <c r="V123" s="372">
        <f t="shared" si="75"/>
        <v>15000</v>
      </c>
      <c r="W123" s="372">
        <f t="shared" si="10"/>
        <v>218809</v>
      </c>
      <c r="X123" s="370">
        <f>X$5</f>
        <v>17</v>
      </c>
      <c r="Y123" s="373">
        <f t="shared" si="11"/>
        <v>12871.117647058823</v>
      </c>
      <c r="Z123" s="628">
        <f t="shared" si="53"/>
        <v>2104281</v>
      </c>
      <c r="AA123" s="638">
        <f t="shared" si="54"/>
        <v>16314.46819543021</v>
      </c>
      <c r="AB123" s="633">
        <f t="shared" si="55"/>
        <v>18913.872508238699</v>
      </c>
      <c r="AC123" s="398">
        <f t="shared" si="56"/>
        <v>24432.486675864548</v>
      </c>
      <c r="AD123" s="398">
        <f t="shared" si="57"/>
        <v>41667.285865685262</v>
      </c>
      <c r="AP123" s="353" t="s">
        <v>264</v>
      </c>
      <c r="AR123" s="653">
        <f t="shared" si="58"/>
        <v>18</v>
      </c>
      <c r="AW123" s="669">
        <v>10</v>
      </c>
      <c r="AX123" s="670" t="s">
        <v>724</v>
      </c>
      <c r="AY123" s="665">
        <v>22</v>
      </c>
      <c r="AZ123" s="668">
        <f t="shared" si="59"/>
        <v>0</v>
      </c>
    </row>
    <row r="124" spans="1:52" ht="14.25" customHeight="1">
      <c r="A124" s="404" t="s">
        <v>765</v>
      </c>
      <c r="B124" s="413">
        <f t="shared" si="70"/>
        <v>102813.63636363637</v>
      </c>
      <c r="C124" s="409" t="s">
        <v>79</v>
      </c>
      <c r="D124" s="377" t="s">
        <v>498</v>
      </c>
      <c r="E124" s="371" t="s">
        <v>267</v>
      </c>
      <c r="F124" s="378">
        <v>22</v>
      </c>
      <c r="G124" s="616">
        <v>2000000</v>
      </c>
      <c r="H124" s="617">
        <f t="shared" si="44"/>
        <v>110000</v>
      </c>
      <c r="I124" s="622">
        <f t="shared" si="45"/>
        <v>13200</v>
      </c>
      <c r="J124" s="659">
        <f t="shared" si="71"/>
        <v>63700</v>
      </c>
      <c r="K124" s="677">
        <v>75000</v>
      </c>
      <c r="L124" s="652">
        <f t="shared" si="46"/>
        <v>2261900</v>
      </c>
      <c r="M124" s="352">
        <f t="shared" si="60"/>
        <v>150000</v>
      </c>
      <c r="N124" s="352">
        <f t="shared" si="61"/>
        <v>2111900</v>
      </c>
      <c r="O124" s="695">
        <v>20000</v>
      </c>
      <c r="P124" s="650">
        <v>50000</v>
      </c>
      <c r="Q124" s="458">
        <f t="shared" si="49"/>
        <v>169642.5</v>
      </c>
      <c r="R124" s="458">
        <f t="shared" si="50"/>
        <v>56547.5</v>
      </c>
      <c r="S124" s="689">
        <f t="shared" si="62"/>
        <v>2338090</v>
      </c>
      <c r="T124" s="375">
        <f t="shared" si="63"/>
        <v>0.1</v>
      </c>
      <c r="U124" s="376">
        <f t="shared" si="9"/>
        <v>233809</v>
      </c>
      <c r="V124" s="372">
        <f t="shared" si="75"/>
        <v>15000</v>
      </c>
      <c r="W124" s="372">
        <f t="shared" si="10"/>
        <v>218809</v>
      </c>
      <c r="X124" s="370">
        <f t="shared" ref="X124:X130" si="76">X$5</f>
        <v>17</v>
      </c>
      <c r="Y124" s="373">
        <f t="shared" si="11"/>
        <v>12871.117647058823</v>
      </c>
      <c r="Z124" s="628">
        <f t="shared" si="53"/>
        <v>2104281</v>
      </c>
      <c r="AA124" s="638">
        <f t="shared" si="54"/>
        <v>16314.46819543021</v>
      </c>
      <c r="AB124" s="633">
        <f t="shared" si="55"/>
        <v>18913.872508238699</v>
      </c>
      <c r="AC124" s="398">
        <f t="shared" si="56"/>
        <v>24432.486675864548</v>
      </c>
      <c r="AD124" s="398">
        <f t="shared" si="57"/>
        <v>41667.285865685262</v>
      </c>
      <c r="AP124" s="353" t="s">
        <v>264</v>
      </c>
      <c r="AR124" s="653">
        <f t="shared" si="58"/>
        <v>18</v>
      </c>
      <c r="AW124" s="669">
        <v>11</v>
      </c>
      <c r="AX124" s="670" t="s">
        <v>726</v>
      </c>
      <c r="AY124" s="665">
        <v>22</v>
      </c>
      <c r="AZ124" s="668">
        <f t="shared" si="59"/>
        <v>0</v>
      </c>
    </row>
    <row r="125" spans="1:52" ht="14.25" customHeight="1">
      <c r="A125" s="404" t="s">
        <v>765</v>
      </c>
      <c r="B125" s="413">
        <f t="shared" si="70"/>
        <v>102813.63636363637</v>
      </c>
      <c r="C125" s="409" t="s">
        <v>79</v>
      </c>
      <c r="D125" s="377" t="s">
        <v>500</v>
      </c>
      <c r="E125" s="371" t="s">
        <v>267</v>
      </c>
      <c r="F125" s="378">
        <v>22</v>
      </c>
      <c r="G125" s="616">
        <v>2000000</v>
      </c>
      <c r="H125" s="617">
        <f t="shared" si="44"/>
        <v>110000</v>
      </c>
      <c r="I125" s="622">
        <f t="shared" si="45"/>
        <v>13200</v>
      </c>
      <c r="J125" s="659">
        <f t="shared" si="71"/>
        <v>63700</v>
      </c>
      <c r="K125" s="677">
        <v>75000</v>
      </c>
      <c r="L125" s="652">
        <f t="shared" si="46"/>
        <v>2261900</v>
      </c>
      <c r="M125" s="352">
        <f t="shared" si="60"/>
        <v>150000</v>
      </c>
      <c r="N125" s="352">
        <f t="shared" si="61"/>
        <v>2111900</v>
      </c>
      <c r="O125" s="695">
        <v>20000</v>
      </c>
      <c r="P125" s="650">
        <v>50000</v>
      </c>
      <c r="Q125" s="458">
        <f t="shared" si="49"/>
        <v>169642.5</v>
      </c>
      <c r="R125" s="458">
        <f t="shared" si="50"/>
        <v>56547.5</v>
      </c>
      <c r="S125" s="689">
        <f t="shared" si="62"/>
        <v>2338090</v>
      </c>
      <c r="T125" s="375">
        <f t="shared" si="63"/>
        <v>0.1</v>
      </c>
      <c r="U125" s="376">
        <f t="shared" si="9"/>
        <v>233809</v>
      </c>
      <c r="V125" s="372">
        <f t="shared" si="75"/>
        <v>15000</v>
      </c>
      <c r="W125" s="372">
        <f t="shared" si="10"/>
        <v>218809</v>
      </c>
      <c r="X125" s="370">
        <f t="shared" si="76"/>
        <v>17</v>
      </c>
      <c r="Y125" s="373">
        <f t="shared" si="11"/>
        <v>12871.117647058823</v>
      </c>
      <c r="Z125" s="628">
        <f t="shared" si="53"/>
        <v>2104281</v>
      </c>
      <c r="AA125" s="638">
        <f t="shared" si="54"/>
        <v>16314.46819543021</v>
      </c>
      <c r="AB125" s="633">
        <f t="shared" si="55"/>
        <v>18913.872508238699</v>
      </c>
      <c r="AC125" s="398">
        <f t="shared" si="56"/>
        <v>24432.486675864548</v>
      </c>
      <c r="AD125" s="398">
        <f t="shared" si="57"/>
        <v>41667.285865685262</v>
      </c>
      <c r="AP125" s="353" t="s">
        <v>264</v>
      </c>
      <c r="AR125" s="653">
        <f t="shared" si="58"/>
        <v>18</v>
      </c>
      <c r="AW125" s="669">
        <v>12</v>
      </c>
      <c r="AX125" s="670" t="s">
        <v>728</v>
      </c>
      <c r="AY125" s="665">
        <v>22</v>
      </c>
      <c r="AZ125" s="668">
        <f t="shared" si="59"/>
        <v>0</v>
      </c>
    </row>
    <row r="126" spans="1:52" ht="14.25" customHeight="1">
      <c r="A126" s="404" t="s">
        <v>765</v>
      </c>
      <c r="B126" s="413">
        <f t="shared" si="70"/>
        <v>102813.63636363637</v>
      </c>
      <c r="C126" s="409" t="s">
        <v>79</v>
      </c>
      <c r="D126" s="377" t="s">
        <v>502</v>
      </c>
      <c r="E126" s="371" t="s">
        <v>267</v>
      </c>
      <c r="F126" s="378">
        <v>22</v>
      </c>
      <c r="G126" s="616">
        <v>2000000</v>
      </c>
      <c r="H126" s="617">
        <f t="shared" si="44"/>
        <v>110000</v>
      </c>
      <c r="I126" s="622">
        <f t="shared" si="45"/>
        <v>13200</v>
      </c>
      <c r="J126" s="659">
        <f t="shared" si="71"/>
        <v>63700</v>
      </c>
      <c r="K126" s="677">
        <v>75000</v>
      </c>
      <c r="L126" s="652">
        <f t="shared" si="46"/>
        <v>2261900</v>
      </c>
      <c r="M126" s="352">
        <f t="shared" si="60"/>
        <v>150000</v>
      </c>
      <c r="N126" s="352">
        <f t="shared" si="61"/>
        <v>2111900</v>
      </c>
      <c r="O126" s="695">
        <v>20000</v>
      </c>
      <c r="P126" s="650">
        <v>50000</v>
      </c>
      <c r="Q126" s="458">
        <f t="shared" si="49"/>
        <v>169642.5</v>
      </c>
      <c r="R126" s="458">
        <f t="shared" si="50"/>
        <v>56547.5</v>
      </c>
      <c r="S126" s="689">
        <f t="shared" si="62"/>
        <v>2338090</v>
      </c>
      <c r="T126" s="375">
        <f t="shared" si="63"/>
        <v>0.1</v>
      </c>
      <c r="U126" s="376">
        <f t="shared" si="9"/>
        <v>233809</v>
      </c>
      <c r="V126" s="372">
        <f t="shared" si="75"/>
        <v>15000</v>
      </c>
      <c r="W126" s="372">
        <f t="shared" si="10"/>
        <v>218809</v>
      </c>
      <c r="X126" s="370">
        <f t="shared" si="76"/>
        <v>17</v>
      </c>
      <c r="Y126" s="373">
        <f t="shared" si="11"/>
        <v>12871.117647058823</v>
      </c>
      <c r="Z126" s="628">
        <f t="shared" si="53"/>
        <v>2104281</v>
      </c>
      <c r="AA126" s="638">
        <f t="shared" si="54"/>
        <v>16314.46819543021</v>
      </c>
      <c r="AB126" s="633">
        <f t="shared" si="55"/>
        <v>18913.872508238699</v>
      </c>
      <c r="AC126" s="398">
        <f t="shared" si="56"/>
        <v>24432.486675864548</v>
      </c>
      <c r="AD126" s="398">
        <f t="shared" si="57"/>
        <v>41667.285865685262</v>
      </c>
      <c r="AP126" s="353" t="s">
        <v>264</v>
      </c>
      <c r="AR126" s="653">
        <f t="shared" si="58"/>
        <v>18</v>
      </c>
      <c r="AW126" s="669">
        <v>13</v>
      </c>
      <c r="AX126" s="670" t="s">
        <v>730</v>
      </c>
      <c r="AY126" s="665">
        <v>22</v>
      </c>
      <c r="AZ126" s="668">
        <f t="shared" si="59"/>
        <v>0</v>
      </c>
    </row>
    <row r="127" spans="1:52" ht="14.25" customHeight="1">
      <c r="A127" s="404" t="s">
        <v>765</v>
      </c>
      <c r="B127" s="413">
        <f t="shared" si="70"/>
        <v>102813.63636363637</v>
      </c>
      <c r="C127" s="409" t="s">
        <v>79</v>
      </c>
      <c r="D127" s="377" t="s">
        <v>503</v>
      </c>
      <c r="E127" s="371" t="s">
        <v>267</v>
      </c>
      <c r="F127" s="378">
        <v>22</v>
      </c>
      <c r="G127" s="616">
        <v>2000000</v>
      </c>
      <c r="H127" s="617">
        <f t="shared" si="44"/>
        <v>110000</v>
      </c>
      <c r="I127" s="622">
        <f t="shared" si="45"/>
        <v>13200</v>
      </c>
      <c r="J127" s="659">
        <f t="shared" si="71"/>
        <v>63700</v>
      </c>
      <c r="K127" s="677">
        <v>75000</v>
      </c>
      <c r="L127" s="652">
        <f t="shared" si="46"/>
        <v>2261900</v>
      </c>
      <c r="M127" s="352">
        <f t="shared" si="60"/>
        <v>150000</v>
      </c>
      <c r="N127" s="352">
        <f t="shared" si="61"/>
        <v>2111900</v>
      </c>
      <c r="O127" s="695">
        <v>20000</v>
      </c>
      <c r="P127" s="650">
        <v>50000</v>
      </c>
      <c r="Q127" s="458">
        <f t="shared" si="49"/>
        <v>169642.5</v>
      </c>
      <c r="R127" s="458">
        <f t="shared" si="50"/>
        <v>56547.5</v>
      </c>
      <c r="S127" s="689">
        <f t="shared" si="62"/>
        <v>2338090</v>
      </c>
      <c r="T127" s="375">
        <f t="shared" si="63"/>
        <v>0.1</v>
      </c>
      <c r="U127" s="376">
        <f t="shared" si="9"/>
        <v>233809</v>
      </c>
      <c r="V127" s="372">
        <f t="shared" si="75"/>
        <v>15000</v>
      </c>
      <c r="W127" s="372">
        <f t="shared" si="10"/>
        <v>218809</v>
      </c>
      <c r="X127" s="370">
        <f t="shared" si="76"/>
        <v>17</v>
      </c>
      <c r="Y127" s="373">
        <f t="shared" si="11"/>
        <v>12871.117647058823</v>
      </c>
      <c r="Z127" s="628">
        <f t="shared" si="53"/>
        <v>2104281</v>
      </c>
      <c r="AA127" s="638">
        <f t="shared" si="54"/>
        <v>16314.46819543021</v>
      </c>
      <c r="AB127" s="633">
        <f t="shared" si="55"/>
        <v>18913.872508238699</v>
      </c>
      <c r="AC127" s="398">
        <f t="shared" si="56"/>
        <v>24432.486675864548</v>
      </c>
      <c r="AD127" s="398">
        <f t="shared" si="57"/>
        <v>41667.285865685262</v>
      </c>
      <c r="AP127" s="353" t="s">
        <v>264</v>
      </c>
      <c r="AR127" s="653">
        <f t="shared" si="58"/>
        <v>18</v>
      </c>
      <c r="AW127" s="669">
        <v>14</v>
      </c>
      <c r="AX127" s="670" t="s">
        <v>732</v>
      </c>
      <c r="AY127" s="665">
        <v>22</v>
      </c>
      <c r="AZ127" s="668">
        <f t="shared" si="59"/>
        <v>0</v>
      </c>
    </row>
    <row r="128" spans="1:52" ht="14.25" customHeight="1">
      <c r="A128" s="404" t="s">
        <v>765</v>
      </c>
      <c r="B128" s="413">
        <f t="shared" si="70"/>
        <v>102813.63636363637</v>
      </c>
      <c r="C128" s="409" t="s">
        <v>79</v>
      </c>
      <c r="D128" s="377" t="s">
        <v>504</v>
      </c>
      <c r="E128" s="371" t="s">
        <v>267</v>
      </c>
      <c r="F128" s="378">
        <v>22</v>
      </c>
      <c r="G128" s="616">
        <v>2000000</v>
      </c>
      <c r="H128" s="617">
        <f t="shared" si="44"/>
        <v>110000</v>
      </c>
      <c r="I128" s="622">
        <f t="shared" si="45"/>
        <v>13200</v>
      </c>
      <c r="J128" s="659">
        <f t="shared" si="71"/>
        <v>63700</v>
      </c>
      <c r="K128" s="677">
        <v>75000</v>
      </c>
      <c r="L128" s="652">
        <f t="shared" si="46"/>
        <v>2261900</v>
      </c>
      <c r="M128" s="352">
        <f t="shared" si="60"/>
        <v>150000</v>
      </c>
      <c r="N128" s="352">
        <f t="shared" si="61"/>
        <v>2111900</v>
      </c>
      <c r="O128" s="695">
        <v>20000</v>
      </c>
      <c r="P128" s="650">
        <v>50000</v>
      </c>
      <c r="Q128" s="458">
        <f t="shared" si="49"/>
        <v>169642.5</v>
      </c>
      <c r="R128" s="458">
        <f t="shared" si="50"/>
        <v>56547.5</v>
      </c>
      <c r="S128" s="689">
        <f t="shared" si="62"/>
        <v>2338090</v>
      </c>
      <c r="T128" s="375">
        <f t="shared" si="63"/>
        <v>0.1</v>
      </c>
      <c r="U128" s="376">
        <f t="shared" si="9"/>
        <v>233809</v>
      </c>
      <c r="V128" s="372">
        <f t="shared" si="75"/>
        <v>15000</v>
      </c>
      <c r="W128" s="372">
        <f t="shared" si="10"/>
        <v>218809</v>
      </c>
      <c r="X128" s="370">
        <f t="shared" si="76"/>
        <v>17</v>
      </c>
      <c r="Y128" s="373">
        <f t="shared" si="11"/>
        <v>12871.117647058823</v>
      </c>
      <c r="Z128" s="628">
        <f t="shared" si="53"/>
        <v>2104281</v>
      </c>
      <c r="AA128" s="638">
        <f t="shared" si="54"/>
        <v>16314.46819543021</v>
      </c>
      <c r="AB128" s="633">
        <f t="shared" si="55"/>
        <v>18913.872508238699</v>
      </c>
      <c r="AC128" s="398">
        <f t="shared" si="56"/>
        <v>24432.486675864548</v>
      </c>
      <c r="AD128" s="398">
        <f t="shared" si="57"/>
        <v>41667.285865685262</v>
      </c>
      <c r="AP128" s="353" t="s">
        <v>264</v>
      </c>
      <c r="AR128" s="653">
        <f t="shared" si="58"/>
        <v>18</v>
      </c>
      <c r="AW128" s="669">
        <v>15</v>
      </c>
      <c r="AX128" s="670" t="s">
        <v>734</v>
      </c>
      <c r="AY128" s="665">
        <v>22</v>
      </c>
      <c r="AZ128" s="668">
        <f t="shared" si="59"/>
        <v>0</v>
      </c>
    </row>
    <row r="129" spans="1:52" ht="14.25" customHeight="1">
      <c r="A129" s="404" t="s">
        <v>765</v>
      </c>
      <c r="B129" s="413">
        <f t="shared" si="70"/>
        <v>102813.63636363637</v>
      </c>
      <c r="C129" s="409" t="s">
        <v>79</v>
      </c>
      <c r="D129" s="377" t="s">
        <v>506</v>
      </c>
      <c r="E129" s="371" t="s">
        <v>267</v>
      </c>
      <c r="F129" s="378">
        <v>22</v>
      </c>
      <c r="G129" s="616">
        <v>2000000</v>
      </c>
      <c r="H129" s="617">
        <f t="shared" si="44"/>
        <v>110000</v>
      </c>
      <c r="I129" s="622">
        <f t="shared" si="45"/>
        <v>13200</v>
      </c>
      <c r="J129" s="659">
        <f t="shared" si="71"/>
        <v>63700</v>
      </c>
      <c r="K129" s="677">
        <v>75000</v>
      </c>
      <c r="L129" s="652">
        <f t="shared" si="46"/>
        <v>2261900</v>
      </c>
      <c r="M129" s="352">
        <f t="shared" si="60"/>
        <v>150000</v>
      </c>
      <c r="N129" s="352">
        <f t="shared" si="61"/>
        <v>2111900</v>
      </c>
      <c r="O129" s="695">
        <v>20000</v>
      </c>
      <c r="P129" s="650">
        <v>50000</v>
      </c>
      <c r="Q129" s="458">
        <f t="shared" si="49"/>
        <v>169642.5</v>
      </c>
      <c r="R129" s="458">
        <f t="shared" si="50"/>
        <v>56547.5</v>
      </c>
      <c r="S129" s="689">
        <f t="shared" si="62"/>
        <v>2338090</v>
      </c>
      <c r="T129" s="375">
        <f t="shared" si="63"/>
        <v>0.1</v>
      </c>
      <c r="U129" s="376">
        <f t="shared" si="9"/>
        <v>233809</v>
      </c>
      <c r="V129" s="372">
        <f t="shared" si="75"/>
        <v>15000</v>
      </c>
      <c r="W129" s="372">
        <f t="shared" si="10"/>
        <v>218809</v>
      </c>
      <c r="X129" s="370">
        <f t="shared" si="76"/>
        <v>17</v>
      </c>
      <c r="Y129" s="373">
        <f t="shared" si="11"/>
        <v>12871.117647058823</v>
      </c>
      <c r="Z129" s="628">
        <f t="shared" si="53"/>
        <v>2104281</v>
      </c>
      <c r="AA129" s="638">
        <f t="shared" si="54"/>
        <v>16314.46819543021</v>
      </c>
      <c r="AB129" s="633">
        <f t="shared" si="55"/>
        <v>18913.872508238699</v>
      </c>
      <c r="AC129" s="398">
        <f t="shared" si="56"/>
        <v>24432.486675864548</v>
      </c>
      <c r="AD129" s="398">
        <f t="shared" si="57"/>
        <v>41667.285865685262</v>
      </c>
      <c r="AP129" s="353" t="s">
        <v>264</v>
      </c>
      <c r="AR129" s="653">
        <f t="shared" si="58"/>
        <v>18</v>
      </c>
      <c r="AW129" s="669">
        <v>16</v>
      </c>
      <c r="AX129" s="670" t="s">
        <v>737</v>
      </c>
      <c r="AY129" s="665">
        <v>22</v>
      </c>
      <c r="AZ129" s="668">
        <f t="shared" si="59"/>
        <v>0</v>
      </c>
    </row>
    <row r="130" spans="1:52" ht="14.25" customHeight="1">
      <c r="A130" s="404" t="s">
        <v>765</v>
      </c>
      <c r="B130" s="413">
        <f t="shared" si="70"/>
        <v>102813.63636363637</v>
      </c>
      <c r="C130" s="409" t="s">
        <v>79</v>
      </c>
      <c r="D130" s="377" t="s">
        <v>507</v>
      </c>
      <c r="E130" s="371" t="s">
        <v>267</v>
      </c>
      <c r="F130" s="378">
        <v>22</v>
      </c>
      <c r="G130" s="616">
        <v>2000000</v>
      </c>
      <c r="H130" s="617">
        <f t="shared" si="44"/>
        <v>110000</v>
      </c>
      <c r="I130" s="622">
        <f t="shared" si="45"/>
        <v>13200</v>
      </c>
      <c r="J130" s="659">
        <f t="shared" si="71"/>
        <v>63700</v>
      </c>
      <c r="K130" s="677">
        <v>75000</v>
      </c>
      <c r="L130" s="652">
        <f t="shared" si="46"/>
        <v>2261900</v>
      </c>
      <c r="M130" s="352">
        <f t="shared" si="60"/>
        <v>150000</v>
      </c>
      <c r="N130" s="352">
        <f t="shared" si="61"/>
        <v>2111900</v>
      </c>
      <c r="O130" s="695">
        <v>20000</v>
      </c>
      <c r="P130" s="650">
        <v>50000</v>
      </c>
      <c r="Q130" s="458">
        <f t="shared" si="49"/>
        <v>169642.5</v>
      </c>
      <c r="R130" s="458">
        <f t="shared" si="50"/>
        <v>56547.5</v>
      </c>
      <c r="S130" s="689">
        <f t="shared" si="62"/>
        <v>2338090</v>
      </c>
      <c r="T130" s="375">
        <f t="shared" si="63"/>
        <v>0.1</v>
      </c>
      <c r="U130" s="376">
        <f t="shared" si="9"/>
        <v>233809</v>
      </c>
      <c r="V130" s="372">
        <f t="shared" si="75"/>
        <v>15000</v>
      </c>
      <c r="W130" s="372">
        <f t="shared" si="10"/>
        <v>218809</v>
      </c>
      <c r="X130" s="370">
        <f t="shared" si="76"/>
        <v>17</v>
      </c>
      <c r="Y130" s="373">
        <f t="shared" si="11"/>
        <v>12871.117647058823</v>
      </c>
      <c r="Z130" s="628">
        <f t="shared" si="53"/>
        <v>2104281</v>
      </c>
      <c r="AA130" s="638">
        <f t="shared" si="54"/>
        <v>16314.46819543021</v>
      </c>
      <c r="AB130" s="633">
        <f t="shared" si="55"/>
        <v>18913.872508238699</v>
      </c>
      <c r="AC130" s="398">
        <f t="shared" si="56"/>
        <v>24432.486675864548</v>
      </c>
      <c r="AD130" s="398">
        <f t="shared" si="57"/>
        <v>41667.285865685262</v>
      </c>
      <c r="AP130" s="353" t="s">
        <v>264</v>
      </c>
      <c r="AR130" s="653">
        <f t="shared" si="58"/>
        <v>18</v>
      </c>
      <c r="AW130" s="669">
        <v>17</v>
      </c>
      <c r="AX130" s="672" t="s">
        <v>740</v>
      </c>
      <c r="AY130" s="665">
        <v>22</v>
      </c>
      <c r="AZ130" s="668">
        <f t="shared" si="59"/>
        <v>0</v>
      </c>
    </row>
    <row r="131" spans="1:52" ht="14.25" customHeight="1" thickBot="1">
      <c r="A131" s="407" t="s">
        <v>765</v>
      </c>
      <c r="B131" s="423">
        <f t="shared" si="70"/>
        <v>101334.10922112802</v>
      </c>
      <c r="C131" s="412" t="s">
        <v>65</v>
      </c>
      <c r="D131" s="393" t="s">
        <v>509</v>
      </c>
      <c r="E131" s="371" t="s">
        <v>267</v>
      </c>
      <c r="F131" s="449">
        <v>22.34</v>
      </c>
      <c r="G131" s="616">
        <v>2000000</v>
      </c>
      <c r="H131" s="617">
        <f t="shared" si="44"/>
        <v>111700</v>
      </c>
      <c r="I131" s="622">
        <f t="shared" si="45"/>
        <v>13404</v>
      </c>
      <c r="J131" s="659">
        <f t="shared" si="71"/>
        <v>63700</v>
      </c>
      <c r="K131" s="677">
        <v>75000</v>
      </c>
      <c r="L131" s="652">
        <f t="shared" si="46"/>
        <v>2263804</v>
      </c>
      <c r="M131" s="352">
        <f t="shared" si="60"/>
        <v>150000</v>
      </c>
      <c r="N131" s="352">
        <f t="shared" si="61"/>
        <v>2113804</v>
      </c>
      <c r="O131" s="695">
        <v>20000</v>
      </c>
      <c r="P131" s="650">
        <v>50000</v>
      </c>
      <c r="Q131" s="458">
        <f t="shared" si="49"/>
        <v>169785.3</v>
      </c>
      <c r="R131" s="458">
        <f t="shared" si="50"/>
        <v>56595.100000000006</v>
      </c>
      <c r="S131" s="689">
        <f t="shared" si="62"/>
        <v>2340184.4</v>
      </c>
      <c r="T131" s="375">
        <f t="shared" si="63"/>
        <v>0.1</v>
      </c>
      <c r="U131" s="394">
        <f t="shared" si="9"/>
        <v>234018.44</v>
      </c>
      <c r="V131" s="395">
        <f>V5</f>
        <v>15000</v>
      </c>
      <c r="W131" s="395">
        <f t="shared" si="10"/>
        <v>219018.44</v>
      </c>
      <c r="X131" s="367">
        <f>X$5</f>
        <v>17</v>
      </c>
      <c r="Y131" s="396">
        <f t="shared" si="11"/>
        <v>12883.437647058823</v>
      </c>
      <c r="Z131" s="632">
        <f t="shared" si="53"/>
        <v>2106165.96</v>
      </c>
      <c r="AA131" s="638">
        <f t="shared" si="54"/>
        <v>16329.082270247052</v>
      </c>
      <c r="AB131" s="636">
        <f t="shared" si="55"/>
        <v>18930.815061596892</v>
      </c>
      <c r="AC131" s="424">
        <f t="shared" si="56"/>
        <v>24454.372659763339</v>
      </c>
      <c r="AD131" s="424">
        <f t="shared" si="57"/>
        <v>41704.610332885874</v>
      </c>
      <c r="AE131" t="s">
        <v>742</v>
      </c>
      <c r="AF131" t="s">
        <v>742</v>
      </c>
      <c r="AP131" s="353" t="s">
        <v>264</v>
      </c>
      <c r="AR131" s="653">
        <f t="shared" si="58"/>
        <v>18</v>
      </c>
      <c r="AW131" s="669">
        <v>18</v>
      </c>
      <c r="AX131" s="671" t="s">
        <v>760</v>
      </c>
      <c r="AY131" s="666">
        <v>22.34</v>
      </c>
      <c r="AZ131" s="668">
        <f t="shared" si="59"/>
        <v>0</v>
      </c>
    </row>
    <row r="132" spans="1:52" ht="14.25" customHeight="1">
      <c r="A132" s="414" t="s">
        <v>766</v>
      </c>
      <c r="B132" s="415">
        <f t="shared" si="70"/>
        <v>102813.63636363637</v>
      </c>
      <c r="C132" s="447" t="s">
        <v>65</v>
      </c>
      <c r="D132" s="441" t="s">
        <v>511</v>
      </c>
      <c r="E132" s="371" t="s">
        <v>267</v>
      </c>
      <c r="F132" s="381">
        <v>22</v>
      </c>
      <c r="G132" s="616">
        <v>2000000</v>
      </c>
      <c r="H132" s="617">
        <f t="shared" si="44"/>
        <v>110000</v>
      </c>
      <c r="I132" s="622">
        <f t="shared" si="45"/>
        <v>13200</v>
      </c>
      <c r="J132" s="659">
        <f t="shared" si="71"/>
        <v>63700</v>
      </c>
      <c r="K132" s="677">
        <v>75000</v>
      </c>
      <c r="L132" s="652">
        <f t="shared" si="46"/>
        <v>2261900</v>
      </c>
      <c r="M132" s="352">
        <f t="shared" si="60"/>
        <v>150000</v>
      </c>
      <c r="N132" s="352">
        <f t="shared" si="61"/>
        <v>2111900</v>
      </c>
      <c r="O132" s="695">
        <v>20000</v>
      </c>
      <c r="P132" s="650">
        <v>50000</v>
      </c>
      <c r="Q132" s="458">
        <f t="shared" si="49"/>
        <v>169642.5</v>
      </c>
      <c r="R132" s="458">
        <f t="shared" si="50"/>
        <v>56547.5</v>
      </c>
      <c r="S132" s="689">
        <f t="shared" si="62"/>
        <v>2338090</v>
      </c>
      <c r="T132" s="375">
        <f t="shared" si="63"/>
        <v>0.1</v>
      </c>
      <c r="U132" s="381">
        <f t="shared" si="9"/>
        <v>233809</v>
      </c>
      <c r="V132" s="383">
        <f>V5</f>
        <v>15000</v>
      </c>
      <c r="W132" s="383">
        <f t="shared" si="10"/>
        <v>218809</v>
      </c>
      <c r="X132" s="366">
        <f>X$5</f>
        <v>17</v>
      </c>
      <c r="Y132" s="426">
        <f t="shared" si="11"/>
        <v>12871.117647058823</v>
      </c>
      <c r="Z132" s="630">
        <f t="shared" si="53"/>
        <v>2104281</v>
      </c>
      <c r="AA132" s="638">
        <f t="shared" si="54"/>
        <v>16314.46819543021</v>
      </c>
      <c r="AB132" s="633">
        <f t="shared" si="55"/>
        <v>18913.872508238699</v>
      </c>
      <c r="AC132" s="398">
        <f t="shared" si="56"/>
        <v>24432.486675864548</v>
      </c>
      <c r="AD132" s="398">
        <f t="shared" si="57"/>
        <v>41667.285865685262</v>
      </c>
      <c r="AE132" t="s">
        <v>742</v>
      </c>
      <c r="AF132" t="s">
        <v>742</v>
      </c>
      <c r="AP132" s="353" t="s">
        <v>264</v>
      </c>
      <c r="AR132" s="653">
        <f t="shared" si="58"/>
        <v>18</v>
      </c>
      <c r="AW132" s="669">
        <v>1</v>
      </c>
      <c r="AX132" s="670" t="s">
        <v>700</v>
      </c>
      <c r="AY132" s="665">
        <v>22</v>
      </c>
      <c r="AZ132" s="668">
        <f t="shared" si="59"/>
        <v>0</v>
      </c>
    </row>
    <row r="133" spans="1:52" ht="14.25" customHeight="1">
      <c r="A133" s="404" t="s">
        <v>766</v>
      </c>
      <c r="B133" s="413">
        <f t="shared" si="70"/>
        <v>102813.63636363637</v>
      </c>
      <c r="C133" s="409" t="s">
        <v>79</v>
      </c>
      <c r="D133" s="377" t="s">
        <v>515</v>
      </c>
      <c r="E133" s="371" t="s">
        <v>267</v>
      </c>
      <c r="F133" s="376">
        <v>22</v>
      </c>
      <c r="G133" s="616">
        <v>2000000</v>
      </c>
      <c r="H133" s="617">
        <f t="shared" si="44"/>
        <v>110000</v>
      </c>
      <c r="I133" s="622">
        <f t="shared" si="45"/>
        <v>13200</v>
      </c>
      <c r="J133" s="659">
        <f t="shared" si="71"/>
        <v>63700</v>
      </c>
      <c r="K133" s="677">
        <v>75000</v>
      </c>
      <c r="L133" s="652">
        <f t="shared" si="46"/>
        <v>2261900</v>
      </c>
      <c r="M133" s="352">
        <f t="shared" si="60"/>
        <v>150000</v>
      </c>
      <c r="N133" s="352">
        <f t="shared" si="61"/>
        <v>2111900</v>
      </c>
      <c r="O133" s="695">
        <v>20000</v>
      </c>
      <c r="P133" s="650">
        <v>50000</v>
      </c>
      <c r="Q133" s="458">
        <f t="shared" si="49"/>
        <v>169642.5</v>
      </c>
      <c r="R133" s="458">
        <f t="shared" si="50"/>
        <v>56547.5</v>
      </c>
      <c r="S133" s="689">
        <f t="shared" si="62"/>
        <v>2338090</v>
      </c>
      <c r="T133" s="375">
        <f t="shared" si="63"/>
        <v>0.1</v>
      </c>
      <c r="U133" s="376">
        <f t="shared" si="9"/>
        <v>233809</v>
      </c>
      <c r="V133" s="372">
        <f>V$5</f>
        <v>15000</v>
      </c>
      <c r="W133" s="372">
        <f t="shared" si="10"/>
        <v>218809</v>
      </c>
      <c r="X133" s="368">
        <f t="shared" ref="X133:X138" si="77">X$5</f>
        <v>17</v>
      </c>
      <c r="Y133" s="373">
        <f t="shared" si="11"/>
        <v>12871.117647058823</v>
      </c>
      <c r="Z133" s="628">
        <f t="shared" si="53"/>
        <v>2104281</v>
      </c>
      <c r="AA133" s="638">
        <f t="shared" si="54"/>
        <v>16314.46819543021</v>
      </c>
      <c r="AB133" s="633">
        <f t="shared" si="55"/>
        <v>18913.872508238699</v>
      </c>
      <c r="AC133" s="398">
        <f t="shared" si="56"/>
        <v>24432.486675864548</v>
      </c>
      <c r="AD133" s="398">
        <f t="shared" si="57"/>
        <v>41667.285865685262</v>
      </c>
      <c r="AP133" s="353" t="s">
        <v>264</v>
      </c>
      <c r="AR133" s="653">
        <f t="shared" si="58"/>
        <v>18</v>
      </c>
      <c r="AW133" s="669">
        <v>2</v>
      </c>
      <c r="AX133" s="670" t="s">
        <v>704</v>
      </c>
      <c r="AY133" s="665">
        <v>22</v>
      </c>
      <c r="AZ133" s="668">
        <f t="shared" si="59"/>
        <v>0</v>
      </c>
    </row>
    <row r="134" spans="1:52" ht="14.25" customHeight="1">
      <c r="A134" s="404" t="s">
        <v>766</v>
      </c>
      <c r="B134" s="413">
        <f t="shared" si="70"/>
        <v>102813.63636363637</v>
      </c>
      <c r="C134" s="409" t="s">
        <v>79</v>
      </c>
      <c r="D134" s="377" t="s">
        <v>517</v>
      </c>
      <c r="E134" s="371" t="s">
        <v>267</v>
      </c>
      <c r="F134" s="376">
        <v>22</v>
      </c>
      <c r="G134" s="616">
        <v>2000000</v>
      </c>
      <c r="H134" s="617">
        <f t="shared" si="44"/>
        <v>110000</v>
      </c>
      <c r="I134" s="622">
        <f t="shared" si="45"/>
        <v>13200</v>
      </c>
      <c r="J134" s="659">
        <f t="shared" si="71"/>
        <v>63700</v>
      </c>
      <c r="K134" s="677">
        <v>75000</v>
      </c>
      <c r="L134" s="652">
        <f t="shared" si="46"/>
        <v>2261900</v>
      </c>
      <c r="M134" s="352">
        <f t="shared" si="60"/>
        <v>150000</v>
      </c>
      <c r="N134" s="352">
        <f t="shared" si="61"/>
        <v>2111900</v>
      </c>
      <c r="O134" s="695">
        <v>20000</v>
      </c>
      <c r="P134" s="650">
        <v>50000</v>
      </c>
      <c r="Q134" s="458">
        <f t="shared" si="49"/>
        <v>169642.5</v>
      </c>
      <c r="R134" s="458">
        <f t="shared" si="50"/>
        <v>56547.5</v>
      </c>
      <c r="S134" s="689">
        <f t="shared" si="62"/>
        <v>2338090</v>
      </c>
      <c r="T134" s="375">
        <f t="shared" si="63"/>
        <v>0.1</v>
      </c>
      <c r="U134" s="376">
        <f t="shared" si="9"/>
        <v>233809</v>
      </c>
      <c r="V134" s="372">
        <f t="shared" ref="V134:V138" si="78">V$5</f>
        <v>15000</v>
      </c>
      <c r="W134" s="372">
        <f t="shared" si="10"/>
        <v>218809</v>
      </c>
      <c r="X134" s="368">
        <f t="shared" si="77"/>
        <v>17</v>
      </c>
      <c r="Y134" s="373">
        <f t="shared" si="11"/>
        <v>12871.117647058823</v>
      </c>
      <c r="Z134" s="628">
        <f t="shared" si="53"/>
        <v>2104281</v>
      </c>
      <c r="AA134" s="638">
        <f t="shared" si="54"/>
        <v>16314.46819543021</v>
      </c>
      <c r="AB134" s="633">
        <f t="shared" si="55"/>
        <v>18913.872508238699</v>
      </c>
      <c r="AC134" s="398">
        <f t="shared" si="56"/>
        <v>24432.486675864548</v>
      </c>
      <c r="AD134" s="398">
        <f t="shared" si="57"/>
        <v>41667.285865685262</v>
      </c>
      <c r="AP134" s="353" t="s">
        <v>264</v>
      </c>
      <c r="AR134" s="653">
        <f t="shared" si="58"/>
        <v>18</v>
      </c>
      <c r="AW134" s="669">
        <v>3</v>
      </c>
      <c r="AX134" s="670" t="s">
        <v>707</v>
      </c>
      <c r="AY134" s="665">
        <v>22</v>
      </c>
      <c r="AZ134" s="668">
        <f t="shared" si="59"/>
        <v>0</v>
      </c>
    </row>
    <row r="135" spans="1:52" ht="14.25" customHeight="1">
      <c r="A135" s="404" t="s">
        <v>766</v>
      </c>
      <c r="B135" s="413">
        <f t="shared" ref="B135:B149" si="79">L135/F135</f>
        <v>102813.63636363637</v>
      </c>
      <c r="C135" s="409" t="s">
        <v>79</v>
      </c>
      <c r="D135" s="377" t="s">
        <v>519</v>
      </c>
      <c r="E135" s="371" t="s">
        <v>267</v>
      </c>
      <c r="F135" s="376">
        <v>22</v>
      </c>
      <c r="G135" s="616">
        <v>2000000</v>
      </c>
      <c r="H135" s="617">
        <f t="shared" si="44"/>
        <v>110000</v>
      </c>
      <c r="I135" s="622">
        <f t="shared" si="45"/>
        <v>13200</v>
      </c>
      <c r="J135" s="659">
        <f t="shared" ref="J135:J146" si="80">+(O135+P135)*$J$5</f>
        <v>63700</v>
      </c>
      <c r="K135" s="677">
        <v>75000</v>
      </c>
      <c r="L135" s="652">
        <f t="shared" si="46"/>
        <v>2261900</v>
      </c>
      <c r="M135" s="352">
        <f t="shared" si="60"/>
        <v>150000</v>
      </c>
      <c r="N135" s="352">
        <f t="shared" si="61"/>
        <v>2111900</v>
      </c>
      <c r="O135" s="695">
        <v>20000</v>
      </c>
      <c r="P135" s="650">
        <v>50000</v>
      </c>
      <c r="Q135" s="458">
        <f t="shared" si="49"/>
        <v>169642.5</v>
      </c>
      <c r="R135" s="458">
        <f t="shared" si="50"/>
        <v>56547.5</v>
      </c>
      <c r="S135" s="689">
        <f t="shared" si="62"/>
        <v>2338090</v>
      </c>
      <c r="T135" s="375">
        <f t="shared" si="63"/>
        <v>0.1</v>
      </c>
      <c r="U135" s="376">
        <f t="shared" si="9"/>
        <v>233809</v>
      </c>
      <c r="V135" s="372">
        <f t="shared" si="78"/>
        <v>15000</v>
      </c>
      <c r="W135" s="372">
        <f t="shared" si="10"/>
        <v>218809</v>
      </c>
      <c r="X135" s="363">
        <f t="shared" si="77"/>
        <v>17</v>
      </c>
      <c r="Y135" s="373">
        <f t="shared" si="11"/>
        <v>12871.117647058823</v>
      </c>
      <c r="Z135" s="628">
        <f t="shared" si="53"/>
        <v>2104281</v>
      </c>
      <c r="AA135" s="638">
        <f t="shared" si="54"/>
        <v>16314.46819543021</v>
      </c>
      <c r="AB135" s="633">
        <f t="shared" si="55"/>
        <v>18913.872508238699</v>
      </c>
      <c r="AC135" s="398">
        <f t="shared" si="56"/>
        <v>24432.486675864548</v>
      </c>
      <c r="AD135" s="398">
        <f t="shared" si="57"/>
        <v>41667.285865685262</v>
      </c>
      <c r="AP135" s="353" t="s">
        <v>264</v>
      </c>
      <c r="AR135" s="653">
        <f t="shared" si="58"/>
        <v>18</v>
      </c>
      <c r="AW135" s="669">
        <v>4</v>
      </c>
      <c r="AX135" s="670" t="s">
        <v>710</v>
      </c>
      <c r="AY135" s="665">
        <v>22</v>
      </c>
      <c r="AZ135" s="668">
        <f t="shared" si="59"/>
        <v>0</v>
      </c>
    </row>
    <row r="136" spans="1:52" ht="14.25" customHeight="1">
      <c r="A136" s="404" t="s">
        <v>766</v>
      </c>
      <c r="B136" s="413">
        <f t="shared" si="79"/>
        <v>102813.63636363637</v>
      </c>
      <c r="C136" s="409" t="s">
        <v>79</v>
      </c>
      <c r="D136" s="377" t="s">
        <v>520</v>
      </c>
      <c r="E136" s="371" t="s">
        <v>267</v>
      </c>
      <c r="F136" s="376">
        <v>22</v>
      </c>
      <c r="G136" s="616">
        <v>2000000</v>
      </c>
      <c r="H136" s="617">
        <f t="shared" ref="H136:H149" si="81">H$5*F136</f>
        <v>110000</v>
      </c>
      <c r="I136" s="622">
        <f t="shared" ref="I136:I149" si="82">H136*I$5</f>
        <v>13200</v>
      </c>
      <c r="J136" s="659">
        <f t="shared" si="80"/>
        <v>63700</v>
      </c>
      <c r="K136" s="677">
        <v>75000</v>
      </c>
      <c r="L136" s="652">
        <f t="shared" ref="L136:L149" si="83">G136+H136+I136+J136+K136</f>
        <v>2261900</v>
      </c>
      <c r="M136" s="352">
        <f t="shared" si="60"/>
        <v>150000</v>
      </c>
      <c r="N136" s="352">
        <f t="shared" si="61"/>
        <v>2111900</v>
      </c>
      <c r="O136" s="695">
        <v>20000</v>
      </c>
      <c r="P136" s="650">
        <v>50000</v>
      </c>
      <c r="Q136" s="458">
        <f t="shared" ref="Q136:Q149" si="84">L136*Q$5</f>
        <v>169642.5</v>
      </c>
      <c r="R136" s="458">
        <f t="shared" ref="R136:R149" si="85">L136*R$5</f>
        <v>56547.5</v>
      </c>
      <c r="S136" s="689">
        <f t="shared" si="62"/>
        <v>2338090</v>
      </c>
      <c r="T136" s="375">
        <f t="shared" si="63"/>
        <v>0.1</v>
      </c>
      <c r="U136" s="376">
        <f t="shared" si="9"/>
        <v>233809</v>
      </c>
      <c r="V136" s="372">
        <f t="shared" si="78"/>
        <v>15000</v>
      </c>
      <c r="W136" s="372">
        <f t="shared" si="10"/>
        <v>218809</v>
      </c>
      <c r="X136" s="384">
        <f t="shared" si="77"/>
        <v>17</v>
      </c>
      <c r="Y136" s="373">
        <f t="shared" si="11"/>
        <v>12871.117647058823</v>
      </c>
      <c r="Z136" s="628">
        <f t="shared" ref="Z136:Z149" si="86">S136*(100%-T136)</f>
        <v>2104281</v>
      </c>
      <c r="AA136" s="638">
        <f t="shared" ref="AA136:AA149" si="87">Z136*AA$5</f>
        <v>16314.46819543021</v>
      </c>
      <c r="AB136" s="633">
        <f t="shared" ref="AB136:AB149" si="88">Z136*$AB$5</f>
        <v>18913.872508238699</v>
      </c>
      <c r="AC136" s="398">
        <f t="shared" ref="AC136:AC149" si="89">Z136*$AC$5</f>
        <v>24432.486675864548</v>
      </c>
      <c r="AD136" s="398">
        <f t="shared" ref="AD136:AD149" si="90">Z136*$AD$5</f>
        <v>41667.285865685262</v>
      </c>
      <c r="AP136" s="353" t="s">
        <v>264</v>
      </c>
      <c r="AR136" s="653">
        <f t="shared" ref="AR136:AR149" si="91">X136+AR$5</f>
        <v>18</v>
      </c>
      <c r="AW136" s="669">
        <v>5</v>
      </c>
      <c r="AX136" s="670" t="s">
        <v>714</v>
      </c>
      <c r="AY136" s="665">
        <v>22</v>
      </c>
      <c r="AZ136" s="668">
        <f t="shared" ref="AZ136:AZ149" si="92">AY136-F136</f>
        <v>0</v>
      </c>
    </row>
    <row r="137" spans="1:52" ht="14.25" customHeight="1">
      <c r="A137" s="404" t="s">
        <v>766</v>
      </c>
      <c r="B137" s="413">
        <f t="shared" si="79"/>
        <v>102813.63636363637</v>
      </c>
      <c r="C137" s="409" t="s">
        <v>79</v>
      </c>
      <c r="D137" s="377" t="s">
        <v>522</v>
      </c>
      <c r="E137" s="371" t="s">
        <v>267</v>
      </c>
      <c r="F137" s="376">
        <v>22</v>
      </c>
      <c r="G137" s="616">
        <v>2000000</v>
      </c>
      <c r="H137" s="617">
        <f t="shared" si="81"/>
        <v>110000</v>
      </c>
      <c r="I137" s="622">
        <f t="shared" si="82"/>
        <v>13200</v>
      </c>
      <c r="J137" s="659">
        <f t="shared" si="80"/>
        <v>63700</v>
      </c>
      <c r="K137" s="677">
        <v>75000</v>
      </c>
      <c r="L137" s="652">
        <f t="shared" si="83"/>
        <v>2261900</v>
      </c>
      <c r="M137" s="352">
        <f t="shared" si="60"/>
        <v>150000</v>
      </c>
      <c r="N137" s="352">
        <f t="shared" si="61"/>
        <v>2111900</v>
      </c>
      <c r="O137" s="695">
        <v>20000</v>
      </c>
      <c r="P137" s="650">
        <v>50000</v>
      </c>
      <c r="Q137" s="458">
        <f t="shared" si="84"/>
        <v>169642.5</v>
      </c>
      <c r="R137" s="458">
        <f t="shared" si="85"/>
        <v>56547.5</v>
      </c>
      <c r="S137" s="689">
        <f t="shared" si="62"/>
        <v>2338090</v>
      </c>
      <c r="T137" s="375">
        <f t="shared" si="63"/>
        <v>0.1</v>
      </c>
      <c r="U137" s="376">
        <f t="shared" si="9"/>
        <v>233809</v>
      </c>
      <c r="V137" s="372">
        <f t="shared" si="78"/>
        <v>15000</v>
      </c>
      <c r="W137" s="372">
        <f t="shared" si="10"/>
        <v>218809</v>
      </c>
      <c r="X137" s="368">
        <f t="shared" si="77"/>
        <v>17</v>
      </c>
      <c r="Y137" s="373">
        <f t="shared" si="11"/>
        <v>12871.117647058823</v>
      </c>
      <c r="Z137" s="628">
        <f t="shared" si="86"/>
        <v>2104281</v>
      </c>
      <c r="AA137" s="638">
        <f t="shared" si="87"/>
        <v>16314.46819543021</v>
      </c>
      <c r="AB137" s="633">
        <f t="shared" si="88"/>
        <v>18913.872508238699</v>
      </c>
      <c r="AC137" s="398">
        <f t="shared" si="89"/>
        <v>24432.486675864548</v>
      </c>
      <c r="AD137" s="398">
        <f t="shared" si="90"/>
        <v>41667.285865685262</v>
      </c>
      <c r="AP137" s="353" t="s">
        <v>264</v>
      </c>
      <c r="AR137" s="653">
        <f t="shared" si="91"/>
        <v>18</v>
      </c>
      <c r="AW137" s="670">
        <v>6</v>
      </c>
      <c r="AX137" s="670" t="s">
        <v>716</v>
      </c>
      <c r="AY137" s="665">
        <v>22</v>
      </c>
      <c r="AZ137" s="668">
        <f t="shared" si="92"/>
        <v>0</v>
      </c>
    </row>
    <row r="138" spans="1:52" ht="14.25" customHeight="1">
      <c r="A138" s="404" t="s">
        <v>766</v>
      </c>
      <c r="B138" s="413">
        <f t="shared" si="79"/>
        <v>102813.63636363637</v>
      </c>
      <c r="C138" s="409" t="s">
        <v>79</v>
      </c>
      <c r="D138" s="377" t="s">
        <v>524</v>
      </c>
      <c r="E138" s="371" t="s">
        <v>267</v>
      </c>
      <c r="F138" s="376">
        <v>22</v>
      </c>
      <c r="G138" s="616">
        <v>2000000</v>
      </c>
      <c r="H138" s="617">
        <f t="shared" si="81"/>
        <v>110000</v>
      </c>
      <c r="I138" s="622">
        <f t="shared" si="82"/>
        <v>13200</v>
      </c>
      <c r="J138" s="659">
        <f t="shared" si="80"/>
        <v>63700</v>
      </c>
      <c r="K138" s="677">
        <v>75000</v>
      </c>
      <c r="L138" s="652">
        <f t="shared" si="83"/>
        <v>2261900</v>
      </c>
      <c r="M138" s="352">
        <f t="shared" si="60"/>
        <v>150000</v>
      </c>
      <c r="N138" s="352">
        <f t="shared" si="61"/>
        <v>2111900</v>
      </c>
      <c r="O138" s="695">
        <v>20000</v>
      </c>
      <c r="P138" s="650">
        <v>50000</v>
      </c>
      <c r="Q138" s="458">
        <f t="shared" si="84"/>
        <v>169642.5</v>
      </c>
      <c r="R138" s="458">
        <f t="shared" si="85"/>
        <v>56547.5</v>
      </c>
      <c r="S138" s="689">
        <f t="shared" si="62"/>
        <v>2338090</v>
      </c>
      <c r="T138" s="375">
        <f t="shared" si="63"/>
        <v>0.1</v>
      </c>
      <c r="U138" s="376">
        <f t="shared" si="9"/>
        <v>233809</v>
      </c>
      <c r="V138" s="372">
        <f t="shared" si="78"/>
        <v>15000</v>
      </c>
      <c r="W138" s="372">
        <f t="shared" si="10"/>
        <v>218809</v>
      </c>
      <c r="X138" s="368">
        <f t="shared" si="77"/>
        <v>17</v>
      </c>
      <c r="Y138" s="373">
        <f t="shared" si="11"/>
        <v>12871.117647058823</v>
      </c>
      <c r="Z138" s="628">
        <f t="shared" si="86"/>
        <v>2104281</v>
      </c>
      <c r="AA138" s="638">
        <f t="shared" si="87"/>
        <v>16314.46819543021</v>
      </c>
      <c r="AB138" s="633">
        <f t="shared" si="88"/>
        <v>18913.872508238699</v>
      </c>
      <c r="AC138" s="398">
        <f t="shared" si="89"/>
        <v>24432.486675864548</v>
      </c>
      <c r="AD138" s="398">
        <f t="shared" si="90"/>
        <v>41667.285865685262</v>
      </c>
      <c r="AP138" s="353" t="s">
        <v>264</v>
      </c>
      <c r="AR138" s="653">
        <f t="shared" si="91"/>
        <v>18</v>
      </c>
      <c r="AW138" s="669">
        <v>7</v>
      </c>
      <c r="AX138" s="672" t="s">
        <v>718</v>
      </c>
      <c r="AY138" s="665">
        <v>22</v>
      </c>
      <c r="AZ138" s="668">
        <f t="shared" si="92"/>
        <v>0</v>
      </c>
    </row>
    <row r="139" spans="1:52" ht="14.25" customHeight="1">
      <c r="A139" s="404" t="s">
        <v>766</v>
      </c>
      <c r="B139" s="413">
        <f t="shared" si="79"/>
        <v>101334.10922112802</v>
      </c>
      <c r="C139" s="409" t="s">
        <v>65</v>
      </c>
      <c r="D139" s="377" t="s">
        <v>525</v>
      </c>
      <c r="E139" s="371" t="s">
        <v>267</v>
      </c>
      <c r="F139" s="376">
        <v>22.34</v>
      </c>
      <c r="G139" s="616">
        <v>2000000</v>
      </c>
      <c r="H139" s="617">
        <f t="shared" si="81"/>
        <v>111700</v>
      </c>
      <c r="I139" s="622">
        <f t="shared" si="82"/>
        <v>13404</v>
      </c>
      <c r="J139" s="659">
        <f t="shared" si="80"/>
        <v>63700</v>
      </c>
      <c r="K139" s="677">
        <v>75000</v>
      </c>
      <c r="L139" s="652">
        <f t="shared" si="83"/>
        <v>2263804</v>
      </c>
      <c r="M139" s="352">
        <f t="shared" si="60"/>
        <v>150000</v>
      </c>
      <c r="N139" s="352">
        <f t="shared" si="61"/>
        <v>2113804</v>
      </c>
      <c r="O139" s="695">
        <v>20000</v>
      </c>
      <c r="P139" s="650">
        <v>50000</v>
      </c>
      <c r="Q139" s="458">
        <f t="shared" si="84"/>
        <v>169785.3</v>
      </c>
      <c r="R139" s="458">
        <f t="shared" si="85"/>
        <v>56595.100000000006</v>
      </c>
      <c r="S139" s="689">
        <f t="shared" si="62"/>
        <v>2340184.4</v>
      </c>
      <c r="T139" s="375">
        <f t="shared" si="63"/>
        <v>0.1</v>
      </c>
      <c r="U139" s="376">
        <f>S139*T139</f>
        <v>234018.44</v>
      </c>
      <c r="V139" s="372">
        <f>V5</f>
        <v>15000</v>
      </c>
      <c r="W139" s="372">
        <f t="shared" si="10"/>
        <v>219018.44</v>
      </c>
      <c r="X139" s="363">
        <f>X$5</f>
        <v>17</v>
      </c>
      <c r="Y139" s="373">
        <f t="shared" si="11"/>
        <v>12883.437647058823</v>
      </c>
      <c r="Z139" s="628">
        <f t="shared" si="86"/>
        <v>2106165.96</v>
      </c>
      <c r="AA139" s="638">
        <f t="shared" si="87"/>
        <v>16329.082270247052</v>
      </c>
      <c r="AB139" s="633">
        <f t="shared" si="88"/>
        <v>18930.815061596892</v>
      </c>
      <c r="AC139" s="398">
        <f t="shared" si="89"/>
        <v>24454.372659763339</v>
      </c>
      <c r="AD139" s="398">
        <f t="shared" si="90"/>
        <v>41704.610332885874</v>
      </c>
      <c r="AP139" s="353" t="s">
        <v>264</v>
      </c>
      <c r="AR139" s="653">
        <f t="shared" si="91"/>
        <v>18</v>
      </c>
      <c r="AW139" s="669">
        <v>8</v>
      </c>
      <c r="AX139" s="671" t="s">
        <v>720</v>
      </c>
      <c r="AY139" s="666">
        <v>22.34</v>
      </c>
      <c r="AZ139" s="668">
        <f t="shared" si="92"/>
        <v>0</v>
      </c>
    </row>
    <row r="140" spans="1:52" ht="14.25" customHeight="1">
      <c r="A140" s="404" t="s">
        <v>766</v>
      </c>
      <c r="B140" s="413">
        <f t="shared" si="79"/>
        <v>102813.63636363637</v>
      </c>
      <c r="C140" s="409" t="s">
        <v>79</v>
      </c>
      <c r="D140" s="377" t="s">
        <v>527</v>
      </c>
      <c r="E140" s="371" t="s">
        <v>267</v>
      </c>
      <c r="F140" s="376">
        <v>22</v>
      </c>
      <c r="G140" s="616">
        <v>2000000</v>
      </c>
      <c r="H140" s="617">
        <f t="shared" si="81"/>
        <v>110000</v>
      </c>
      <c r="I140" s="622">
        <f t="shared" si="82"/>
        <v>13200</v>
      </c>
      <c r="J140" s="659">
        <f t="shared" si="80"/>
        <v>63700</v>
      </c>
      <c r="K140" s="677">
        <v>75000</v>
      </c>
      <c r="L140" s="652">
        <f t="shared" si="83"/>
        <v>2261900</v>
      </c>
      <c r="M140" s="352">
        <f t="shared" si="60"/>
        <v>150000</v>
      </c>
      <c r="N140" s="352">
        <f t="shared" si="61"/>
        <v>2111900</v>
      </c>
      <c r="O140" s="695">
        <v>20000</v>
      </c>
      <c r="P140" s="650">
        <v>50000</v>
      </c>
      <c r="Q140" s="458">
        <f t="shared" si="84"/>
        <v>169642.5</v>
      </c>
      <c r="R140" s="458">
        <f t="shared" si="85"/>
        <v>56547.5</v>
      </c>
      <c r="S140" s="689">
        <f t="shared" si="62"/>
        <v>2338090</v>
      </c>
      <c r="T140" s="375">
        <f t="shared" si="63"/>
        <v>0.1</v>
      </c>
      <c r="U140" s="376">
        <f t="shared" si="9"/>
        <v>233809</v>
      </c>
      <c r="V140" s="372">
        <f t="shared" ref="V140:V148" si="93">V$5</f>
        <v>15000</v>
      </c>
      <c r="W140" s="372">
        <f t="shared" si="10"/>
        <v>218809</v>
      </c>
      <c r="X140" s="368">
        <f t="shared" ref="X140:X148" si="94">X$5</f>
        <v>17</v>
      </c>
      <c r="Y140" s="373">
        <f t="shared" si="11"/>
        <v>12871.117647058823</v>
      </c>
      <c r="Z140" s="628">
        <f t="shared" si="86"/>
        <v>2104281</v>
      </c>
      <c r="AA140" s="638">
        <f t="shared" si="87"/>
        <v>16314.46819543021</v>
      </c>
      <c r="AB140" s="633">
        <f t="shared" si="88"/>
        <v>18913.872508238699</v>
      </c>
      <c r="AC140" s="398">
        <f t="shared" si="89"/>
        <v>24432.486675864548</v>
      </c>
      <c r="AD140" s="398">
        <f t="shared" si="90"/>
        <v>41667.285865685262</v>
      </c>
      <c r="AP140" s="353" t="s">
        <v>264</v>
      </c>
      <c r="AR140" s="653">
        <f t="shared" si="91"/>
        <v>18</v>
      </c>
      <c r="AW140" s="669">
        <v>9</v>
      </c>
      <c r="AX140" s="670" t="s">
        <v>722</v>
      </c>
      <c r="AY140" s="665">
        <v>22</v>
      </c>
      <c r="AZ140" s="668">
        <f t="shared" si="92"/>
        <v>0</v>
      </c>
    </row>
    <row r="141" spans="1:52" ht="14.25" customHeight="1">
      <c r="A141" s="404" t="s">
        <v>766</v>
      </c>
      <c r="B141" s="413">
        <f t="shared" si="79"/>
        <v>102813.63636363637</v>
      </c>
      <c r="C141" s="409" t="s">
        <v>79</v>
      </c>
      <c r="D141" s="377" t="s">
        <v>529</v>
      </c>
      <c r="E141" s="371" t="s">
        <v>267</v>
      </c>
      <c r="F141" s="376">
        <v>22</v>
      </c>
      <c r="G141" s="616">
        <v>2000000</v>
      </c>
      <c r="H141" s="617">
        <f t="shared" si="81"/>
        <v>110000</v>
      </c>
      <c r="I141" s="622">
        <f t="shared" si="82"/>
        <v>13200</v>
      </c>
      <c r="J141" s="659">
        <f t="shared" si="80"/>
        <v>63700</v>
      </c>
      <c r="K141" s="677">
        <v>75000</v>
      </c>
      <c r="L141" s="652">
        <f t="shared" si="83"/>
        <v>2261900</v>
      </c>
      <c r="M141" s="352">
        <f t="shared" si="60"/>
        <v>150000</v>
      </c>
      <c r="N141" s="352">
        <f t="shared" si="61"/>
        <v>2111900</v>
      </c>
      <c r="O141" s="695">
        <v>20000</v>
      </c>
      <c r="P141" s="650">
        <v>50000</v>
      </c>
      <c r="Q141" s="458">
        <f t="shared" si="84"/>
        <v>169642.5</v>
      </c>
      <c r="R141" s="458">
        <f t="shared" si="85"/>
        <v>56547.5</v>
      </c>
      <c r="S141" s="689">
        <f t="shared" si="62"/>
        <v>2338090</v>
      </c>
      <c r="T141" s="375">
        <f t="shared" si="63"/>
        <v>0.1</v>
      </c>
      <c r="U141" s="376">
        <f t="shared" si="9"/>
        <v>233809</v>
      </c>
      <c r="V141" s="372">
        <f t="shared" si="93"/>
        <v>15000</v>
      </c>
      <c r="W141" s="372">
        <f t="shared" si="10"/>
        <v>218809</v>
      </c>
      <c r="X141" s="368">
        <f t="shared" si="94"/>
        <v>17</v>
      </c>
      <c r="Y141" s="373">
        <f t="shared" si="11"/>
        <v>12871.117647058823</v>
      </c>
      <c r="Z141" s="628">
        <f t="shared" si="86"/>
        <v>2104281</v>
      </c>
      <c r="AA141" s="638">
        <f t="shared" si="87"/>
        <v>16314.46819543021</v>
      </c>
      <c r="AB141" s="633">
        <f t="shared" si="88"/>
        <v>18913.872508238699</v>
      </c>
      <c r="AC141" s="398">
        <f t="shared" si="89"/>
        <v>24432.486675864548</v>
      </c>
      <c r="AD141" s="398">
        <f t="shared" si="90"/>
        <v>41667.285865685262</v>
      </c>
      <c r="AP141" s="353" t="s">
        <v>264</v>
      </c>
      <c r="AR141" s="653">
        <f t="shared" si="91"/>
        <v>18</v>
      </c>
      <c r="AW141" s="669">
        <v>10</v>
      </c>
      <c r="AX141" s="670" t="s">
        <v>724</v>
      </c>
      <c r="AY141" s="665">
        <v>22</v>
      </c>
      <c r="AZ141" s="668">
        <f t="shared" si="92"/>
        <v>0</v>
      </c>
    </row>
    <row r="142" spans="1:52" ht="14.25" customHeight="1">
      <c r="A142" s="404" t="s">
        <v>766</v>
      </c>
      <c r="B142" s="413">
        <f t="shared" si="79"/>
        <v>102813.63636363637</v>
      </c>
      <c r="C142" s="409" t="s">
        <v>79</v>
      </c>
      <c r="D142" s="377" t="s">
        <v>531</v>
      </c>
      <c r="E142" s="371" t="s">
        <v>267</v>
      </c>
      <c r="F142" s="376">
        <v>22</v>
      </c>
      <c r="G142" s="616">
        <v>2000000</v>
      </c>
      <c r="H142" s="617">
        <f t="shared" si="81"/>
        <v>110000</v>
      </c>
      <c r="I142" s="622">
        <f t="shared" si="82"/>
        <v>13200</v>
      </c>
      <c r="J142" s="659">
        <f t="shared" si="80"/>
        <v>63700</v>
      </c>
      <c r="K142" s="677">
        <v>75000</v>
      </c>
      <c r="L142" s="652">
        <f t="shared" si="83"/>
        <v>2261900</v>
      </c>
      <c r="M142" s="352">
        <f t="shared" si="60"/>
        <v>150000</v>
      </c>
      <c r="N142" s="352">
        <f t="shared" si="61"/>
        <v>2111900</v>
      </c>
      <c r="O142" s="695">
        <v>20000</v>
      </c>
      <c r="P142" s="650">
        <v>50000</v>
      </c>
      <c r="Q142" s="458">
        <f t="shared" si="84"/>
        <v>169642.5</v>
      </c>
      <c r="R142" s="458">
        <f t="shared" si="85"/>
        <v>56547.5</v>
      </c>
      <c r="S142" s="689">
        <f t="shared" si="62"/>
        <v>2338090</v>
      </c>
      <c r="T142" s="375">
        <f t="shared" si="63"/>
        <v>0.1</v>
      </c>
      <c r="U142" s="376">
        <f t="shared" si="9"/>
        <v>233809</v>
      </c>
      <c r="V142" s="372">
        <f t="shared" si="93"/>
        <v>15000</v>
      </c>
      <c r="W142" s="372">
        <f t="shared" si="10"/>
        <v>218809</v>
      </c>
      <c r="X142" s="368">
        <f t="shared" si="94"/>
        <v>17</v>
      </c>
      <c r="Y142" s="373">
        <f t="shared" si="11"/>
        <v>12871.117647058823</v>
      </c>
      <c r="Z142" s="628">
        <f t="shared" si="86"/>
        <v>2104281</v>
      </c>
      <c r="AA142" s="638">
        <f t="shared" si="87"/>
        <v>16314.46819543021</v>
      </c>
      <c r="AB142" s="633">
        <f t="shared" si="88"/>
        <v>18913.872508238699</v>
      </c>
      <c r="AC142" s="398">
        <f t="shared" si="89"/>
        <v>24432.486675864548</v>
      </c>
      <c r="AD142" s="398">
        <f t="shared" si="90"/>
        <v>41667.285865685262</v>
      </c>
      <c r="AP142" s="658" t="s">
        <v>243</v>
      </c>
      <c r="AR142" s="653">
        <f t="shared" si="91"/>
        <v>18</v>
      </c>
      <c r="AW142" s="669">
        <v>11</v>
      </c>
      <c r="AX142" s="670" t="s">
        <v>726</v>
      </c>
      <c r="AY142" s="665">
        <v>22</v>
      </c>
      <c r="AZ142" s="668">
        <f t="shared" si="92"/>
        <v>0</v>
      </c>
    </row>
    <row r="143" spans="1:52" ht="14.25" customHeight="1">
      <c r="A143" s="404" t="s">
        <v>766</v>
      </c>
      <c r="B143" s="413">
        <f t="shared" si="79"/>
        <v>102813.63636363637</v>
      </c>
      <c r="C143" s="409" t="s">
        <v>79</v>
      </c>
      <c r="D143" s="377" t="s">
        <v>532</v>
      </c>
      <c r="E143" s="371" t="s">
        <v>267</v>
      </c>
      <c r="F143" s="376">
        <v>22</v>
      </c>
      <c r="G143" s="616">
        <v>2000000</v>
      </c>
      <c r="H143" s="617">
        <f t="shared" si="81"/>
        <v>110000</v>
      </c>
      <c r="I143" s="622">
        <f t="shared" si="82"/>
        <v>13200</v>
      </c>
      <c r="J143" s="659">
        <f t="shared" si="80"/>
        <v>63700</v>
      </c>
      <c r="K143" s="677">
        <v>75000</v>
      </c>
      <c r="L143" s="652">
        <f t="shared" si="83"/>
        <v>2261900</v>
      </c>
      <c r="M143" s="352">
        <f t="shared" ref="M143:M149" si="95">M$156</f>
        <v>150000</v>
      </c>
      <c r="N143" s="352">
        <f t="shared" ref="N143:N149" si="96">L143-M143</f>
        <v>2111900</v>
      </c>
      <c r="O143" s="695">
        <v>20000</v>
      </c>
      <c r="P143" s="650">
        <v>50000</v>
      </c>
      <c r="Q143" s="458">
        <f t="shared" si="84"/>
        <v>169642.5</v>
      </c>
      <c r="R143" s="458">
        <f t="shared" si="85"/>
        <v>56547.5</v>
      </c>
      <c r="S143" s="689">
        <f t="shared" ref="S143:S149" si="97">+N143+Q143+R143</f>
        <v>2338090</v>
      </c>
      <c r="T143" s="375">
        <f t="shared" ref="T143:T149" si="98">T$5</f>
        <v>0.1</v>
      </c>
      <c r="U143" s="376">
        <f t="shared" si="9"/>
        <v>233809</v>
      </c>
      <c r="V143" s="372">
        <f t="shared" si="93"/>
        <v>15000</v>
      </c>
      <c r="W143" s="372">
        <f t="shared" si="10"/>
        <v>218809</v>
      </c>
      <c r="X143" s="368">
        <f t="shared" si="94"/>
        <v>17</v>
      </c>
      <c r="Y143" s="373">
        <f t="shared" si="11"/>
        <v>12871.117647058823</v>
      </c>
      <c r="Z143" s="628">
        <f t="shared" si="86"/>
        <v>2104281</v>
      </c>
      <c r="AA143" s="638">
        <f t="shared" si="87"/>
        <v>16314.46819543021</v>
      </c>
      <c r="AB143" s="633">
        <f t="shared" si="88"/>
        <v>18913.872508238699</v>
      </c>
      <c r="AC143" s="398">
        <f t="shared" si="89"/>
        <v>24432.486675864548</v>
      </c>
      <c r="AD143" s="398">
        <f t="shared" si="90"/>
        <v>41667.285865685262</v>
      </c>
      <c r="AP143" s="353" t="s">
        <v>264</v>
      </c>
      <c r="AR143" s="653">
        <f t="shared" si="91"/>
        <v>18</v>
      </c>
      <c r="AW143" s="669">
        <v>12</v>
      </c>
      <c r="AX143" s="670" t="s">
        <v>728</v>
      </c>
      <c r="AY143" s="665">
        <v>22</v>
      </c>
      <c r="AZ143" s="668">
        <f t="shared" si="92"/>
        <v>0</v>
      </c>
    </row>
    <row r="144" spans="1:52" ht="14.25" customHeight="1">
      <c r="A144" s="404" t="s">
        <v>766</v>
      </c>
      <c r="B144" s="413">
        <f t="shared" si="79"/>
        <v>102813.63636363637</v>
      </c>
      <c r="C144" s="409" t="s">
        <v>79</v>
      </c>
      <c r="D144" s="377" t="s">
        <v>534</v>
      </c>
      <c r="E144" s="371" t="s">
        <v>267</v>
      </c>
      <c r="F144" s="376">
        <v>22</v>
      </c>
      <c r="G144" s="616">
        <v>2000000</v>
      </c>
      <c r="H144" s="617">
        <f t="shared" si="81"/>
        <v>110000</v>
      </c>
      <c r="I144" s="622">
        <f t="shared" si="82"/>
        <v>13200</v>
      </c>
      <c r="J144" s="659">
        <f t="shared" si="80"/>
        <v>63700</v>
      </c>
      <c r="K144" s="677">
        <v>75000</v>
      </c>
      <c r="L144" s="652">
        <f t="shared" si="83"/>
        <v>2261900</v>
      </c>
      <c r="M144" s="352">
        <f t="shared" si="95"/>
        <v>150000</v>
      </c>
      <c r="N144" s="352">
        <f t="shared" si="96"/>
        <v>2111900</v>
      </c>
      <c r="O144" s="695">
        <v>20000</v>
      </c>
      <c r="P144" s="650">
        <v>50000</v>
      </c>
      <c r="Q144" s="458">
        <f t="shared" si="84"/>
        <v>169642.5</v>
      </c>
      <c r="R144" s="458">
        <f t="shared" si="85"/>
        <v>56547.5</v>
      </c>
      <c r="S144" s="689">
        <f t="shared" si="97"/>
        <v>2338090</v>
      </c>
      <c r="T144" s="375">
        <f t="shared" si="98"/>
        <v>0.1</v>
      </c>
      <c r="U144" s="376">
        <f t="shared" si="9"/>
        <v>233809</v>
      </c>
      <c r="V144" s="372">
        <f t="shared" si="93"/>
        <v>15000</v>
      </c>
      <c r="W144" s="372">
        <f t="shared" si="10"/>
        <v>218809</v>
      </c>
      <c r="X144" s="368">
        <f t="shared" si="94"/>
        <v>17</v>
      </c>
      <c r="Y144" s="373">
        <f t="shared" si="11"/>
        <v>12871.117647058823</v>
      </c>
      <c r="Z144" s="628">
        <f t="shared" si="86"/>
        <v>2104281</v>
      </c>
      <c r="AA144" s="638">
        <f t="shared" si="87"/>
        <v>16314.46819543021</v>
      </c>
      <c r="AB144" s="633">
        <f t="shared" si="88"/>
        <v>18913.872508238699</v>
      </c>
      <c r="AC144" s="398">
        <f t="shared" si="89"/>
        <v>24432.486675864548</v>
      </c>
      <c r="AD144" s="398">
        <f t="shared" si="90"/>
        <v>41667.285865685262</v>
      </c>
      <c r="AP144" s="353" t="s">
        <v>264</v>
      </c>
      <c r="AR144" s="653">
        <f t="shared" si="91"/>
        <v>18</v>
      </c>
      <c r="AW144" s="669">
        <v>13</v>
      </c>
      <c r="AX144" s="670" t="s">
        <v>730</v>
      </c>
      <c r="AY144" s="665">
        <v>22</v>
      </c>
      <c r="AZ144" s="668">
        <f t="shared" si="92"/>
        <v>0</v>
      </c>
    </row>
    <row r="145" spans="1:52" ht="14.25" customHeight="1">
      <c r="A145" s="404" t="s">
        <v>766</v>
      </c>
      <c r="B145" s="413">
        <f t="shared" si="79"/>
        <v>102813.63636363637</v>
      </c>
      <c r="C145" s="409" t="s">
        <v>79</v>
      </c>
      <c r="D145" s="377" t="s">
        <v>536</v>
      </c>
      <c r="E145" s="371" t="s">
        <v>267</v>
      </c>
      <c r="F145" s="376">
        <v>22</v>
      </c>
      <c r="G145" s="616">
        <v>2000000</v>
      </c>
      <c r="H145" s="617">
        <f t="shared" si="81"/>
        <v>110000</v>
      </c>
      <c r="I145" s="622">
        <f t="shared" si="82"/>
        <v>13200</v>
      </c>
      <c r="J145" s="659">
        <f t="shared" si="80"/>
        <v>63700</v>
      </c>
      <c r="K145" s="677">
        <v>75000</v>
      </c>
      <c r="L145" s="652">
        <f t="shared" si="83"/>
        <v>2261900</v>
      </c>
      <c r="M145" s="352">
        <f t="shared" si="95"/>
        <v>150000</v>
      </c>
      <c r="N145" s="352">
        <f t="shared" si="96"/>
        <v>2111900</v>
      </c>
      <c r="O145" s="695">
        <v>20000</v>
      </c>
      <c r="P145" s="650">
        <v>50000</v>
      </c>
      <c r="Q145" s="458">
        <f t="shared" si="84"/>
        <v>169642.5</v>
      </c>
      <c r="R145" s="458">
        <f t="shared" si="85"/>
        <v>56547.5</v>
      </c>
      <c r="S145" s="689">
        <f t="shared" si="97"/>
        <v>2338090</v>
      </c>
      <c r="T145" s="375">
        <f t="shared" si="98"/>
        <v>0.1</v>
      </c>
      <c r="U145" s="376">
        <f t="shared" si="9"/>
        <v>233809</v>
      </c>
      <c r="V145" s="372">
        <f t="shared" si="93"/>
        <v>15000</v>
      </c>
      <c r="W145" s="372">
        <f t="shared" si="10"/>
        <v>218809</v>
      </c>
      <c r="X145" s="368">
        <f t="shared" si="94"/>
        <v>17</v>
      </c>
      <c r="Y145" s="373">
        <f t="shared" si="11"/>
        <v>12871.117647058823</v>
      </c>
      <c r="Z145" s="628">
        <f t="shared" si="86"/>
        <v>2104281</v>
      </c>
      <c r="AA145" s="638">
        <f t="shared" si="87"/>
        <v>16314.46819543021</v>
      </c>
      <c r="AB145" s="633">
        <f t="shared" si="88"/>
        <v>18913.872508238699</v>
      </c>
      <c r="AC145" s="398">
        <f t="shared" si="89"/>
        <v>24432.486675864548</v>
      </c>
      <c r="AD145" s="398">
        <f t="shared" si="90"/>
        <v>41667.285865685262</v>
      </c>
      <c r="AP145" s="353" t="s">
        <v>264</v>
      </c>
      <c r="AR145" s="653">
        <f t="shared" si="91"/>
        <v>18</v>
      </c>
      <c r="AW145" s="669">
        <v>14</v>
      </c>
      <c r="AX145" s="670" t="s">
        <v>732</v>
      </c>
      <c r="AY145" s="665">
        <v>22</v>
      </c>
      <c r="AZ145" s="668">
        <f t="shared" si="92"/>
        <v>0</v>
      </c>
    </row>
    <row r="146" spans="1:52" ht="14.25" customHeight="1">
      <c r="A146" s="404" t="s">
        <v>766</v>
      </c>
      <c r="B146" s="413">
        <f t="shared" si="79"/>
        <v>102813.63636363637</v>
      </c>
      <c r="C146" s="409" t="s">
        <v>79</v>
      </c>
      <c r="D146" s="377" t="s">
        <v>538</v>
      </c>
      <c r="E146" s="371" t="s">
        <v>267</v>
      </c>
      <c r="F146" s="376">
        <v>22</v>
      </c>
      <c r="G146" s="616">
        <v>2000000</v>
      </c>
      <c r="H146" s="617">
        <f t="shared" si="81"/>
        <v>110000</v>
      </c>
      <c r="I146" s="622">
        <f t="shared" si="82"/>
        <v>13200</v>
      </c>
      <c r="J146" s="659">
        <f t="shared" si="80"/>
        <v>63700</v>
      </c>
      <c r="K146" s="677">
        <v>75000</v>
      </c>
      <c r="L146" s="652">
        <f t="shared" si="83"/>
        <v>2261900</v>
      </c>
      <c r="M146" s="352">
        <f t="shared" si="95"/>
        <v>150000</v>
      </c>
      <c r="N146" s="352">
        <f t="shared" si="96"/>
        <v>2111900</v>
      </c>
      <c r="O146" s="695">
        <v>20000</v>
      </c>
      <c r="P146" s="650">
        <v>50000</v>
      </c>
      <c r="Q146" s="458">
        <f t="shared" si="84"/>
        <v>169642.5</v>
      </c>
      <c r="R146" s="458">
        <f t="shared" si="85"/>
        <v>56547.5</v>
      </c>
      <c r="S146" s="689">
        <f t="shared" si="97"/>
        <v>2338090</v>
      </c>
      <c r="T146" s="375">
        <f t="shared" si="98"/>
        <v>0.1</v>
      </c>
      <c r="U146" s="376">
        <f t="shared" si="9"/>
        <v>233809</v>
      </c>
      <c r="V146" s="372">
        <f t="shared" si="93"/>
        <v>15000</v>
      </c>
      <c r="W146" s="372">
        <f t="shared" si="10"/>
        <v>218809</v>
      </c>
      <c r="X146" s="368">
        <f t="shared" si="94"/>
        <v>17</v>
      </c>
      <c r="Y146" s="373">
        <f t="shared" si="11"/>
        <v>12871.117647058823</v>
      </c>
      <c r="Z146" s="628">
        <f t="shared" si="86"/>
        <v>2104281</v>
      </c>
      <c r="AA146" s="638">
        <f t="shared" si="87"/>
        <v>16314.46819543021</v>
      </c>
      <c r="AB146" s="633">
        <f t="shared" si="88"/>
        <v>18913.872508238699</v>
      </c>
      <c r="AC146" s="398">
        <f t="shared" si="89"/>
        <v>24432.486675864548</v>
      </c>
      <c r="AD146" s="398">
        <f t="shared" si="90"/>
        <v>41667.285865685262</v>
      </c>
      <c r="AP146" s="353" t="s">
        <v>264</v>
      </c>
      <c r="AR146" s="653">
        <f t="shared" si="91"/>
        <v>18</v>
      </c>
      <c r="AW146" s="669">
        <v>15</v>
      </c>
      <c r="AX146" s="670" t="s">
        <v>734</v>
      </c>
      <c r="AY146" s="665">
        <v>22</v>
      </c>
      <c r="AZ146" s="668">
        <f t="shared" si="92"/>
        <v>0</v>
      </c>
    </row>
    <row r="147" spans="1:52" ht="14.25" customHeight="1">
      <c r="A147" s="404" t="s">
        <v>766</v>
      </c>
      <c r="B147" s="413">
        <f t="shared" si="79"/>
        <v>102813.63636363637</v>
      </c>
      <c r="C147" s="409" t="s">
        <v>79</v>
      </c>
      <c r="D147" s="377" t="s">
        <v>540</v>
      </c>
      <c r="E147" s="371" t="s">
        <v>267</v>
      </c>
      <c r="F147" s="376">
        <v>22</v>
      </c>
      <c r="G147" s="616">
        <v>2000000</v>
      </c>
      <c r="H147" s="617">
        <f t="shared" si="81"/>
        <v>110000</v>
      </c>
      <c r="I147" s="622">
        <f t="shared" si="82"/>
        <v>13200</v>
      </c>
      <c r="J147" s="659">
        <f t="shared" ref="J147:J149" si="99">+(O147+P147)*$J$5</f>
        <v>63700</v>
      </c>
      <c r="K147" s="677">
        <v>75000</v>
      </c>
      <c r="L147" s="652">
        <f t="shared" si="83"/>
        <v>2261900</v>
      </c>
      <c r="M147" s="352">
        <f t="shared" si="95"/>
        <v>150000</v>
      </c>
      <c r="N147" s="352">
        <f t="shared" si="96"/>
        <v>2111900</v>
      </c>
      <c r="O147" s="695">
        <v>20000</v>
      </c>
      <c r="P147" s="650">
        <v>50000</v>
      </c>
      <c r="Q147" s="458">
        <f t="shared" si="84"/>
        <v>169642.5</v>
      </c>
      <c r="R147" s="458">
        <f t="shared" si="85"/>
        <v>56547.5</v>
      </c>
      <c r="S147" s="689">
        <f t="shared" si="97"/>
        <v>2338090</v>
      </c>
      <c r="T147" s="375">
        <f t="shared" si="98"/>
        <v>0.1</v>
      </c>
      <c r="U147" s="376">
        <f t="shared" si="9"/>
        <v>233809</v>
      </c>
      <c r="V147" s="372">
        <f t="shared" si="93"/>
        <v>15000</v>
      </c>
      <c r="W147" s="372">
        <f t="shared" si="10"/>
        <v>218809</v>
      </c>
      <c r="X147" s="368">
        <f t="shared" si="94"/>
        <v>17</v>
      </c>
      <c r="Y147" s="373">
        <f t="shared" si="11"/>
        <v>12871.117647058823</v>
      </c>
      <c r="Z147" s="628">
        <f t="shared" si="86"/>
        <v>2104281</v>
      </c>
      <c r="AA147" s="638">
        <f t="shared" si="87"/>
        <v>16314.46819543021</v>
      </c>
      <c r="AB147" s="633">
        <f t="shared" si="88"/>
        <v>18913.872508238699</v>
      </c>
      <c r="AC147" s="398">
        <f t="shared" si="89"/>
        <v>24432.486675864548</v>
      </c>
      <c r="AD147" s="398">
        <f t="shared" si="90"/>
        <v>41667.285865685262</v>
      </c>
      <c r="AP147" s="353" t="s">
        <v>264</v>
      </c>
      <c r="AR147" s="653">
        <f t="shared" si="91"/>
        <v>18</v>
      </c>
      <c r="AW147" s="669">
        <v>16</v>
      </c>
      <c r="AX147" s="670" t="s">
        <v>737</v>
      </c>
      <c r="AY147" s="665">
        <v>22</v>
      </c>
      <c r="AZ147" s="668">
        <f t="shared" si="92"/>
        <v>0</v>
      </c>
    </row>
    <row r="148" spans="1:52" ht="14.25" customHeight="1">
      <c r="A148" s="404" t="s">
        <v>766</v>
      </c>
      <c r="B148" s="413">
        <f t="shared" si="79"/>
        <v>102813.63636363637</v>
      </c>
      <c r="C148" s="409" t="s">
        <v>79</v>
      </c>
      <c r="D148" s="377" t="s">
        <v>541</v>
      </c>
      <c r="E148" s="371" t="s">
        <v>267</v>
      </c>
      <c r="F148" s="376">
        <v>22</v>
      </c>
      <c r="G148" s="616">
        <v>2000000</v>
      </c>
      <c r="H148" s="617">
        <f t="shared" si="81"/>
        <v>110000</v>
      </c>
      <c r="I148" s="622">
        <f t="shared" si="82"/>
        <v>13200</v>
      </c>
      <c r="J148" s="659">
        <f t="shared" si="99"/>
        <v>63700</v>
      </c>
      <c r="K148" s="677">
        <v>75000</v>
      </c>
      <c r="L148" s="652">
        <f t="shared" si="83"/>
        <v>2261900</v>
      </c>
      <c r="M148" s="352">
        <f t="shared" si="95"/>
        <v>150000</v>
      </c>
      <c r="N148" s="352">
        <f t="shared" si="96"/>
        <v>2111900</v>
      </c>
      <c r="O148" s="695">
        <v>20000</v>
      </c>
      <c r="P148" s="650">
        <v>50000</v>
      </c>
      <c r="Q148" s="458">
        <f t="shared" si="84"/>
        <v>169642.5</v>
      </c>
      <c r="R148" s="458">
        <f t="shared" si="85"/>
        <v>56547.5</v>
      </c>
      <c r="S148" s="689">
        <f t="shared" si="97"/>
        <v>2338090</v>
      </c>
      <c r="T148" s="375">
        <f t="shared" si="98"/>
        <v>0.1</v>
      </c>
      <c r="U148" s="376">
        <f t="shared" si="9"/>
        <v>233809</v>
      </c>
      <c r="V148" s="372">
        <f t="shared" si="93"/>
        <v>15000</v>
      </c>
      <c r="W148" s="372">
        <f t="shared" si="10"/>
        <v>218809</v>
      </c>
      <c r="X148" s="368">
        <f t="shared" si="94"/>
        <v>17</v>
      </c>
      <c r="Y148" s="373">
        <f t="shared" si="11"/>
        <v>12871.117647058823</v>
      </c>
      <c r="Z148" s="628">
        <f t="shared" si="86"/>
        <v>2104281</v>
      </c>
      <c r="AA148" s="638">
        <f t="shared" si="87"/>
        <v>16314.46819543021</v>
      </c>
      <c r="AB148" s="633">
        <f t="shared" si="88"/>
        <v>18913.872508238699</v>
      </c>
      <c r="AC148" s="398">
        <f t="shared" si="89"/>
        <v>24432.486675864548</v>
      </c>
      <c r="AD148" s="398">
        <f t="shared" si="90"/>
        <v>41667.285865685262</v>
      </c>
      <c r="AP148" s="353" t="s">
        <v>264</v>
      </c>
      <c r="AR148" s="653">
        <f t="shared" si="91"/>
        <v>18</v>
      </c>
      <c r="AW148" s="669">
        <v>17</v>
      </c>
      <c r="AX148" s="672" t="s">
        <v>740</v>
      </c>
      <c r="AY148" s="665">
        <v>22</v>
      </c>
      <c r="AZ148" s="668">
        <f t="shared" si="92"/>
        <v>0</v>
      </c>
    </row>
    <row r="149" spans="1:52" ht="14.25" customHeight="1" thickBot="1">
      <c r="A149" s="407" t="s">
        <v>766</v>
      </c>
      <c r="B149" s="423">
        <f t="shared" si="79"/>
        <v>101334.10922112802</v>
      </c>
      <c r="C149" s="412" t="s">
        <v>65</v>
      </c>
      <c r="D149" s="393" t="s">
        <v>543</v>
      </c>
      <c r="E149" s="371" t="s">
        <v>267</v>
      </c>
      <c r="F149" s="394">
        <v>22.34</v>
      </c>
      <c r="G149" s="616">
        <v>2000000</v>
      </c>
      <c r="H149" s="617">
        <f t="shared" si="81"/>
        <v>111700</v>
      </c>
      <c r="I149" s="622">
        <f t="shared" si="82"/>
        <v>13404</v>
      </c>
      <c r="J149" s="659">
        <f t="shared" si="99"/>
        <v>63700</v>
      </c>
      <c r="K149" s="677">
        <v>75000</v>
      </c>
      <c r="L149" s="652">
        <f t="shared" si="83"/>
        <v>2263804</v>
      </c>
      <c r="M149" s="352">
        <f t="shared" si="95"/>
        <v>150000</v>
      </c>
      <c r="N149" s="352">
        <f t="shared" si="96"/>
        <v>2113804</v>
      </c>
      <c r="O149" s="695">
        <v>20000</v>
      </c>
      <c r="P149" s="650">
        <v>50000</v>
      </c>
      <c r="Q149" s="458">
        <f t="shared" si="84"/>
        <v>169785.3</v>
      </c>
      <c r="R149" s="458">
        <f t="shared" si="85"/>
        <v>56595.100000000006</v>
      </c>
      <c r="S149" s="689">
        <f t="shared" si="97"/>
        <v>2340184.4</v>
      </c>
      <c r="T149" s="375">
        <f t="shared" si="98"/>
        <v>0.1</v>
      </c>
      <c r="U149" s="394">
        <f t="shared" si="9"/>
        <v>234018.44</v>
      </c>
      <c r="V149" s="395">
        <f>V5</f>
        <v>15000</v>
      </c>
      <c r="W149" s="395">
        <f t="shared" si="10"/>
        <v>219018.44</v>
      </c>
      <c r="X149" s="365">
        <f>X$5</f>
        <v>17</v>
      </c>
      <c r="Y149" s="396">
        <f t="shared" si="11"/>
        <v>12883.437647058823</v>
      </c>
      <c r="Z149" s="632">
        <f t="shared" si="86"/>
        <v>2106165.96</v>
      </c>
      <c r="AA149" s="639">
        <f t="shared" si="87"/>
        <v>16329.082270247052</v>
      </c>
      <c r="AB149" s="636">
        <f t="shared" si="88"/>
        <v>18930.815061596892</v>
      </c>
      <c r="AC149" s="424">
        <f t="shared" si="89"/>
        <v>24454.372659763339</v>
      </c>
      <c r="AD149" s="424">
        <f t="shared" si="90"/>
        <v>41704.610332885874</v>
      </c>
      <c r="AE149" t="s">
        <v>742</v>
      </c>
      <c r="AP149" s="353" t="s">
        <v>264</v>
      </c>
      <c r="AR149" s="653">
        <f t="shared" si="91"/>
        <v>18</v>
      </c>
      <c r="AW149" s="669">
        <v>18</v>
      </c>
      <c r="AX149" s="671" t="s">
        <v>760</v>
      </c>
      <c r="AY149" s="666">
        <v>22.34</v>
      </c>
      <c r="AZ149" s="668">
        <f t="shared" si="92"/>
        <v>0</v>
      </c>
    </row>
    <row r="150" spans="1:52" ht="14.25" customHeight="1">
      <c r="A150" s="344">
        <f>COUNTA(A7:A149)</f>
        <v>143</v>
      </c>
      <c r="B150" s="344"/>
      <c r="C150" s="344"/>
      <c r="D150" s="321"/>
      <c r="E150" s="321"/>
      <c r="T150" s="347"/>
      <c r="X150" s="321"/>
      <c r="AB150" s="345"/>
      <c r="AC150" s="345"/>
      <c r="AD150" s="345"/>
      <c r="AE150" s="345"/>
    </row>
    <row r="151" spans="1:52" ht="14.25" customHeight="1">
      <c r="D151" s="321"/>
      <c r="E151" s="321"/>
      <c r="T151" s="347"/>
      <c r="X151" s="321"/>
    </row>
    <row r="152" spans="1:52" ht="14.25" customHeight="1">
      <c r="D152" s="321"/>
      <c r="E152" s="321"/>
      <c r="T152" s="347"/>
      <c r="X152" s="321"/>
      <c r="AO152" s="455" t="s">
        <v>264</v>
      </c>
      <c r="AP152" s="455">
        <f>COUNTIF(AP7:AP149,"SOLD")</f>
        <v>128</v>
      </c>
    </row>
    <row r="153" spans="1:52" ht="14.25" customHeight="1" thickBot="1">
      <c r="D153" s="321"/>
      <c r="E153" s="321"/>
      <c r="T153" s="347"/>
      <c r="X153" s="321"/>
      <c r="AO153" s="455" t="s">
        <v>243</v>
      </c>
      <c r="AP153" s="455">
        <f>COUNTIF(AP7:AP149,"UNSOLD")</f>
        <v>15</v>
      </c>
    </row>
    <row r="154" spans="1:52" ht="14.25" customHeight="1">
      <c r="D154" s="321"/>
      <c r="E154" s="321"/>
      <c r="L154" s="682" t="s">
        <v>767</v>
      </c>
      <c r="M154" s="683" t="s">
        <v>768</v>
      </c>
      <c r="T154" s="347"/>
      <c r="X154" s="321"/>
      <c r="AO154" s="455" t="s">
        <v>769</v>
      </c>
      <c r="AP154" s="455">
        <f>COUNTIF(AP7:AP149,"HOLD")</f>
        <v>0</v>
      </c>
    </row>
    <row r="155" spans="1:52" ht="14.25" customHeight="1">
      <c r="D155" s="321"/>
      <c r="E155" s="321"/>
      <c r="L155" s="680" t="s">
        <v>770</v>
      </c>
      <c r="M155" s="684">
        <v>200000</v>
      </c>
      <c r="T155" s="347"/>
      <c r="X155" s="321"/>
      <c r="AO155" s="455" t="s">
        <v>49</v>
      </c>
      <c r="AP155" s="455">
        <f>SUM(AP152:AP154)</f>
        <v>143</v>
      </c>
    </row>
    <row r="156" spans="1:52" ht="14.25" customHeight="1" thickBot="1">
      <c r="D156" s="321"/>
      <c r="E156" s="321"/>
      <c r="L156" s="681" t="s">
        <v>771</v>
      </c>
      <c r="M156" s="685">
        <v>150000</v>
      </c>
      <c r="T156" s="347"/>
      <c r="X156" s="321"/>
    </row>
    <row r="157" spans="1:52" ht="14.25" customHeight="1">
      <c r="D157" s="321"/>
      <c r="E157" s="321"/>
      <c r="T157" s="347"/>
      <c r="X157" s="321"/>
    </row>
    <row r="158" spans="1:52" ht="14.25" customHeight="1">
      <c r="D158" s="321"/>
      <c r="E158" s="321"/>
      <c r="T158" s="347"/>
      <c r="X158" s="321"/>
    </row>
    <row r="159" spans="1:52" ht="14.25" customHeight="1">
      <c r="D159" s="321"/>
      <c r="E159" s="321"/>
      <c r="T159" s="347"/>
      <c r="X159" s="321"/>
    </row>
    <row r="160" spans="1:52" ht="14.25" customHeight="1">
      <c r="D160" s="321"/>
      <c r="E160" s="321"/>
      <c r="T160" s="347"/>
      <c r="X160" s="321"/>
    </row>
    <row r="161" spans="4:24" ht="14.25" customHeight="1">
      <c r="D161" s="321"/>
      <c r="E161" s="321"/>
      <c r="T161" s="347"/>
      <c r="X161" s="321"/>
    </row>
    <row r="162" spans="4:24" ht="14.25" customHeight="1">
      <c r="D162" s="321"/>
      <c r="E162" s="321"/>
      <c r="T162" s="347"/>
      <c r="X162" s="321"/>
    </row>
    <row r="163" spans="4:24" ht="14.25" customHeight="1">
      <c r="D163" s="321"/>
      <c r="E163" s="321"/>
      <c r="T163" s="347"/>
      <c r="X163" s="321"/>
    </row>
    <row r="164" spans="4:24" ht="14.25" customHeight="1">
      <c r="D164" s="321"/>
      <c r="E164" s="321"/>
      <c r="T164" s="347"/>
      <c r="X164" s="321"/>
    </row>
    <row r="165" spans="4:24" ht="14.25" customHeight="1">
      <c r="D165" s="321"/>
      <c r="E165" s="321"/>
      <c r="T165" s="347"/>
      <c r="X165" s="321"/>
    </row>
    <row r="166" spans="4:24" ht="14.25" customHeight="1">
      <c r="D166" s="321"/>
      <c r="E166" s="321"/>
      <c r="T166" s="347"/>
      <c r="X166" s="321"/>
    </row>
    <row r="167" spans="4:24" ht="14.25" customHeight="1">
      <c r="D167" s="321"/>
      <c r="E167" s="321"/>
      <c r="T167" s="347"/>
      <c r="X167" s="321"/>
    </row>
    <row r="168" spans="4:24" ht="14.25" customHeight="1">
      <c r="D168" s="321"/>
      <c r="E168" s="321"/>
      <c r="T168" s="347"/>
      <c r="X168" s="321"/>
    </row>
    <row r="169" spans="4:24" ht="14.25" customHeight="1">
      <c r="D169" s="321"/>
      <c r="E169" s="321"/>
      <c r="T169" s="347"/>
      <c r="X169" s="321"/>
    </row>
    <row r="170" spans="4:24" ht="14.25" customHeight="1">
      <c r="D170" s="321"/>
      <c r="E170" s="321"/>
      <c r="T170" s="347"/>
      <c r="X170" s="321"/>
    </row>
    <row r="171" spans="4:24" ht="14.25" customHeight="1">
      <c r="D171" s="321"/>
      <c r="E171" s="321"/>
      <c r="T171" s="347"/>
      <c r="X171" s="321"/>
    </row>
    <row r="172" spans="4:24" ht="14.25" customHeight="1">
      <c r="D172" s="321"/>
      <c r="E172" s="321"/>
      <c r="T172" s="347"/>
      <c r="X172" s="321"/>
    </row>
    <row r="173" spans="4:24" ht="14.25" customHeight="1">
      <c r="D173" s="321"/>
      <c r="E173" s="321"/>
      <c r="T173" s="347"/>
      <c r="X173" s="321"/>
    </row>
    <row r="174" spans="4:24" ht="14.25" customHeight="1">
      <c r="D174" s="321"/>
      <c r="E174" s="321"/>
      <c r="T174" s="347"/>
      <c r="X174" s="321"/>
    </row>
    <row r="175" spans="4:24" ht="14.25" customHeight="1">
      <c r="D175" s="321"/>
      <c r="E175" s="321"/>
      <c r="T175" s="347"/>
      <c r="X175" s="321"/>
    </row>
    <row r="176" spans="4:24" ht="14.25" customHeight="1">
      <c r="D176" s="321"/>
      <c r="E176" s="321"/>
      <c r="T176" s="347"/>
      <c r="X176" s="321"/>
    </row>
    <row r="177" spans="4:24" ht="14.25" customHeight="1">
      <c r="D177" s="321"/>
      <c r="E177" s="321"/>
      <c r="T177" s="347"/>
      <c r="X177" s="321"/>
    </row>
    <row r="178" spans="4:24" ht="14.25" customHeight="1">
      <c r="D178" s="321"/>
      <c r="E178" s="321"/>
      <c r="T178" s="347"/>
      <c r="X178" s="321"/>
    </row>
    <row r="179" spans="4:24" ht="14.25" customHeight="1">
      <c r="D179" s="321"/>
      <c r="E179" s="321"/>
      <c r="T179" s="347"/>
      <c r="X179" s="321"/>
    </row>
    <row r="180" spans="4:24" ht="14.25" customHeight="1">
      <c r="D180" s="321"/>
      <c r="E180" s="321"/>
      <c r="T180" s="347"/>
      <c r="X180" s="321"/>
    </row>
    <row r="181" spans="4:24" ht="14.25" customHeight="1">
      <c r="D181" s="321"/>
      <c r="E181" s="321"/>
      <c r="T181" s="347"/>
      <c r="X181" s="321"/>
    </row>
    <row r="182" spans="4:24" ht="14.25" customHeight="1">
      <c r="D182" s="321"/>
      <c r="E182" s="321"/>
      <c r="T182" s="347"/>
      <c r="X182" s="321"/>
    </row>
    <row r="183" spans="4:24" ht="14.25" customHeight="1">
      <c r="D183" s="321"/>
      <c r="E183" s="321"/>
      <c r="T183" s="347"/>
      <c r="X183" s="321"/>
    </row>
    <row r="184" spans="4:24" ht="14.25" customHeight="1">
      <c r="D184" s="321"/>
      <c r="E184" s="321"/>
      <c r="T184" s="347"/>
      <c r="X184" s="321"/>
    </row>
    <row r="185" spans="4:24" ht="14.25" customHeight="1">
      <c r="D185" s="321"/>
      <c r="E185" s="321"/>
      <c r="T185" s="347"/>
      <c r="X185" s="321"/>
    </row>
    <row r="186" spans="4:24" ht="14.25" customHeight="1">
      <c r="D186" s="321"/>
      <c r="E186" s="321"/>
      <c r="T186" s="347"/>
      <c r="X186" s="321"/>
    </row>
    <row r="187" spans="4:24" ht="14.25" customHeight="1">
      <c r="D187" s="321"/>
      <c r="E187" s="321"/>
      <c r="T187" s="347"/>
      <c r="X187" s="321"/>
    </row>
    <row r="188" spans="4:24" ht="14.25" customHeight="1">
      <c r="D188" s="321"/>
      <c r="E188" s="321"/>
      <c r="T188" s="347"/>
      <c r="X188" s="321"/>
    </row>
    <row r="189" spans="4:24" ht="14.25" customHeight="1">
      <c r="D189" s="321"/>
      <c r="E189" s="321"/>
      <c r="T189" s="347"/>
      <c r="X189" s="321"/>
    </row>
    <row r="190" spans="4:24" ht="14.25" customHeight="1">
      <c r="D190" s="321"/>
      <c r="E190" s="321"/>
      <c r="T190" s="347"/>
      <c r="X190" s="321"/>
    </row>
    <row r="191" spans="4:24" ht="14.25" customHeight="1">
      <c r="D191" s="321"/>
      <c r="E191" s="321"/>
      <c r="T191" s="347"/>
      <c r="X191" s="321"/>
    </row>
    <row r="192" spans="4:24" ht="14.25" customHeight="1">
      <c r="D192" s="321"/>
      <c r="E192" s="321"/>
      <c r="T192" s="347"/>
      <c r="X192" s="321"/>
    </row>
    <row r="193" spans="4:24" ht="14.25" customHeight="1">
      <c r="D193" s="321"/>
      <c r="E193" s="321"/>
      <c r="T193" s="347"/>
      <c r="X193" s="321"/>
    </row>
    <row r="194" spans="4:24" ht="14.25" customHeight="1">
      <c r="D194" s="321"/>
      <c r="E194" s="321"/>
      <c r="T194" s="347"/>
      <c r="X194" s="321"/>
    </row>
    <row r="195" spans="4:24" ht="14.25" customHeight="1">
      <c r="D195" s="321"/>
      <c r="E195" s="321"/>
      <c r="T195" s="347"/>
      <c r="X195" s="321"/>
    </row>
    <row r="196" spans="4:24" ht="14.25" customHeight="1">
      <c r="D196" s="321"/>
      <c r="E196" s="321"/>
      <c r="T196" s="347"/>
      <c r="X196" s="321"/>
    </row>
    <row r="197" spans="4:24" ht="14.25" customHeight="1">
      <c r="D197" s="321"/>
      <c r="E197" s="321"/>
      <c r="T197" s="347"/>
      <c r="X197" s="321"/>
    </row>
    <row r="198" spans="4:24" ht="14.25" customHeight="1">
      <c r="D198" s="321"/>
      <c r="E198" s="321"/>
      <c r="T198" s="347"/>
      <c r="X198" s="321"/>
    </row>
    <row r="199" spans="4:24" ht="14.25" customHeight="1">
      <c r="D199" s="321"/>
      <c r="E199" s="321"/>
      <c r="T199" s="347"/>
      <c r="X199" s="321"/>
    </row>
    <row r="200" spans="4:24" ht="14.25" customHeight="1">
      <c r="D200" s="321"/>
      <c r="E200" s="321"/>
      <c r="T200" s="347"/>
      <c r="X200" s="321"/>
    </row>
    <row r="201" spans="4:24" ht="14.25" customHeight="1">
      <c r="D201" s="321"/>
      <c r="E201" s="321"/>
      <c r="T201" s="347"/>
      <c r="X201" s="321"/>
    </row>
    <row r="202" spans="4:24" ht="14.25" customHeight="1">
      <c r="D202" s="321"/>
      <c r="E202" s="321"/>
      <c r="T202" s="347"/>
      <c r="X202" s="321"/>
    </row>
    <row r="203" spans="4:24" ht="14.25" customHeight="1">
      <c r="D203" s="321"/>
      <c r="E203" s="321"/>
      <c r="T203" s="347"/>
      <c r="X203" s="321"/>
    </row>
    <row r="204" spans="4:24" ht="14.25" customHeight="1">
      <c r="D204" s="321"/>
      <c r="E204" s="321"/>
      <c r="T204" s="347"/>
      <c r="X204" s="321"/>
    </row>
    <row r="205" spans="4:24" ht="14.25" customHeight="1">
      <c r="D205" s="321"/>
      <c r="E205" s="321"/>
      <c r="T205" s="347"/>
      <c r="X205" s="321"/>
    </row>
    <row r="206" spans="4:24" ht="14.25" customHeight="1">
      <c r="D206" s="321"/>
      <c r="E206" s="321"/>
      <c r="T206" s="347"/>
      <c r="X206" s="321"/>
    </row>
    <row r="207" spans="4:24" ht="14.25" customHeight="1">
      <c r="D207" s="321"/>
      <c r="E207" s="321"/>
      <c r="T207" s="347"/>
      <c r="X207" s="321"/>
    </row>
    <row r="208" spans="4:24" ht="14.25" customHeight="1">
      <c r="D208" s="321"/>
      <c r="E208" s="321"/>
      <c r="T208" s="347"/>
      <c r="X208" s="321"/>
    </row>
    <row r="209" spans="4:24" ht="14.25" customHeight="1">
      <c r="D209" s="321"/>
      <c r="E209" s="321"/>
      <c r="T209" s="347"/>
      <c r="X209" s="321"/>
    </row>
    <row r="210" spans="4:24" ht="14.25" customHeight="1">
      <c r="D210" s="321"/>
      <c r="E210" s="321"/>
      <c r="T210" s="347"/>
      <c r="X210" s="321"/>
    </row>
    <row r="211" spans="4:24" ht="14.25" customHeight="1">
      <c r="D211" s="321"/>
      <c r="E211" s="321"/>
      <c r="T211" s="347"/>
      <c r="X211" s="321"/>
    </row>
    <row r="212" spans="4:24" ht="14.25" customHeight="1">
      <c r="D212" s="321"/>
      <c r="E212" s="321"/>
      <c r="T212" s="347"/>
      <c r="X212" s="321"/>
    </row>
    <row r="213" spans="4:24" ht="14.25" customHeight="1">
      <c r="D213" s="321"/>
      <c r="E213" s="321"/>
      <c r="T213" s="347"/>
      <c r="X213" s="321"/>
    </row>
    <row r="214" spans="4:24" ht="14.25" customHeight="1">
      <c r="D214" s="321"/>
      <c r="E214" s="321"/>
      <c r="T214" s="347"/>
      <c r="X214" s="321"/>
    </row>
    <row r="215" spans="4:24" ht="14.25" customHeight="1">
      <c r="D215" s="321"/>
      <c r="E215" s="321"/>
      <c r="T215" s="347"/>
      <c r="X215" s="321"/>
    </row>
    <row r="216" spans="4:24" ht="14.25" customHeight="1">
      <c r="D216" s="321"/>
      <c r="E216" s="321"/>
      <c r="T216" s="347"/>
      <c r="X216" s="321"/>
    </row>
    <row r="217" spans="4:24" ht="14.25" customHeight="1">
      <c r="D217" s="321"/>
      <c r="E217" s="321"/>
      <c r="T217" s="347"/>
      <c r="X217" s="321"/>
    </row>
    <row r="218" spans="4:24" ht="14.25" customHeight="1">
      <c r="D218" s="321"/>
      <c r="E218" s="321"/>
      <c r="T218" s="347"/>
      <c r="X218" s="321"/>
    </row>
    <row r="219" spans="4:24" ht="14.25" customHeight="1">
      <c r="D219" s="321"/>
      <c r="E219" s="321"/>
      <c r="T219" s="347"/>
      <c r="X219" s="321"/>
    </row>
    <row r="220" spans="4:24" ht="14.25" customHeight="1">
      <c r="D220" s="321"/>
      <c r="E220" s="321"/>
      <c r="T220" s="347"/>
      <c r="X220" s="321"/>
    </row>
    <row r="221" spans="4:24" ht="14.25" customHeight="1">
      <c r="D221" s="321"/>
      <c r="E221" s="321"/>
      <c r="T221" s="347"/>
      <c r="X221" s="321"/>
    </row>
    <row r="222" spans="4:24" ht="14.25" customHeight="1">
      <c r="D222" s="321"/>
      <c r="E222" s="321"/>
      <c r="T222" s="347"/>
      <c r="X222" s="321"/>
    </row>
    <row r="223" spans="4:24" ht="14.25" customHeight="1">
      <c r="D223" s="321"/>
      <c r="E223" s="321"/>
      <c r="T223" s="347"/>
      <c r="X223" s="321"/>
    </row>
    <row r="224" spans="4:24" ht="14.25" customHeight="1">
      <c r="D224" s="321"/>
      <c r="E224" s="321"/>
      <c r="T224" s="347"/>
      <c r="X224" s="321"/>
    </row>
    <row r="225" spans="4:24" ht="14.25" customHeight="1">
      <c r="D225" s="321"/>
      <c r="E225" s="321"/>
      <c r="T225" s="347"/>
      <c r="X225" s="321"/>
    </row>
    <row r="226" spans="4:24" ht="14.25" customHeight="1">
      <c r="D226" s="321"/>
      <c r="E226" s="321"/>
      <c r="T226" s="347"/>
      <c r="X226" s="321"/>
    </row>
    <row r="227" spans="4:24" ht="14.25" customHeight="1">
      <c r="D227" s="321"/>
      <c r="E227" s="321"/>
      <c r="T227" s="347"/>
      <c r="X227" s="321"/>
    </row>
    <row r="228" spans="4:24" ht="14.25" customHeight="1">
      <c r="D228" s="321"/>
      <c r="E228" s="321"/>
      <c r="T228" s="347"/>
      <c r="X228" s="321"/>
    </row>
    <row r="229" spans="4:24" ht="14.25" customHeight="1">
      <c r="D229" s="321"/>
      <c r="E229" s="321"/>
      <c r="T229" s="347"/>
      <c r="X229" s="321"/>
    </row>
    <row r="230" spans="4:24" ht="14.25" customHeight="1">
      <c r="D230" s="321"/>
      <c r="E230" s="321"/>
      <c r="T230" s="347"/>
      <c r="X230" s="321"/>
    </row>
    <row r="231" spans="4:24" ht="14.25" customHeight="1">
      <c r="D231" s="321"/>
      <c r="E231" s="321"/>
      <c r="T231" s="347"/>
      <c r="X231" s="321"/>
    </row>
    <row r="232" spans="4:24" ht="14.25" customHeight="1">
      <c r="D232" s="321"/>
      <c r="E232" s="321"/>
      <c r="T232" s="347"/>
      <c r="X232" s="321"/>
    </row>
    <row r="233" spans="4:24" ht="14.25" customHeight="1">
      <c r="D233" s="321"/>
      <c r="E233" s="321"/>
      <c r="T233" s="347"/>
      <c r="X233" s="321"/>
    </row>
    <row r="234" spans="4:24" ht="14.25" customHeight="1">
      <c r="D234" s="321"/>
      <c r="E234" s="321"/>
      <c r="T234" s="347"/>
      <c r="X234" s="321"/>
    </row>
    <row r="235" spans="4:24" ht="14.25" customHeight="1">
      <c r="D235" s="321"/>
      <c r="E235" s="321"/>
      <c r="T235" s="347"/>
      <c r="X235" s="321"/>
    </row>
    <row r="236" spans="4:24" ht="14.25" customHeight="1">
      <c r="D236" s="321"/>
      <c r="E236" s="321"/>
      <c r="T236" s="347"/>
      <c r="X236" s="321"/>
    </row>
    <row r="237" spans="4:24" ht="14.25" customHeight="1">
      <c r="D237" s="321"/>
      <c r="E237" s="321"/>
      <c r="T237" s="347"/>
      <c r="X237" s="321"/>
    </row>
    <row r="238" spans="4:24" ht="14.25" customHeight="1">
      <c r="D238" s="321"/>
      <c r="E238" s="321"/>
      <c r="T238" s="347"/>
      <c r="X238" s="321"/>
    </row>
    <row r="239" spans="4:24" ht="14.25" customHeight="1">
      <c r="D239" s="321"/>
      <c r="E239" s="321"/>
      <c r="T239" s="347"/>
      <c r="X239" s="321"/>
    </row>
    <row r="240" spans="4:24" ht="14.25" customHeight="1">
      <c r="D240" s="321"/>
      <c r="E240" s="321"/>
      <c r="T240" s="347"/>
      <c r="X240" s="321"/>
    </row>
    <row r="241" spans="4:24" ht="14.25" customHeight="1">
      <c r="D241" s="321"/>
      <c r="E241" s="321"/>
      <c r="T241" s="347"/>
      <c r="X241" s="321"/>
    </row>
    <row r="242" spans="4:24" ht="14.25" customHeight="1">
      <c r="D242" s="321"/>
      <c r="E242" s="321"/>
      <c r="T242" s="347"/>
      <c r="X242" s="321"/>
    </row>
    <row r="243" spans="4:24" ht="14.25" customHeight="1">
      <c r="D243" s="321"/>
      <c r="E243" s="321"/>
      <c r="T243" s="347"/>
      <c r="X243" s="321"/>
    </row>
    <row r="244" spans="4:24" ht="14.25" customHeight="1">
      <c r="D244" s="321"/>
      <c r="E244" s="321"/>
      <c r="T244" s="347"/>
      <c r="X244" s="321"/>
    </row>
    <row r="245" spans="4:24" ht="14.25" customHeight="1">
      <c r="D245" s="321"/>
      <c r="E245" s="321"/>
      <c r="T245" s="347"/>
      <c r="X245" s="321"/>
    </row>
    <row r="246" spans="4:24" ht="14.25" customHeight="1">
      <c r="D246" s="321"/>
      <c r="E246" s="321"/>
      <c r="T246" s="347"/>
      <c r="X246" s="321"/>
    </row>
    <row r="247" spans="4:24" ht="14.25" customHeight="1">
      <c r="D247" s="321"/>
      <c r="E247" s="321"/>
      <c r="T247" s="347"/>
      <c r="X247" s="321"/>
    </row>
    <row r="248" spans="4:24" ht="14.25" customHeight="1">
      <c r="D248" s="321"/>
      <c r="E248" s="321"/>
      <c r="T248" s="347"/>
      <c r="X248" s="321"/>
    </row>
    <row r="249" spans="4:24" ht="14.25" customHeight="1">
      <c r="D249" s="321"/>
      <c r="E249" s="321"/>
      <c r="T249" s="347"/>
      <c r="X249" s="321"/>
    </row>
    <row r="250" spans="4:24" ht="14.25" customHeight="1">
      <c r="D250" s="321"/>
      <c r="E250" s="321"/>
      <c r="T250" s="347"/>
      <c r="X250" s="321"/>
    </row>
    <row r="251" spans="4:24" ht="14.25" customHeight="1">
      <c r="D251" s="321"/>
      <c r="E251" s="321"/>
      <c r="T251" s="347"/>
      <c r="X251" s="321"/>
    </row>
    <row r="252" spans="4:24" ht="14.25" customHeight="1">
      <c r="D252" s="321"/>
      <c r="E252" s="321"/>
      <c r="T252" s="347"/>
      <c r="X252" s="321"/>
    </row>
    <row r="253" spans="4:24" ht="14.25" customHeight="1">
      <c r="D253" s="321"/>
      <c r="E253" s="321"/>
      <c r="T253" s="347"/>
      <c r="X253" s="321"/>
    </row>
    <row r="254" spans="4:24" ht="14.25" customHeight="1">
      <c r="D254" s="321"/>
      <c r="E254" s="321"/>
      <c r="T254" s="347"/>
      <c r="X254" s="321"/>
    </row>
    <row r="255" spans="4:24" ht="14.25" customHeight="1">
      <c r="D255" s="321"/>
      <c r="E255" s="321"/>
      <c r="T255" s="347"/>
      <c r="X255" s="321"/>
    </row>
    <row r="256" spans="4:24" ht="14.25" customHeight="1">
      <c r="D256" s="321"/>
      <c r="E256" s="321"/>
      <c r="T256" s="347"/>
      <c r="X256" s="321"/>
    </row>
    <row r="257" spans="4:24" ht="14.25" customHeight="1">
      <c r="D257" s="321"/>
      <c r="E257" s="321"/>
      <c r="T257" s="347"/>
      <c r="X257" s="321"/>
    </row>
    <row r="258" spans="4:24" ht="14.25" customHeight="1">
      <c r="D258" s="321"/>
      <c r="E258" s="321"/>
      <c r="T258" s="347"/>
      <c r="X258" s="321"/>
    </row>
    <row r="259" spans="4:24" ht="14.25" customHeight="1">
      <c r="D259" s="321"/>
      <c r="E259" s="321"/>
      <c r="T259" s="347"/>
      <c r="X259" s="321"/>
    </row>
    <row r="260" spans="4:24" ht="14.25" customHeight="1">
      <c r="D260" s="321"/>
      <c r="E260" s="321"/>
      <c r="T260" s="347"/>
      <c r="X260" s="321"/>
    </row>
    <row r="261" spans="4:24" ht="14.25" customHeight="1">
      <c r="D261" s="321"/>
      <c r="E261" s="321"/>
      <c r="T261" s="347"/>
      <c r="X261" s="321"/>
    </row>
    <row r="262" spans="4:24" ht="14.25" customHeight="1">
      <c r="D262" s="321"/>
      <c r="E262" s="321"/>
      <c r="T262" s="347"/>
      <c r="X262" s="321"/>
    </row>
    <row r="263" spans="4:24" ht="14.25" customHeight="1">
      <c r="D263" s="321"/>
      <c r="E263" s="321"/>
      <c r="T263" s="347"/>
      <c r="X263" s="321"/>
    </row>
    <row r="264" spans="4:24" ht="14.25" customHeight="1">
      <c r="D264" s="321"/>
      <c r="E264" s="321"/>
      <c r="T264" s="347"/>
      <c r="X264" s="321"/>
    </row>
    <row r="265" spans="4:24" ht="14.25" customHeight="1">
      <c r="D265" s="321"/>
      <c r="E265" s="321"/>
      <c r="T265" s="347"/>
      <c r="X265" s="321"/>
    </row>
    <row r="266" spans="4:24" ht="14.25" customHeight="1">
      <c r="D266" s="321"/>
      <c r="E266" s="321"/>
      <c r="T266" s="347"/>
      <c r="X266" s="321"/>
    </row>
    <row r="267" spans="4:24" ht="14.25" customHeight="1">
      <c r="D267" s="321"/>
      <c r="E267" s="321"/>
      <c r="T267" s="347"/>
      <c r="X267" s="321"/>
    </row>
    <row r="268" spans="4:24" ht="14.25" customHeight="1">
      <c r="D268" s="321"/>
      <c r="E268" s="321"/>
      <c r="T268" s="347"/>
      <c r="X268" s="321"/>
    </row>
    <row r="269" spans="4:24" ht="14.25" customHeight="1">
      <c r="D269" s="321"/>
      <c r="E269" s="321"/>
      <c r="T269" s="347"/>
      <c r="X269" s="321"/>
    </row>
    <row r="270" spans="4:24" ht="14.25" customHeight="1">
      <c r="D270" s="321"/>
      <c r="E270" s="321"/>
      <c r="T270" s="347"/>
      <c r="X270" s="321"/>
    </row>
    <row r="271" spans="4:24" ht="14.25" customHeight="1">
      <c r="D271" s="321"/>
      <c r="E271" s="321"/>
      <c r="T271" s="347"/>
      <c r="X271" s="321"/>
    </row>
    <row r="272" spans="4:24" ht="14.25" customHeight="1">
      <c r="D272" s="321"/>
      <c r="E272" s="321"/>
      <c r="T272" s="347"/>
      <c r="X272" s="321"/>
    </row>
    <row r="273" spans="4:24" ht="14.25" customHeight="1">
      <c r="D273" s="321"/>
      <c r="E273" s="321"/>
      <c r="T273" s="347"/>
      <c r="X273" s="321"/>
    </row>
    <row r="274" spans="4:24" ht="14.25" customHeight="1">
      <c r="D274" s="321"/>
      <c r="E274" s="321"/>
      <c r="T274" s="347"/>
      <c r="X274" s="321"/>
    </row>
    <row r="275" spans="4:24" ht="14.25" customHeight="1">
      <c r="D275" s="321"/>
      <c r="E275" s="321"/>
      <c r="T275" s="347"/>
      <c r="X275" s="321"/>
    </row>
    <row r="276" spans="4:24" ht="14.25" customHeight="1">
      <c r="D276" s="321"/>
      <c r="E276" s="321"/>
      <c r="T276" s="347"/>
      <c r="X276" s="321"/>
    </row>
    <row r="277" spans="4:24" ht="14.25" customHeight="1">
      <c r="D277" s="321"/>
      <c r="E277" s="321"/>
      <c r="T277" s="347"/>
      <c r="X277" s="321"/>
    </row>
    <row r="278" spans="4:24" ht="14.25" customHeight="1">
      <c r="D278" s="321"/>
      <c r="E278" s="321"/>
      <c r="T278" s="347"/>
      <c r="X278" s="321"/>
    </row>
    <row r="279" spans="4:24" ht="14.25" customHeight="1">
      <c r="D279" s="321"/>
      <c r="E279" s="321"/>
      <c r="T279" s="347"/>
      <c r="X279" s="321"/>
    </row>
    <row r="280" spans="4:24" ht="14.25" customHeight="1">
      <c r="D280" s="321"/>
      <c r="E280" s="321"/>
      <c r="T280" s="347"/>
      <c r="X280" s="321"/>
    </row>
    <row r="281" spans="4:24" ht="14.25" customHeight="1">
      <c r="D281" s="321"/>
      <c r="E281" s="321"/>
      <c r="T281" s="347"/>
      <c r="X281" s="321"/>
    </row>
    <row r="282" spans="4:24" ht="14.25" customHeight="1">
      <c r="D282" s="321"/>
      <c r="E282" s="321"/>
      <c r="T282" s="347"/>
      <c r="X282" s="321"/>
    </row>
    <row r="283" spans="4:24" ht="14.25" customHeight="1">
      <c r="D283" s="321"/>
      <c r="E283" s="321"/>
      <c r="T283" s="347"/>
      <c r="X283" s="321"/>
    </row>
    <row r="284" spans="4:24" ht="14.25" customHeight="1">
      <c r="D284" s="321"/>
      <c r="E284" s="321"/>
      <c r="T284" s="347"/>
      <c r="X284" s="321"/>
    </row>
    <row r="285" spans="4:24" ht="14.25" customHeight="1">
      <c r="D285" s="321"/>
      <c r="E285" s="321"/>
      <c r="T285" s="347"/>
      <c r="X285" s="321"/>
    </row>
    <row r="286" spans="4:24" ht="14.25" customHeight="1">
      <c r="D286" s="321"/>
      <c r="E286" s="321"/>
      <c r="T286" s="347"/>
      <c r="X286" s="321"/>
    </row>
    <row r="287" spans="4:24" ht="14.25" customHeight="1">
      <c r="D287" s="321"/>
      <c r="E287" s="321"/>
      <c r="T287" s="347"/>
      <c r="X287" s="321"/>
    </row>
    <row r="288" spans="4:24" ht="14.25" customHeight="1">
      <c r="D288" s="321"/>
      <c r="E288" s="321"/>
      <c r="T288" s="347"/>
      <c r="X288" s="321"/>
    </row>
    <row r="289" spans="4:24" ht="14.25" customHeight="1">
      <c r="D289" s="321"/>
      <c r="E289" s="321"/>
      <c r="T289" s="347"/>
      <c r="X289" s="321"/>
    </row>
    <row r="290" spans="4:24" ht="14.25" customHeight="1">
      <c r="D290" s="321"/>
      <c r="E290" s="321"/>
      <c r="T290" s="347"/>
      <c r="X290" s="321"/>
    </row>
    <row r="291" spans="4:24" ht="14.25" customHeight="1">
      <c r="D291" s="321"/>
      <c r="E291" s="321"/>
      <c r="T291" s="347"/>
      <c r="X291" s="321"/>
    </row>
    <row r="292" spans="4:24" ht="14.25" customHeight="1">
      <c r="D292" s="321"/>
      <c r="E292" s="321"/>
      <c r="T292" s="347"/>
      <c r="X292" s="321"/>
    </row>
    <row r="293" spans="4:24" ht="14.25" customHeight="1">
      <c r="D293" s="321"/>
      <c r="E293" s="321"/>
      <c r="T293" s="347"/>
      <c r="X293" s="321"/>
    </row>
    <row r="294" spans="4:24" ht="14.25" customHeight="1">
      <c r="D294" s="321"/>
      <c r="E294" s="321"/>
      <c r="T294" s="347"/>
      <c r="X294" s="321"/>
    </row>
    <row r="295" spans="4:24" ht="14.25" customHeight="1">
      <c r="D295" s="321"/>
      <c r="E295" s="321"/>
      <c r="T295" s="347"/>
      <c r="X295" s="321"/>
    </row>
    <row r="296" spans="4:24" ht="14.25" customHeight="1">
      <c r="D296" s="321"/>
      <c r="E296" s="321"/>
      <c r="T296" s="347"/>
      <c r="X296" s="321"/>
    </row>
    <row r="297" spans="4:24" ht="14.25" customHeight="1">
      <c r="D297" s="321"/>
      <c r="E297" s="321"/>
      <c r="T297" s="347"/>
      <c r="X297" s="321"/>
    </row>
    <row r="298" spans="4:24" ht="14.25" customHeight="1">
      <c r="D298" s="321"/>
      <c r="E298" s="321"/>
      <c r="T298" s="347"/>
      <c r="X298" s="321"/>
    </row>
    <row r="299" spans="4:24" ht="14.25" customHeight="1">
      <c r="D299" s="321"/>
      <c r="E299" s="321"/>
      <c r="T299" s="347"/>
      <c r="X299" s="321"/>
    </row>
    <row r="300" spans="4:24" ht="14.25" customHeight="1">
      <c r="D300" s="321"/>
      <c r="E300" s="321"/>
      <c r="T300" s="347"/>
      <c r="X300" s="321"/>
    </row>
    <row r="301" spans="4:24" ht="14.25" customHeight="1">
      <c r="D301" s="321"/>
      <c r="E301" s="321"/>
      <c r="T301" s="347"/>
      <c r="X301" s="321"/>
    </row>
    <row r="302" spans="4:24" ht="14.25" customHeight="1">
      <c r="D302" s="321"/>
      <c r="E302" s="321"/>
      <c r="T302" s="347"/>
      <c r="X302" s="321"/>
    </row>
    <row r="303" spans="4:24" ht="14.25" customHeight="1">
      <c r="D303" s="321"/>
      <c r="E303" s="321"/>
      <c r="T303" s="347"/>
      <c r="X303" s="321"/>
    </row>
    <row r="304" spans="4:24" ht="14.25" customHeight="1">
      <c r="D304" s="321"/>
      <c r="E304" s="321"/>
      <c r="T304" s="347"/>
      <c r="X304" s="321"/>
    </row>
    <row r="305" spans="4:24" ht="14.25" customHeight="1">
      <c r="D305" s="321"/>
      <c r="E305" s="321"/>
      <c r="T305" s="347"/>
      <c r="X305" s="321"/>
    </row>
    <row r="306" spans="4:24" ht="14.25" customHeight="1">
      <c r="D306" s="321"/>
      <c r="E306" s="321"/>
      <c r="T306" s="347"/>
      <c r="X306" s="321"/>
    </row>
    <row r="307" spans="4:24" ht="14.25" customHeight="1">
      <c r="D307" s="321"/>
      <c r="E307" s="321"/>
      <c r="T307" s="347"/>
      <c r="X307" s="321"/>
    </row>
    <row r="308" spans="4:24" ht="14.25" customHeight="1">
      <c r="D308" s="321"/>
      <c r="E308" s="321"/>
      <c r="T308" s="347"/>
      <c r="X308" s="321"/>
    </row>
    <row r="309" spans="4:24" ht="14.25" customHeight="1">
      <c r="D309" s="321"/>
      <c r="E309" s="321"/>
      <c r="T309" s="347"/>
      <c r="X309" s="321"/>
    </row>
    <row r="310" spans="4:24" ht="14.25" customHeight="1">
      <c r="D310" s="321"/>
      <c r="E310" s="321"/>
      <c r="T310" s="347"/>
      <c r="X310" s="321"/>
    </row>
    <row r="311" spans="4:24" ht="14.25" customHeight="1">
      <c r="D311" s="321"/>
      <c r="E311" s="321"/>
      <c r="T311" s="347"/>
      <c r="X311" s="321"/>
    </row>
    <row r="312" spans="4:24" ht="14.25" customHeight="1">
      <c r="D312" s="321"/>
      <c r="E312" s="321"/>
      <c r="T312" s="347"/>
      <c r="X312" s="321"/>
    </row>
    <row r="313" spans="4:24" ht="14.25" customHeight="1">
      <c r="D313" s="321"/>
      <c r="E313" s="321"/>
      <c r="T313" s="347"/>
      <c r="X313" s="321"/>
    </row>
    <row r="314" spans="4:24" ht="14.25" customHeight="1">
      <c r="D314" s="321"/>
      <c r="E314" s="321"/>
      <c r="T314" s="347"/>
      <c r="X314" s="321"/>
    </row>
    <row r="315" spans="4:24" ht="14.25" customHeight="1">
      <c r="D315" s="321"/>
      <c r="E315" s="321"/>
      <c r="T315" s="347"/>
      <c r="X315" s="321"/>
    </row>
    <row r="316" spans="4:24" ht="14.25" customHeight="1">
      <c r="D316" s="321"/>
      <c r="E316" s="321"/>
      <c r="T316" s="347"/>
      <c r="X316" s="321"/>
    </row>
    <row r="317" spans="4:24" ht="14.25" customHeight="1">
      <c r="D317" s="321"/>
      <c r="E317" s="321"/>
      <c r="T317" s="347"/>
      <c r="X317" s="321"/>
    </row>
    <row r="318" spans="4:24" ht="14.25" customHeight="1">
      <c r="D318" s="321"/>
      <c r="E318" s="321"/>
      <c r="T318" s="347"/>
      <c r="X318" s="321"/>
    </row>
    <row r="319" spans="4:24" ht="14.25" customHeight="1">
      <c r="D319" s="321"/>
      <c r="E319" s="321"/>
      <c r="T319" s="347"/>
      <c r="X319" s="321"/>
    </row>
    <row r="320" spans="4:24" ht="14.25" customHeight="1">
      <c r="D320" s="321"/>
      <c r="E320" s="321"/>
      <c r="T320" s="347"/>
      <c r="X320" s="321"/>
    </row>
    <row r="321" spans="4:24" ht="14.25" customHeight="1">
      <c r="D321" s="321"/>
      <c r="E321" s="321"/>
      <c r="T321" s="347"/>
      <c r="X321" s="321"/>
    </row>
    <row r="322" spans="4:24" ht="14.25" customHeight="1">
      <c r="D322" s="321"/>
      <c r="E322" s="321"/>
      <c r="T322" s="347"/>
      <c r="X322" s="321"/>
    </row>
    <row r="323" spans="4:24" ht="14.25" customHeight="1">
      <c r="D323" s="321"/>
      <c r="E323" s="321"/>
      <c r="T323" s="347"/>
      <c r="X323" s="321"/>
    </row>
    <row r="324" spans="4:24" ht="14.25" customHeight="1">
      <c r="D324" s="321"/>
      <c r="E324" s="321"/>
      <c r="T324" s="347"/>
      <c r="X324" s="321"/>
    </row>
    <row r="325" spans="4:24" ht="14.25" customHeight="1">
      <c r="D325" s="321"/>
      <c r="E325" s="321"/>
      <c r="T325" s="347"/>
      <c r="X325" s="321"/>
    </row>
    <row r="326" spans="4:24" ht="14.25" customHeight="1">
      <c r="D326" s="321"/>
      <c r="E326" s="321"/>
      <c r="T326" s="347"/>
      <c r="X326" s="321"/>
    </row>
    <row r="327" spans="4:24" ht="14.25" customHeight="1">
      <c r="D327" s="321"/>
      <c r="E327" s="321"/>
      <c r="T327" s="347"/>
      <c r="X327" s="321"/>
    </row>
    <row r="328" spans="4:24" ht="14.25" customHeight="1">
      <c r="D328" s="321"/>
      <c r="E328" s="321"/>
      <c r="T328" s="347"/>
      <c r="X328" s="321"/>
    </row>
    <row r="329" spans="4:24" ht="14.25" customHeight="1">
      <c r="D329" s="321"/>
      <c r="E329" s="321"/>
      <c r="T329" s="347"/>
      <c r="X329" s="321"/>
    </row>
    <row r="330" spans="4:24" ht="14.25" customHeight="1">
      <c r="D330" s="321"/>
      <c r="E330" s="321"/>
      <c r="T330" s="347"/>
      <c r="X330" s="321"/>
    </row>
    <row r="331" spans="4:24" ht="14.25" customHeight="1">
      <c r="D331" s="321"/>
      <c r="E331" s="321"/>
      <c r="T331" s="347"/>
      <c r="X331" s="321"/>
    </row>
    <row r="332" spans="4:24" ht="14.25" customHeight="1">
      <c r="D332" s="321"/>
      <c r="E332" s="321"/>
      <c r="T332" s="347"/>
      <c r="X332" s="321"/>
    </row>
    <row r="333" spans="4:24" ht="14.25" customHeight="1">
      <c r="D333" s="321"/>
      <c r="E333" s="321"/>
      <c r="T333" s="347"/>
      <c r="X333" s="321"/>
    </row>
    <row r="334" spans="4:24" ht="14.25" customHeight="1">
      <c r="D334" s="321"/>
      <c r="E334" s="321"/>
      <c r="T334" s="347"/>
      <c r="X334" s="321"/>
    </row>
    <row r="335" spans="4:24" ht="14.25" customHeight="1">
      <c r="D335" s="321"/>
      <c r="E335" s="321"/>
      <c r="T335" s="347"/>
      <c r="X335" s="321"/>
    </row>
    <row r="336" spans="4:24" ht="14.25" customHeight="1">
      <c r="D336" s="321"/>
      <c r="E336" s="321"/>
      <c r="T336" s="347"/>
      <c r="X336" s="321"/>
    </row>
    <row r="337" spans="4:24" ht="14.25" customHeight="1">
      <c r="D337" s="321"/>
      <c r="E337" s="321"/>
      <c r="T337" s="347"/>
      <c r="X337" s="321"/>
    </row>
    <row r="338" spans="4:24" ht="14.25" customHeight="1">
      <c r="D338" s="321"/>
      <c r="E338" s="321"/>
      <c r="T338" s="347"/>
      <c r="X338" s="321"/>
    </row>
    <row r="339" spans="4:24" ht="14.25" customHeight="1">
      <c r="D339" s="321"/>
      <c r="E339" s="321"/>
      <c r="T339" s="347"/>
      <c r="X339" s="321"/>
    </row>
    <row r="340" spans="4:24" ht="14.25" customHeight="1">
      <c r="D340" s="321"/>
      <c r="E340" s="321"/>
      <c r="T340" s="347"/>
      <c r="X340" s="321"/>
    </row>
    <row r="341" spans="4:24" ht="14.25" customHeight="1">
      <c r="D341" s="321"/>
      <c r="E341" s="321"/>
      <c r="T341" s="347"/>
      <c r="X341" s="321"/>
    </row>
    <row r="342" spans="4:24" ht="14.25" customHeight="1">
      <c r="D342" s="321"/>
      <c r="E342" s="321"/>
      <c r="T342" s="347"/>
      <c r="X342" s="321"/>
    </row>
    <row r="343" spans="4:24" ht="14.25" customHeight="1">
      <c r="D343" s="321"/>
      <c r="E343" s="321"/>
      <c r="T343" s="347"/>
      <c r="X343" s="321"/>
    </row>
    <row r="344" spans="4:24" ht="14.25" customHeight="1">
      <c r="D344" s="321"/>
      <c r="E344" s="321"/>
      <c r="T344" s="347"/>
      <c r="X344" s="321"/>
    </row>
    <row r="345" spans="4:24" ht="14.25" customHeight="1">
      <c r="D345" s="321"/>
      <c r="E345" s="321"/>
      <c r="T345" s="347"/>
      <c r="X345" s="321"/>
    </row>
    <row r="346" spans="4:24" ht="14.25" customHeight="1">
      <c r="D346" s="321"/>
      <c r="E346" s="321"/>
      <c r="T346" s="347"/>
      <c r="X346" s="321"/>
    </row>
    <row r="347" spans="4:24" ht="14.25" customHeight="1">
      <c r="D347" s="321"/>
      <c r="E347" s="321"/>
      <c r="T347" s="347"/>
      <c r="X347" s="321"/>
    </row>
    <row r="348" spans="4:24" ht="14.25" customHeight="1">
      <c r="D348" s="321"/>
      <c r="E348" s="321"/>
      <c r="T348" s="347"/>
      <c r="X348" s="321"/>
    </row>
    <row r="349" spans="4:24" ht="14.25" customHeight="1">
      <c r="D349" s="321"/>
      <c r="E349" s="321"/>
      <c r="T349" s="347"/>
      <c r="X349" s="321"/>
    </row>
    <row r="350" spans="4:24" ht="14.25" customHeight="1">
      <c r="D350" s="321"/>
      <c r="E350" s="321"/>
      <c r="T350" s="347"/>
      <c r="X350" s="321"/>
    </row>
    <row r="351" spans="4:24" ht="14.25" customHeight="1">
      <c r="D351" s="321"/>
      <c r="E351" s="321"/>
      <c r="T351" s="347"/>
      <c r="X351" s="321"/>
    </row>
    <row r="352" spans="4:24" ht="14.25" customHeight="1">
      <c r="D352" s="321"/>
      <c r="E352" s="321"/>
      <c r="T352" s="347"/>
      <c r="X352" s="321"/>
    </row>
    <row r="353" spans="4:24" ht="14.25" customHeight="1">
      <c r="D353" s="321"/>
      <c r="E353" s="321"/>
      <c r="T353" s="347"/>
      <c r="X353" s="321"/>
    </row>
    <row r="354" spans="4:24" ht="14.25" customHeight="1">
      <c r="D354" s="321"/>
      <c r="E354" s="321"/>
      <c r="T354" s="347"/>
      <c r="X354" s="321"/>
    </row>
    <row r="355" spans="4:24" ht="14.25" customHeight="1">
      <c r="D355" s="321"/>
      <c r="E355" s="321"/>
      <c r="T355" s="347"/>
      <c r="X355" s="321"/>
    </row>
    <row r="356" spans="4:24" ht="14.25" customHeight="1">
      <c r="D356" s="321"/>
      <c r="E356" s="321"/>
      <c r="T356" s="347"/>
      <c r="X356" s="321"/>
    </row>
    <row r="357" spans="4:24" ht="14.25" customHeight="1">
      <c r="D357" s="321"/>
      <c r="E357" s="321"/>
      <c r="T357" s="347"/>
      <c r="X357" s="321"/>
    </row>
    <row r="358" spans="4:24" ht="14.25" customHeight="1">
      <c r="D358" s="321"/>
      <c r="E358" s="321"/>
      <c r="T358" s="347"/>
      <c r="X358" s="321"/>
    </row>
    <row r="359" spans="4:24" ht="14.25" customHeight="1">
      <c r="D359" s="321"/>
      <c r="E359" s="321"/>
      <c r="T359" s="347"/>
      <c r="X359" s="321"/>
    </row>
    <row r="360" spans="4:24" ht="14.25" customHeight="1">
      <c r="D360" s="321"/>
      <c r="E360" s="321"/>
      <c r="T360" s="347"/>
      <c r="X360" s="321"/>
    </row>
    <row r="361" spans="4:24" ht="14.25" customHeight="1">
      <c r="D361" s="321"/>
      <c r="E361" s="321"/>
      <c r="T361" s="347"/>
      <c r="X361" s="321"/>
    </row>
    <row r="362" spans="4:24" ht="14.25" customHeight="1">
      <c r="D362" s="321"/>
      <c r="E362" s="321"/>
      <c r="T362" s="347"/>
      <c r="X362" s="321"/>
    </row>
    <row r="363" spans="4:24" ht="14.25" customHeight="1">
      <c r="D363" s="321"/>
      <c r="E363" s="321"/>
      <c r="T363" s="347"/>
      <c r="X363" s="321"/>
    </row>
    <row r="364" spans="4:24" ht="14.25" customHeight="1">
      <c r="D364" s="321"/>
      <c r="E364" s="321"/>
      <c r="T364" s="347"/>
      <c r="X364" s="321"/>
    </row>
    <row r="365" spans="4:24" ht="14.25" customHeight="1">
      <c r="D365" s="321"/>
      <c r="E365" s="321"/>
      <c r="T365" s="347"/>
      <c r="X365" s="321"/>
    </row>
    <row r="366" spans="4:24" ht="14.25" customHeight="1">
      <c r="D366" s="321"/>
      <c r="E366" s="321"/>
      <c r="T366" s="347"/>
      <c r="X366" s="321"/>
    </row>
    <row r="367" spans="4:24" ht="14.25" customHeight="1">
      <c r="D367" s="321"/>
      <c r="E367" s="321"/>
      <c r="T367" s="347"/>
      <c r="X367" s="321"/>
    </row>
    <row r="368" spans="4:24" ht="14.25" customHeight="1">
      <c r="D368" s="321"/>
      <c r="E368" s="321"/>
      <c r="T368" s="347"/>
      <c r="X368" s="321"/>
    </row>
    <row r="369" spans="4:24" ht="14.25" customHeight="1">
      <c r="D369" s="321"/>
      <c r="E369" s="321"/>
      <c r="T369" s="347"/>
      <c r="X369" s="321"/>
    </row>
    <row r="370" spans="4:24" ht="14.25" customHeight="1">
      <c r="D370" s="321"/>
      <c r="E370" s="321"/>
      <c r="T370" s="347"/>
      <c r="X370" s="321"/>
    </row>
    <row r="371" spans="4:24" ht="14.25" customHeight="1">
      <c r="D371" s="321"/>
      <c r="E371" s="321"/>
      <c r="T371" s="347"/>
      <c r="X371" s="321"/>
    </row>
    <row r="372" spans="4:24" ht="14.25" customHeight="1">
      <c r="D372" s="321"/>
      <c r="E372" s="321"/>
      <c r="T372" s="347"/>
      <c r="X372" s="321"/>
    </row>
    <row r="373" spans="4:24" ht="14.25" customHeight="1">
      <c r="D373" s="321"/>
      <c r="E373" s="321"/>
      <c r="T373" s="347"/>
      <c r="X373" s="321"/>
    </row>
    <row r="374" spans="4:24" ht="14.25" customHeight="1">
      <c r="D374" s="321"/>
      <c r="E374" s="321"/>
      <c r="T374" s="347"/>
      <c r="X374" s="321"/>
    </row>
    <row r="375" spans="4:24" ht="14.25" customHeight="1">
      <c r="D375" s="321"/>
      <c r="E375" s="321"/>
      <c r="T375" s="347"/>
      <c r="X375" s="321"/>
    </row>
    <row r="376" spans="4:24" ht="14.25" customHeight="1">
      <c r="D376" s="321"/>
      <c r="E376" s="321"/>
      <c r="T376" s="347"/>
      <c r="X376" s="321"/>
    </row>
    <row r="377" spans="4:24" ht="14.25" customHeight="1">
      <c r="D377" s="321"/>
      <c r="E377" s="321"/>
      <c r="T377" s="347"/>
      <c r="X377" s="321"/>
    </row>
    <row r="378" spans="4:24" ht="14.25" customHeight="1">
      <c r="D378" s="321"/>
      <c r="E378" s="321"/>
      <c r="T378" s="347"/>
      <c r="X378" s="321"/>
    </row>
    <row r="379" spans="4:24" ht="14.25" customHeight="1">
      <c r="D379" s="321"/>
      <c r="E379" s="321"/>
      <c r="T379" s="347"/>
      <c r="X379" s="321"/>
    </row>
    <row r="380" spans="4:24" ht="14.25" customHeight="1">
      <c r="D380" s="321"/>
      <c r="E380" s="321"/>
      <c r="T380" s="347"/>
      <c r="X380" s="321"/>
    </row>
    <row r="381" spans="4:24" ht="14.25" customHeight="1">
      <c r="D381" s="321"/>
      <c r="E381" s="321"/>
      <c r="T381" s="347"/>
      <c r="X381" s="321"/>
    </row>
    <row r="382" spans="4:24" ht="14.25" customHeight="1">
      <c r="D382" s="321"/>
      <c r="E382" s="321"/>
      <c r="T382" s="347"/>
      <c r="X382" s="321"/>
    </row>
    <row r="383" spans="4:24" ht="14.25" customHeight="1">
      <c r="D383" s="321"/>
      <c r="E383" s="321"/>
      <c r="T383" s="347"/>
      <c r="X383" s="321"/>
    </row>
    <row r="384" spans="4:24" ht="14.25" customHeight="1">
      <c r="D384" s="321"/>
      <c r="E384" s="321"/>
      <c r="T384" s="347"/>
      <c r="X384" s="321"/>
    </row>
    <row r="385" spans="4:24" ht="14.25" customHeight="1">
      <c r="D385" s="321"/>
      <c r="E385" s="321"/>
      <c r="T385" s="347"/>
      <c r="X385" s="321"/>
    </row>
    <row r="386" spans="4:24" ht="14.25" customHeight="1">
      <c r="D386" s="321"/>
      <c r="E386" s="321"/>
      <c r="T386" s="347"/>
      <c r="X386" s="321"/>
    </row>
    <row r="387" spans="4:24" ht="14.25" customHeight="1">
      <c r="D387" s="321"/>
      <c r="E387" s="321"/>
      <c r="T387" s="347"/>
      <c r="X387" s="321"/>
    </row>
    <row r="388" spans="4:24" ht="14.25" customHeight="1">
      <c r="D388" s="321"/>
      <c r="E388" s="321"/>
      <c r="T388" s="347"/>
      <c r="X388" s="321"/>
    </row>
    <row r="389" spans="4:24" ht="14.25" customHeight="1">
      <c r="D389" s="321"/>
      <c r="E389" s="321"/>
      <c r="T389" s="347"/>
      <c r="X389" s="321"/>
    </row>
    <row r="390" spans="4:24" ht="14.25" customHeight="1">
      <c r="D390" s="321"/>
      <c r="E390" s="321"/>
      <c r="T390" s="347"/>
      <c r="X390" s="321"/>
    </row>
    <row r="391" spans="4:24" ht="14.25" customHeight="1">
      <c r="D391" s="321"/>
      <c r="E391" s="321"/>
      <c r="T391" s="347"/>
      <c r="X391" s="321"/>
    </row>
    <row r="392" spans="4:24" ht="14.25" customHeight="1">
      <c r="D392" s="321"/>
      <c r="E392" s="321"/>
      <c r="T392" s="347"/>
      <c r="X392" s="321"/>
    </row>
    <row r="393" spans="4:24" ht="14.25" customHeight="1">
      <c r="D393" s="321"/>
      <c r="E393" s="321"/>
      <c r="T393" s="347"/>
      <c r="X393" s="321"/>
    </row>
    <row r="394" spans="4:24" ht="14.25" customHeight="1">
      <c r="D394" s="321"/>
      <c r="E394" s="321"/>
      <c r="T394" s="347"/>
      <c r="X394" s="321"/>
    </row>
    <row r="395" spans="4:24" ht="14.25" customHeight="1">
      <c r="D395" s="321"/>
      <c r="E395" s="321"/>
      <c r="T395" s="347"/>
      <c r="X395" s="321"/>
    </row>
    <row r="396" spans="4:24" ht="14.25" customHeight="1">
      <c r="D396" s="321"/>
      <c r="E396" s="321"/>
      <c r="T396" s="347"/>
      <c r="X396" s="321"/>
    </row>
    <row r="397" spans="4:24" ht="14.25" customHeight="1">
      <c r="D397" s="321"/>
      <c r="E397" s="321"/>
      <c r="T397" s="347"/>
      <c r="X397" s="321"/>
    </row>
    <row r="398" spans="4:24" ht="14.25" customHeight="1">
      <c r="D398" s="321"/>
      <c r="E398" s="321"/>
      <c r="T398" s="347"/>
      <c r="X398" s="321"/>
    </row>
    <row r="399" spans="4:24" ht="14.25" customHeight="1">
      <c r="D399" s="321"/>
      <c r="E399" s="321"/>
      <c r="T399" s="347"/>
      <c r="X399" s="321"/>
    </row>
    <row r="400" spans="4:24" ht="14.25" customHeight="1">
      <c r="D400" s="321"/>
      <c r="E400" s="321"/>
      <c r="T400" s="347"/>
      <c r="X400" s="321"/>
    </row>
    <row r="401" spans="4:24" ht="14.25" customHeight="1">
      <c r="D401" s="321"/>
      <c r="E401" s="321"/>
      <c r="T401" s="347"/>
      <c r="X401" s="321"/>
    </row>
    <row r="402" spans="4:24" ht="14.25" customHeight="1">
      <c r="D402" s="321"/>
      <c r="E402" s="321"/>
      <c r="T402" s="347"/>
      <c r="X402" s="321"/>
    </row>
    <row r="403" spans="4:24" ht="14.25" customHeight="1">
      <c r="D403" s="321"/>
      <c r="E403" s="321"/>
      <c r="T403" s="347"/>
      <c r="X403" s="321"/>
    </row>
    <row r="404" spans="4:24" ht="14.25" customHeight="1">
      <c r="D404" s="321"/>
      <c r="E404" s="321"/>
      <c r="T404" s="347"/>
      <c r="X404" s="321"/>
    </row>
    <row r="405" spans="4:24" ht="14.25" customHeight="1">
      <c r="D405" s="321"/>
      <c r="E405" s="321"/>
      <c r="T405" s="347"/>
      <c r="X405" s="321"/>
    </row>
    <row r="406" spans="4:24" ht="14.25" customHeight="1">
      <c r="D406" s="321"/>
      <c r="E406" s="321"/>
      <c r="T406" s="347"/>
      <c r="X406" s="321"/>
    </row>
    <row r="407" spans="4:24" ht="14.25" customHeight="1">
      <c r="D407" s="321"/>
      <c r="E407" s="321"/>
      <c r="T407" s="347"/>
      <c r="X407" s="321"/>
    </row>
    <row r="408" spans="4:24" ht="14.25" customHeight="1">
      <c r="D408" s="321"/>
      <c r="E408" s="321"/>
      <c r="T408" s="347"/>
      <c r="X408" s="321"/>
    </row>
    <row r="409" spans="4:24" ht="14.25" customHeight="1">
      <c r="D409" s="321"/>
      <c r="E409" s="321"/>
      <c r="T409" s="347"/>
      <c r="X409" s="321"/>
    </row>
    <row r="410" spans="4:24" ht="14.25" customHeight="1">
      <c r="D410" s="321"/>
      <c r="E410" s="321"/>
      <c r="T410" s="347"/>
      <c r="X410" s="321"/>
    </row>
    <row r="411" spans="4:24" ht="14.25" customHeight="1">
      <c r="D411" s="321"/>
      <c r="E411" s="321"/>
      <c r="T411" s="347"/>
      <c r="X411" s="321"/>
    </row>
    <row r="412" spans="4:24" ht="14.25" customHeight="1">
      <c r="D412" s="321"/>
      <c r="E412" s="321"/>
      <c r="T412" s="347"/>
      <c r="X412" s="321"/>
    </row>
    <row r="413" spans="4:24" ht="14.25" customHeight="1">
      <c r="D413" s="321"/>
      <c r="E413" s="321"/>
      <c r="T413" s="347"/>
      <c r="X413" s="321"/>
    </row>
    <row r="414" spans="4:24" ht="14.25" customHeight="1">
      <c r="D414" s="321"/>
      <c r="E414" s="321"/>
      <c r="T414" s="347"/>
      <c r="X414" s="321"/>
    </row>
    <row r="415" spans="4:24" ht="14.25" customHeight="1">
      <c r="D415" s="321"/>
      <c r="E415" s="321"/>
      <c r="T415" s="347"/>
      <c r="X415" s="321"/>
    </row>
    <row r="416" spans="4:24" ht="14.25" customHeight="1">
      <c r="D416" s="321"/>
      <c r="E416" s="321"/>
      <c r="T416" s="347"/>
      <c r="X416" s="321"/>
    </row>
    <row r="417" spans="4:24" ht="14.25" customHeight="1">
      <c r="D417" s="321"/>
      <c r="E417" s="321"/>
      <c r="T417" s="347"/>
      <c r="X417" s="321"/>
    </row>
    <row r="418" spans="4:24" ht="14.25" customHeight="1">
      <c r="D418" s="321"/>
      <c r="E418" s="321"/>
      <c r="T418" s="347"/>
      <c r="X418" s="321"/>
    </row>
    <row r="419" spans="4:24" ht="14.25" customHeight="1">
      <c r="D419" s="321"/>
      <c r="E419" s="321"/>
      <c r="T419" s="347"/>
      <c r="X419" s="321"/>
    </row>
    <row r="420" spans="4:24" ht="14.25" customHeight="1">
      <c r="D420" s="321"/>
      <c r="E420" s="321"/>
      <c r="T420" s="347"/>
      <c r="X420" s="321"/>
    </row>
    <row r="421" spans="4:24" ht="14.25" customHeight="1">
      <c r="D421" s="321"/>
      <c r="E421" s="321"/>
      <c r="T421" s="347"/>
      <c r="X421" s="321"/>
    </row>
    <row r="422" spans="4:24" ht="14.25" customHeight="1">
      <c r="D422" s="321"/>
      <c r="E422" s="321"/>
      <c r="T422" s="347"/>
      <c r="X422" s="321"/>
    </row>
    <row r="423" spans="4:24" ht="14.25" customHeight="1">
      <c r="D423" s="321"/>
      <c r="E423" s="321"/>
      <c r="T423" s="347"/>
      <c r="X423" s="321"/>
    </row>
    <row r="424" spans="4:24" ht="14.25" customHeight="1">
      <c r="D424" s="321"/>
      <c r="E424" s="321"/>
      <c r="T424" s="347"/>
      <c r="X424" s="321"/>
    </row>
    <row r="425" spans="4:24" ht="14.25" customHeight="1">
      <c r="D425" s="321"/>
      <c r="E425" s="321"/>
      <c r="T425" s="347"/>
      <c r="X425" s="321"/>
    </row>
    <row r="426" spans="4:24" ht="14.25" customHeight="1">
      <c r="D426" s="321"/>
      <c r="E426" s="321"/>
      <c r="T426" s="347"/>
      <c r="X426" s="321"/>
    </row>
    <row r="427" spans="4:24" ht="14.25" customHeight="1">
      <c r="D427" s="321"/>
      <c r="E427" s="321"/>
      <c r="T427" s="347"/>
      <c r="X427" s="321"/>
    </row>
    <row r="428" spans="4:24" ht="14.25" customHeight="1">
      <c r="D428" s="321"/>
      <c r="E428" s="321"/>
      <c r="T428" s="347"/>
      <c r="X428" s="321"/>
    </row>
    <row r="429" spans="4:24" ht="14.25" customHeight="1">
      <c r="D429" s="321"/>
      <c r="E429" s="321"/>
      <c r="T429" s="347"/>
      <c r="X429" s="321"/>
    </row>
    <row r="430" spans="4:24" ht="14.25" customHeight="1">
      <c r="D430" s="321"/>
      <c r="E430" s="321"/>
      <c r="T430" s="347"/>
      <c r="X430" s="321"/>
    </row>
    <row r="431" spans="4:24" ht="14.25" customHeight="1">
      <c r="D431" s="321"/>
      <c r="E431" s="321"/>
      <c r="T431" s="347"/>
      <c r="X431" s="321"/>
    </row>
    <row r="432" spans="4:24" ht="14.25" customHeight="1">
      <c r="D432" s="321"/>
      <c r="E432" s="321"/>
      <c r="T432" s="347"/>
      <c r="X432" s="321"/>
    </row>
    <row r="433" spans="4:24" ht="14.25" customHeight="1">
      <c r="D433" s="321"/>
      <c r="E433" s="321"/>
      <c r="T433" s="347"/>
      <c r="X433" s="321"/>
    </row>
    <row r="434" spans="4:24" ht="14.25" customHeight="1">
      <c r="D434" s="321"/>
      <c r="E434" s="321"/>
      <c r="T434" s="347"/>
      <c r="X434" s="321"/>
    </row>
    <row r="435" spans="4:24" ht="14.25" customHeight="1">
      <c r="D435" s="321"/>
      <c r="E435" s="321"/>
      <c r="T435" s="347"/>
      <c r="X435" s="321"/>
    </row>
    <row r="436" spans="4:24" ht="14.25" customHeight="1">
      <c r="D436" s="321"/>
      <c r="E436" s="321"/>
      <c r="T436" s="347"/>
      <c r="X436" s="321"/>
    </row>
    <row r="437" spans="4:24" ht="14.25" customHeight="1">
      <c r="D437" s="321"/>
      <c r="E437" s="321"/>
      <c r="T437" s="347"/>
      <c r="X437" s="321"/>
    </row>
    <row r="438" spans="4:24" ht="14.25" customHeight="1">
      <c r="D438" s="321"/>
      <c r="E438" s="321"/>
      <c r="T438" s="347"/>
      <c r="X438" s="321"/>
    </row>
    <row r="439" spans="4:24" ht="14.25" customHeight="1">
      <c r="D439" s="321"/>
      <c r="E439" s="321"/>
      <c r="T439" s="347"/>
      <c r="X439" s="321"/>
    </row>
    <row r="440" spans="4:24" ht="14.25" customHeight="1">
      <c r="D440" s="321"/>
      <c r="E440" s="321"/>
      <c r="T440" s="347"/>
      <c r="X440" s="321"/>
    </row>
    <row r="441" spans="4:24" ht="14.25" customHeight="1">
      <c r="D441" s="321"/>
      <c r="E441" s="321"/>
      <c r="T441" s="347"/>
      <c r="X441" s="321"/>
    </row>
    <row r="442" spans="4:24" ht="14.25" customHeight="1">
      <c r="D442" s="321"/>
      <c r="E442" s="321"/>
      <c r="T442" s="347"/>
      <c r="X442" s="321"/>
    </row>
    <row r="443" spans="4:24" ht="14.25" customHeight="1">
      <c r="D443" s="321"/>
      <c r="E443" s="321"/>
      <c r="T443" s="347"/>
      <c r="X443" s="321"/>
    </row>
    <row r="444" spans="4:24" ht="14.25" customHeight="1">
      <c r="D444" s="321"/>
      <c r="E444" s="321"/>
      <c r="T444" s="347"/>
      <c r="X444" s="321"/>
    </row>
    <row r="445" spans="4:24" ht="14.25" customHeight="1">
      <c r="D445" s="321"/>
      <c r="E445" s="321"/>
      <c r="T445" s="347"/>
      <c r="X445" s="321"/>
    </row>
    <row r="446" spans="4:24" ht="14.25" customHeight="1">
      <c r="D446" s="321"/>
      <c r="E446" s="321"/>
      <c r="T446" s="347"/>
      <c r="X446" s="321"/>
    </row>
    <row r="447" spans="4:24" ht="14.25" customHeight="1">
      <c r="D447" s="321"/>
      <c r="E447" s="321"/>
      <c r="T447" s="347"/>
      <c r="X447" s="321"/>
    </row>
    <row r="448" spans="4:24" ht="14.25" customHeight="1">
      <c r="D448" s="321"/>
      <c r="E448" s="321"/>
      <c r="T448" s="347"/>
      <c r="X448" s="321"/>
    </row>
    <row r="449" spans="4:24" ht="14.25" customHeight="1">
      <c r="D449" s="321"/>
      <c r="E449" s="321"/>
      <c r="T449" s="347"/>
      <c r="X449" s="321"/>
    </row>
    <row r="450" spans="4:24" ht="14.25" customHeight="1">
      <c r="D450" s="321"/>
      <c r="E450" s="321"/>
      <c r="T450" s="347"/>
      <c r="X450" s="321"/>
    </row>
    <row r="451" spans="4:24" ht="14.25" customHeight="1">
      <c r="D451" s="321"/>
      <c r="E451" s="321"/>
      <c r="T451" s="347"/>
      <c r="X451" s="321"/>
    </row>
    <row r="452" spans="4:24" ht="14.25" customHeight="1">
      <c r="D452" s="321"/>
      <c r="E452" s="321"/>
      <c r="T452" s="347"/>
      <c r="X452" s="321"/>
    </row>
    <row r="453" spans="4:24" ht="14.25" customHeight="1">
      <c r="D453" s="321"/>
      <c r="E453" s="321"/>
      <c r="T453" s="347"/>
      <c r="X453" s="321"/>
    </row>
    <row r="454" spans="4:24" ht="14.25" customHeight="1">
      <c r="D454" s="321"/>
      <c r="E454" s="321"/>
      <c r="T454" s="347"/>
      <c r="X454" s="321"/>
    </row>
    <row r="455" spans="4:24" ht="14.25" customHeight="1">
      <c r="D455" s="321"/>
      <c r="E455" s="321"/>
      <c r="T455" s="347"/>
      <c r="X455" s="321"/>
    </row>
    <row r="456" spans="4:24" ht="14.25" customHeight="1">
      <c r="D456" s="321"/>
      <c r="E456" s="321"/>
      <c r="T456" s="347"/>
      <c r="X456" s="321"/>
    </row>
    <row r="457" spans="4:24" ht="14.25" customHeight="1">
      <c r="D457" s="321"/>
      <c r="E457" s="321"/>
      <c r="T457" s="347"/>
      <c r="X457" s="321"/>
    </row>
    <row r="458" spans="4:24" ht="14.25" customHeight="1">
      <c r="D458" s="321"/>
      <c r="E458" s="321"/>
      <c r="T458" s="347"/>
      <c r="X458" s="321"/>
    </row>
    <row r="459" spans="4:24" ht="14.25" customHeight="1">
      <c r="D459" s="321"/>
      <c r="E459" s="321"/>
      <c r="T459" s="347"/>
      <c r="X459" s="321"/>
    </row>
    <row r="460" spans="4:24" ht="14.25" customHeight="1">
      <c r="D460" s="321"/>
      <c r="E460" s="321"/>
      <c r="T460" s="347"/>
      <c r="X460" s="321"/>
    </row>
    <row r="461" spans="4:24" ht="14.25" customHeight="1">
      <c r="D461" s="321"/>
      <c r="E461" s="321"/>
      <c r="T461" s="347"/>
      <c r="X461" s="321"/>
    </row>
    <row r="462" spans="4:24" ht="14.25" customHeight="1">
      <c r="D462" s="321"/>
      <c r="E462" s="321"/>
      <c r="T462" s="347"/>
      <c r="X462" s="321"/>
    </row>
    <row r="463" spans="4:24" ht="14.25" customHeight="1">
      <c r="D463" s="321"/>
      <c r="E463" s="321"/>
      <c r="T463" s="347"/>
      <c r="X463" s="321"/>
    </row>
    <row r="464" spans="4:24" ht="14.25" customHeight="1">
      <c r="D464" s="321"/>
      <c r="E464" s="321"/>
      <c r="T464" s="347"/>
      <c r="X464" s="321"/>
    </row>
    <row r="465" spans="4:24" ht="14.25" customHeight="1">
      <c r="D465" s="321"/>
      <c r="E465" s="321"/>
      <c r="T465" s="347"/>
      <c r="X465" s="321"/>
    </row>
    <row r="466" spans="4:24" ht="14.25" customHeight="1">
      <c r="D466" s="321"/>
      <c r="E466" s="321"/>
      <c r="T466" s="347"/>
      <c r="X466" s="321"/>
    </row>
    <row r="467" spans="4:24" ht="14.25" customHeight="1">
      <c r="D467" s="321"/>
      <c r="E467" s="321"/>
      <c r="T467" s="347"/>
      <c r="X467" s="321"/>
    </row>
    <row r="468" spans="4:24" ht="14.25" customHeight="1">
      <c r="D468" s="321"/>
      <c r="E468" s="321"/>
      <c r="T468" s="347"/>
      <c r="X468" s="321"/>
    </row>
    <row r="469" spans="4:24" ht="14.25" customHeight="1">
      <c r="D469" s="321"/>
      <c r="E469" s="321"/>
      <c r="T469" s="347"/>
      <c r="X469" s="321"/>
    </row>
    <row r="470" spans="4:24" ht="14.25" customHeight="1">
      <c r="D470" s="321"/>
      <c r="E470" s="321"/>
      <c r="T470" s="347"/>
      <c r="X470" s="321"/>
    </row>
    <row r="471" spans="4:24" ht="14.25" customHeight="1">
      <c r="D471" s="321"/>
      <c r="E471" s="321"/>
      <c r="T471" s="347"/>
      <c r="X471" s="321"/>
    </row>
    <row r="472" spans="4:24" ht="14.25" customHeight="1">
      <c r="D472" s="321"/>
      <c r="E472" s="321"/>
      <c r="T472" s="347"/>
      <c r="X472" s="321"/>
    </row>
    <row r="473" spans="4:24" ht="14.25" customHeight="1">
      <c r="D473" s="321"/>
      <c r="E473" s="321"/>
      <c r="T473" s="347"/>
      <c r="X473" s="321"/>
    </row>
    <row r="474" spans="4:24" ht="14.25" customHeight="1">
      <c r="D474" s="321"/>
      <c r="E474" s="321"/>
      <c r="T474" s="347"/>
      <c r="X474" s="321"/>
    </row>
    <row r="475" spans="4:24" ht="14.25" customHeight="1">
      <c r="D475" s="321"/>
      <c r="E475" s="321"/>
      <c r="T475" s="347"/>
      <c r="X475" s="321"/>
    </row>
    <row r="476" spans="4:24" ht="14.25" customHeight="1">
      <c r="D476" s="321"/>
      <c r="E476" s="321"/>
      <c r="T476" s="347"/>
      <c r="X476" s="321"/>
    </row>
    <row r="477" spans="4:24" ht="14.25" customHeight="1">
      <c r="D477" s="321"/>
      <c r="E477" s="321"/>
      <c r="T477" s="347"/>
      <c r="X477" s="321"/>
    </row>
    <row r="478" spans="4:24" ht="14.25" customHeight="1">
      <c r="D478" s="321"/>
      <c r="E478" s="321"/>
      <c r="T478" s="347"/>
      <c r="X478" s="321"/>
    </row>
    <row r="479" spans="4:24" ht="14.25" customHeight="1">
      <c r="D479" s="321"/>
      <c r="E479" s="321"/>
      <c r="T479" s="347"/>
      <c r="X479" s="321"/>
    </row>
    <row r="480" spans="4:24" ht="14.25" customHeight="1">
      <c r="D480" s="321"/>
      <c r="E480" s="321"/>
      <c r="T480" s="347"/>
      <c r="X480" s="321"/>
    </row>
    <row r="481" spans="4:24" ht="14.25" customHeight="1">
      <c r="D481" s="321"/>
      <c r="E481" s="321"/>
      <c r="T481" s="347"/>
      <c r="X481" s="321"/>
    </row>
    <row r="482" spans="4:24" ht="14.25" customHeight="1">
      <c r="D482" s="321"/>
      <c r="E482" s="321"/>
      <c r="T482" s="347"/>
      <c r="X482" s="321"/>
    </row>
    <row r="483" spans="4:24" ht="14.25" customHeight="1">
      <c r="D483" s="321"/>
      <c r="E483" s="321"/>
      <c r="T483" s="347"/>
      <c r="X483" s="321"/>
    </row>
    <row r="484" spans="4:24" ht="14.25" customHeight="1">
      <c r="D484" s="321"/>
      <c r="E484" s="321"/>
      <c r="T484" s="347"/>
      <c r="X484" s="321"/>
    </row>
    <row r="485" spans="4:24" ht="14.25" customHeight="1">
      <c r="D485" s="321"/>
      <c r="E485" s="321"/>
      <c r="T485" s="347"/>
      <c r="X485" s="321"/>
    </row>
    <row r="486" spans="4:24" ht="14.25" customHeight="1">
      <c r="D486" s="321"/>
      <c r="E486" s="321"/>
      <c r="T486" s="347"/>
      <c r="X486" s="321"/>
    </row>
    <row r="487" spans="4:24" ht="14.25" customHeight="1">
      <c r="D487" s="321"/>
      <c r="E487" s="321"/>
      <c r="T487" s="347"/>
      <c r="X487" s="321"/>
    </row>
    <row r="488" spans="4:24" ht="14.25" customHeight="1">
      <c r="D488" s="321"/>
      <c r="E488" s="321"/>
      <c r="T488" s="347"/>
      <c r="X488" s="321"/>
    </row>
    <row r="489" spans="4:24" ht="14.25" customHeight="1">
      <c r="D489" s="321"/>
      <c r="E489" s="321"/>
      <c r="T489" s="347"/>
      <c r="X489" s="321"/>
    </row>
    <row r="490" spans="4:24" ht="14.25" customHeight="1">
      <c r="D490" s="321"/>
      <c r="E490" s="321"/>
      <c r="T490" s="347"/>
      <c r="X490" s="321"/>
    </row>
    <row r="491" spans="4:24" ht="14.25" customHeight="1">
      <c r="D491" s="321"/>
      <c r="E491" s="321"/>
      <c r="T491" s="347"/>
      <c r="X491" s="321"/>
    </row>
    <row r="492" spans="4:24" ht="14.25" customHeight="1">
      <c r="D492" s="321"/>
      <c r="E492" s="321"/>
      <c r="T492" s="347"/>
      <c r="X492" s="321"/>
    </row>
    <row r="493" spans="4:24" ht="14.25" customHeight="1">
      <c r="D493" s="321"/>
      <c r="E493" s="321"/>
      <c r="T493" s="347"/>
      <c r="X493" s="321"/>
    </row>
    <row r="494" spans="4:24" ht="14.25" customHeight="1">
      <c r="D494" s="321"/>
      <c r="E494" s="321"/>
      <c r="T494" s="347"/>
      <c r="X494" s="321"/>
    </row>
    <row r="495" spans="4:24" ht="14.25" customHeight="1">
      <c r="D495" s="321"/>
      <c r="E495" s="321"/>
      <c r="T495" s="347"/>
      <c r="X495" s="321"/>
    </row>
    <row r="496" spans="4:24" ht="14.25" customHeight="1">
      <c r="D496" s="321"/>
      <c r="E496" s="321"/>
      <c r="T496" s="347"/>
      <c r="X496" s="321"/>
    </row>
    <row r="497" spans="4:24" ht="14.25" customHeight="1">
      <c r="D497" s="321"/>
      <c r="E497" s="321"/>
      <c r="T497" s="347"/>
      <c r="X497" s="321"/>
    </row>
    <row r="498" spans="4:24" ht="14.25" customHeight="1">
      <c r="D498" s="321"/>
      <c r="E498" s="321"/>
      <c r="T498" s="347"/>
      <c r="X498" s="321"/>
    </row>
    <row r="499" spans="4:24" ht="14.25" customHeight="1">
      <c r="D499" s="321"/>
      <c r="E499" s="321"/>
      <c r="T499" s="347"/>
      <c r="X499" s="321"/>
    </row>
    <row r="500" spans="4:24" ht="14.25" customHeight="1">
      <c r="D500" s="321"/>
      <c r="E500" s="321"/>
      <c r="T500" s="347"/>
      <c r="X500" s="321"/>
    </row>
    <row r="501" spans="4:24" ht="14.25" customHeight="1">
      <c r="D501" s="321"/>
      <c r="E501" s="321"/>
      <c r="T501" s="347"/>
      <c r="X501" s="321"/>
    </row>
    <row r="502" spans="4:24" ht="14.25" customHeight="1">
      <c r="D502" s="321"/>
      <c r="E502" s="321"/>
      <c r="T502" s="347"/>
      <c r="X502" s="321"/>
    </row>
    <row r="503" spans="4:24" ht="14.25" customHeight="1">
      <c r="D503" s="321"/>
      <c r="E503" s="321"/>
      <c r="T503" s="347"/>
      <c r="X503" s="321"/>
    </row>
    <row r="504" spans="4:24" ht="14.25" customHeight="1">
      <c r="D504" s="321"/>
      <c r="E504" s="321"/>
      <c r="T504" s="347"/>
      <c r="X504" s="321"/>
    </row>
    <row r="505" spans="4:24" ht="14.25" customHeight="1">
      <c r="D505" s="321"/>
      <c r="E505" s="321"/>
      <c r="T505" s="347"/>
      <c r="X505" s="321"/>
    </row>
    <row r="506" spans="4:24" ht="14.25" customHeight="1">
      <c r="D506" s="321"/>
      <c r="E506" s="321"/>
      <c r="T506" s="347"/>
      <c r="X506" s="321"/>
    </row>
    <row r="507" spans="4:24" ht="14.25" customHeight="1">
      <c r="D507" s="321"/>
      <c r="E507" s="321"/>
      <c r="T507" s="347"/>
      <c r="X507" s="321"/>
    </row>
    <row r="508" spans="4:24" ht="14.25" customHeight="1">
      <c r="D508" s="321"/>
      <c r="E508" s="321"/>
      <c r="T508" s="347"/>
      <c r="X508" s="321"/>
    </row>
    <row r="509" spans="4:24" ht="14.25" customHeight="1">
      <c r="D509" s="321"/>
      <c r="E509" s="321"/>
      <c r="T509" s="347"/>
      <c r="X509" s="321"/>
    </row>
    <row r="510" spans="4:24" ht="14.25" customHeight="1">
      <c r="D510" s="321"/>
      <c r="E510" s="321"/>
      <c r="T510" s="347"/>
      <c r="X510" s="321"/>
    </row>
    <row r="511" spans="4:24" ht="14.25" customHeight="1">
      <c r="D511" s="321"/>
      <c r="E511" s="321"/>
      <c r="T511" s="347"/>
      <c r="X511" s="321"/>
    </row>
    <row r="512" spans="4:24" ht="14.25" customHeight="1">
      <c r="D512" s="321"/>
      <c r="E512" s="321"/>
      <c r="T512" s="347"/>
      <c r="X512" s="321"/>
    </row>
    <row r="513" spans="4:24" ht="14.25" customHeight="1">
      <c r="D513" s="321"/>
      <c r="E513" s="321"/>
      <c r="T513" s="347"/>
      <c r="X513" s="321"/>
    </row>
    <row r="514" spans="4:24" ht="14.25" customHeight="1">
      <c r="D514" s="321"/>
      <c r="E514" s="321"/>
      <c r="T514" s="347"/>
      <c r="X514" s="321"/>
    </row>
    <row r="515" spans="4:24" ht="14.25" customHeight="1">
      <c r="D515" s="321"/>
      <c r="E515" s="321"/>
      <c r="T515" s="347"/>
      <c r="X515" s="321"/>
    </row>
    <row r="516" spans="4:24" ht="14.25" customHeight="1">
      <c r="D516" s="321"/>
      <c r="E516" s="321"/>
      <c r="T516" s="347"/>
      <c r="X516" s="321"/>
    </row>
    <row r="517" spans="4:24" ht="14.25" customHeight="1">
      <c r="D517" s="321"/>
      <c r="E517" s="321"/>
      <c r="T517" s="347"/>
      <c r="X517" s="321"/>
    </row>
    <row r="518" spans="4:24" ht="14.25" customHeight="1">
      <c r="D518" s="321"/>
      <c r="E518" s="321"/>
      <c r="T518" s="347"/>
      <c r="X518" s="321"/>
    </row>
    <row r="519" spans="4:24" ht="14.25" customHeight="1">
      <c r="D519" s="321"/>
      <c r="E519" s="321"/>
      <c r="T519" s="347"/>
      <c r="X519" s="321"/>
    </row>
    <row r="520" spans="4:24" ht="14.25" customHeight="1">
      <c r="D520" s="321"/>
      <c r="E520" s="321"/>
      <c r="T520" s="347"/>
      <c r="X520" s="321"/>
    </row>
    <row r="521" spans="4:24" ht="14.25" customHeight="1">
      <c r="D521" s="321"/>
      <c r="E521" s="321"/>
      <c r="T521" s="347"/>
      <c r="X521" s="321"/>
    </row>
    <row r="522" spans="4:24" ht="14.25" customHeight="1">
      <c r="D522" s="321"/>
      <c r="E522" s="321"/>
      <c r="T522" s="347"/>
      <c r="X522" s="321"/>
    </row>
    <row r="523" spans="4:24" ht="14.25" customHeight="1">
      <c r="D523" s="321"/>
      <c r="E523" s="321"/>
      <c r="T523" s="347"/>
      <c r="X523" s="321"/>
    </row>
    <row r="524" spans="4:24" ht="14.25" customHeight="1">
      <c r="D524" s="321"/>
      <c r="E524" s="321"/>
      <c r="T524" s="347"/>
      <c r="X524" s="321"/>
    </row>
    <row r="525" spans="4:24" ht="14.25" customHeight="1">
      <c r="D525" s="321"/>
      <c r="E525" s="321"/>
      <c r="T525" s="347"/>
      <c r="X525" s="321"/>
    </row>
    <row r="526" spans="4:24" ht="14.25" customHeight="1">
      <c r="D526" s="321"/>
      <c r="E526" s="321"/>
      <c r="T526" s="347"/>
      <c r="X526" s="321"/>
    </row>
    <row r="527" spans="4:24" ht="14.25" customHeight="1">
      <c r="D527" s="321"/>
      <c r="E527" s="321"/>
      <c r="T527" s="347"/>
      <c r="X527" s="321"/>
    </row>
    <row r="528" spans="4:24" ht="14.25" customHeight="1">
      <c r="D528" s="321"/>
      <c r="E528" s="321"/>
      <c r="T528" s="347"/>
      <c r="X528" s="321"/>
    </row>
    <row r="529" spans="4:24" ht="14.25" customHeight="1">
      <c r="D529" s="321"/>
      <c r="E529" s="321"/>
      <c r="T529" s="347"/>
      <c r="X529" s="321"/>
    </row>
    <row r="530" spans="4:24" ht="14.25" customHeight="1">
      <c r="D530" s="321"/>
      <c r="E530" s="321"/>
      <c r="T530" s="347"/>
      <c r="X530" s="321"/>
    </row>
    <row r="531" spans="4:24" ht="14.25" customHeight="1">
      <c r="D531" s="321"/>
      <c r="E531" s="321"/>
      <c r="T531" s="347"/>
      <c r="X531" s="321"/>
    </row>
    <row r="532" spans="4:24" ht="14.25" customHeight="1">
      <c r="D532" s="321"/>
      <c r="E532" s="321"/>
      <c r="T532" s="347"/>
      <c r="X532" s="321"/>
    </row>
    <row r="533" spans="4:24" ht="14.25" customHeight="1">
      <c r="D533" s="321"/>
      <c r="E533" s="321"/>
      <c r="T533" s="347"/>
      <c r="X533" s="321"/>
    </row>
    <row r="534" spans="4:24" ht="14.25" customHeight="1">
      <c r="D534" s="321"/>
      <c r="E534" s="321"/>
      <c r="T534" s="347"/>
      <c r="X534" s="321"/>
    </row>
    <row r="535" spans="4:24" ht="14.25" customHeight="1">
      <c r="D535" s="321"/>
      <c r="E535" s="321"/>
      <c r="T535" s="347"/>
      <c r="X535" s="321"/>
    </row>
    <row r="536" spans="4:24" ht="14.25" customHeight="1">
      <c r="D536" s="321"/>
      <c r="E536" s="321"/>
      <c r="T536" s="347"/>
      <c r="X536" s="321"/>
    </row>
    <row r="537" spans="4:24" ht="14.25" customHeight="1">
      <c r="D537" s="321"/>
      <c r="E537" s="321"/>
      <c r="T537" s="347"/>
      <c r="X537" s="321"/>
    </row>
    <row r="538" spans="4:24" ht="14.25" customHeight="1">
      <c r="D538" s="321"/>
      <c r="E538" s="321"/>
      <c r="T538" s="347"/>
      <c r="X538" s="321"/>
    </row>
    <row r="539" spans="4:24" ht="14.25" customHeight="1">
      <c r="D539" s="321"/>
      <c r="E539" s="321"/>
      <c r="T539" s="347"/>
      <c r="X539" s="321"/>
    </row>
    <row r="540" spans="4:24" ht="14.25" customHeight="1">
      <c r="D540" s="321"/>
      <c r="E540" s="321"/>
      <c r="T540" s="347"/>
      <c r="X540" s="321"/>
    </row>
    <row r="541" spans="4:24" ht="14.25" customHeight="1">
      <c r="D541" s="321"/>
      <c r="E541" s="321"/>
      <c r="T541" s="347"/>
      <c r="X541" s="321"/>
    </row>
    <row r="542" spans="4:24" ht="14.25" customHeight="1">
      <c r="D542" s="321"/>
      <c r="E542" s="321"/>
      <c r="T542" s="347"/>
      <c r="X542" s="321"/>
    </row>
    <row r="543" spans="4:24" ht="14.25" customHeight="1">
      <c r="D543" s="321"/>
      <c r="E543" s="321"/>
      <c r="T543" s="347"/>
      <c r="X543" s="321"/>
    </row>
    <row r="544" spans="4:24" ht="14.25" customHeight="1">
      <c r="D544" s="321"/>
      <c r="E544" s="321"/>
      <c r="T544" s="347"/>
      <c r="X544" s="321"/>
    </row>
    <row r="545" spans="4:24" ht="14.25" customHeight="1">
      <c r="D545" s="321"/>
      <c r="E545" s="321"/>
      <c r="T545" s="347"/>
      <c r="X545" s="321"/>
    </row>
    <row r="546" spans="4:24" ht="14.25" customHeight="1">
      <c r="D546" s="321"/>
      <c r="E546" s="321"/>
      <c r="T546" s="347"/>
      <c r="X546" s="321"/>
    </row>
    <row r="547" spans="4:24" ht="14.25" customHeight="1">
      <c r="D547" s="321"/>
      <c r="E547" s="321"/>
      <c r="T547" s="347"/>
      <c r="X547" s="321"/>
    </row>
    <row r="548" spans="4:24" ht="14.25" customHeight="1">
      <c r="D548" s="321"/>
      <c r="E548" s="321"/>
      <c r="T548" s="347"/>
      <c r="X548" s="321"/>
    </row>
    <row r="549" spans="4:24" ht="14.25" customHeight="1">
      <c r="D549" s="321"/>
      <c r="E549" s="321"/>
      <c r="T549" s="347"/>
      <c r="X549" s="321"/>
    </row>
    <row r="550" spans="4:24" ht="14.25" customHeight="1">
      <c r="D550" s="321"/>
      <c r="E550" s="321"/>
      <c r="T550" s="347"/>
      <c r="X550" s="321"/>
    </row>
    <row r="551" spans="4:24" ht="14.25" customHeight="1">
      <c r="D551" s="321"/>
      <c r="E551" s="321"/>
      <c r="T551" s="347"/>
      <c r="X551" s="321"/>
    </row>
    <row r="552" spans="4:24" ht="14.25" customHeight="1">
      <c r="D552" s="321"/>
      <c r="E552" s="321"/>
      <c r="T552" s="347"/>
      <c r="X552" s="321"/>
    </row>
    <row r="553" spans="4:24" ht="14.25" customHeight="1">
      <c r="D553" s="321"/>
      <c r="E553" s="321"/>
      <c r="T553" s="347"/>
      <c r="X553" s="321"/>
    </row>
    <row r="554" spans="4:24" ht="14.25" customHeight="1">
      <c r="D554" s="321"/>
      <c r="E554" s="321"/>
      <c r="T554" s="347"/>
      <c r="X554" s="321"/>
    </row>
    <row r="555" spans="4:24" ht="14.25" customHeight="1">
      <c r="D555" s="321"/>
      <c r="E555" s="321"/>
      <c r="T555" s="347"/>
      <c r="X555" s="321"/>
    </row>
    <row r="556" spans="4:24" ht="14.25" customHeight="1">
      <c r="D556" s="321"/>
      <c r="E556" s="321"/>
      <c r="T556" s="347"/>
      <c r="X556" s="321"/>
    </row>
    <row r="557" spans="4:24" ht="14.25" customHeight="1">
      <c r="D557" s="321"/>
      <c r="E557" s="321"/>
      <c r="T557" s="347"/>
      <c r="X557" s="321"/>
    </row>
    <row r="558" spans="4:24" ht="14.25" customHeight="1">
      <c r="D558" s="321"/>
      <c r="E558" s="321"/>
      <c r="T558" s="347"/>
      <c r="X558" s="321"/>
    </row>
    <row r="559" spans="4:24" ht="14.25" customHeight="1">
      <c r="D559" s="321"/>
      <c r="E559" s="321"/>
      <c r="T559" s="347"/>
      <c r="X559" s="321"/>
    </row>
    <row r="560" spans="4:24" ht="14.25" customHeight="1">
      <c r="D560" s="321"/>
      <c r="E560" s="321"/>
      <c r="T560" s="347"/>
      <c r="X560" s="321"/>
    </row>
    <row r="561" spans="4:24" ht="14.25" customHeight="1">
      <c r="D561" s="321"/>
      <c r="E561" s="321"/>
      <c r="T561" s="347"/>
      <c r="X561" s="321"/>
    </row>
    <row r="562" spans="4:24" ht="14.25" customHeight="1">
      <c r="D562" s="321"/>
      <c r="E562" s="321"/>
      <c r="T562" s="347"/>
      <c r="X562" s="321"/>
    </row>
    <row r="563" spans="4:24" ht="14.25" customHeight="1">
      <c r="D563" s="321"/>
      <c r="E563" s="321"/>
      <c r="T563" s="347"/>
      <c r="X563" s="321"/>
    </row>
    <row r="564" spans="4:24" ht="14.25" customHeight="1">
      <c r="D564" s="321"/>
      <c r="E564" s="321"/>
      <c r="T564" s="347"/>
      <c r="X564" s="321"/>
    </row>
    <row r="565" spans="4:24" ht="14.25" customHeight="1">
      <c r="D565" s="321"/>
      <c r="E565" s="321"/>
      <c r="T565" s="347"/>
      <c r="X565" s="321"/>
    </row>
    <row r="566" spans="4:24" ht="14.25" customHeight="1">
      <c r="D566" s="321"/>
      <c r="E566" s="321"/>
      <c r="T566" s="347"/>
      <c r="X566" s="321"/>
    </row>
    <row r="567" spans="4:24" ht="14.25" customHeight="1">
      <c r="D567" s="321"/>
      <c r="E567" s="321"/>
      <c r="T567" s="347"/>
      <c r="X567" s="321"/>
    </row>
    <row r="568" spans="4:24" ht="14.25" customHeight="1">
      <c r="D568" s="321"/>
      <c r="E568" s="321"/>
      <c r="T568" s="347"/>
      <c r="X568" s="321"/>
    </row>
    <row r="569" spans="4:24" ht="14.25" customHeight="1">
      <c r="D569" s="321"/>
      <c r="E569" s="321"/>
      <c r="T569" s="347"/>
      <c r="X569" s="321"/>
    </row>
    <row r="570" spans="4:24" ht="14.25" customHeight="1">
      <c r="D570" s="321"/>
      <c r="E570" s="321"/>
      <c r="T570" s="347"/>
      <c r="X570" s="321"/>
    </row>
    <row r="571" spans="4:24" ht="14.25" customHeight="1">
      <c r="D571" s="321"/>
      <c r="E571" s="321"/>
      <c r="T571" s="347"/>
      <c r="X571" s="321"/>
    </row>
    <row r="572" spans="4:24" ht="14.25" customHeight="1">
      <c r="D572" s="321"/>
      <c r="E572" s="321"/>
      <c r="T572" s="347"/>
      <c r="X572" s="321"/>
    </row>
    <row r="573" spans="4:24" ht="14.25" customHeight="1">
      <c r="D573" s="321"/>
      <c r="E573" s="321"/>
      <c r="T573" s="347"/>
      <c r="X573" s="321"/>
    </row>
    <row r="574" spans="4:24" ht="14.25" customHeight="1">
      <c r="D574" s="321"/>
      <c r="E574" s="321"/>
      <c r="T574" s="347"/>
      <c r="X574" s="321"/>
    </row>
    <row r="575" spans="4:24" ht="14.25" customHeight="1">
      <c r="D575" s="321"/>
      <c r="E575" s="321"/>
      <c r="T575" s="347"/>
      <c r="X575" s="321"/>
    </row>
    <row r="576" spans="4:24" ht="14.25" customHeight="1">
      <c r="D576" s="321"/>
      <c r="E576" s="321"/>
      <c r="T576" s="347"/>
      <c r="X576" s="321"/>
    </row>
    <row r="577" spans="4:24" ht="14.25" customHeight="1">
      <c r="D577" s="321"/>
      <c r="E577" s="321"/>
      <c r="T577" s="347"/>
      <c r="X577" s="321"/>
    </row>
    <row r="578" spans="4:24" ht="14.25" customHeight="1">
      <c r="D578" s="321"/>
      <c r="E578" s="321"/>
      <c r="T578" s="347"/>
      <c r="X578" s="321"/>
    </row>
    <row r="579" spans="4:24" ht="14.25" customHeight="1">
      <c r="D579" s="321"/>
      <c r="E579" s="321"/>
      <c r="T579" s="347"/>
      <c r="X579" s="321"/>
    </row>
    <row r="580" spans="4:24" ht="14.25" customHeight="1">
      <c r="D580" s="321"/>
      <c r="E580" s="321"/>
      <c r="T580" s="347"/>
      <c r="X580" s="321"/>
    </row>
    <row r="581" spans="4:24" ht="14.25" customHeight="1">
      <c r="D581" s="321"/>
      <c r="E581" s="321"/>
      <c r="T581" s="347"/>
      <c r="X581" s="321"/>
    </row>
    <row r="582" spans="4:24" ht="14.25" customHeight="1">
      <c r="D582" s="321"/>
      <c r="E582" s="321"/>
      <c r="T582" s="347"/>
      <c r="X582" s="321"/>
    </row>
    <row r="583" spans="4:24" ht="14.25" customHeight="1">
      <c r="D583" s="321"/>
      <c r="E583" s="321"/>
      <c r="T583" s="347"/>
      <c r="X583" s="321"/>
    </row>
    <row r="584" spans="4:24" ht="14.25" customHeight="1">
      <c r="D584" s="321"/>
      <c r="E584" s="321"/>
      <c r="T584" s="347"/>
      <c r="X584" s="321"/>
    </row>
    <row r="585" spans="4:24" ht="14.25" customHeight="1">
      <c r="D585" s="321"/>
      <c r="E585" s="321"/>
      <c r="T585" s="347"/>
      <c r="X585" s="321"/>
    </row>
    <row r="586" spans="4:24" ht="14.25" customHeight="1">
      <c r="D586" s="321"/>
      <c r="E586" s="321"/>
      <c r="T586" s="347"/>
      <c r="X586" s="321"/>
    </row>
    <row r="587" spans="4:24" ht="14.25" customHeight="1">
      <c r="D587" s="321"/>
      <c r="E587" s="321"/>
      <c r="T587" s="347"/>
      <c r="X587" s="321"/>
    </row>
    <row r="588" spans="4:24" ht="14.25" customHeight="1">
      <c r="D588" s="321"/>
      <c r="E588" s="321"/>
      <c r="T588" s="347"/>
      <c r="X588" s="321"/>
    </row>
    <row r="589" spans="4:24" ht="14.25" customHeight="1">
      <c r="D589" s="321"/>
      <c r="E589" s="321"/>
      <c r="T589" s="347"/>
      <c r="X589" s="321"/>
    </row>
    <row r="590" spans="4:24" ht="14.25" customHeight="1">
      <c r="D590" s="321"/>
      <c r="E590" s="321"/>
      <c r="T590" s="347"/>
      <c r="X590" s="321"/>
    </row>
    <row r="591" spans="4:24" ht="14.25" customHeight="1">
      <c r="D591" s="321"/>
      <c r="E591" s="321"/>
      <c r="T591" s="347"/>
      <c r="X591" s="321"/>
    </row>
    <row r="592" spans="4:24" ht="14.25" customHeight="1">
      <c r="D592" s="321"/>
      <c r="E592" s="321"/>
      <c r="T592" s="347"/>
      <c r="X592" s="321"/>
    </row>
    <row r="593" spans="4:24" ht="14.25" customHeight="1">
      <c r="D593" s="321"/>
      <c r="E593" s="321"/>
      <c r="T593" s="347"/>
      <c r="X593" s="321"/>
    </row>
    <row r="594" spans="4:24" ht="14.25" customHeight="1">
      <c r="D594" s="321"/>
      <c r="E594" s="321"/>
      <c r="T594" s="347"/>
      <c r="X594" s="321"/>
    </row>
    <row r="595" spans="4:24" ht="14.25" customHeight="1">
      <c r="D595" s="321"/>
      <c r="E595" s="321"/>
      <c r="T595" s="347"/>
      <c r="X595" s="321"/>
    </row>
    <row r="596" spans="4:24" ht="14.25" customHeight="1">
      <c r="D596" s="321"/>
      <c r="E596" s="321"/>
      <c r="T596" s="347"/>
      <c r="X596" s="321"/>
    </row>
    <row r="597" spans="4:24" ht="14.25" customHeight="1">
      <c r="D597" s="321"/>
      <c r="E597" s="321"/>
      <c r="T597" s="347"/>
      <c r="X597" s="321"/>
    </row>
    <row r="598" spans="4:24" ht="14.25" customHeight="1">
      <c r="D598" s="321"/>
      <c r="E598" s="321"/>
      <c r="T598" s="347"/>
      <c r="X598" s="321"/>
    </row>
    <row r="599" spans="4:24" ht="14.25" customHeight="1">
      <c r="D599" s="321"/>
      <c r="E599" s="321"/>
      <c r="T599" s="347"/>
      <c r="X599" s="321"/>
    </row>
    <row r="600" spans="4:24" ht="14.25" customHeight="1">
      <c r="D600" s="321"/>
      <c r="E600" s="321"/>
      <c r="T600" s="347"/>
      <c r="X600" s="321"/>
    </row>
    <row r="601" spans="4:24" ht="14.25" customHeight="1">
      <c r="D601" s="321"/>
      <c r="E601" s="321"/>
      <c r="T601" s="347"/>
      <c r="X601" s="321"/>
    </row>
    <row r="602" spans="4:24" ht="14.25" customHeight="1">
      <c r="D602" s="321"/>
      <c r="E602" s="321"/>
      <c r="T602" s="347"/>
      <c r="X602" s="321"/>
    </row>
    <row r="603" spans="4:24" ht="14.25" customHeight="1">
      <c r="D603" s="321"/>
      <c r="E603" s="321"/>
      <c r="T603" s="347"/>
      <c r="X603" s="321"/>
    </row>
    <row r="604" spans="4:24" ht="14.25" customHeight="1">
      <c r="D604" s="321"/>
      <c r="E604" s="321"/>
      <c r="T604" s="347"/>
      <c r="X604" s="321"/>
    </row>
    <row r="605" spans="4:24" ht="14.25" customHeight="1">
      <c r="D605" s="321"/>
      <c r="E605" s="321"/>
      <c r="T605" s="347"/>
      <c r="X605" s="321"/>
    </row>
    <row r="606" spans="4:24" ht="14.25" customHeight="1">
      <c r="D606" s="321"/>
      <c r="E606" s="321"/>
      <c r="T606" s="347"/>
      <c r="X606" s="321"/>
    </row>
    <row r="607" spans="4:24" ht="14.25" customHeight="1">
      <c r="D607" s="321"/>
      <c r="E607" s="321"/>
      <c r="T607" s="347"/>
      <c r="X607" s="321"/>
    </row>
    <row r="608" spans="4:24" ht="14.25" customHeight="1">
      <c r="D608" s="321"/>
      <c r="E608" s="321"/>
      <c r="T608" s="347"/>
      <c r="X608" s="321"/>
    </row>
    <row r="609" spans="4:24" ht="14.25" customHeight="1">
      <c r="D609" s="321"/>
      <c r="E609" s="321"/>
      <c r="T609" s="347"/>
      <c r="X609" s="321"/>
    </row>
    <row r="610" spans="4:24" ht="14.25" customHeight="1">
      <c r="D610" s="321"/>
      <c r="E610" s="321"/>
      <c r="T610" s="347"/>
      <c r="X610" s="321"/>
    </row>
    <row r="611" spans="4:24" ht="14.25" customHeight="1">
      <c r="D611" s="321"/>
      <c r="E611" s="321"/>
      <c r="T611" s="347"/>
      <c r="X611" s="321"/>
    </row>
    <row r="612" spans="4:24" ht="14.25" customHeight="1">
      <c r="D612" s="321"/>
      <c r="E612" s="321"/>
      <c r="T612" s="347"/>
      <c r="X612" s="321"/>
    </row>
    <row r="613" spans="4:24" ht="14.25" customHeight="1">
      <c r="D613" s="321"/>
      <c r="E613" s="321"/>
      <c r="T613" s="347"/>
      <c r="X613" s="321"/>
    </row>
    <row r="614" spans="4:24" ht="14.25" customHeight="1">
      <c r="D614" s="321"/>
      <c r="E614" s="321"/>
      <c r="T614" s="347"/>
      <c r="X614" s="321"/>
    </row>
    <row r="615" spans="4:24" ht="14.25" customHeight="1">
      <c r="D615" s="321"/>
      <c r="E615" s="321"/>
      <c r="T615" s="347"/>
      <c r="X615" s="321"/>
    </row>
    <row r="616" spans="4:24" ht="14.25" customHeight="1">
      <c r="D616" s="321"/>
      <c r="E616" s="321"/>
      <c r="T616" s="347"/>
      <c r="X616" s="321"/>
    </row>
    <row r="617" spans="4:24" ht="14.25" customHeight="1">
      <c r="D617" s="321"/>
      <c r="E617" s="321"/>
      <c r="T617" s="347"/>
      <c r="X617" s="321"/>
    </row>
    <row r="618" spans="4:24" ht="14.25" customHeight="1">
      <c r="D618" s="321"/>
      <c r="E618" s="321"/>
      <c r="T618" s="347"/>
      <c r="X618" s="321"/>
    </row>
    <row r="619" spans="4:24" ht="14.25" customHeight="1">
      <c r="D619" s="321"/>
      <c r="E619" s="321"/>
      <c r="T619" s="347"/>
      <c r="X619" s="321"/>
    </row>
    <row r="620" spans="4:24" ht="14.25" customHeight="1">
      <c r="D620" s="321"/>
      <c r="E620" s="321"/>
      <c r="T620" s="347"/>
      <c r="X620" s="321"/>
    </row>
    <row r="621" spans="4:24" ht="14.25" customHeight="1">
      <c r="D621" s="321"/>
      <c r="E621" s="321"/>
      <c r="T621" s="347"/>
      <c r="X621" s="321"/>
    </row>
    <row r="622" spans="4:24" ht="14.25" customHeight="1">
      <c r="D622" s="321"/>
      <c r="E622" s="321"/>
      <c r="T622" s="347"/>
      <c r="X622" s="321"/>
    </row>
    <row r="623" spans="4:24" ht="14.25" customHeight="1">
      <c r="D623" s="321"/>
      <c r="E623" s="321"/>
      <c r="T623" s="347"/>
      <c r="X623" s="321"/>
    </row>
    <row r="624" spans="4:24" ht="14.25" customHeight="1">
      <c r="D624" s="321"/>
      <c r="E624" s="321"/>
      <c r="T624" s="347"/>
      <c r="X624" s="321"/>
    </row>
    <row r="625" spans="4:24" ht="14.25" customHeight="1">
      <c r="D625" s="321"/>
      <c r="E625" s="321"/>
      <c r="T625" s="347"/>
      <c r="X625" s="321"/>
    </row>
    <row r="626" spans="4:24" ht="14.25" customHeight="1">
      <c r="D626" s="321"/>
      <c r="E626" s="321"/>
      <c r="T626" s="347"/>
      <c r="X626" s="321"/>
    </row>
    <row r="627" spans="4:24" ht="14.25" customHeight="1">
      <c r="D627" s="321"/>
      <c r="E627" s="321"/>
      <c r="T627" s="347"/>
      <c r="X627" s="321"/>
    </row>
    <row r="628" spans="4:24" ht="14.25" customHeight="1">
      <c r="D628" s="321"/>
      <c r="E628" s="321"/>
      <c r="T628" s="347"/>
      <c r="X628" s="321"/>
    </row>
    <row r="629" spans="4:24" ht="14.25" customHeight="1">
      <c r="D629" s="321"/>
      <c r="E629" s="321"/>
      <c r="T629" s="347"/>
      <c r="X629" s="321"/>
    </row>
    <row r="630" spans="4:24" ht="14.25" customHeight="1">
      <c r="D630" s="321"/>
      <c r="E630" s="321"/>
      <c r="T630" s="347"/>
      <c r="X630" s="321"/>
    </row>
    <row r="631" spans="4:24" ht="14.25" customHeight="1">
      <c r="D631" s="321"/>
      <c r="E631" s="321"/>
      <c r="T631" s="347"/>
      <c r="X631" s="321"/>
    </row>
    <row r="632" spans="4:24" ht="14.25" customHeight="1">
      <c r="D632" s="321"/>
      <c r="E632" s="321"/>
      <c r="T632" s="347"/>
      <c r="X632" s="321"/>
    </row>
    <row r="633" spans="4:24" ht="14.25" customHeight="1">
      <c r="D633" s="321"/>
      <c r="E633" s="321"/>
      <c r="T633" s="347"/>
      <c r="X633" s="321"/>
    </row>
    <row r="634" spans="4:24" ht="14.25" customHeight="1">
      <c r="D634" s="321"/>
      <c r="E634" s="321"/>
      <c r="T634" s="347"/>
      <c r="X634" s="321"/>
    </row>
    <row r="635" spans="4:24" ht="14.25" customHeight="1">
      <c r="D635" s="321"/>
      <c r="E635" s="321"/>
      <c r="T635" s="347"/>
      <c r="X635" s="321"/>
    </row>
    <row r="636" spans="4:24" ht="14.25" customHeight="1">
      <c r="D636" s="321"/>
      <c r="E636" s="321"/>
      <c r="T636" s="347"/>
      <c r="X636" s="321"/>
    </row>
    <row r="637" spans="4:24" ht="14.25" customHeight="1">
      <c r="D637" s="321"/>
      <c r="E637" s="321"/>
      <c r="T637" s="347"/>
      <c r="X637" s="321"/>
    </row>
    <row r="638" spans="4:24" ht="14.25" customHeight="1">
      <c r="D638" s="321"/>
      <c r="E638" s="321"/>
      <c r="T638" s="347"/>
      <c r="X638" s="321"/>
    </row>
    <row r="639" spans="4:24" ht="14.25" customHeight="1">
      <c r="D639" s="321"/>
      <c r="E639" s="321"/>
      <c r="T639" s="347"/>
      <c r="X639" s="321"/>
    </row>
    <row r="640" spans="4:24" ht="14.25" customHeight="1">
      <c r="D640" s="321"/>
      <c r="E640" s="321"/>
      <c r="T640" s="347"/>
      <c r="X640" s="321"/>
    </row>
    <row r="641" spans="4:24" ht="14.25" customHeight="1">
      <c r="D641" s="321"/>
      <c r="E641" s="321"/>
      <c r="T641" s="347"/>
      <c r="X641" s="321"/>
    </row>
    <row r="642" spans="4:24" ht="14.25" customHeight="1">
      <c r="D642" s="321"/>
      <c r="E642" s="321"/>
      <c r="T642" s="347"/>
      <c r="X642" s="321"/>
    </row>
    <row r="643" spans="4:24" ht="14.25" customHeight="1">
      <c r="D643" s="321"/>
      <c r="E643" s="321"/>
      <c r="T643" s="347"/>
      <c r="X643" s="321"/>
    </row>
    <row r="644" spans="4:24" ht="14.25" customHeight="1">
      <c r="D644" s="321"/>
      <c r="E644" s="321"/>
      <c r="T644" s="347"/>
      <c r="X644" s="321"/>
    </row>
    <row r="645" spans="4:24" ht="14.25" customHeight="1">
      <c r="D645" s="321"/>
      <c r="E645" s="321"/>
      <c r="T645" s="347"/>
      <c r="X645" s="321"/>
    </row>
    <row r="646" spans="4:24" ht="14.25" customHeight="1">
      <c r="D646" s="321"/>
      <c r="E646" s="321"/>
      <c r="T646" s="347"/>
      <c r="X646" s="321"/>
    </row>
    <row r="647" spans="4:24" ht="14.25" customHeight="1">
      <c r="D647" s="321"/>
      <c r="E647" s="321"/>
      <c r="T647" s="347"/>
      <c r="X647" s="321"/>
    </row>
    <row r="648" spans="4:24" ht="14.25" customHeight="1">
      <c r="D648" s="321"/>
      <c r="E648" s="321"/>
      <c r="T648" s="347"/>
      <c r="X648" s="321"/>
    </row>
    <row r="649" spans="4:24" ht="14.25" customHeight="1">
      <c r="D649" s="321"/>
      <c r="E649" s="321"/>
      <c r="T649" s="347"/>
      <c r="X649" s="321"/>
    </row>
    <row r="650" spans="4:24" ht="14.25" customHeight="1">
      <c r="D650" s="321"/>
      <c r="E650" s="321"/>
      <c r="T650" s="347"/>
      <c r="X650" s="321"/>
    </row>
    <row r="651" spans="4:24" ht="14.25" customHeight="1">
      <c r="D651" s="321"/>
      <c r="E651" s="321"/>
      <c r="T651" s="347"/>
      <c r="X651" s="321"/>
    </row>
    <row r="652" spans="4:24" ht="14.25" customHeight="1">
      <c r="D652" s="321"/>
      <c r="E652" s="321"/>
      <c r="T652" s="347"/>
      <c r="X652" s="321"/>
    </row>
    <row r="653" spans="4:24" ht="14.25" customHeight="1">
      <c r="D653" s="321"/>
      <c r="E653" s="321"/>
      <c r="T653" s="347"/>
      <c r="X653" s="321"/>
    </row>
    <row r="654" spans="4:24" ht="14.25" customHeight="1">
      <c r="D654" s="321"/>
      <c r="E654" s="321"/>
      <c r="T654" s="347"/>
      <c r="X654" s="321"/>
    </row>
    <row r="655" spans="4:24" ht="14.25" customHeight="1">
      <c r="D655" s="321"/>
      <c r="E655" s="321"/>
      <c r="T655" s="347"/>
      <c r="X655" s="321"/>
    </row>
    <row r="656" spans="4:24" ht="14.25" customHeight="1">
      <c r="D656" s="321"/>
      <c r="E656" s="321"/>
      <c r="T656" s="347"/>
      <c r="X656" s="321"/>
    </row>
    <row r="657" spans="4:24" ht="14.25" customHeight="1">
      <c r="D657" s="321"/>
      <c r="E657" s="321"/>
      <c r="T657" s="347"/>
      <c r="X657" s="321"/>
    </row>
    <row r="658" spans="4:24" ht="14.25" customHeight="1">
      <c r="D658" s="321"/>
      <c r="E658" s="321"/>
      <c r="T658" s="347"/>
      <c r="X658" s="321"/>
    </row>
    <row r="659" spans="4:24" ht="14.25" customHeight="1">
      <c r="D659" s="321"/>
      <c r="E659" s="321"/>
      <c r="T659" s="347"/>
      <c r="X659" s="321"/>
    </row>
    <row r="660" spans="4:24" ht="14.25" customHeight="1">
      <c r="D660" s="321"/>
      <c r="E660" s="321"/>
      <c r="T660" s="347"/>
      <c r="X660" s="321"/>
    </row>
    <row r="661" spans="4:24" ht="14.25" customHeight="1">
      <c r="D661" s="321"/>
      <c r="E661" s="321"/>
      <c r="T661" s="347"/>
      <c r="X661" s="321"/>
    </row>
    <row r="662" spans="4:24" ht="14.25" customHeight="1">
      <c r="D662" s="321"/>
      <c r="E662" s="321"/>
      <c r="T662" s="347"/>
      <c r="X662" s="321"/>
    </row>
    <row r="663" spans="4:24" ht="14.25" customHeight="1">
      <c r="D663" s="321"/>
      <c r="E663" s="321"/>
      <c r="T663" s="347"/>
      <c r="X663" s="321"/>
    </row>
    <row r="664" spans="4:24" ht="14.25" customHeight="1">
      <c r="D664" s="321"/>
      <c r="E664" s="321"/>
      <c r="T664" s="347"/>
      <c r="X664" s="321"/>
    </row>
    <row r="665" spans="4:24" ht="14.25" customHeight="1">
      <c r="D665" s="321"/>
      <c r="E665" s="321"/>
      <c r="T665" s="347"/>
      <c r="X665" s="321"/>
    </row>
    <row r="666" spans="4:24" ht="14.25" customHeight="1">
      <c r="D666" s="321"/>
      <c r="E666" s="321"/>
      <c r="T666" s="347"/>
      <c r="X666" s="321"/>
    </row>
    <row r="667" spans="4:24" ht="14.25" customHeight="1">
      <c r="D667" s="321"/>
      <c r="E667" s="321"/>
      <c r="T667" s="347"/>
      <c r="X667" s="321"/>
    </row>
    <row r="668" spans="4:24" ht="14.25" customHeight="1">
      <c r="D668" s="321"/>
      <c r="E668" s="321"/>
      <c r="T668" s="347"/>
      <c r="X668" s="321"/>
    </row>
    <row r="669" spans="4:24" ht="14.25" customHeight="1">
      <c r="D669" s="321"/>
      <c r="E669" s="321"/>
      <c r="T669" s="347"/>
      <c r="X669" s="321"/>
    </row>
    <row r="670" spans="4:24" ht="14.25" customHeight="1">
      <c r="D670" s="321"/>
      <c r="E670" s="321"/>
      <c r="T670" s="347"/>
      <c r="X670" s="321"/>
    </row>
    <row r="671" spans="4:24" ht="14.25" customHeight="1">
      <c r="D671" s="321"/>
      <c r="E671" s="321"/>
      <c r="T671" s="347"/>
      <c r="X671" s="321"/>
    </row>
    <row r="672" spans="4:24" ht="14.25" customHeight="1">
      <c r="D672" s="321"/>
      <c r="E672" s="321"/>
      <c r="T672" s="347"/>
      <c r="X672" s="321"/>
    </row>
    <row r="673" spans="4:24" ht="14.25" customHeight="1">
      <c r="D673" s="321"/>
      <c r="E673" s="321"/>
      <c r="T673" s="347"/>
      <c r="X673" s="321"/>
    </row>
    <row r="674" spans="4:24" ht="14.25" customHeight="1">
      <c r="D674" s="321"/>
      <c r="E674" s="321"/>
      <c r="T674" s="347"/>
      <c r="X674" s="321"/>
    </row>
    <row r="675" spans="4:24" ht="14.25" customHeight="1">
      <c r="D675" s="321"/>
      <c r="E675" s="321"/>
      <c r="T675" s="347"/>
      <c r="X675" s="321"/>
    </row>
    <row r="676" spans="4:24" ht="14.25" customHeight="1">
      <c r="D676" s="321"/>
      <c r="E676" s="321"/>
      <c r="T676" s="347"/>
      <c r="X676" s="321"/>
    </row>
    <row r="677" spans="4:24" ht="14.25" customHeight="1">
      <c r="D677" s="321"/>
      <c r="E677" s="321"/>
      <c r="T677" s="347"/>
      <c r="X677" s="321"/>
    </row>
    <row r="678" spans="4:24" ht="14.25" customHeight="1">
      <c r="D678" s="321"/>
      <c r="E678" s="321"/>
      <c r="T678" s="347"/>
      <c r="X678" s="321"/>
    </row>
    <row r="679" spans="4:24" ht="14.25" customHeight="1">
      <c r="D679" s="321"/>
      <c r="E679" s="321"/>
      <c r="T679" s="347"/>
      <c r="X679" s="321"/>
    </row>
    <row r="680" spans="4:24" ht="14.25" customHeight="1">
      <c r="D680" s="321"/>
      <c r="E680" s="321"/>
      <c r="T680" s="347"/>
      <c r="X680" s="321"/>
    </row>
    <row r="681" spans="4:24" ht="14.25" customHeight="1">
      <c r="D681" s="321"/>
      <c r="E681" s="321"/>
      <c r="T681" s="347"/>
      <c r="X681" s="321"/>
    </row>
    <row r="682" spans="4:24" ht="14.25" customHeight="1">
      <c r="D682" s="321"/>
      <c r="E682" s="321"/>
      <c r="T682" s="347"/>
      <c r="X682" s="321"/>
    </row>
    <row r="683" spans="4:24" ht="14.25" customHeight="1">
      <c r="D683" s="321"/>
      <c r="E683" s="321"/>
      <c r="T683" s="347"/>
      <c r="X683" s="321"/>
    </row>
    <row r="684" spans="4:24" ht="14.25" customHeight="1">
      <c r="D684" s="321"/>
      <c r="E684" s="321"/>
      <c r="T684" s="347"/>
      <c r="X684" s="321"/>
    </row>
    <row r="685" spans="4:24" ht="14.25" customHeight="1">
      <c r="D685" s="321"/>
      <c r="E685" s="321"/>
      <c r="T685" s="347"/>
      <c r="X685" s="321"/>
    </row>
    <row r="686" spans="4:24" ht="14.25" customHeight="1">
      <c r="D686" s="321"/>
      <c r="E686" s="321"/>
      <c r="T686" s="347"/>
      <c r="X686" s="321"/>
    </row>
    <row r="687" spans="4:24" ht="14.25" customHeight="1">
      <c r="D687" s="321"/>
      <c r="E687" s="321"/>
      <c r="T687" s="347"/>
      <c r="X687" s="321"/>
    </row>
    <row r="688" spans="4:24" ht="14.25" customHeight="1">
      <c r="D688" s="321"/>
      <c r="E688" s="321"/>
      <c r="T688" s="347"/>
      <c r="X688" s="321"/>
    </row>
    <row r="689" spans="4:24" ht="14.25" customHeight="1">
      <c r="D689" s="321"/>
      <c r="E689" s="321"/>
      <c r="T689" s="347"/>
      <c r="X689" s="321"/>
    </row>
    <row r="690" spans="4:24" ht="14.25" customHeight="1">
      <c r="D690" s="321"/>
      <c r="E690" s="321"/>
      <c r="T690" s="347"/>
      <c r="X690" s="321"/>
    </row>
    <row r="691" spans="4:24" ht="14.25" customHeight="1">
      <c r="D691" s="321"/>
      <c r="E691" s="321"/>
      <c r="T691" s="347"/>
      <c r="X691" s="321"/>
    </row>
    <row r="692" spans="4:24" ht="14.25" customHeight="1">
      <c r="D692" s="321"/>
      <c r="E692" s="321"/>
      <c r="T692" s="347"/>
      <c r="X692" s="321"/>
    </row>
    <row r="693" spans="4:24" ht="14.25" customHeight="1">
      <c r="D693" s="321"/>
      <c r="E693" s="321"/>
      <c r="T693" s="347"/>
      <c r="X693" s="321"/>
    </row>
    <row r="694" spans="4:24" ht="14.25" customHeight="1">
      <c r="D694" s="321"/>
      <c r="E694" s="321"/>
      <c r="T694" s="347"/>
      <c r="X694" s="321"/>
    </row>
    <row r="695" spans="4:24" ht="14.25" customHeight="1">
      <c r="D695" s="321"/>
      <c r="E695" s="321"/>
      <c r="T695" s="347"/>
      <c r="X695" s="321"/>
    </row>
    <row r="696" spans="4:24" ht="14.25" customHeight="1">
      <c r="D696" s="321"/>
      <c r="E696" s="321"/>
      <c r="T696" s="347"/>
      <c r="X696" s="321"/>
    </row>
    <row r="697" spans="4:24" ht="14.25" customHeight="1">
      <c r="D697" s="321"/>
      <c r="E697" s="321"/>
      <c r="T697" s="347"/>
      <c r="X697" s="321"/>
    </row>
    <row r="698" spans="4:24" ht="14.25" customHeight="1">
      <c r="D698" s="321"/>
      <c r="E698" s="321"/>
      <c r="T698" s="347"/>
      <c r="X698" s="321"/>
    </row>
    <row r="699" spans="4:24" ht="14.25" customHeight="1">
      <c r="D699" s="321"/>
      <c r="E699" s="321"/>
      <c r="T699" s="347"/>
      <c r="X699" s="321"/>
    </row>
    <row r="700" spans="4:24" ht="14.25" customHeight="1">
      <c r="D700" s="321"/>
      <c r="E700" s="321"/>
      <c r="T700" s="347"/>
      <c r="X700" s="321"/>
    </row>
    <row r="701" spans="4:24" ht="14.25" customHeight="1">
      <c r="D701" s="321"/>
      <c r="E701" s="321"/>
      <c r="T701" s="347"/>
      <c r="X701" s="321"/>
    </row>
    <row r="702" spans="4:24" ht="14.25" customHeight="1">
      <c r="D702" s="321"/>
      <c r="E702" s="321"/>
      <c r="T702" s="347"/>
      <c r="X702" s="321"/>
    </row>
    <row r="703" spans="4:24" ht="14.25" customHeight="1">
      <c r="D703" s="321"/>
      <c r="E703" s="321"/>
      <c r="T703" s="347"/>
      <c r="X703" s="321"/>
    </row>
    <row r="704" spans="4:24" ht="14.25" customHeight="1">
      <c r="D704" s="321"/>
      <c r="E704" s="321"/>
      <c r="T704" s="347"/>
      <c r="X704" s="321"/>
    </row>
    <row r="705" spans="4:24" ht="14.25" customHeight="1">
      <c r="D705" s="321"/>
      <c r="E705" s="321"/>
      <c r="T705" s="347"/>
      <c r="X705" s="321"/>
    </row>
    <row r="706" spans="4:24" ht="14.25" customHeight="1">
      <c r="D706" s="321"/>
      <c r="E706" s="321"/>
      <c r="T706" s="347"/>
      <c r="X706" s="321"/>
    </row>
    <row r="707" spans="4:24" ht="14.25" customHeight="1">
      <c r="D707" s="321"/>
      <c r="E707" s="321"/>
      <c r="T707" s="347"/>
      <c r="X707" s="321"/>
    </row>
    <row r="708" spans="4:24" ht="14.25" customHeight="1">
      <c r="D708" s="321"/>
      <c r="E708" s="321"/>
      <c r="T708" s="347"/>
      <c r="X708" s="321"/>
    </row>
    <row r="709" spans="4:24" ht="14.25" customHeight="1">
      <c r="D709" s="321"/>
      <c r="E709" s="321"/>
      <c r="T709" s="347"/>
      <c r="X709" s="321"/>
    </row>
    <row r="710" spans="4:24" ht="14.25" customHeight="1">
      <c r="D710" s="321"/>
      <c r="E710" s="321"/>
      <c r="T710" s="347"/>
      <c r="X710" s="321"/>
    </row>
    <row r="711" spans="4:24" ht="14.25" customHeight="1">
      <c r="D711" s="321"/>
      <c r="E711" s="321"/>
      <c r="T711" s="347"/>
      <c r="X711" s="321"/>
    </row>
    <row r="712" spans="4:24" ht="14.25" customHeight="1">
      <c r="D712" s="321"/>
      <c r="E712" s="321"/>
      <c r="T712" s="347"/>
      <c r="X712" s="321"/>
    </row>
    <row r="713" spans="4:24" ht="14.25" customHeight="1">
      <c r="D713" s="321"/>
      <c r="E713" s="321"/>
      <c r="T713" s="347"/>
      <c r="X713" s="321"/>
    </row>
    <row r="714" spans="4:24" ht="14.25" customHeight="1">
      <c r="D714" s="321"/>
      <c r="E714" s="321"/>
      <c r="T714" s="347"/>
      <c r="X714" s="321"/>
    </row>
    <row r="715" spans="4:24" ht="14.25" customHeight="1">
      <c r="D715" s="321"/>
      <c r="E715" s="321"/>
      <c r="T715" s="347"/>
      <c r="X715" s="321"/>
    </row>
    <row r="716" spans="4:24" ht="14.25" customHeight="1">
      <c r="D716" s="321"/>
      <c r="E716" s="321"/>
      <c r="T716" s="347"/>
      <c r="X716" s="321"/>
    </row>
    <row r="717" spans="4:24" ht="14.25" customHeight="1">
      <c r="D717" s="321"/>
      <c r="E717" s="321"/>
      <c r="T717" s="347"/>
      <c r="X717" s="321"/>
    </row>
    <row r="718" spans="4:24" ht="14.25" customHeight="1">
      <c r="D718" s="321"/>
      <c r="E718" s="321"/>
      <c r="T718" s="347"/>
      <c r="X718" s="321"/>
    </row>
    <row r="719" spans="4:24" ht="14.25" customHeight="1">
      <c r="D719" s="321"/>
      <c r="E719" s="321"/>
      <c r="T719" s="347"/>
      <c r="X719" s="321"/>
    </row>
    <row r="720" spans="4:24" ht="14.25" customHeight="1">
      <c r="D720" s="321"/>
      <c r="E720" s="321"/>
      <c r="T720" s="347"/>
      <c r="X720" s="321"/>
    </row>
    <row r="721" spans="4:24" ht="14.25" customHeight="1">
      <c r="D721" s="321"/>
      <c r="E721" s="321"/>
      <c r="T721" s="347"/>
      <c r="X721" s="321"/>
    </row>
    <row r="722" spans="4:24" ht="14.25" customHeight="1">
      <c r="D722" s="321"/>
      <c r="E722" s="321"/>
      <c r="T722" s="347"/>
      <c r="X722" s="321"/>
    </row>
    <row r="723" spans="4:24" ht="14.25" customHeight="1">
      <c r="D723" s="321"/>
      <c r="E723" s="321"/>
      <c r="T723" s="347"/>
      <c r="X723" s="321"/>
    </row>
    <row r="724" spans="4:24" ht="14.25" customHeight="1">
      <c r="D724" s="321"/>
      <c r="E724" s="321"/>
      <c r="T724" s="347"/>
      <c r="X724" s="321"/>
    </row>
    <row r="725" spans="4:24" ht="14.25" customHeight="1">
      <c r="D725" s="321"/>
      <c r="E725" s="321"/>
      <c r="T725" s="347"/>
      <c r="X725" s="321"/>
    </row>
    <row r="726" spans="4:24" ht="14.25" customHeight="1">
      <c r="D726" s="321"/>
      <c r="E726" s="321"/>
      <c r="T726" s="347"/>
      <c r="X726" s="321"/>
    </row>
    <row r="727" spans="4:24" ht="14.25" customHeight="1">
      <c r="D727" s="321"/>
      <c r="E727" s="321"/>
      <c r="T727" s="347"/>
      <c r="X727" s="321"/>
    </row>
    <row r="728" spans="4:24" ht="14.25" customHeight="1">
      <c r="D728" s="321"/>
      <c r="E728" s="321"/>
      <c r="T728" s="347"/>
      <c r="X728" s="321"/>
    </row>
    <row r="729" spans="4:24" ht="14.25" customHeight="1">
      <c r="D729" s="321"/>
      <c r="E729" s="321"/>
      <c r="T729" s="347"/>
      <c r="X729" s="321"/>
    </row>
    <row r="730" spans="4:24" ht="14.25" customHeight="1">
      <c r="D730" s="321"/>
      <c r="E730" s="321"/>
      <c r="T730" s="347"/>
      <c r="X730" s="321"/>
    </row>
    <row r="731" spans="4:24" ht="14.25" customHeight="1">
      <c r="D731" s="321"/>
      <c r="E731" s="321"/>
      <c r="T731" s="347"/>
      <c r="X731" s="321"/>
    </row>
    <row r="732" spans="4:24" ht="14.25" customHeight="1">
      <c r="D732" s="321"/>
      <c r="E732" s="321"/>
      <c r="T732" s="347"/>
      <c r="X732" s="321"/>
    </row>
    <row r="733" spans="4:24" ht="14.25" customHeight="1">
      <c r="D733" s="321"/>
      <c r="E733" s="321"/>
      <c r="T733" s="347"/>
      <c r="X733" s="321"/>
    </row>
    <row r="734" spans="4:24" ht="14.25" customHeight="1">
      <c r="D734" s="321"/>
      <c r="E734" s="321"/>
      <c r="T734" s="347"/>
      <c r="X734" s="321"/>
    </row>
    <row r="735" spans="4:24" ht="14.25" customHeight="1">
      <c r="D735" s="321"/>
      <c r="E735" s="321"/>
      <c r="T735" s="347"/>
      <c r="X735" s="321"/>
    </row>
    <row r="736" spans="4:24" ht="14.25" customHeight="1">
      <c r="D736" s="321"/>
      <c r="E736" s="321"/>
      <c r="T736" s="347"/>
      <c r="X736" s="321"/>
    </row>
    <row r="737" spans="4:24" ht="14.25" customHeight="1">
      <c r="D737" s="321"/>
      <c r="E737" s="321"/>
      <c r="T737" s="347"/>
      <c r="X737" s="321"/>
    </row>
    <row r="738" spans="4:24" ht="14.25" customHeight="1">
      <c r="D738" s="321"/>
      <c r="E738" s="321"/>
      <c r="T738" s="347"/>
      <c r="X738" s="321"/>
    </row>
    <row r="739" spans="4:24" ht="14.25" customHeight="1">
      <c r="D739" s="321"/>
      <c r="E739" s="321"/>
      <c r="T739" s="347"/>
      <c r="X739" s="321"/>
    </row>
    <row r="740" spans="4:24" ht="14.25" customHeight="1">
      <c r="D740" s="321"/>
      <c r="E740" s="321"/>
      <c r="T740" s="347"/>
      <c r="X740" s="321"/>
    </row>
    <row r="741" spans="4:24" ht="14.25" customHeight="1">
      <c r="D741" s="321"/>
      <c r="E741" s="321"/>
      <c r="T741" s="347"/>
      <c r="X741" s="321"/>
    </row>
    <row r="742" spans="4:24" ht="14.25" customHeight="1">
      <c r="D742" s="321"/>
      <c r="E742" s="321"/>
      <c r="T742" s="347"/>
      <c r="X742" s="321"/>
    </row>
    <row r="743" spans="4:24" ht="14.25" customHeight="1">
      <c r="D743" s="321"/>
      <c r="E743" s="321"/>
      <c r="T743" s="347"/>
      <c r="X743" s="321"/>
    </row>
    <row r="744" spans="4:24" ht="14.25" customHeight="1">
      <c r="D744" s="321"/>
      <c r="E744" s="321"/>
      <c r="T744" s="347"/>
      <c r="X744" s="321"/>
    </row>
    <row r="745" spans="4:24" ht="14.25" customHeight="1">
      <c r="D745" s="321"/>
      <c r="E745" s="321"/>
      <c r="T745" s="347"/>
      <c r="X745" s="321"/>
    </row>
    <row r="746" spans="4:24" ht="14.25" customHeight="1">
      <c r="D746" s="321"/>
      <c r="E746" s="321"/>
      <c r="T746" s="347"/>
      <c r="X746" s="321"/>
    </row>
    <row r="747" spans="4:24" ht="14.25" customHeight="1">
      <c r="D747" s="321"/>
      <c r="E747" s="321"/>
      <c r="T747" s="347"/>
      <c r="X747" s="321"/>
    </row>
    <row r="748" spans="4:24" ht="14.25" customHeight="1">
      <c r="D748" s="321"/>
      <c r="E748" s="321"/>
      <c r="T748" s="347"/>
      <c r="X748" s="321"/>
    </row>
    <row r="749" spans="4:24" ht="14.25" customHeight="1">
      <c r="D749" s="321"/>
      <c r="E749" s="321"/>
      <c r="T749" s="347"/>
      <c r="X749" s="321"/>
    </row>
    <row r="750" spans="4:24" ht="14.25" customHeight="1">
      <c r="D750" s="321"/>
      <c r="E750" s="321"/>
      <c r="T750" s="347"/>
      <c r="X750" s="321"/>
    </row>
    <row r="751" spans="4:24" ht="14.25" customHeight="1">
      <c r="D751" s="321"/>
      <c r="E751" s="321"/>
      <c r="T751" s="347"/>
      <c r="X751" s="321"/>
    </row>
    <row r="752" spans="4:24" ht="14.25" customHeight="1">
      <c r="D752" s="321"/>
      <c r="E752" s="321"/>
      <c r="T752" s="347"/>
      <c r="X752" s="321"/>
    </row>
    <row r="753" spans="4:24" ht="14.25" customHeight="1">
      <c r="D753" s="321"/>
      <c r="E753" s="321"/>
      <c r="T753" s="347"/>
      <c r="X753" s="321"/>
    </row>
    <row r="754" spans="4:24" ht="14.25" customHeight="1">
      <c r="D754" s="321"/>
      <c r="E754" s="321"/>
      <c r="T754" s="347"/>
      <c r="X754" s="321"/>
    </row>
    <row r="755" spans="4:24" ht="14.25" customHeight="1">
      <c r="D755" s="321"/>
      <c r="E755" s="321"/>
      <c r="T755" s="347"/>
      <c r="X755" s="321"/>
    </row>
    <row r="756" spans="4:24" ht="14.25" customHeight="1">
      <c r="D756" s="321"/>
      <c r="E756" s="321"/>
      <c r="T756" s="347"/>
      <c r="X756" s="321"/>
    </row>
    <row r="757" spans="4:24" ht="14.25" customHeight="1">
      <c r="D757" s="321"/>
      <c r="E757" s="321"/>
      <c r="T757" s="347"/>
      <c r="X757" s="321"/>
    </row>
    <row r="758" spans="4:24" ht="14.25" customHeight="1">
      <c r="D758" s="321"/>
      <c r="E758" s="321"/>
      <c r="T758" s="347"/>
      <c r="X758" s="321"/>
    </row>
    <row r="759" spans="4:24" ht="14.25" customHeight="1">
      <c r="D759" s="321"/>
      <c r="E759" s="321"/>
      <c r="T759" s="347"/>
      <c r="X759" s="321"/>
    </row>
    <row r="760" spans="4:24" ht="14.25" customHeight="1">
      <c r="D760" s="321"/>
      <c r="E760" s="321"/>
      <c r="T760" s="347"/>
      <c r="X760" s="321"/>
    </row>
    <row r="761" spans="4:24" ht="14.25" customHeight="1">
      <c r="D761" s="321"/>
      <c r="E761" s="321"/>
      <c r="T761" s="347"/>
      <c r="X761" s="321"/>
    </row>
    <row r="762" spans="4:24" ht="14.25" customHeight="1">
      <c r="D762" s="321"/>
      <c r="E762" s="321"/>
      <c r="T762" s="347"/>
      <c r="X762" s="321"/>
    </row>
    <row r="763" spans="4:24" ht="14.25" customHeight="1">
      <c r="D763" s="321"/>
      <c r="E763" s="321"/>
      <c r="T763" s="347"/>
      <c r="X763" s="321"/>
    </row>
    <row r="764" spans="4:24" ht="14.25" customHeight="1">
      <c r="D764" s="321"/>
      <c r="E764" s="321"/>
      <c r="T764" s="347"/>
      <c r="X764" s="321"/>
    </row>
    <row r="765" spans="4:24" ht="14.25" customHeight="1">
      <c r="D765" s="321"/>
      <c r="E765" s="321"/>
      <c r="T765" s="347"/>
      <c r="X765" s="321"/>
    </row>
    <row r="766" spans="4:24" ht="14.25" customHeight="1">
      <c r="D766" s="321"/>
      <c r="E766" s="321"/>
      <c r="T766" s="347"/>
      <c r="X766" s="321"/>
    </row>
    <row r="767" spans="4:24" ht="14.25" customHeight="1">
      <c r="D767" s="321"/>
      <c r="E767" s="321"/>
      <c r="T767" s="347"/>
      <c r="X767" s="321"/>
    </row>
    <row r="768" spans="4:24" ht="14.25" customHeight="1">
      <c r="D768" s="321"/>
      <c r="E768" s="321"/>
      <c r="T768" s="347"/>
      <c r="X768" s="321"/>
    </row>
    <row r="769" spans="4:24" ht="14.25" customHeight="1">
      <c r="D769" s="321"/>
      <c r="E769" s="321"/>
      <c r="T769" s="347"/>
      <c r="X769" s="321"/>
    </row>
    <row r="770" spans="4:24" ht="14.25" customHeight="1">
      <c r="D770" s="321"/>
      <c r="E770" s="321"/>
      <c r="T770" s="347"/>
      <c r="X770" s="321"/>
    </row>
    <row r="771" spans="4:24" ht="14.25" customHeight="1">
      <c r="D771" s="321"/>
      <c r="E771" s="321"/>
      <c r="T771" s="347"/>
      <c r="X771" s="321"/>
    </row>
    <row r="772" spans="4:24" ht="14.25" customHeight="1">
      <c r="D772" s="321"/>
      <c r="E772" s="321"/>
      <c r="T772" s="347"/>
      <c r="X772" s="321"/>
    </row>
    <row r="773" spans="4:24" ht="14.25" customHeight="1">
      <c r="D773" s="321"/>
      <c r="E773" s="321"/>
      <c r="T773" s="347"/>
      <c r="X773" s="321"/>
    </row>
    <row r="774" spans="4:24" ht="14.25" customHeight="1">
      <c r="D774" s="321"/>
      <c r="E774" s="321"/>
      <c r="T774" s="347"/>
      <c r="X774" s="321"/>
    </row>
    <row r="775" spans="4:24" ht="14.25" customHeight="1">
      <c r="D775" s="321"/>
      <c r="E775" s="321"/>
      <c r="T775" s="347"/>
      <c r="X775" s="321"/>
    </row>
    <row r="776" spans="4:24" ht="14.25" customHeight="1">
      <c r="D776" s="321"/>
      <c r="E776" s="321"/>
      <c r="T776" s="347"/>
      <c r="X776" s="321"/>
    </row>
    <row r="777" spans="4:24" ht="14.25" customHeight="1">
      <c r="D777" s="321"/>
      <c r="E777" s="321"/>
      <c r="T777" s="347"/>
      <c r="X777" s="321"/>
    </row>
    <row r="778" spans="4:24" ht="14.25" customHeight="1">
      <c r="D778" s="321"/>
      <c r="E778" s="321"/>
      <c r="T778" s="347"/>
      <c r="X778" s="321"/>
    </row>
    <row r="779" spans="4:24" ht="14.25" customHeight="1">
      <c r="D779" s="321"/>
      <c r="E779" s="321"/>
      <c r="T779" s="347"/>
      <c r="X779" s="321"/>
    </row>
    <row r="780" spans="4:24" ht="14.25" customHeight="1">
      <c r="D780" s="321"/>
      <c r="E780" s="321"/>
      <c r="T780" s="347"/>
      <c r="X780" s="321"/>
    </row>
    <row r="781" spans="4:24" ht="14.25" customHeight="1">
      <c r="D781" s="321"/>
      <c r="E781" s="321"/>
      <c r="T781" s="347"/>
      <c r="X781" s="321"/>
    </row>
    <row r="782" spans="4:24" ht="14.25" customHeight="1">
      <c r="D782" s="321"/>
      <c r="E782" s="321"/>
      <c r="T782" s="347"/>
      <c r="X782" s="321"/>
    </row>
    <row r="783" spans="4:24" ht="14.25" customHeight="1">
      <c r="D783" s="321"/>
      <c r="E783" s="321"/>
      <c r="T783" s="347"/>
      <c r="X783" s="321"/>
    </row>
    <row r="784" spans="4:24" ht="14.25" customHeight="1">
      <c r="D784" s="321"/>
      <c r="E784" s="321"/>
      <c r="T784" s="347"/>
      <c r="X784" s="321"/>
    </row>
    <row r="785" spans="4:24" ht="14.25" customHeight="1">
      <c r="D785" s="321"/>
      <c r="E785" s="321"/>
      <c r="T785" s="347"/>
      <c r="X785" s="321"/>
    </row>
    <row r="786" spans="4:24" ht="14.25" customHeight="1">
      <c r="D786" s="321"/>
      <c r="E786" s="321"/>
      <c r="T786" s="347"/>
      <c r="X786" s="321"/>
    </row>
    <row r="787" spans="4:24" ht="14.25" customHeight="1">
      <c r="D787" s="321"/>
      <c r="E787" s="321"/>
      <c r="T787" s="347"/>
      <c r="X787" s="321"/>
    </row>
    <row r="788" spans="4:24" ht="14.25" customHeight="1">
      <c r="D788" s="321"/>
      <c r="E788" s="321"/>
      <c r="T788" s="347"/>
      <c r="X788" s="321"/>
    </row>
    <row r="789" spans="4:24" ht="14.25" customHeight="1">
      <c r="D789" s="321"/>
      <c r="E789" s="321"/>
      <c r="T789" s="347"/>
      <c r="X789" s="321"/>
    </row>
    <row r="790" spans="4:24" ht="14.25" customHeight="1">
      <c r="D790" s="321"/>
      <c r="E790" s="321"/>
      <c r="T790" s="347"/>
      <c r="X790" s="321"/>
    </row>
    <row r="791" spans="4:24" ht="14.25" customHeight="1">
      <c r="D791" s="321"/>
      <c r="E791" s="321"/>
      <c r="T791" s="347"/>
      <c r="X791" s="321"/>
    </row>
    <row r="792" spans="4:24" ht="14.25" customHeight="1">
      <c r="D792" s="321"/>
      <c r="E792" s="321"/>
      <c r="T792" s="347"/>
      <c r="X792" s="321"/>
    </row>
    <row r="793" spans="4:24" ht="14.25" customHeight="1">
      <c r="D793" s="321"/>
      <c r="E793" s="321"/>
      <c r="T793" s="347"/>
      <c r="X793" s="321"/>
    </row>
    <row r="794" spans="4:24" ht="14.25" customHeight="1">
      <c r="D794" s="321"/>
      <c r="E794" s="321"/>
      <c r="T794" s="347"/>
      <c r="X794" s="321"/>
    </row>
    <row r="795" spans="4:24" ht="14.25" customHeight="1">
      <c r="D795" s="321"/>
      <c r="E795" s="321"/>
      <c r="T795" s="347"/>
      <c r="X795" s="321"/>
    </row>
    <row r="796" spans="4:24" ht="14.25" customHeight="1">
      <c r="D796" s="321"/>
      <c r="E796" s="321"/>
      <c r="T796" s="347"/>
      <c r="X796" s="321"/>
    </row>
    <row r="797" spans="4:24" ht="14.25" customHeight="1">
      <c r="D797" s="321"/>
      <c r="E797" s="321"/>
      <c r="T797" s="347"/>
      <c r="X797" s="321"/>
    </row>
    <row r="798" spans="4:24" ht="14.25" customHeight="1">
      <c r="D798" s="321"/>
      <c r="E798" s="321"/>
      <c r="T798" s="347"/>
      <c r="X798" s="321"/>
    </row>
    <row r="799" spans="4:24" ht="14.25" customHeight="1">
      <c r="D799" s="321"/>
      <c r="E799" s="321"/>
      <c r="T799" s="347"/>
      <c r="X799" s="321"/>
    </row>
    <row r="800" spans="4:24" ht="14.25" customHeight="1">
      <c r="D800" s="321"/>
      <c r="E800" s="321"/>
      <c r="T800" s="347"/>
      <c r="X800" s="321"/>
    </row>
    <row r="801" spans="4:24" ht="14.25" customHeight="1">
      <c r="D801" s="321"/>
      <c r="E801" s="321"/>
      <c r="T801" s="347"/>
      <c r="X801" s="321"/>
    </row>
    <row r="802" spans="4:24" ht="14.25" customHeight="1">
      <c r="D802" s="321"/>
      <c r="E802" s="321"/>
      <c r="T802" s="347"/>
      <c r="X802" s="321"/>
    </row>
    <row r="803" spans="4:24" ht="14.25" customHeight="1">
      <c r="D803" s="321"/>
      <c r="E803" s="321"/>
      <c r="T803" s="347"/>
      <c r="X803" s="321"/>
    </row>
    <row r="804" spans="4:24" ht="14.25" customHeight="1">
      <c r="D804" s="321"/>
      <c r="E804" s="321"/>
      <c r="T804" s="347"/>
      <c r="X804" s="321"/>
    </row>
    <row r="805" spans="4:24" ht="14.25" customHeight="1">
      <c r="D805" s="321"/>
      <c r="E805" s="321"/>
      <c r="T805" s="347"/>
      <c r="X805" s="321"/>
    </row>
    <row r="806" spans="4:24" ht="14.25" customHeight="1">
      <c r="D806" s="321"/>
      <c r="E806" s="321"/>
      <c r="T806" s="347"/>
      <c r="X806" s="321"/>
    </row>
    <row r="807" spans="4:24" ht="14.25" customHeight="1">
      <c r="D807" s="321"/>
      <c r="E807" s="321"/>
      <c r="T807" s="347"/>
      <c r="X807" s="321"/>
    </row>
    <row r="808" spans="4:24" ht="14.25" customHeight="1">
      <c r="D808" s="321"/>
      <c r="E808" s="321"/>
      <c r="T808" s="347"/>
      <c r="X808" s="321"/>
    </row>
    <row r="809" spans="4:24" ht="14.25" customHeight="1">
      <c r="D809" s="321"/>
      <c r="E809" s="321"/>
      <c r="T809" s="347"/>
      <c r="X809" s="321"/>
    </row>
    <row r="810" spans="4:24" ht="14.25" customHeight="1">
      <c r="D810" s="321"/>
      <c r="E810" s="321"/>
      <c r="T810" s="347"/>
      <c r="X810" s="321"/>
    </row>
    <row r="811" spans="4:24" ht="14.25" customHeight="1">
      <c r="D811" s="321"/>
      <c r="E811" s="321"/>
      <c r="T811" s="347"/>
      <c r="X811" s="321"/>
    </row>
    <row r="812" spans="4:24" ht="14.25" customHeight="1">
      <c r="D812" s="321"/>
      <c r="E812" s="321"/>
      <c r="T812" s="347"/>
      <c r="X812" s="321"/>
    </row>
    <row r="813" spans="4:24" ht="14.25" customHeight="1">
      <c r="D813" s="321"/>
      <c r="E813" s="321"/>
      <c r="T813" s="347"/>
      <c r="X813" s="321"/>
    </row>
    <row r="814" spans="4:24" ht="14.25" customHeight="1">
      <c r="D814" s="321"/>
      <c r="E814" s="321"/>
      <c r="T814" s="347"/>
      <c r="X814" s="321"/>
    </row>
    <row r="815" spans="4:24" ht="14.25" customHeight="1">
      <c r="D815" s="321"/>
      <c r="E815" s="321"/>
      <c r="T815" s="347"/>
      <c r="X815" s="321"/>
    </row>
    <row r="816" spans="4:24" ht="14.25" customHeight="1">
      <c r="D816" s="321"/>
      <c r="E816" s="321"/>
      <c r="T816" s="347"/>
      <c r="X816" s="321"/>
    </row>
    <row r="817" spans="4:24" ht="14.25" customHeight="1">
      <c r="D817" s="321"/>
      <c r="E817" s="321"/>
      <c r="T817" s="347"/>
      <c r="X817" s="321"/>
    </row>
    <row r="818" spans="4:24" ht="14.25" customHeight="1">
      <c r="D818" s="321"/>
      <c r="E818" s="321"/>
      <c r="T818" s="347"/>
      <c r="X818" s="321"/>
    </row>
    <row r="819" spans="4:24" ht="14.25" customHeight="1">
      <c r="D819" s="321"/>
      <c r="E819" s="321"/>
      <c r="T819" s="347"/>
      <c r="X819" s="321"/>
    </row>
    <row r="820" spans="4:24" ht="14.25" customHeight="1">
      <c r="D820" s="321"/>
      <c r="E820" s="321"/>
      <c r="T820" s="347"/>
      <c r="X820" s="321"/>
    </row>
    <row r="821" spans="4:24" ht="14.25" customHeight="1">
      <c r="D821" s="321"/>
      <c r="E821" s="321"/>
      <c r="T821" s="347"/>
      <c r="X821" s="321"/>
    </row>
    <row r="822" spans="4:24" ht="14.25" customHeight="1">
      <c r="D822" s="321"/>
      <c r="E822" s="321"/>
      <c r="T822" s="347"/>
      <c r="X822" s="321"/>
    </row>
    <row r="823" spans="4:24" ht="14.25" customHeight="1">
      <c r="D823" s="321"/>
      <c r="E823" s="321"/>
      <c r="T823" s="347"/>
      <c r="X823" s="321"/>
    </row>
    <row r="824" spans="4:24" ht="14.25" customHeight="1">
      <c r="D824" s="321"/>
      <c r="E824" s="321"/>
      <c r="T824" s="347"/>
      <c r="X824" s="321"/>
    </row>
    <row r="825" spans="4:24" ht="14.25" customHeight="1">
      <c r="D825" s="321"/>
      <c r="E825" s="321"/>
      <c r="T825" s="347"/>
      <c r="X825" s="321"/>
    </row>
    <row r="826" spans="4:24" ht="14.25" customHeight="1">
      <c r="D826" s="321"/>
      <c r="E826" s="321"/>
      <c r="T826" s="347"/>
      <c r="X826" s="321"/>
    </row>
    <row r="827" spans="4:24" ht="14.25" customHeight="1">
      <c r="D827" s="321"/>
      <c r="E827" s="321"/>
      <c r="T827" s="347"/>
      <c r="X827" s="321"/>
    </row>
    <row r="828" spans="4:24" ht="14.25" customHeight="1">
      <c r="D828" s="321"/>
      <c r="E828" s="321"/>
      <c r="T828" s="347"/>
      <c r="X828" s="321"/>
    </row>
    <row r="829" spans="4:24" ht="14.25" customHeight="1">
      <c r="D829" s="321"/>
      <c r="E829" s="321"/>
      <c r="T829" s="347"/>
      <c r="X829" s="321"/>
    </row>
    <row r="830" spans="4:24" ht="14.25" customHeight="1">
      <c r="D830" s="321"/>
      <c r="E830" s="321"/>
      <c r="T830" s="347"/>
      <c r="X830" s="321"/>
    </row>
    <row r="831" spans="4:24" ht="14.25" customHeight="1">
      <c r="D831" s="321"/>
      <c r="E831" s="321"/>
      <c r="T831" s="347"/>
      <c r="X831" s="321"/>
    </row>
    <row r="832" spans="4:24" ht="14.25" customHeight="1">
      <c r="D832" s="321"/>
      <c r="E832" s="321"/>
      <c r="T832" s="347"/>
      <c r="X832" s="321"/>
    </row>
    <row r="833" spans="4:24" ht="14.25" customHeight="1">
      <c r="D833" s="321"/>
      <c r="E833" s="321"/>
      <c r="T833" s="347"/>
      <c r="X833" s="321"/>
    </row>
    <row r="834" spans="4:24" ht="14.25" customHeight="1">
      <c r="D834" s="321"/>
      <c r="E834" s="321"/>
      <c r="T834" s="347"/>
      <c r="X834" s="321"/>
    </row>
    <row r="835" spans="4:24" ht="14.25" customHeight="1">
      <c r="D835" s="321"/>
      <c r="E835" s="321"/>
      <c r="T835" s="347"/>
      <c r="X835" s="321"/>
    </row>
    <row r="836" spans="4:24" ht="14.25" customHeight="1">
      <c r="D836" s="321"/>
      <c r="E836" s="321"/>
      <c r="T836" s="347"/>
      <c r="X836" s="321"/>
    </row>
    <row r="837" spans="4:24" ht="14.25" customHeight="1">
      <c r="D837" s="321"/>
      <c r="E837" s="321"/>
      <c r="T837" s="347"/>
      <c r="X837" s="321"/>
    </row>
    <row r="838" spans="4:24" ht="14.25" customHeight="1">
      <c r="D838" s="321"/>
      <c r="E838" s="321"/>
      <c r="T838" s="347"/>
      <c r="X838" s="321"/>
    </row>
    <row r="839" spans="4:24" ht="14.25" customHeight="1">
      <c r="D839" s="321"/>
      <c r="E839" s="321"/>
      <c r="T839" s="347"/>
      <c r="X839" s="321"/>
    </row>
    <row r="840" spans="4:24" ht="14.25" customHeight="1">
      <c r="D840" s="321"/>
      <c r="E840" s="321"/>
      <c r="T840" s="347"/>
      <c r="X840" s="321"/>
    </row>
    <row r="841" spans="4:24" ht="14.25" customHeight="1">
      <c r="D841" s="321"/>
      <c r="E841" s="321"/>
      <c r="T841" s="347"/>
      <c r="X841" s="321"/>
    </row>
    <row r="842" spans="4:24" ht="14.25" customHeight="1">
      <c r="D842" s="321"/>
      <c r="E842" s="321"/>
      <c r="T842" s="347"/>
      <c r="X842" s="321"/>
    </row>
    <row r="843" spans="4:24" ht="14.25" customHeight="1">
      <c r="D843" s="321"/>
      <c r="E843" s="321"/>
      <c r="T843" s="347"/>
      <c r="X843" s="321"/>
    </row>
    <row r="844" spans="4:24" ht="14.25" customHeight="1">
      <c r="D844" s="321"/>
      <c r="E844" s="321"/>
      <c r="T844" s="347"/>
      <c r="X844" s="321"/>
    </row>
    <row r="845" spans="4:24" ht="14.25" customHeight="1">
      <c r="D845" s="321"/>
      <c r="E845" s="321"/>
      <c r="T845" s="347"/>
      <c r="X845" s="321"/>
    </row>
    <row r="846" spans="4:24" ht="14.25" customHeight="1">
      <c r="D846" s="321"/>
      <c r="E846" s="321"/>
      <c r="T846" s="347"/>
      <c r="X846" s="321"/>
    </row>
    <row r="847" spans="4:24" ht="14.25" customHeight="1">
      <c r="D847" s="321"/>
      <c r="E847" s="321"/>
      <c r="T847" s="347"/>
      <c r="X847" s="321"/>
    </row>
    <row r="848" spans="4:24" ht="14.25" customHeight="1">
      <c r="D848" s="321"/>
      <c r="E848" s="321"/>
      <c r="T848" s="347"/>
      <c r="X848" s="321"/>
    </row>
    <row r="849" spans="4:24" ht="14.25" customHeight="1">
      <c r="D849" s="321"/>
      <c r="E849" s="321"/>
      <c r="T849" s="347"/>
      <c r="X849" s="321"/>
    </row>
    <row r="850" spans="4:24" ht="14.25" customHeight="1">
      <c r="D850" s="321"/>
      <c r="E850" s="321"/>
      <c r="T850" s="347"/>
      <c r="X850" s="321"/>
    </row>
    <row r="851" spans="4:24" ht="14.25" customHeight="1">
      <c r="D851" s="321"/>
      <c r="E851" s="321"/>
      <c r="T851" s="347"/>
      <c r="X851" s="321"/>
    </row>
    <row r="852" spans="4:24" ht="14.25" customHeight="1">
      <c r="D852" s="321"/>
      <c r="E852" s="321"/>
      <c r="T852" s="347"/>
      <c r="X852" s="321"/>
    </row>
    <row r="853" spans="4:24" ht="14.25" customHeight="1">
      <c r="D853" s="321"/>
      <c r="E853" s="321"/>
      <c r="T853" s="347"/>
      <c r="X853" s="321"/>
    </row>
    <row r="854" spans="4:24" ht="14.25" customHeight="1">
      <c r="D854" s="321"/>
      <c r="E854" s="321"/>
      <c r="T854" s="347"/>
      <c r="X854" s="321"/>
    </row>
    <row r="855" spans="4:24" ht="14.25" customHeight="1">
      <c r="D855" s="321"/>
      <c r="E855" s="321"/>
      <c r="T855" s="347"/>
      <c r="X855" s="321"/>
    </row>
    <row r="856" spans="4:24" ht="14.25" customHeight="1">
      <c r="D856" s="321"/>
      <c r="E856" s="321"/>
      <c r="T856" s="347"/>
      <c r="X856" s="321"/>
    </row>
    <row r="857" spans="4:24" ht="14.25" customHeight="1">
      <c r="D857" s="321"/>
      <c r="E857" s="321"/>
      <c r="T857" s="347"/>
      <c r="X857" s="321"/>
    </row>
    <row r="858" spans="4:24" ht="14.25" customHeight="1">
      <c r="D858" s="321"/>
      <c r="E858" s="321"/>
      <c r="T858" s="347"/>
      <c r="X858" s="321"/>
    </row>
    <row r="859" spans="4:24" ht="14.25" customHeight="1">
      <c r="D859" s="321"/>
      <c r="E859" s="321"/>
      <c r="T859" s="347"/>
      <c r="X859" s="321"/>
    </row>
    <row r="860" spans="4:24" ht="14.25" customHeight="1">
      <c r="D860" s="321"/>
      <c r="E860" s="321"/>
      <c r="T860" s="347"/>
      <c r="X860" s="321"/>
    </row>
    <row r="861" spans="4:24" ht="14.25" customHeight="1">
      <c r="D861" s="321"/>
      <c r="E861" s="321"/>
      <c r="T861" s="347"/>
      <c r="X861" s="321"/>
    </row>
    <row r="862" spans="4:24" ht="14.25" customHeight="1">
      <c r="D862" s="321"/>
      <c r="E862" s="321"/>
      <c r="T862" s="347"/>
      <c r="X862" s="321"/>
    </row>
    <row r="863" spans="4:24" ht="14.25" customHeight="1">
      <c r="D863" s="321"/>
      <c r="E863" s="321"/>
      <c r="T863" s="347"/>
      <c r="X863" s="321"/>
    </row>
    <row r="864" spans="4:24" ht="14.25" customHeight="1">
      <c r="D864" s="321"/>
      <c r="E864" s="321"/>
      <c r="T864" s="347"/>
      <c r="X864" s="321"/>
    </row>
    <row r="865" spans="4:24" ht="14.25" customHeight="1">
      <c r="D865" s="321"/>
      <c r="E865" s="321"/>
      <c r="T865" s="347"/>
      <c r="X865" s="321"/>
    </row>
    <row r="866" spans="4:24" ht="14.25" customHeight="1">
      <c r="D866" s="321"/>
      <c r="E866" s="321"/>
      <c r="T866" s="347"/>
      <c r="X866" s="321"/>
    </row>
    <row r="867" spans="4:24" ht="14.25" customHeight="1">
      <c r="D867" s="321"/>
      <c r="E867" s="321"/>
      <c r="T867" s="347"/>
      <c r="X867" s="321"/>
    </row>
    <row r="868" spans="4:24" ht="14.25" customHeight="1">
      <c r="D868" s="321"/>
      <c r="E868" s="321"/>
      <c r="T868" s="347"/>
      <c r="X868" s="321"/>
    </row>
    <row r="869" spans="4:24" ht="14.25" customHeight="1">
      <c r="D869" s="321"/>
      <c r="E869" s="321"/>
      <c r="T869" s="347"/>
      <c r="X869" s="321"/>
    </row>
    <row r="870" spans="4:24" ht="14.25" customHeight="1">
      <c r="D870" s="321"/>
      <c r="E870" s="321"/>
      <c r="T870" s="347"/>
      <c r="X870" s="321"/>
    </row>
    <row r="871" spans="4:24" ht="14.25" customHeight="1">
      <c r="D871" s="321"/>
      <c r="E871" s="321"/>
      <c r="T871" s="347"/>
      <c r="X871" s="321"/>
    </row>
    <row r="872" spans="4:24" ht="14.25" customHeight="1">
      <c r="D872" s="321"/>
      <c r="E872" s="321"/>
      <c r="T872" s="347"/>
      <c r="X872" s="321"/>
    </row>
    <row r="873" spans="4:24" ht="14.25" customHeight="1">
      <c r="D873" s="321"/>
      <c r="E873" s="321"/>
      <c r="T873" s="347"/>
      <c r="X873" s="321"/>
    </row>
    <row r="874" spans="4:24" ht="14.25" customHeight="1">
      <c r="D874" s="321"/>
      <c r="E874" s="321"/>
      <c r="T874" s="347"/>
      <c r="X874" s="321"/>
    </row>
    <row r="875" spans="4:24" ht="14.25" customHeight="1">
      <c r="D875" s="321"/>
      <c r="E875" s="321"/>
      <c r="T875" s="347"/>
      <c r="X875" s="321"/>
    </row>
    <row r="876" spans="4:24" ht="14.25" customHeight="1">
      <c r="D876" s="321"/>
      <c r="E876" s="321"/>
      <c r="T876" s="347"/>
      <c r="X876" s="321"/>
    </row>
    <row r="877" spans="4:24" ht="14.25" customHeight="1">
      <c r="D877" s="321"/>
      <c r="E877" s="321"/>
      <c r="T877" s="347"/>
      <c r="X877" s="321"/>
    </row>
    <row r="878" spans="4:24" ht="14.25" customHeight="1">
      <c r="D878" s="321"/>
      <c r="E878" s="321"/>
      <c r="T878" s="347"/>
      <c r="X878" s="321"/>
    </row>
    <row r="879" spans="4:24" ht="14.25" customHeight="1">
      <c r="D879" s="321"/>
      <c r="E879" s="321"/>
      <c r="T879" s="347"/>
      <c r="X879" s="321"/>
    </row>
    <row r="880" spans="4:24" ht="14.25" customHeight="1">
      <c r="D880" s="321"/>
      <c r="E880" s="321"/>
      <c r="T880" s="347"/>
      <c r="X880" s="321"/>
    </row>
    <row r="881" spans="4:24" ht="14.25" customHeight="1">
      <c r="D881" s="321"/>
      <c r="E881" s="321"/>
      <c r="T881" s="347"/>
      <c r="X881" s="321"/>
    </row>
    <row r="882" spans="4:24" ht="14.25" customHeight="1">
      <c r="D882" s="321"/>
      <c r="E882" s="321"/>
      <c r="T882" s="347"/>
      <c r="X882" s="321"/>
    </row>
    <row r="883" spans="4:24" ht="14.25" customHeight="1">
      <c r="D883" s="321"/>
      <c r="E883" s="321"/>
      <c r="T883" s="347"/>
      <c r="X883" s="321"/>
    </row>
    <row r="884" spans="4:24" ht="14.25" customHeight="1">
      <c r="D884" s="321"/>
      <c r="E884" s="321"/>
      <c r="T884" s="347"/>
      <c r="X884" s="321"/>
    </row>
    <row r="885" spans="4:24" ht="14.25" customHeight="1">
      <c r="D885" s="321"/>
      <c r="E885" s="321"/>
      <c r="T885" s="347"/>
      <c r="X885" s="321"/>
    </row>
    <row r="886" spans="4:24" ht="14.25" customHeight="1">
      <c r="D886" s="321"/>
      <c r="E886" s="321"/>
      <c r="T886" s="347"/>
      <c r="X886" s="321"/>
    </row>
    <row r="887" spans="4:24" ht="14.25" customHeight="1">
      <c r="D887" s="321"/>
      <c r="E887" s="321"/>
      <c r="T887" s="347"/>
      <c r="X887" s="321"/>
    </row>
    <row r="888" spans="4:24" ht="14.25" customHeight="1">
      <c r="D888" s="321"/>
      <c r="E888" s="321"/>
      <c r="T888" s="347"/>
      <c r="X888" s="321"/>
    </row>
    <row r="889" spans="4:24" ht="14.25" customHeight="1">
      <c r="D889" s="321"/>
      <c r="E889" s="321"/>
      <c r="T889" s="347"/>
      <c r="X889" s="321"/>
    </row>
    <row r="890" spans="4:24" ht="14.25" customHeight="1">
      <c r="D890" s="321"/>
      <c r="E890" s="321"/>
      <c r="T890" s="347"/>
      <c r="X890" s="321"/>
    </row>
    <row r="891" spans="4:24" ht="14.25" customHeight="1">
      <c r="D891" s="321"/>
      <c r="E891" s="321"/>
      <c r="T891" s="347"/>
      <c r="X891" s="321"/>
    </row>
    <row r="892" spans="4:24" ht="14.25" customHeight="1">
      <c r="D892" s="321"/>
      <c r="E892" s="321"/>
      <c r="T892" s="347"/>
      <c r="X892" s="321"/>
    </row>
    <row r="893" spans="4:24" ht="14.25" customHeight="1">
      <c r="D893" s="321"/>
      <c r="E893" s="321"/>
      <c r="T893" s="347"/>
      <c r="X893" s="321"/>
    </row>
    <row r="894" spans="4:24" ht="14.25" customHeight="1">
      <c r="D894" s="321"/>
      <c r="E894" s="321"/>
      <c r="T894" s="347"/>
      <c r="X894" s="321"/>
    </row>
    <row r="895" spans="4:24" ht="14.25" customHeight="1">
      <c r="D895" s="321"/>
      <c r="E895" s="321"/>
      <c r="T895" s="347"/>
      <c r="X895" s="321"/>
    </row>
    <row r="896" spans="4:24" ht="14.25" customHeight="1">
      <c r="D896" s="321"/>
      <c r="E896" s="321"/>
      <c r="T896" s="347"/>
      <c r="X896" s="321"/>
    </row>
    <row r="897" spans="4:24" ht="14.25" customHeight="1">
      <c r="D897" s="321"/>
      <c r="E897" s="321"/>
      <c r="T897" s="347"/>
      <c r="X897" s="321"/>
    </row>
    <row r="898" spans="4:24" ht="14.25" customHeight="1">
      <c r="D898" s="321"/>
      <c r="E898" s="321"/>
      <c r="T898" s="347"/>
      <c r="X898" s="321"/>
    </row>
    <row r="899" spans="4:24" ht="14.25" customHeight="1">
      <c r="D899" s="321"/>
      <c r="E899" s="321"/>
      <c r="T899" s="347"/>
      <c r="X899" s="321"/>
    </row>
    <row r="900" spans="4:24" ht="14.25" customHeight="1">
      <c r="D900" s="321"/>
      <c r="E900" s="321"/>
      <c r="T900" s="347"/>
      <c r="X900" s="321"/>
    </row>
    <row r="901" spans="4:24" ht="14.25" customHeight="1">
      <c r="D901" s="321"/>
      <c r="E901" s="321"/>
      <c r="T901" s="347"/>
      <c r="X901" s="321"/>
    </row>
    <row r="902" spans="4:24" ht="14.25" customHeight="1">
      <c r="D902" s="321"/>
      <c r="E902" s="321"/>
      <c r="T902" s="347"/>
      <c r="X902" s="321"/>
    </row>
    <row r="903" spans="4:24" ht="14.25" customHeight="1">
      <c r="D903" s="321"/>
      <c r="E903" s="321"/>
      <c r="T903" s="347"/>
      <c r="X903" s="321"/>
    </row>
    <row r="904" spans="4:24" ht="14.25" customHeight="1">
      <c r="D904" s="321"/>
      <c r="E904" s="321"/>
      <c r="T904" s="347"/>
      <c r="X904" s="321"/>
    </row>
    <row r="905" spans="4:24" ht="14.25" customHeight="1">
      <c r="D905" s="321"/>
      <c r="E905" s="321"/>
      <c r="T905" s="347"/>
      <c r="X905" s="321"/>
    </row>
    <row r="906" spans="4:24" ht="14.25" customHeight="1">
      <c r="D906" s="321"/>
      <c r="E906" s="321"/>
      <c r="T906" s="347"/>
      <c r="X906" s="321"/>
    </row>
    <row r="907" spans="4:24" ht="14.25" customHeight="1">
      <c r="D907" s="321"/>
      <c r="E907" s="321"/>
      <c r="T907" s="347"/>
      <c r="X907" s="321"/>
    </row>
    <row r="908" spans="4:24" ht="14.25" customHeight="1">
      <c r="D908" s="321"/>
      <c r="E908" s="321"/>
      <c r="T908" s="347"/>
      <c r="X908" s="321"/>
    </row>
    <row r="909" spans="4:24" ht="14.25" customHeight="1">
      <c r="D909" s="321"/>
      <c r="E909" s="321"/>
      <c r="T909" s="347"/>
      <c r="X909" s="321"/>
    </row>
    <row r="910" spans="4:24" ht="14.25" customHeight="1">
      <c r="D910" s="321"/>
      <c r="E910" s="321"/>
      <c r="T910" s="347"/>
      <c r="X910" s="321"/>
    </row>
    <row r="911" spans="4:24" ht="14.25" customHeight="1">
      <c r="D911" s="321"/>
      <c r="E911" s="321"/>
      <c r="T911" s="347"/>
      <c r="X911" s="321"/>
    </row>
    <row r="912" spans="4:24" ht="14.25" customHeight="1">
      <c r="D912" s="321"/>
      <c r="E912" s="321"/>
      <c r="T912" s="347"/>
      <c r="X912" s="321"/>
    </row>
    <row r="913" spans="4:24" ht="14.25" customHeight="1">
      <c r="D913" s="321"/>
      <c r="E913" s="321"/>
      <c r="T913" s="347"/>
      <c r="X913" s="321"/>
    </row>
    <row r="914" spans="4:24" ht="14.25" customHeight="1">
      <c r="D914" s="321"/>
      <c r="E914" s="321"/>
      <c r="T914" s="347"/>
      <c r="X914" s="321"/>
    </row>
    <row r="915" spans="4:24" ht="14.25" customHeight="1">
      <c r="D915" s="321"/>
      <c r="E915" s="321"/>
      <c r="T915" s="347"/>
      <c r="X915" s="321"/>
    </row>
    <row r="916" spans="4:24" ht="14.25" customHeight="1">
      <c r="D916" s="321"/>
      <c r="E916" s="321"/>
      <c r="T916" s="347"/>
      <c r="X916" s="321"/>
    </row>
    <row r="917" spans="4:24" ht="14.25" customHeight="1">
      <c r="D917" s="321"/>
      <c r="E917" s="321"/>
      <c r="T917" s="347"/>
      <c r="X917" s="321"/>
    </row>
    <row r="918" spans="4:24" ht="14.25" customHeight="1">
      <c r="D918" s="321"/>
      <c r="E918" s="321"/>
      <c r="T918" s="347"/>
      <c r="X918" s="321"/>
    </row>
    <row r="919" spans="4:24" ht="14.25" customHeight="1">
      <c r="D919" s="321"/>
      <c r="E919" s="321"/>
      <c r="T919" s="347"/>
      <c r="X919" s="321"/>
    </row>
    <row r="920" spans="4:24" ht="14.25" customHeight="1">
      <c r="D920" s="321"/>
      <c r="E920" s="321"/>
      <c r="T920" s="347"/>
      <c r="X920" s="321"/>
    </row>
    <row r="921" spans="4:24" ht="14.25" customHeight="1">
      <c r="D921" s="321"/>
      <c r="E921" s="321"/>
      <c r="T921" s="347"/>
      <c r="X921" s="321"/>
    </row>
    <row r="922" spans="4:24" ht="14.25" customHeight="1">
      <c r="D922" s="321"/>
      <c r="E922" s="321"/>
      <c r="T922" s="347"/>
      <c r="X922" s="321"/>
    </row>
    <row r="923" spans="4:24" ht="14.25" customHeight="1">
      <c r="D923" s="321"/>
      <c r="E923" s="321"/>
      <c r="T923" s="347"/>
      <c r="X923" s="321"/>
    </row>
    <row r="924" spans="4:24" ht="14.25" customHeight="1">
      <c r="D924" s="321"/>
      <c r="E924" s="321"/>
      <c r="T924" s="347"/>
      <c r="X924" s="321"/>
    </row>
    <row r="925" spans="4:24" ht="14.25" customHeight="1">
      <c r="D925" s="321"/>
      <c r="E925" s="321"/>
      <c r="T925" s="347"/>
      <c r="X925" s="321"/>
    </row>
    <row r="926" spans="4:24" ht="14.25" customHeight="1">
      <c r="D926" s="321"/>
      <c r="E926" s="321"/>
      <c r="T926" s="347"/>
      <c r="X926" s="321"/>
    </row>
    <row r="927" spans="4:24" ht="14.25" customHeight="1">
      <c r="D927" s="321"/>
      <c r="E927" s="321"/>
      <c r="T927" s="347"/>
      <c r="X927" s="321"/>
    </row>
    <row r="928" spans="4:24" ht="14.25" customHeight="1">
      <c r="D928" s="321"/>
      <c r="E928" s="321"/>
      <c r="T928" s="347"/>
      <c r="X928" s="321"/>
    </row>
    <row r="929" spans="4:24" ht="14.25" customHeight="1">
      <c r="D929" s="321"/>
      <c r="E929" s="321"/>
      <c r="T929" s="347"/>
      <c r="X929" s="321"/>
    </row>
    <row r="930" spans="4:24" ht="14.25" customHeight="1">
      <c r="D930" s="321"/>
      <c r="E930" s="321"/>
      <c r="T930" s="347"/>
      <c r="X930" s="321"/>
    </row>
    <row r="931" spans="4:24" ht="14.25" customHeight="1">
      <c r="D931" s="321"/>
      <c r="E931" s="321"/>
      <c r="T931" s="347"/>
      <c r="X931" s="321"/>
    </row>
    <row r="932" spans="4:24" ht="14.25" customHeight="1">
      <c r="D932" s="321"/>
      <c r="E932" s="321"/>
      <c r="T932" s="347"/>
      <c r="X932" s="321"/>
    </row>
    <row r="933" spans="4:24" ht="14.25" customHeight="1">
      <c r="D933" s="321"/>
      <c r="E933" s="321"/>
      <c r="T933" s="347"/>
      <c r="X933" s="321"/>
    </row>
    <row r="934" spans="4:24" ht="14.25" customHeight="1">
      <c r="D934" s="321"/>
      <c r="E934" s="321"/>
      <c r="T934" s="347"/>
      <c r="X934" s="321"/>
    </row>
    <row r="935" spans="4:24" ht="14.25" customHeight="1">
      <c r="D935" s="321"/>
      <c r="E935" s="321"/>
      <c r="T935" s="347"/>
      <c r="X935" s="321"/>
    </row>
    <row r="936" spans="4:24" ht="14.25" customHeight="1">
      <c r="D936" s="321"/>
      <c r="E936" s="321"/>
      <c r="T936" s="347"/>
      <c r="X936" s="321"/>
    </row>
    <row r="937" spans="4:24" ht="14.25" customHeight="1">
      <c r="D937" s="321"/>
      <c r="E937" s="321"/>
      <c r="T937" s="347"/>
      <c r="X937" s="321"/>
    </row>
    <row r="938" spans="4:24" ht="14.25" customHeight="1">
      <c r="D938" s="321"/>
      <c r="E938" s="321"/>
      <c r="T938" s="347"/>
      <c r="X938" s="321"/>
    </row>
    <row r="939" spans="4:24" ht="14.25" customHeight="1">
      <c r="D939" s="321"/>
      <c r="E939" s="321"/>
      <c r="T939" s="347"/>
      <c r="X939" s="321"/>
    </row>
    <row r="940" spans="4:24" ht="14.25" customHeight="1">
      <c r="D940" s="321"/>
      <c r="E940" s="321"/>
      <c r="T940" s="347"/>
      <c r="X940" s="321"/>
    </row>
    <row r="941" spans="4:24" ht="14.25" customHeight="1">
      <c r="D941" s="321"/>
      <c r="E941" s="321"/>
      <c r="T941" s="347"/>
      <c r="X941" s="321"/>
    </row>
    <row r="942" spans="4:24" ht="14.25" customHeight="1">
      <c r="D942" s="321"/>
      <c r="E942" s="321"/>
      <c r="T942" s="347"/>
      <c r="X942" s="321"/>
    </row>
    <row r="943" spans="4:24" ht="14.25" customHeight="1">
      <c r="D943" s="321"/>
      <c r="E943" s="321"/>
      <c r="T943" s="347"/>
      <c r="X943" s="321"/>
    </row>
    <row r="944" spans="4:24" ht="14.25" customHeight="1">
      <c r="D944" s="321"/>
      <c r="E944" s="321"/>
      <c r="T944" s="347"/>
      <c r="X944" s="321"/>
    </row>
    <row r="945" spans="4:24" ht="14.25" customHeight="1">
      <c r="D945" s="321"/>
      <c r="E945" s="321"/>
      <c r="T945" s="347"/>
      <c r="X945" s="321"/>
    </row>
    <row r="946" spans="4:24" ht="14.25" customHeight="1">
      <c r="D946" s="321"/>
      <c r="E946" s="321"/>
      <c r="T946" s="347"/>
      <c r="X946" s="321"/>
    </row>
    <row r="947" spans="4:24" ht="14.25" customHeight="1">
      <c r="D947" s="321"/>
      <c r="E947" s="321"/>
      <c r="T947" s="347"/>
      <c r="X947" s="321"/>
    </row>
    <row r="948" spans="4:24" ht="14.25" customHeight="1">
      <c r="D948" s="321"/>
      <c r="E948" s="321"/>
      <c r="T948" s="347"/>
      <c r="X948" s="321"/>
    </row>
    <row r="949" spans="4:24" ht="14.25" customHeight="1">
      <c r="D949" s="321"/>
      <c r="E949" s="321"/>
      <c r="T949" s="347"/>
      <c r="X949" s="321"/>
    </row>
    <row r="950" spans="4:24" ht="14.25" customHeight="1">
      <c r="D950" s="321"/>
      <c r="E950" s="321"/>
      <c r="T950" s="347"/>
      <c r="X950" s="321"/>
    </row>
    <row r="951" spans="4:24" ht="14.25" customHeight="1">
      <c r="D951" s="321"/>
      <c r="E951" s="321"/>
      <c r="T951" s="347"/>
      <c r="X951" s="321"/>
    </row>
    <row r="952" spans="4:24" ht="14.25" customHeight="1">
      <c r="D952" s="321"/>
      <c r="E952" s="321"/>
      <c r="T952" s="347"/>
      <c r="X952" s="321"/>
    </row>
    <row r="953" spans="4:24" ht="14.25" customHeight="1">
      <c r="D953" s="321"/>
      <c r="E953" s="321"/>
      <c r="T953" s="347"/>
      <c r="X953" s="321"/>
    </row>
    <row r="954" spans="4:24" ht="14.25" customHeight="1">
      <c r="D954" s="321"/>
      <c r="E954" s="321"/>
      <c r="T954" s="347"/>
      <c r="X954" s="321"/>
    </row>
    <row r="955" spans="4:24" ht="14.25" customHeight="1">
      <c r="D955" s="321"/>
      <c r="E955" s="321"/>
      <c r="T955" s="347"/>
      <c r="X955" s="321"/>
    </row>
    <row r="956" spans="4:24" ht="14.25" customHeight="1">
      <c r="D956" s="321"/>
      <c r="E956" s="321"/>
      <c r="T956" s="347"/>
      <c r="X956" s="321"/>
    </row>
    <row r="957" spans="4:24" ht="14.25" customHeight="1">
      <c r="D957" s="321"/>
      <c r="E957" s="321"/>
      <c r="T957" s="347"/>
      <c r="X957" s="321"/>
    </row>
    <row r="958" spans="4:24" ht="14.25" customHeight="1">
      <c r="D958" s="321"/>
      <c r="E958" s="321"/>
      <c r="T958" s="347"/>
      <c r="X958" s="321"/>
    </row>
    <row r="959" spans="4:24" ht="14.25" customHeight="1">
      <c r="D959" s="321"/>
      <c r="E959" s="321"/>
      <c r="T959" s="347"/>
      <c r="X959" s="321"/>
    </row>
    <row r="960" spans="4:24" ht="14.25" customHeight="1">
      <c r="D960" s="321"/>
      <c r="E960" s="321"/>
      <c r="T960" s="347"/>
      <c r="X960" s="321"/>
    </row>
    <row r="961" spans="4:24" ht="14.25" customHeight="1">
      <c r="D961" s="321"/>
      <c r="E961" s="321"/>
      <c r="T961" s="347"/>
      <c r="X961" s="321"/>
    </row>
    <row r="962" spans="4:24" ht="14.25" customHeight="1">
      <c r="D962" s="321"/>
      <c r="E962" s="321"/>
      <c r="T962" s="347"/>
      <c r="X962" s="321"/>
    </row>
    <row r="963" spans="4:24" ht="14.25" customHeight="1">
      <c r="D963" s="321"/>
      <c r="E963" s="321"/>
      <c r="T963" s="347"/>
      <c r="X963" s="321"/>
    </row>
    <row r="964" spans="4:24" ht="14.25" customHeight="1">
      <c r="D964" s="321"/>
      <c r="E964" s="321"/>
      <c r="T964" s="347"/>
      <c r="X964" s="321"/>
    </row>
    <row r="965" spans="4:24" ht="14.25" customHeight="1">
      <c r="D965" s="321"/>
      <c r="E965" s="321"/>
      <c r="T965" s="347"/>
      <c r="X965" s="321"/>
    </row>
    <row r="966" spans="4:24" ht="14.25" customHeight="1">
      <c r="D966" s="321"/>
      <c r="E966" s="321"/>
      <c r="T966" s="347"/>
      <c r="X966" s="321"/>
    </row>
    <row r="967" spans="4:24" ht="14.25" customHeight="1">
      <c r="D967" s="321"/>
      <c r="E967" s="321"/>
      <c r="T967" s="347"/>
      <c r="X967" s="321"/>
    </row>
    <row r="968" spans="4:24" ht="14.25" customHeight="1">
      <c r="D968" s="321"/>
      <c r="E968" s="321"/>
      <c r="T968" s="347"/>
      <c r="X968" s="321"/>
    </row>
    <row r="969" spans="4:24" ht="14.25" customHeight="1">
      <c r="D969" s="321"/>
      <c r="E969" s="321"/>
      <c r="T969" s="347"/>
      <c r="X969" s="321"/>
    </row>
    <row r="970" spans="4:24" ht="14.25" customHeight="1">
      <c r="D970" s="321"/>
      <c r="E970" s="321"/>
      <c r="T970" s="347"/>
      <c r="X970" s="321"/>
    </row>
    <row r="971" spans="4:24" ht="14.25" customHeight="1">
      <c r="D971" s="321"/>
      <c r="E971" s="321"/>
      <c r="T971" s="347"/>
      <c r="X971" s="321"/>
    </row>
    <row r="972" spans="4:24" ht="14.25" customHeight="1">
      <c r="D972" s="321"/>
      <c r="E972" s="321"/>
      <c r="T972" s="347"/>
      <c r="X972" s="321"/>
    </row>
    <row r="973" spans="4:24" ht="14.25" customHeight="1">
      <c r="D973" s="321"/>
      <c r="E973" s="321"/>
      <c r="T973" s="347"/>
      <c r="X973" s="321"/>
    </row>
    <row r="974" spans="4:24" ht="14.25" customHeight="1">
      <c r="D974" s="321"/>
      <c r="E974" s="321"/>
      <c r="T974" s="347"/>
      <c r="X974" s="321"/>
    </row>
    <row r="975" spans="4:24" ht="14.25" customHeight="1">
      <c r="D975" s="321"/>
      <c r="E975" s="321"/>
      <c r="T975" s="347"/>
      <c r="X975" s="321"/>
    </row>
    <row r="976" spans="4:24" ht="14.25" customHeight="1">
      <c r="D976" s="321"/>
      <c r="E976" s="321"/>
      <c r="T976" s="347"/>
      <c r="X976" s="321"/>
    </row>
    <row r="977" spans="4:24" ht="14.25" customHeight="1">
      <c r="D977" s="321"/>
      <c r="E977" s="321"/>
      <c r="T977" s="347"/>
      <c r="X977" s="321"/>
    </row>
    <row r="978" spans="4:24" ht="14.25" customHeight="1">
      <c r="D978" s="321"/>
      <c r="E978" s="321"/>
      <c r="T978" s="347"/>
      <c r="X978" s="321"/>
    </row>
    <row r="979" spans="4:24" ht="14.25" customHeight="1">
      <c r="D979" s="321"/>
      <c r="E979" s="321"/>
      <c r="T979" s="347"/>
      <c r="X979" s="321"/>
    </row>
    <row r="980" spans="4:24" ht="14.25" customHeight="1">
      <c r="D980" s="321"/>
      <c r="E980" s="321"/>
      <c r="T980" s="347"/>
      <c r="X980" s="321"/>
    </row>
    <row r="981" spans="4:24" ht="14.25" customHeight="1">
      <c r="D981" s="321"/>
      <c r="E981" s="321"/>
      <c r="T981" s="347"/>
      <c r="X981" s="321"/>
    </row>
    <row r="982" spans="4:24" ht="14.25" customHeight="1">
      <c r="D982" s="321"/>
      <c r="E982" s="321"/>
      <c r="T982" s="347"/>
      <c r="X982" s="321"/>
    </row>
    <row r="983" spans="4:24" ht="14.25" customHeight="1">
      <c r="D983" s="321"/>
      <c r="E983" s="321"/>
      <c r="T983" s="347"/>
      <c r="X983" s="321"/>
    </row>
    <row r="984" spans="4:24" ht="14.25" customHeight="1">
      <c r="D984" s="321"/>
      <c r="E984" s="321"/>
      <c r="T984" s="347"/>
      <c r="X984" s="321"/>
    </row>
    <row r="985" spans="4:24" ht="14.25" customHeight="1">
      <c r="D985" s="321"/>
      <c r="E985" s="321"/>
      <c r="T985" s="347"/>
      <c r="X985" s="321"/>
    </row>
    <row r="986" spans="4:24" ht="14.25" customHeight="1">
      <c r="D986" s="321"/>
      <c r="E986" s="321"/>
      <c r="T986" s="347"/>
      <c r="X986" s="321"/>
    </row>
    <row r="987" spans="4:24" ht="14.25" customHeight="1">
      <c r="D987" s="321"/>
      <c r="E987" s="321"/>
      <c r="T987" s="347"/>
      <c r="X987" s="321"/>
    </row>
    <row r="988" spans="4:24" ht="14.25" customHeight="1">
      <c r="D988" s="321"/>
      <c r="E988" s="321"/>
      <c r="T988" s="347"/>
      <c r="X988" s="321"/>
    </row>
    <row r="989" spans="4:24" ht="14.25" customHeight="1">
      <c r="D989" s="321"/>
      <c r="E989" s="321"/>
      <c r="T989" s="347"/>
      <c r="X989" s="321"/>
    </row>
    <row r="990" spans="4:24" ht="14.25" customHeight="1">
      <c r="D990" s="321"/>
      <c r="E990" s="321"/>
      <c r="T990" s="347"/>
      <c r="X990" s="321"/>
    </row>
    <row r="991" spans="4:24" ht="14.25" customHeight="1">
      <c r="D991" s="321"/>
      <c r="E991" s="321"/>
      <c r="T991" s="347"/>
      <c r="X991" s="321"/>
    </row>
    <row r="992" spans="4:24" ht="14.25" customHeight="1">
      <c r="D992" s="321"/>
      <c r="E992" s="321"/>
      <c r="T992" s="347"/>
      <c r="X992" s="321"/>
    </row>
    <row r="993" spans="4:24" ht="14.25" customHeight="1">
      <c r="D993" s="321"/>
      <c r="E993" s="321"/>
      <c r="T993" s="347"/>
      <c r="X993" s="321"/>
    </row>
    <row r="994" spans="4:24" ht="14.25" customHeight="1">
      <c r="D994" s="321"/>
      <c r="E994" s="321"/>
      <c r="T994" s="347"/>
      <c r="X994" s="321"/>
    </row>
    <row r="995" spans="4:24" ht="14.25" customHeight="1">
      <c r="D995" s="321"/>
      <c r="E995" s="321"/>
      <c r="T995" s="347"/>
      <c r="X995" s="321"/>
    </row>
    <row r="996" spans="4:24" ht="14.25" customHeight="1">
      <c r="D996" s="321"/>
      <c r="E996" s="321"/>
      <c r="T996" s="347"/>
      <c r="X996" s="321"/>
    </row>
    <row r="997" spans="4:24" ht="14.25" customHeight="1">
      <c r="D997" s="321"/>
      <c r="E997" s="321"/>
      <c r="T997" s="347"/>
      <c r="X997" s="321"/>
    </row>
    <row r="998" spans="4:24" ht="14.25" customHeight="1">
      <c r="D998" s="321"/>
      <c r="E998" s="321"/>
      <c r="T998" s="347"/>
      <c r="X998" s="321"/>
    </row>
    <row r="999" spans="4:24" ht="14.25" customHeight="1">
      <c r="D999" s="321"/>
      <c r="E999" s="321"/>
      <c r="T999" s="347"/>
      <c r="X999" s="321"/>
    </row>
    <row r="1000" spans="4:24" ht="14.25" customHeight="1">
      <c r="D1000" s="321"/>
      <c r="E1000" s="321"/>
      <c r="T1000" s="347"/>
      <c r="X1000" s="321"/>
    </row>
  </sheetData>
  <sheetProtection password="CC2E" sheet="1" objects="1" scenarios="1"/>
  <mergeCells count="2">
    <mergeCell ref="AG6:AL6"/>
    <mergeCell ref="AW6:AY6"/>
  </mergeCells>
  <printOptions headings="1"/>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C11:D41"/>
  <sheetViews>
    <sheetView topLeftCell="A4" workbookViewId="0">
      <selection activeCell="I24" sqref="I24"/>
    </sheetView>
  </sheetViews>
  <sheetFormatPr defaultRowHeight="14.45"/>
  <cols>
    <col min="3" max="3" width="17.42578125" style="453" bestFit="1" customWidth="1"/>
  </cols>
  <sheetData>
    <row r="11" spans="3:4">
      <c r="C11" s="453">
        <v>44409</v>
      </c>
      <c r="D11" t="s">
        <v>772</v>
      </c>
    </row>
    <row r="12" spans="3:4">
      <c r="C12" s="453">
        <v>44440</v>
      </c>
      <c r="D12">
        <v>1</v>
      </c>
    </row>
    <row r="13" spans="3:4">
      <c r="C13" s="453">
        <v>44470</v>
      </c>
      <c r="D13">
        <v>2</v>
      </c>
    </row>
    <row r="14" spans="3:4">
      <c r="C14" s="453">
        <v>44501</v>
      </c>
      <c r="D14">
        <v>3</v>
      </c>
    </row>
    <row r="15" spans="3:4">
      <c r="C15" s="453">
        <v>44531</v>
      </c>
      <c r="D15">
        <v>4</v>
      </c>
    </row>
    <row r="16" spans="3:4">
      <c r="C16" s="453">
        <v>44562</v>
      </c>
      <c r="D16">
        <v>5</v>
      </c>
    </row>
    <row r="17" spans="3:4">
      <c r="C17" s="453">
        <v>44593</v>
      </c>
      <c r="D17">
        <v>6</v>
      </c>
    </row>
    <row r="18" spans="3:4">
      <c r="C18" s="453">
        <v>44621</v>
      </c>
      <c r="D18">
        <v>7</v>
      </c>
    </row>
    <row r="19" spans="3:4">
      <c r="C19" s="453">
        <v>44652</v>
      </c>
      <c r="D19">
        <v>8</v>
      </c>
    </row>
    <row r="20" spans="3:4">
      <c r="C20" s="453">
        <v>44682</v>
      </c>
      <c r="D20">
        <v>9</v>
      </c>
    </row>
    <row r="21" spans="3:4">
      <c r="C21" s="453">
        <v>44713</v>
      </c>
      <c r="D21">
        <v>10</v>
      </c>
    </row>
    <row r="22" spans="3:4">
      <c r="C22" s="453">
        <v>44743</v>
      </c>
      <c r="D22">
        <v>11</v>
      </c>
    </row>
    <row r="23" spans="3:4">
      <c r="C23" s="453">
        <v>44774</v>
      </c>
      <c r="D23">
        <v>12</v>
      </c>
    </row>
    <row r="24" spans="3:4">
      <c r="C24" s="453">
        <v>44805</v>
      </c>
      <c r="D24">
        <v>13</v>
      </c>
    </row>
    <row r="25" spans="3:4">
      <c r="C25" s="453">
        <v>44835</v>
      </c>
      <c r="D25">
        <v>14</v>
      </c>
    </row>
    <row r="26" spans="3:4">
      <c r="C26" s="453">
        <v>44866</v>
      </c>
      <c r="D26">
        <v>15</v>
      </c>
    </row>
    <row r="27" spans="3:4">
      <c r="C27" s="453">
        <v>44896</v>
      </c>
      <c r="D27">
        <v>16</v>
      </c>
    </row>
    <row r="28" spans="3:4">
      <c r="C28" s="453">
        <v>44927</v>
      </c>
      <c r="D28">
        <v>17</v>
      </c>
    </row>
    <row r="29" spans="3:4">
      <c r="C29" s="453">
        <v>44958</v>
      </c>
      <c r="D29">
        <v>18</v>
      </c>
    </row>
    <row r="30" spans="3:4">
      <c r="C30" s="453">
        <v>44986</v>
      </c>
      <c r="D30">
        <v>19</v>
      </c>
    </row>
    <row r="31" spans="3:4">
      <c r="C31" s="454">
        <v>45017</v>
      </c>
      <c r="D31" s="439">
        <v>20</v>
      </c>
    </row>
    <row r="32" spans="3:4">
      <c r="C32" s="453">
        <v>45047</v>
      </c>
      <c r="D32">
        <v>21</v>
      </c>
    </row>
    <row r="33" spans="3:4">
      <c r="C33" s="453">
        <v>45078</v>
      </c>
      <c r="D33">
        <v>22</v>
      </c>
    </row>
    <row r="34" spans="3:4">
      <c r="C34" s="453">
        <v>45108</v>
      </c>
      <c r="D34">
        <v>23</v>
      </c>
    </row>
    <row r="35" spans="3:4">
      <c r="C35" s="453">
        <v>45139</v>
      </c>
      <c r="D35">
        <v>24</v>
      </c>
    </row>
    <row r="36" spans="3:4">
      <c r="C36" s="453">
        <v>45170</v>
      </c>
      <c r="D36">
        <v>25</v>
      </c>
    </row>
    <row r="37" spans="3:4">
      <c r="C37" s="453">
        <v>45200</v>
      </c>
      <c r="D37">
        <v>26</v>
      </c>
    </row>
    <row r="38" spans="3:4">
      <c r="C38" s="453">
        <v>45231</v>
      </c>
      <c r="D38">
        <v>27</v>
      </c>
    </row>
    <row r="39" spans="3:4">
      <c r="C39" s="453">
        <v>45261</v>
      </c>
      <c r="D39">
        <v>28</v>
      </c>
    </row>
    <row r="40" spans="3:4">
      <c r="C40" s="453">
        <v>45292</v>
      </c>
      <c r="D40">
        <v>29</v>
      </c>
    </row>
    <row r="41" spans="3:4">
      <c r="C41" s="453">
        <v>45323</v>
      </c>
      <c r="D41">
        <v>30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DFB10-44F9-4ECF-9C1D-D1F68F4E688D}">
  <sheetPr codeName="Sheet27"/>
  <dimension ref="C3:N96"/>
  <sheetViews>
    <sheetView topLeftCell="D82" workbookViewId="0">
      <selection activeCell="H98" sqref="H98"/>
    </sheetView>
  </sheetViews>
  <sheetFormatPr defaultRowHeight="14.45"/>
  <cols>
    <col min="4" max="5" width="14.42578125" customWidth="1"/>
    <col min="6" max="6" width="14.85546875" bestFit="1" customWidth="1"/>
    <col min="7" max="7" width="20.5703125" customWidth="1"/>
    <col min="8" max="8" width="22" bestFit="1" customWidth="1"/>
    <col min="9" max="9" width="14.42578125" customWidth="1"/>
    <col min="14" max="14" width="21.5703125" customWidth="1"/>
  </cols>
  <sheetData>
    <row r="3" spans="3:8">
      <c r="D3" s="892">
        <v>45566</v>
      </c>
    </row>
    <row r="4" spans="3:8">
      <c r="C4" s="692"/>
      <c r="D4" s="399" t="s">
        <v>773</v>
      </c>
      <c r="E4" s="399" t="s">
        <v>774</v>
      </c>
      <c r="F4" s="399" t="s">
        <v>775</v>
      </c>
      <c r="G4" s="399" t="s">
        <v>776</v>
      </c>
      <c r="H4" s="399" t="s">
        <v>777</v>
      </c>
    </row>
    <row r="5" spans="3:8">
      <c r="D5" s="1175">
        <v>45566</v>
      </c>
      <c r="E5" s="455" t="s">
        <v>621</v>
      </c>
      <c r="F5" s="455" t="s">
        <v>778</v>
      </c>
      <c r="G5" s="1176">
        <v>10000</v>
      </c>
      <c r="H5" s="1176">
        <f>G5*1.12</f>
        <v>11200.000000000002</v>
      </c>
    </row>
    <row r="6" spans="3:8">
      <c r="D6" s="1175">
        <v>45566</v>
      </c>
      <c r="E6" s="455" t="s">
        <v>622</v>
      </c>
      <c r="F6" s="455" t="s">
        <v>778</v>
      </c>
      <c r="G6" s="1176">
        <v>73495.929999999993</v>
      </c>
      <c r="H6" s="1176">
        <f t="shared" ref="H6:H11" si="0">G6*1.12</f>
        <v>82315.441600000006</v>
      </c>
    </row>
    <row r="7" spans="3:8">
      <c r="D7" s="1175">
        <v>45566</v>
      </c>
      <c r="E7" s="455" t="s">
        <v>637</v>
      </c>
      <c r="F7" s="455" t="s">
        <v>778</v>
      </c>
      <c r="G7" s="1176">
        <v>12250</v>
      </c>
      <c r="H7" s="1176">
        <f t="shared" si="0"/>
        <v>13720.000000000002</v>
      </c>
    </row>
    <row r="8" spans="3:8">
      <c r="D8" s="1175">
        <v>45566</v>
      </c>
      <c r="E8" s="455" t="s">
        <v>643</v>
      </c>
      <c r="F8" s="455" t="s">
        <v>778</v>
      </c>
      <c r="G8" s="1176">
        <v>51842.26</v>
      </c>
      <c r="H8" s="1176">
        <f t="shared" si="0"/>
        <v>58063.331200000008</v>
      </c>
    </row>
    <row r="9" spans="3:8">
      <c r="D9" s="1175">
        <v>45566</v>
      </c>
      <c r="E9" s="455"/>
      <c r="F9" s="455"/>
      <c r="G9" s="1176"/>
      <c r="H9" s="1176">
        <f t="shared" si="0"/>
        <v>0</v>
      </c>
    </row>
    <row r="10" spans="3:8">
      <c r="D10" s="1175">
        <v>45566</v>
      </c>
      <c r="E10" s="455"/>
      <c r="F10" s="455"/>
      <c r="G10" s="1176"/>
      <c r="H10" s="1176">
        <f t="shared" si="0"/>
        <v>0</v>
      </c>
    </row>
    <row r="11" spans="3:8">
      <c r="D11" s="455"/>
      <c r="E11" s="455"/>
      <c r="F11" s="455"/>
      <c r="G11" s="1176"/>
      <c r="H11" s="1176">
        <f t="shared" si="0"/>
        <v>0</v>
      </c>
    </row>
    <row r="12" spans="3:8">
      <c r="D12" s="455"/>
      <c r="E12" s="455"/>
      <c r="F12" s="455"/>
      <c r="G12" s="1176"/>
      <c r="H12" s="1176"/>
    </row>
    <row r="13" spans="3:8">
      <c r="D13" s="455"/>
      <c r="E13" s="455"/>
      <c r="F13" s="455"/>
      <c r="G13" s="455"/>
      <c r="H13" s="455"/>
    </row>
    <row r="14" spans="3:8">
      <c r="D14" s="455"/>
      <c r="E14" s="455"/>
      <c r="F14" s="455"/>
      <c r="G14" s="455"/>
      <c r="H14" s="1177">
        <f>SUM(H5:H13)</f>
        <v>165298.77280000001</v>
      </c>
    </row>
    <row r="17" spans="4:8">
      <c r="D17" t="s">
        <v>779</v>
      </c>
    </row>
    <row r="19" spans="4:8">
      <c r="D19" s="399" t="s">
        <v>773</v>
      </c>
      <c r="E19" s="399" t="s">
        <v>774</v>
      </c>
      <c r="F19" s="399" t="s">
        <v>775</v>
      </c>
      <c r="G19" s="399" t="s">
        <v>776</v>
      </c>
      <c r="H19" s="399" t="s">
        <v>777</v>
      </c>
    </row>
    <row r="20" spans="4:8">
      <c r="D20" s="1179">
        <v>45581</v>
      </c>
      <c r="E20" s="455" t="s">
        <v>589</v>
      </c>
      <c r="F20" s="455" t="s">
        <v>778</v>
      </c>
      <c r="G20" s="1176">
        <v>13150</v>
      </c>
      <c r="H20" s="1176">
        <f t="shared" ref="H20:H22" si="1">G20*1.12</f>
        <v>14728.000000000002</v>
      </c>
    </row>
    <row r="21" spans="4:8">
      <c r="D21" s="1179">
        <v>45581</v>
      </c>
      <c r="E21" s="455" t="s">
        <v>591</v>
      </c>
      <c r="F21" s="455" t="s">
        <v>778</v>
      </c>
      <c r="G21" s="1176">
        <v>10000</v>
      </c>
      <c r="H21" s="1176">
        <f t="shared" si="1"/>
        <v>11200.000000000002</v>
      </c>
    </row>
    <row r="22" spans="4:8">
      <c r="D22" s="1179">
        <v>45581</v>
      </c>
      <c r="E22" s="455" t="s">
        <v>640</v>
      </c>
      <c r="F22" s="455" t="s">
        <v>778</v>
      </c>
      <c r="G22" s="1176">
        <v>13150</v>
      </c>
      <c r="H22" s="1176">
        <f t="shared" si="1"/>
        <v>14728.000000000002</v>
      </c>
    </row>
    <row r="23" spans="4:8">
      <c r="D23" s="1179"/>
      <c r="E23" s="455"/>
      <c r="F23" s="455"/>
      <c r="G23" s="1176"/>
      <c r="H23" s="1176"/>
    </row>
    <row r="24" spans="4:8">
      <c r="D24" s="1179"/>
      <c r="E24" s="455"/>
      <c r="F24" s="455"/>
      <c r="G24" s="1176"/>
      <c r="H24" s="1176"/>
    </row>
    <row r="25" spans="4:8">
      <c r="D25" s="1179"/>
      <c r="E25" s="455"/>
      <c r="F25" s="455"/>
      <c r="G25" s="1176"/>
      <c r="H25" s="1176"/>
    </row>
    <row r="26" spans="4:8">
      <c r="D26" s="455"/>
      <c r="E26" s="455"/>
      <c r="F26" s="455"/>
      <c r="G26" s="1176"/>
      <c r="H26" s="1176">
        <f t="shared" ref="H26" si="2">G26*1.12</f>
        <v>0</v>
      </c>
    </row>
    <row r="27" spans="4:8">
      <c r="D27" s="455"/>
      <c r="E27" s="455"/>
      <c r="F27" s="455"/>
      <c r="G27" s="1176"/>
      <c r="H27" s="1176"/>
    </row>
    <row r="28" spans="4:8">
      <c r="D28" s="455"/>
      <c r="E28" s="455"/>
      <c r="F28" s="455"/>
      <c r="G28" s="455"/>
      <c r="H28" s="455"/>
    </row>
    <row r="29" spans="4:8">
      <c r="D29" s="455"/>
      <c r="E29" s="455"/>
      <c r="F29" s="455"/>
      <c r="G29" s="455"/>
      <c r="H29" s="1177">
        <f>SUM(H20:H28)</f>
        <v>40656.000000000007</v>
      </c>
    </row>
    <row r="32" spans="4:8">
      <c r="D32" s="399" t="s">
        <v>773</v>
      </c>
      <c r="E32" s="399" t="s">
        <v>774</v>
      </c>
      <c r="F32" s="399" t="s">
        <v>775</v>
      </c>
      <c r="G32" s="399" t="s">
        <v>776</v>
      </c>
      <c r="H32" s="399" t="s">
        <v>777</v>
      </c>
    </row>
    <row r="33" spans="4:8">
      <c r="D33" s="1175">
        <v>45627</v>
      </c>
      <c r="E33" s="455" t="s">
        <v>507</v>
      </c>
      <c r="F33" s="455" t="s">
        <v>778</v>
      </c>
      <c r="G33" s="1176">
        <v>65610</v>
      </c>
      <c r="H33" s="1176">
        <f t="shared" ref="H33" si="3">G33*1.12</f>
        <v>73483.200000000012</v>
      </c>
    </row>
    <row r="34" spans="4:8">
      <c r="D34" s="455"/>
      <c r="E34" s="455"/>
      <c r="F34" s="455"/>
      <c r="G34" s="455"/>
      <c r="H34" s="455"/>
    </row>
    <row r="35" spans="4:8">
      <c r="D35" s="455"/>
      <c r="E35" s="455"/>
      <c r="F35" s="455"/>
      <c r="G35" s="455"/>
      <c r="H35" s="455"/>
    </row>
    <row r="36" spans="4:8">
      <c r="D36" s="455"/>
      <c r="E36" s="455"/>
      <c r="F36" s="455"/>
      <c r="G36" s="455"/>
      <c r="H36" s="455"/>
    </row>
    <row r="37" spans="4:8">
      <c r="D37" s="455"/>
      <c r="E37" s="455"/>
      <c r="F37" s="455"/>
      <c r="G37" s="455"/>
      <c r="H37" s="1180">
        <f>SUM(H33:H36)</f>
        <v>73483.200000000012</v>
      </c>
    </row>
    <row r="40" spans="4:8">
      <c r="D40" s="399" t="s">
        <v>773</v>
      </c>
      <c r="E40" s="399" t="s">
        <v>774</v>
      </c>
      <c r="F40" s="399" t="s">
        <v>775</v>
      </c>
      <c r="G40" s="399" t="s">
        <v>776</v>
      </c>
      <c r="H40" s="399" t="s">
        <v>777</v>
      </c>
    </row>
    <row r="41" spans="4:8">
      <c r="D41" s="1181">
        <v>45658</v>
      </c>
      <c r="E41" s="103" t="s">
        <v>780</v>
      </c>
      <c r="F41" s="653" t="s">
        <v>778</v>
      </c>
      <c r="G41" s="1182">
        <v>11700</v>
      </c>
      <c r="H41" s="1183">
        <f t="shared" ref="H41" si="4">G41*1.12</f>
        <v>13104.000000000002</v>
      </c>
    </row>
    <row r="42" spans="4:8">
      <c r="G42" s="455"/>
    </row>
    <row r="44" spans="4:8">
      <c r="H44" s="1184">
        <f>H41</f>
        <v>13104.000000000002</v>
      </c>
    </row>
    <row r="47" spans="4:8">
      <c r="D47" s="399" t="s">
        <v>773</v>
      </c>
      <c r="E47" s="399" t="s">
        <v>774</v>
      </c>
      <c r="F47" s="399" t="s">
        <v>775</v>
      </c>
      <c r="G47" s="399" t="s">
        <v>776</v>
      </c>
      <c r="H47" s="399" t="s">
        <v>777</v>
      </c>
    </row>
    <row r="48" spans="4:8">
      <c r="D48" s="1181">
        <v>45689</v>
      </c>
      <c r="E48" s="103" t="s">
        <v>295</v>
      </c>
      <c r="F48" s="103" t="s">
        <v>778</v>
      </c>
      <c r="G48" s="1182">
        <v>10000</v>
      </c>
      <c r="H48" s="1183">
        <f t="shared" ref="H48:H52" si="5">G48*1.12</f>
        <v>11200.000000000002</v>
      </c>
    </row>
    <row r="49" spans="4:8">
      <c r="D49" s="1181">
        <v>45689</v>
      </c>
      <c r="E49" s="103" t="s">
        <v>359</v>
      </c>
      <c r="F49" s="103" t="s">
        <v>778</v>
      </c>
      <c r="G49" s="1182">
        <v>67442.720000000001</v>
      </c>
      <c r="H49" s="1183">
        <f t="shared" si="5"/>
        <v>75535.846400000009</v>
      </c>
    </row>
    <row r="50" spans="4:8">
      <c r="D50" s="1181">
        <v>45689</v>
      </c>
      <c r="E50" s="103" t="s">
        <v>493</v>
      </c>
      <c r="F50" s="103" t="s">
        <v>778</v>
      </c>
      <c r="G50" s="1182">
        <v>10000</v>
      </c>
      <c r="H50" s="1183">
        <f t="shared" si="5"/>
        <v>11200.000000000002</v>
      </c>
    </row>
    <row r="51" spans="4:8">
      <c r="D51" s="1181">
        <v>45689</v>
      </c>
      <c r="E51" s="103" t="s">
        <v>529</v>
      </c>
      <c r="F51" s="103" t="s">
        <v>778</v>
      </c>
      <c r="G51" s="1182">
        <v>3500</v>
      </c>
      <c r="H51" s="1183">
        <f t="shared" si="5"/>
        <v>3920.0000000000005</v>
      </c>
    </row>
    <row r="52" spans="4:8">
      <c r="E52" s="103"/>
      <c r="F52" s="103"/>
      <c r="G52" s="103"/>
      <c r="H52" s="1183">
        <f t="shared" si="5"/>
        <v>0</v>
      </c>
    </row>
    <row r="54" spans="4:8">
      <c r="H54" s="1184">
        <f>SUM(H48:H52)</f>
        <v>101855.84640000001</v>
      </c>
    </row>
    <row r="57" spans="4:8">
      <c r="D57" s="399" t="s">
        <v>773</v>
      </c>
      <c r="E57" s="399" t="s">
        <v>774</v>
      </c>
      <c r="F57" s="399" t="s">
        <v>775</v>
      </c>
      <c r="G57" s="399" t="s">
        <v>776</v>
      </c>
      <c r="H57" s="399" t="s">
        <v>777</v>
      </c>
    </row>
    <row r="58" spans="4:8">
      <c r="D58" s="892">
        <v>45717</v>
      </c>
      <c r="F58" t="s">
        <v>781</v>
      </c>
    </row>
    <row r="64" spans="4:8">
      <c r="D64" s="399" t="s">
        <v>773</v>
      </c>
      <c r="E64" s="399" t="s">
        <v>774</v>
      </c>
      <c r="F64" s="399" t="s">
        <v>775</v>
      </c>
      <c r="G64" s="399" t="s">
        <v>776</v>
      </c>
      <c r="H64" s="399" t="s">
        <v>777</v>
      </c>
    </row>
    <row r="65" spans="4:8">
      <c r="D65" s="892">
        <v>45748</v>
      </c>
      <c r="F65" t="s">
        <v>781</v>
      </c>
    </row>
    <row r="68" spans="4:8">
      <c r="D68" s="399" t="s">
        <v>773</v>
      </c>
      <c r="E68" s="399" t="s">
        <v>774</v>
      </c>
      <c r="F68" s="399" t="s">
        <v>775</v>
      </c>
      <c r="G68" s="399" t="s">
        <v>776</v>
      </c>
      <c r="H68" s="399" t="s">
        <v>777</v>
      </c>
    </row>
    <row r="69" spans="4:8">
      <c r="D69" s="892">
        <v>45778</v>
      </c>
      <c r="E69" t="s">
        <v>519</v>
      </c>
      <c r="F69" s="103" t="s">
        <v>782</v>
      </c>
      <c r="G69" s="1386">
        <v>7500</v>
      </c>
      <c r="H69" s="1387">
        <f>G69*1.12</f>
        <v>8400</v>
      </c>
    </row>
    <row r="71" spans="4:8">
      <c r="H71" s="1388">
        <f>SUM(H69:H70)</f>
        <v>8400</v>
      </c>
    </row>
    <row r="73" spans="4:8">
      <c r="D73" s="399" t="s">
        <v>773</v>
      </c>
      <c r="E73" s="399" t="s">
        <v>774</v>
      </c>
      <c r="F73" s="399" t="s">
        <v>775</v>
      </c>
      <c r="G73" s="399" t="s">
        <v>776</v>
      </c>
      <c r="H73" s="399" t="s">
        <v>777</v>
      </c>
    </row>
    <row r="74" spans="4:8">
      <c r="D74" s="892">
        <v>45832</v>
      </c>
      <c r="E74" t="s">
        <v>624</v>
      </c>
      <c r="F74" s="103" t="s">
        <v>782</v>
      </c>
      <c r="G74" s="1386">
        <v>11700</v>
      </c>
      <c r="H74" s="1387">
        <f>G74*1.12</f>
        <v>13104.000000000002</v>
      </c>
    </row>
    <row r="76" spans="4:8">
      <c r="H76" s="1388">
        <f>H74</f>
        <v>13104.000000000002</v>
      </c>
    </row>
    <row r="79" spans="4:8">
      <c r="D79" s="399" t="s">
        <v>773</v>
      </c>
      <c r="E79" s="399" t="s">
        <v>774</v>
      </c>
      <c r="F79" s="399" t="s">
        <v>775</v>
      </c>
      <c r="G79" s="399" t="s">
        <v>776</v>
      </c>
      <c r="H79" s="399" t="s">
        <v>777</v>
      </c>
    </row>
    <row r="80" spans="4:8">
      <c r="D80" s="892">
        <v>45862</v>
      </c>
      <c r="F80" s="103"/>
      <c r="G80" s="1386"/>
      <c r="H80" s="1387">
        <v>0</v>
      </c>
    </row>
    <row r="82" spans="4:14">
      <c r="H82" s="1388">
        <f>H80</f>
        <v>0</v>
      </c>
    </row>
    <row r="84" spans="4:14">
      <c r="D84" s="399" t="s">
        <v>773</v>
      </c>
      <c r="E84" s="399" t="s">
        <v>774</v>
      </c>
      <c r="F84" s="399" t="s">
        <v>775</v>
      </c>
      <c r="G84" s="399" t="s">
        <v>776</v>
      </c>
      <c r="H84" s="399" t="s">
        <v>777</v>
      </c>
    </row>
    <row r="85" spans="4:14">
      <c r="D85" s="892">
        <f>DATE(2025,8,1)</f>
        <v>45870</v>
      </c>
      <c r="F85" s="103"/>
      <c r="G85" s="1386"/>
      <c r="H85" s="1387">
        <v>0</v>
      </c>
    </row>
    <row r="87" spans="4:14">
      <c r="H87" s="1388">
        <f>H85</f>
        <v>0</v>
      </c>
    </row>
    <row r="90" spans="4:14">
      <c r="D90" s="399" t="s">
        <v>773</v>
      </c>
      <c r="E90" s="399" t="s">
        <v>774</v>
      </c>
      <c r="F90" s="399" t="s">
        <v>775</v>
      </c>
      <c r="G90" s="399" t="s">
        <v>776</v>
      </c>
      <c r="H90" s="399" t="s">
        <v>777</v>
      </c>
      <c r="L90">
        <v>45901</v>
      </c>
    </row>
    <row r="91" spans="4:14">
      <c r="D91" s="892">
        <f>DATE(2025,9,1)</f>
        <v>45901</v>
      </c>
      <c r="E91" t="s">
        <v>609</v>
      </c>
      <c r="F91" s="103"/>
      <c r="G91" s="1386">
        <v>146172.63</v>
      </c>
      <c r="H91" s="1387">
        <f>G91*1.12</f>
        <v>163713.34560000003</v>
      </c>
      <c r="N91" t="s">
        <v>783</v>
      </c>
    </row>
    <row r="92" spans="4:14">
      <c r="E92" t="s">
        <v>629</v>
      </c>
      <c r="G92">
        <v>12150</v>
      </c>
      <c r="H92" s="1387">
        <f>G92*1.12</f>
        <v>13608.000000000002</v>
      </c>
      <c r="M92" t="s">
        <v>784</v>
      </c>
      <c r="N92" s="427">
        <v>3272051.608294595</v>
      </c>
    </row>
    <row r="93" spans="4:14">
      <c r="H93" s="1388">
        <f>SUM(H91:H92)</f>
        <v>177321.34560000003</v>
      </c>
      <c r="L93" s="439" t="s">
        <v>5</v>
      </c>
      <c r="M93" s="439">
        <v>20</v>
      </c>
      <c r="N93" s="1403">
        <f>$N$92*M93/$M$96</f>
        <v>495765.39519615076</v>
      </c>
    </row>
    <row r="94" spans="4:14">
      <c r="L94" t="s">
        <v>6</v>
      </c>
      <c r="M94">
        <v>44</v>
      </c>
      <c r="N94" s="1387">
        <f t="shared" ref="N94:N95" si="6">$N$92*M94/$M$96</f>
        <v>1090683.8694315318</v>
      </c>
    </row>
    <row r="95" spans="4:14">
      <c r="L95" t="s">
        <v>7</v>
      </c>
      <c r="M95">
        <v>68</v>
      </c>
      <c r="N95" s="1387">
        <f t="shared" si="6"/>
        <v>1685602.3436669125</v>
      </c>
    </row>
    <row r="96" spans="4:14">
      <c r="G96" s="1404" t="s">
        <v>785</v>
      </c>
      <c r="H96" s="1405">
        <f>H93+N93</f>
        <v>673086.74079615076</v>
      </c>
      <c r="M96">
        <f>SUM(M93:M95)</f>
        <v>132</v>
      </c>
    </row>
  </sheetData>
  <sheetProtection password="CC2E" sheet="1" objects="1" scenarios="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7" filterMode="1">
    <tabColor rgb="FFFFFF00"/>
    <pageSetUpPr fitToPage="1"/>
  </sheetPr>
  <dimension ref="A1:AW358"/>
  <sheetViews>
    <sheetView tabSelected="1" zoomScale="85" zoomScaleNormal="85" workbookViewId="0">
      <pane xSplit="3" ySplit="6" topLeftCell="D7" activePane="bottomRight" state="frozen"/>
      <selection pane="bottomRight" activeCell="C8" sqref="C8"/>
      <selection pane="bottomLeft" activeCell="A7" sqref="A7"/>
      <selection pane="topRight" activeCell="D1" sqref="D1"/>
    </sheetView>
  </sheetViews>
  <sheetFormatPr defaultColWidth="8.85546875" defaultRowHeight="12.95"/>
  <cols>
    <col min="1" max="1" width="6.85546875" style="162" hidden="1" customWidth="1"/>
    <col min="2" max="2" width="14.140625" style="162" hidden="1" customWidth="1"/>
    <col min="3" max="3" width="14.85546875" style="553" customWidth="1"/>
    <col min="4" max="4" width="9.85546875" style="552" bestFit="1" customWidth="1"/>
    <col min="5" max="5" width="12.140625" style="552" customWidth="1"/>
    <col min="6" max="6" width="13.42578125" style="552" customWidth="1"/>
    <col min="7" max="7" width="10.85546875" style="552" bestFit="1" customWidth="1"/>
    <col min="8" max="8" width="13.140625" style="552" bestFit="1" customWidth="1"/>
    <col min="9" max="10" width="13.5703125" style="552" hidden="1" customWidth="1"/>
    <col min="11" max="11" width="12.140625" style="552" customWidth="1"/>
    <col min="12" max="12" width="13" style="552" customWidth="1"/>
    <col min="13" max="13" width="17.85546875" style="552" customWidth="1"/>
    <col min="14" max="14" width="11" style="759" customWidth="1"/>
    <col min="15" max="15" width="12.5703125" style="552" bestFit="1" customWidth="1"/>
    <col min="16" max="16" width="14.42578125" style="552" customWidth="1"/>
    <col min="17" max="17" width="13.140625" style="552" customWidth="1"/>
    <col min="18" max="18" width="12.85546875" style="553" customWidth="1"/>
    <col min="19" max="19" width="13.85546875" style="552" bestFit="1" customWidth="1"/>
    <col min="20" max="20" width="16.85546875" style="552" bestFit="1" customWidth="1"/>
    <col min="21" max="21" width="13.42578125" style="552" customWidth="1"/>
    <col min="22" max="22" width="13.5703125" style="552" customWidth="1"/>
    <col min="23" max="23" width="14.140625" style="552" customWidth="1"/>
    <col min="24" max="24" width="13.5703125" style="552" customWidth="1"/>
    <col min="25" max="28" width="13.85546875" style="551" customWidth="1"/>
    <col min="29" max="29" width="8" style="760" customWidth="1"/>
    <col min="30" max="30" width="10.85546875" style="760" customWidth="1"/>
    <col min="31" max="31" width="14.5703125" style="1168" hidden="1" customWidth="1"/>
    <col min="32" max="32" width="12.85546875" style="1168" hidden="1" customWidth="1"/>
    <col min="33" max="34" width="14.140625" style="1169" hidden="1" customWidth="1"/>
    <col min="35" max="35" width="14.42578125" style="714" customWidth="1"/>
    <col min="36" max="36" width="13.5703125" style="714" customWidth="1"/>
    <col min="37" max="38" width="9.140625" style="714" customWidth="1"/>
    <col min="39" max="39" width="13.5703125" style="714" customWidth="1"/>
    <col min="40" max="40" width="11" style="714" customWidth="1"/>
    <col min="41" max="42" width="9.140625" style="714" customWidth="1"/>
    <col min="43" max="43" width="9.140625" style="760" customWidth="1"/>
    <col min="44" max="49" width="8.85546875" style="760"/>
    <col min="50" max="16384" width="8.85546875" style="552"/>
  </cols>
  <sheetData>
    <row r="1" spans="1:49">
      <c r="A1" s="553"/>
      <c r="B1" s="553"/>
      <c r="C1" s="657" t="s">
        <v>53</v>
      </c>
    </row>
    <row r="2" spans="1:49">
      <c r="A2" s="553"/>
      <c r="B2" s="553"/>
      <c r="C2" s="657" t="s">
        <v>63</v>
      </c>
    </row>
    <row r="3" spans="1:49">
      <c r="A3" s="553"/>
      <c r="B3" s="553"/>
      <c r="C3" s="657" t="s">
        <v>786</v>
      </c>
    </row>
    <row r="4" spans="1:49">
      <c r="A4" s="553"/>
      <c r="B4" s="553"/>
      <c r="C4" s="707" t="s">
        <v>787</v>
      </c>
      <c r="D4" s="553"/>
      <c r="E4" s="553"/>
      <c r="F4" s="553"/>
      <c r="G4" s="553"/>
      <c r="H4" s="553"/>
      <c r="I4" s="553"/>
      <c r="J4" s="553"/>
      <c r="K4" s="553"/>
      <c r="L4" s="553"/>
      <c r="M4" s="553"/>
      <c r="N4" s="761"/>
      <c r="O4" s="553"/>
      <c r="P4" s="553"/>
      <c r="Q4" s="553"/>
      <c r="S4" s="553"/>
      <c r="T4" s="553"/>
      <c r="U4" s="553"/>
      <c r="V4" s="553"/>
    </row>
    <row r="5" spans="1:49" ht="14.45" customHeight="1" thickBot="1">
      <c r="A5" s="1432" t="s">
        <v>788</v>
      </c>
      <c r="B5" s="1432"/>
      <c r="F5" s="762"/>
      <c r="I5" s="763" t="s">
        <v>80</v>
      </c>
      <c r="J5" s="763" t="s">
        <v>80</v>
      </c>
      <c r="K5" s="1166"/>
      <c r="Y5" s="1433" t="s">
        <v>86</v>
      </c>
      <c r="Z5" s="1433"/>
      <c r="AA5" s="1433"/>
      <c r="AB5" s="1433"/>
      <c r="AE5" s="1434" t="s">
        <v>80</v>
      </c>
      <c r="AF5" s="1434"/>
      <c r="AG5" s="1434"/>
      <c r="AH5" s="1434"/>
    </row>
    <row r="6" spans="1:49" ht="51.6" customHeight="1" thickBot="1">
      <c r="A6" s="764" t="s">
        <v>789</v>
      </c>
      <c r="B6" s="765" t="s">
        <v>105</v>
      </c>
      <c r="C6" s="896" t="s">
        <v>686</v>
      </c>
      <c r="D6" s="897" t="s">
        <v>687</v>
      </c>
      <c r="E6" s="898" t="s">
        <v>688</v>
      </c>
      <c r="F6" s="899" t="s">
        <v>112</v>
      </c>
      <c r="G6" s="896" t="s">
        <v>113</v>
      </c>
      <c r="H6" s="900" t="s">
        <v>689</v>
      </c>
      <c r="I6" s="766" t="s">
        <v>790</v>
      </c>
      <c r="J6" s="766" t="s">
        <v>791</v>
      </c>
      <c r="K6" s="900" t="s">
        <v>175</v>
      </c>
      <c r="L6" s="900" t="s">
        <v>792</v>
      </c>
      <c r="M6" s="897" t="s">
        <v>178</v>
      </c>
      <c r="N6" s="901" t="s">
        <v>179</v>
      </c>
      <c r="O6" s="897" t="s">
        <v>180</v>
      </c>
      <c r="P6" s="897" t="s">
        <v>181</v>
      </c>
      <c r="Q6" s="897" t="s">
        <v>182</v>
      </c>
      <c r="R6" s="900" t="s">
        <v>183</v>
      </c>
      <c r="S6" s="897" t="s">
        <v>184</v>
      </c>
      <c r="T6" s="902" t="s">
        <v>186</v>
      </c>
      <c r="U6" s="903" t="str">
        <f>'Corrected and Updated TSF 1'!CV6</f>
        <v>Monthly Amort.           20 years @ 7%</v>
      </c>
      <c r="V6" s="904" t="str">
        <f>'Corrected and Updated TSF 1'!CW6</f>
        <v>Monthly Amort.           15 years @ 7%</v>
      </c>
      <c r="W6" s="904" t="str">
        <f>'Corrected and Updated TSF 1'!CX6</f>
        <v>Monthly Amort.           10 years @ 7%</v>
      </c>
      <c r="X6" s="904" t="str">
        <f>'Corrected and Updated TSF 1'!CY6</f>
        <v>Monthly Amort.           5 years @ 7%</v>
      </c>
      <c r="Y6" s="1129" t="s">
        <v>793</v>
      </c>
      <c r="Z6" s="1129" t="s">
        <v>794</v>
      </c>
      <c r="AA6" s="1129" t="s">
        <v>795</v>
      </c>
      <c r="AB6" s="1129" t="s">
        <v>796</v>
      </c>
      <c r="AC6" s="760" t="s">
        <v>797</v>
      </c>
      <c r="AD6" s="760" t="s">
        <v>797</v>
      </c>
      <c r="AE6" s="1170" t="s">
        <v>798</v>
      </c>
      <c r="AF6" s="1171" t="s">
        <v>799</v>
      </c>
      <c r="AG6" s="1172" t="s">
        <v>676</v>
      </c>
      <c r="AH6" s="1172" t="s">
        <v>800</v>
      </c>
    </row>
    <row r="7" spans="1:49" s="119" customFormat="1" ht="12.6" customHeight="1">
      <c r="A7" s="767" t="str">
        <f>E7</f>
        <v>C1</v>
      </c>
      <c r="B7" s="768" t="str">
        <f>'Corrected and Updated TSF 1'!ER7</f>
        <v>UNSOLD</v>
      </c>
      <c r="C7" s="757" t="str">
        <f>'Corrected and Updated TSF 1'!E7</f>
        <v>2nd Floor</v>
      </c>
      <c r="D7" s="642" t="str">
        <f>'Corrected and Updated TSF 1'!M7</f>
        <v>End</v>
      </c>
      <c r="E7" s="642" t="str">
        <f>'Corrected and Updated TSF 1'!G7</f>
        <v>C1</v>
      </c>
      <c r="F7" s="758" t="str">
        <f>'Corrected and Updated TSF 1'!I7</f>
        <v>Commercial</v>
      </c>
      <c r="G7" s="769">
        <f>'Corrected and Updated TSF 1'!J7</f>
        <v>35.4</v>
      </c>
      <c r="H7" s="769">
        <f>'Corrected and Updated TSF 1'!CI7</f>
        <v>9625779.2471939344</v>
      </c>
      <c r="I7" s="770"/>
      <c r="J7" s="770">
        <f>H7-I7</f>
        <v>9625779.2471939344</v>
      </c>
      <c r="K7" s="769">
        <f>'Corrected and Updated TSF 1'!CJ7</f>
        <v>1155093.5096632722</v>
      </c>
      <c r="L7" s="769">
        <f>SUM('Corrected and Updated TSF 1'!CK7:CL7)</f>
        <v>1323544.646489166</v>
      </c>
      <c r="M7" s="769">
        <f>SUM(J7:L7)</f>
        <v>12104417.403346373</v>
      </c>
      <c r="N7" s="771">
        <f>'Corrected and Updated TSF 1'!CN7</f>
        <v>0.2</v>
      </c>
      <c r="O7" s="769">
        <f>'Corrected and Updated TSF 1'!CO7</f>
        <v>2420883.4806692745</v>
      </c>
      <c r="P7" s="769">
        <f>'Corrected and Updated TSF 1'!CP7</f>
        <v>200000</v>
      </c>
      <c r="Q7" s="769">
        <f>'Corrected and Updated TSF 1'!CQ7</f>
        <v>2220883.4806692745</v>
      </c>
      <c r="R7" s="425">
        <f>'Corrected and Updated TSF 1'!CR7</f>
        <v>32</v>
      </c>
      <c r="S7" s="769">
        <f>'Corrected and Updated TSF 1'!CS7</f>
        <v>69402.608770914827</v>
      </c>
      <c r="T7" s="769">
        <f>'Corrected and Updated TSF 1'!CU7</f>
        <v>9683533.9226770978</v>
      </c>
      <c r="U7" s="769">
        <f>'Corrected and Updated TSF 1'!CV7</f>
        <v>75076.335432808191</v>
      </c>
      <c r="V7" s="772">
        <f>'Corrected and Updated TSF 1'!CW7</f>
        <v>87038.340514606753</v>
      </c>
      <c r="W7" s="773">
        <f>'Corrected and Updated TSF 1'!CX7</f>
        <v>112434.03972239948</v>
      </c>
      <c r="X7" s="773">
        <f>'Corrected and Updated TSF 1'!CY7</f>
        <v>191745.57777513895</v>
      </c>
      <c r="Y7" s="1130">
        <f>'Corrected and Updated TSF 1'!CZ7</f>
        <v>860370.26227027981</v>
      </c>
      <c r="Z7" s="1130">
        <f>'Corrected and Updated TSF 1'!DA7</f>
        <v>340444.32167617814</v>
      </c>
      <c r="AA7" s="1130">
        <f>'Corrected and Updated TSF 1'!DB7</f>
        <v>245898.11176752453</v>
      </c>
      <c r="AB7" s="1130">
        <f>'Corrected and Updated TSF 1'!DC7</f>
        <v>187139.78361946906</v>
      </c>
      <c r="AC7" s="774">
        <f>K7-'Corrected and Updated TSF 1'!CJ7</f>
        <v>0</v>
      </c>
      <c r="AD7" s="774">
        <f>L7-SUM('Corrected and Updated TSF 1'!CK7:CL7)</f>
        <v>0</v>
      </c>
      <c r="AE7" s="1173">
        <f>H7</f>
        <v>9625779.2471939344</v>
      </c>
      <c r="AF7" s="1174">
        <f>SUM(FORM!$V$19:$W$22)+SUM(FORM!$V$25:$W$28)+SUM(FORM!$V$31:$W$34)</f>
        <v>0</v>
      </c>
      <c r="AG7" s="1173">
        <f>AE7-AF7</f>
        <v>9625779.2471939344</v>
      </c>
      <c r="AH7" s="1173">
        <f>AG7*12%</f>
        <v>1155093.5096632722</v>
      </c>
      <c r="AI7" s="714"/>
      <c r="AJ7" s="714"/>
      <c r="AK7" s="714"/>
      <c r="AL7" s="714"/>
      <c r="AM7" s="714"/>
      <c r="AN7" s="714"/>
      <c r="AO7" s="714"/>
      <c r="AP7" s="714"/>
      <c r="AQ7" s="552"/>
      <c r="AR7" s="552"/>
      <c r="AS7" s="552"/>
      <c r="AT7" s="552"/>
    </row>
    <row r="8" spans="1:49" s="119" customFormat="1" ht="12.6" customHeight="1">
      <c r="A8" s="767" t="str">
        <f t="shared" ref="A8:A71" si="0">E8</f>
        <v>C2</v>
      </c>
      <c r="B8" s="768" t="str">
        <f>'Corrected and Updated TSF 1'!ER8</f>
        <v>UNSOLD</v>
      </c>
      <c r="C8" s="757" t="str">
        <f>'Corrected and Updated TSF 1'!E8</f>
        <v>2nd Floor</v>
      </c>
      <c r="D8" s="642" t="str">
        <f>'Corrected and Updated TSF 1'!M8</f>
        <v>End</v>
      </c>
      <c r="E8" s="642" t="str">
        <f>'Corrected and Updated TSF 1'!G8</f>
        <v>C2</v>
      </c>
      <c r="F8" s="758" t="str">
        <f>'Corrected and Updated TSF 1'!I8</f>
        <v>Commercial</v>
      </c>
      <c r="G8" s="769">
        <f>'Corrected and Updated TSF 1'!J8</f>
        <v>20.72</v>
      </c>
      <c r="H8" s="769">
        <f>'Corrected and Updated TSF 1'!CI8</f>
        <v>5672106.5406432711</v>
      </c>
      <c r="I8" s="770"/>
      <c r="J8" s="770">
        <f t="shared" ref="J8:J71" si="1">H8-I8</f>
        <v>5672106.5406432711</v>
      </c>
      <c r="K8" s="769">
        <f>'Corrected and Updated TSF 1'!CJ8</f>
        <v>680652.78487719246</v>
      </c>
      <c r="L8" s="769">
        <f>SUM('Corrected and Updated TSF 1'!CK8:CL8)</f>
        <v>779914.6493384497</v>
      </c>
      <c r="M8" s="769">
        <f t="shared" ref="M8:M71" si="2">SUM(J8:L8)</f>
        <v>7132673.9748589126</v>
      </c>
      <c r="N8" s="771">
        <f>'Corrected and Updated TSF 1'!CN8</f>
        <v>0.2</v>
      </c>
      <c r="O8" s="769">
        <f>'Corrected and Updated TSF 1'!CO8</f>
        <v>1426534.7949717827</v>
      </c>
      <c r="P8" s="769">
        <f>'Corrected and Updated TSF 1'!CP8</f>
        <v>200000</v>
      </c>
      <c r="Q8" s="769">
        <f>'Corrected and Updated TSF 1'!CQ8</f>
        <v>1226534.7949717827</v>
      </c>
      <c r="R8" s="425">
        <f>'Corrected and Updated TSF 1'!CR8</f>
        <v>32</v>
      </c>
      <c r="S8" s="769">
        <f>'Corrected and Updated TSF 1'!CS8</f>
        <v>38329.21234286821</v>
      </c>
      <c r="T8" s="769">
        <f>'Corrected and Updated TSF 1'!CU8</f>
        <v>5706139.1798871309</v>
      </c>
      <c r="U8" s="769">
        <f>'Corrected and Updated TSF 1'!CV8</f>
        <v>44239.636326596505</v>
      </c>
      <c r="V8" s="772">
        <f>'Corrected and Updated TSF 1'!CW8</f>
        <v>51288.392123012367</v>
      </c>
      <c r="W8" s="773">
        <f>'Corrected and Updated TSF 1'!CX8</f>
        <v>66253.114238650145</v>
      </c>
      <c r="X8" s="773">
        <f>'Corrected and Updated TSF 1'!CY8</f>
        <v>112988.39479981236</v>
      </c>
      <c r="Y8" s="1130">
        <f>'Corrected and Updated TSF 1'!CZ8</f>
        <v>506983.55599842471</v>
      </c>
      <c r="Z8" s="1130">
        <f>'Corrected and Updated TSF 1'!DA8</f>
        <v>200610.92344988478</v>
      </c>
      <c r="AA8" s="1130">
        <f>'Corrected and Updated TSF 1'!DB8</f>
        <v>144898.42871630372</v>
      </c>
      <c r="AB8" s="1130">
        <f>'Corrected and Updated TSF 1'!DC8</f>
        <v>110274.37503223379</v>
      </c>
      <c r="AC8" s="774">
        <f>K8-'Corrected and Updated TSF 1'!CJ8</f>
        <v>0</v>
      </c>
      <c r="AD8" s="774">
        <f>L8-SUM('Corrected and Updated TSF 1'!CK8:CL8)</f>
        <v>0</v>
      </c>
      <c r="AE8" s="1173">
        <f t="shared" ref="AE8:AE12" si="3">H8</f>
        <v>5672106.5406432711</v>
      </c>
      <c r="AF8" s="1174">
        <f>SUM(FORM!$V$19:$W$22)+SUM(FORM!$V$25:$W$28)+SUM(FORM!$V$31:$W$34)</f>
        <v>0</v>
      </c>
      <c r="AG8" s="1173">
        <f t="shared" ref="AG8:AG12" si="4">AE8-AF8</f>
        <v>5672106.5406432711</v>
      </c>
      <c r="AH8" s="1173">
        <f t="shared" ref="AH8:AH12" si="5">AG8*12%</f>
        <v>680652.78487719246</v>
      </c>
      <c r="AI8" s="714"/>
      <c r="AJ8" s="714"/>
      <c r="AK8" s="714"/>
      <c r="AL8" s="714"/>
      <c r="AM8" s="714"/>
      <c r="AN8" s="714"/>
      <c r="AO8" s="714"/>
      <c r="AP8" s="714"/>
      <c r="AQ8" s="760"/>
      <c r="AR8" s="760"/>
      <c r="AS8" s="760"/>
      <c r="AT8" s="760"/>
      <c r="AU8" s="760"/>
      <c r="AV8" s="760"/>
      <c r="AW8" s="760"/>
    </row>
    <row r="9" spans="1:49" s="119" customFormat="1" ht="12.6" customHeight="1">
      <c r="A9" s="767" t="str">
        <f t="shared" si="0"/>
        <v>C3</v>
      </c>
      <c r="B9" s="768" t="str">
        <f>'Corrected and Updated TSF 1'!ER9</f>
        <v>UNSOLD</v>
      </c>
      <c r="C9" s="757" t="str">
        <f>'Corrected and Updated TSF 1'!E9</f>
        <v>2nd Floor</v>
      </c>
      <c r="D9" s="642" t="str">
        <f>'Corrected and Updated TSF 1'!M9</f>
        <v>End</v>
      </c>
      <c r="E9" s="642" t="str">
        <f>'Corrected and Updated TSF 1'!G9</f>
        <v>C3</v>
      </c>
      <c r="F9" s="758" t="str">
        <f>'Corrected and Updated TSF 1'!I9</f>
        <v>Commercial</v>
      </c>
      <c r="G9" s="769">
        <f>'Corrected and Updated TSF 1'!J9</f>
        <v>20.72</v>
      </c>
      <c r="H9" s="769">
        <f>'Corrected and Updated TSF 1'!CI9</f>
        <v>5672106.5406432711</v>
      </c>
      <c r="I9" s="770"/>
      <c r="J9" s="770">
        <f t="shared" si="1"/>
        <v>5672106.5406432711</v>
      </c>
      <c r="K9" s="769">
        <f>'Corrected and Updated TSF 1'!CJ9</f>
        <v>680652.78487719246</v>
      </c>
      <c r="L9" s="769">
        <f>SUM('Corrected and Updated TSF 1'!CK9:CL9)</f>
        <v>779914.6493384497</v>
      </c>
      <c r="M9" s="769">
        <f t="shared" si="2"/>
        <v>7132673.9748589126</v>
      </c>
      <c r="N9" s="771">
        <f>'Corrected and Updated TSF 1'!CN9</f>
        <v>0.2</v>
      </c>
      <c r="O9" s="769">
        <f>'Corrected and Updated TSF 1'!CO9</f>
        <v>1426534.7949717827</v>
      </c>
      <c r="P9" s="769">
        <f>'Corrected and Updated TSF 1'!CP9</f>
        <v>200000</v>
      </c>
      <c r="Q9" s="769">
        <f>'Corrected and Updated TSF 1'!CQ9</f>
        <v>1226534.7949717827</v>
      </c>
      <c r="R9" s="425">
        <f>'Corrected and Updated TSF 1'!CR9</f>
        <v>32</v>
      </c>
      <c r="S9" s="769">
        <f>'Corrected and Updated TSF 1'!CS9</f>
        <v>38329.21234286821</v>
      </c>
      <c r="T9" s="769">
        <f>'Corrected and Updated TSF 1'!CU9</f>
        <v>5706139.1798871309</v>
      </c>
      <c r="U9" s="769">
        <f>'Corrected and Updated TSF 1'!CV9</f>
        <v>44239.636326596505</v>
      </c>
      <c r="V9" s="772">
        <f>'Corrected and Updated TSF 1'!CW9</f>
        <v>51288.392123012367</v>
      </c>
      <c r="W9" s="773">
        <f>'Corrected and Updated TSF 1'!CX9</f>
        <v>66253.114238650145</v>
      </c>
      <c r="X9" s="773">
        <f>'Corrected and Updated TSF 1'!CY9</f>
        <v>112988.39479981236</v>
      </c>
      <c r="Y9" s="1130">
        <f>'Corrected and Updated TSF 1'!CZ9</f>
        <v>506983.55599842471</v>
      </c>
      <c r="Z9" s="1130">
        <f>'Corrected and Updated TSF 1'!DA9</f>
        <v>200610.92344988478</v>
      </c>
      <c r="AA9" s="1130">
        <f>'Corrected and Updated TSF 1'!DB9</f>
        <v>144898.42871630372</v>
      </c>
      <c r="AB9" s="1130">
        <f>'Corrected and Updated TSF 1'!DC9</f>
        <v>110274.37503223379</v>
      </c>
      <c r="AC9" s="774">
        <f>K9-'Corrected and Updated TSF 1'!CJ9</f>
        <v>0</v>
      </c>
      <c r="AD9" s="774">
        <f>L9-SUM('Corrected and Updated TSF 1'!CK9:CL9)</f>
        <v>0</v>
      </c>
      <c r="AE9" s="1173">
        <f t="shared" si="3"/>
        <v>5672106.5406432711</v>
      </c>
      <c r="AF9" s="1174">
        <f>SUM(FORM!$V$19:$W$22)+SUM(FORM!$V$25:$W$28)+SUM(FORM!$V$31:$W$34)</f>
        <v>0</v>
      </c>
      <c r="AG9" s="1173">
        <f t="shared" si="4"/>
        <v>5672106.5406432711</v>
      </c>
      <c r="AH9" s="1173">
        <f t="shared" si="5"/>
        <v>680652.78487719246</v>
      </c>
      <c r="AI9" s="714"/>
      <c r="AJ9" s="714"/>
      <c r="AK9" s="714"/>
      <c r="AL9" s="714"/>
      <c r="AM9" s="714"/>
      <c r="AN9" s="714"/>
      <c r="AO9" s="714"/>
      <c r="AP9" s="714"/>
      <c r="AQ9" s="552"/>
      <c r="AR9" s="552"/>
      <c r="AS9" s="552"/>
      <c r="AT9" s="552"/>
    </row>
    <row r="10" spans="1:49" s="119" customFormat="1" ht="12.6" customHeight="1">
      <c r="A10" s="767" t="str">
        <f t="shared" si="0"/>
        <v>C4</v>
      </c>
      <c r="B10" s="768" t="str">
        <f>'Corrected and Updated TSF 1'!ER10</f>
        <v>UNSOLD</v>
      </c>
      <c r="C10" s="757" t="str">
        <f>'Corrected and Updated TSF 1'!E10</f>
        <v>2nd Floor</v>
      </c>
      <c r="D10" s="642" t="str">
        <f>'Corrected and Updated TSF 1'!M10</f>
        <v>Inner</v>
      </c>
      <c r="E10" s="642" t="str">
        <f>'Corrected and Updated TSF 1'!G10</f>
        <v>C4</v>
      </c>
      <c r="F10" s="758" t="str">
        <f>'Corrected and Updated TSF 1'!I10</f>
        <v>Commercial</v>
      </c>
      <c r="G10" s="769">
        <f>'Corrected and Updated TSF 1'!J10</f>
        <v>22.18</v>
      </c>
      <c r="H10" s="769">
        <f>'Corrected and Updated TSF 1'!CI10</f>
        <v>6065319.2212675205</v>
      </c>
      <c r="I10" s="770"/>
      <c r="J10" s="770">
        <f t="shared" si="1"/>
        <v>6065319.2212675205</v>
      </c>
      <c r="K10" s="769">
        <f>'Corrected and Updated TSF 1'!CJ10</f>
        <v>727838.30655210244</v>
      </c>
      <c r="L10" s="769">
        <f>SUM('Corrected and Updated TSF 1'!CK10:CL10)</f>
        <v>833981.39292428398</v>
      </c>
      <c r="M10" s="769">
        <f t="shared" si="2"/>
        <v>7627138.9207439069</v>
      </c>
      <c r="N10" s="771">
        <f>'Corrected and Updated TSF 1'!CN10</f>
        <v>0.2</v>
      </c>
      <c r="O10" s="769">
        <f>'Corrected and Updated TSF 1'!CO10</f>
        <v>1525427.7841487816</v>
      </c>
      <c r="P10" s="769">
        <f>'Corrected and Updated TSF 1'!CP10</f>
        <v>200000</v>
      </c>
      <c r="Q10" s="769">
        <f>'Corrected and Updated TSF 1'!CQ10</f>
        <v>1325427.7841487816</v>
      </c>
      <c r="R10" s="425">
        <f>'Corrected and Updated TSF 1'!CR10</f>
        <v>32</v>
      </c>
      <c r="S10" s="769">
        <f>'Corrected and Updated TSF 1'!CS10</f>
        <v>41419.618254649424</v>
      </c>
      <c r="T10" s="769">
        <f>'Corrected and Updated TSF 1'!CU10</f>
        <v>6101711.1365951262</v>
      </c>
      <c r="U10" s="769">
        <f>'Corrected and Updated TSF 1'!CV10</f>
        <v>47306.501496560348</v>
      </c>
      <c r="V10" s="772">
        <f>'Corrected and Updated TSF 1'!CW10</f>
        <v>54843.904701467945</v>
      </c>
      <c r="W10" s="773">
        <f>'Corrected and Updated TSF 1'!CX10</f>
        <v>70846.040070140225</v>
      </c>
      <c r="X10" s="773">
        <f>'Corrected and Updated TSF 1'!CY10</f>
        <v>120821.19365158191</v>
      </c>
      <c r="Y10" s="1130">
        <f>'Corrected and Updated TSF 1'!CZ10</f>
        <v>542129.64531429054</v>
      </c>
      <c r="Z10" s="1130">
        <f>'Corrected and Updated TSF 1'!DA10</f>
        <v>214518.05978574234</v>
      </c>
      <c r="AA10" s="1130">
        <f>'Corrected and Updated TSF 1'!DB10</f>
        <v>154943.35632221538</v>
      </c>
      <c r="AB10" s="1130">
        <f>'Corrected and Updated TSF 1'!DC10</f>
        <v>117919.02738491526</v>
      </c>
      <c r="AC10" s="774">
        <f>K10-'Corrected and Updated TSF 1'!CJ10</f>
        <v>0</v>
      </c>
      <c r="AD10" s="774">
        <f>L10-SUM('Corrected and Updated TSF 1'!CK10:CL10)</f>
        <v>0</v>
      </c>
      <c r="AE10" s="1173">
        <f t="shared" si="3"/>
        <v>6065319.2212675205</v>
      </c>
      <c r="AF10" s="1174">
        <f>SUM(FORM!$V$19:$W$22)+SUM(FORM!$V$25:$W$28)+SUM(FORM!$V$31:$W$34)</f>
        <v>0</v>
      </c>
      <c r="AG10" s="1173">
        <f t="shared" si="4"/>
        <v>6065319.2212675205</v>
      </c>
      <c r="AH10" s="1173">
        <f t="shared" si="5"/>
        <v>727838.30655210244</v>
      </c>
      <c r="AI10" s="714"/>
      <c r="AJ10" s="714"/>
      <c r="AK10" s="714"/>
      <c r="AL10" s="714"/>
      <c r="AM10" s="714"/>
      <c r="AN10" s="714"/>
      <c r="AO10" s="714"/>
      <c r="AP10" s="714"/>
      <c r="AQ10" s="552"/>
      <c r="AR10" s="552"/>
      <c r="AS10" s="552"/>
      <c r="AT10" s="552"/>
    </row>
    <row r="11" spans="1:49" s="119" customFormat="1" ht="12.6" customHeight="1">
      <c r="A11" s="767" t="str">
        <f t="shared" si="0"/>
        <v>C5</v>
      </c>
      <c r="B11" s="768" t="str">
        <f>'Corrected and Updated TSF 1'!ER11</f>
        <v>UNSOLD</v>
      </c>
      <c r="C11" s="757" t="str">
        <f>'Corrected and Updated TSF 1'!E11</f>
        <v>2nd Floor</v>
      </c>
      <c r="D11" s="642" t="str">
        <f>'Corrected and Updated TSF 1'!M11</f>
        <v>Inner</v>
      </c>
      <c r="E11" s="642" t="str">
        <f>'Corrected and Updated TSF 1'!G11</f>
        <v>C5</v>
      </c>
      <c r="F11" s="758" t="str">
        <f>'Corrected and Updated TSF 1'!I11</f>
        <v>Commercial</v>
      </c>
      <c r="G11" s="769">
        <f>'Corrected and Updated TSF 1'!J11</f>
        <v>40</v>
      </c>
      <c r="H11" s="769">
        <f>'Corrected and Updated TSF 1'!CI11</f>
        <v>10864668.514914168</v>
      </c>
      <c r="I11" s="770"/>
      <c r="J11" s="770">
        <f t="shared" si="1"/>
        <v>10864668.514914168</v>
      </c>
      <c r="K11" s="769">
        <f>'Corrected and Updated TSF 1'!CJ11</f>
        <v>1303760.2217897002</v>
      </c>
      <c r="L11" s="769">
        <f>SUM('Corrected and Updated TSF 1'!CK11:CL11)</f>
        <v>1493891.920800698</v>
      </c>
      <c r="M11" s="769">
        <f t="shared" si="2"/>
        <v>13662320.657504566</v>
      </c>
      <c r="N11" s="771">
        <f>'Corrected and Updated TSF 1'!CN11</f>
        <v>0.2</v>
      </c>
      <c r="O11" s="769">
        <f>'Corrected and Updated TSF 1'!CO11</f>
        <v>2732464.1315009138</v>
      </c>
      <c r="P11" s="769">
        <f>'Corrected and Updated TSF 1'!CP11</f>
        <v>200000</v>
      </c>
      <c r="Q11" s="769">
        <f>'Corrected and Updated TSF 1'!CQ11</f>
        <v>2532464.1315009138</v>
      </c>
      <c r="R11" s="425">
        <f>'Corrected and Updated TSF 1'!CR11</f>
        <v>32</v>
      </c>
      <c r="S11" s="769">
        <f>'Corrected and Updated TSF 1'!CS11</f>
        <v>79139.504109403555</v>
      </c>
      <c r="T11" s="769">
        <f>'Corrected and Updated TSF 1'!CU11</f>
        <v>10929856.526003655</v>
      </c>
      <c r="U11" s="769">
        <f>'Corrected and Updated TSF 1'!CV11</f>
        <v>84739.061310776437</v>
      </c>
      <c r="V11" s="772">
        <f>'Corrected and Updated TSF 1'!CW11</f>
        <v>98240.640419329808</v>
      </c>
      <c r="W11" s="773">
        <f>'Corrected and Updated TSF 1'!CX11</f>
        <v>126904.9019312038</v>
      </c>
      <c r="X11" s="773">
        <f>'Corrected and Updated TSF 1'!CY11</f>
        <v>216424.25908893341</v>
      </c>
      <c r="Y11" s="1130">
        <f>'Corrected and Updated TSF 1'!CZ11</f>
        <v>971104.51627917169</v>
      </c>
      <c r="Z11" s="1130">
        <f>'Corrected and Updated TSF 1'!DA11</f>
        <v>384261.32656997582</v>
      </c>
      <c r="AA11" s="1130">
        <f>'Corrected and Updated TSF 1'!DB11</f>
        <v>277546.51381354744</v>
      </c>
      <c r="AB11" s="1130">
        <f>'Corrected and Updated TSF 1'!DC11</f>
        <v>211225.67459367085</v>
      </c>
      <c r="AC11" s="774">
        <f>K11-'Corrected and Updated TSF 1'!CJ11</f>
        <v>0</v>
      </c>
      <c r="AD11" s="774">
        <f>L11-SUM('Corrected and Updated TSF 1'!CK11:CL11)</f>
        <v>0</v>
      </c>
      <c r="AE11" s="1173">
        <f t="shared" si="3"/>
        <v>10864668.514914168</v>
      </c>
      <c r="AF11" s="1174">
        <f>SUM(FORM!$V$19:$W$22)+SUM(FORM!$V$25:$W$28)+SUM(FORM!$V$31:$W$34)</f>
        <v>0</v>
      </c>
      <c r="AG11" s="1173">
        <f t="shared" si="4"/>
        <v>10864668.514914168</v>
      </c>
      <c r="AH11" s="1173">
        <f t="shared" si="5"/>
        <v>1303760.2217897002</v>
      </c>
      <c r="AI11" s="714"/>
      <c r="AJ11" s="714"/>
      <c r="AK11" s="714"/>
      <c r="AL11" s="714"/>
      <c r="AM11" s="714"/>
      <c r="AN11" s="714"/>
      <c r="AO11" s="714"/>
      <c r="AP11" s="714"/>
      <c r="AQ11" s="552"/>
      <c r="AR11" s="552"/>
      <c r="AS11" s="552"/>
      <c r="AT11" s="552"/>
    </row>
    <row r="12" spans="1:49" s="119" customFormat="1" ht="12.6" customHeight="1">
      <c r="A12" s="767" t="str">
        <f t="shared" si="0"/>
        <v>C6</v>
      </c>
      <c r="B12" s="768" t="str">
        <f>'Corrected and Updated TSF 1'!ER12</f>
        <v>UNSOLD</v>
      </c>
      <c r="C12" s="757" t="str">
        <f>'Corrected and Updated TSF 1'!E12</f>
        <v>2nd Floor</v>
      </c>
      <c r="D12" s="642" t="str">
        <f>'Corrected and Updated TSF 1'!M12</f>
        <v>Corner</v>
      </c>
      <c r="E12" s="642" t="str">
        <f>'Corrected and Updated TSF 1'!G12</f>
        <v>C6</v>
      </c>
      <c r="F12" s="758" t="str">
        <f>'Corrected and Updated TSF 1'!I12</f>
        <v>Commercial</v>
      </c>
      <c r="G12" s="769">
        <f>'Corrected and Updated TSF 1'!J12</f>
        <v>39.200000000000003</v>
      </c>
      <c r="H12" s="769">
        <f>'Corrected and Updated TSF 1'!CI12</f>
        <v>10649209.51183239</v>
      </c>
      <c r="I12" s="770"/>
      <c r="J12" s="770">
        <f t="shared" si="1"/>
        <v>10649209.51183239</v>
      </c>
      <c r="K12" s="769">
        <f>'Corrected and Updated TSF 1'!CJ12</f>
        <v>1277905.1414198868</v>
      </c>
      <c r="L12" s="769">
        <f>SUM('Corrected and Updated TSF 1'!CK12:CL12)</f>
        <v>1464266.3078769534</v>
      </c>
      <c r="M12" s="769">
        <f t="shared" si="2"/>
        <v>13391380.961129231</v>
      </c>
      <c r="N12" s="771">
        <f>'Corrected and Updated TSF 1'!CN12</f>
        <v>0.2</v>
      </c>
      <c r="O12" s="769">
        <f>'Corrected and Updated TSF 1'!CO12</f>
        <v>2678276.1922258465</v>
      </c>
      <c r="P12" s="769">
        <f>'Corrected and Updated TSF 1'!CP12</f>
        <v>200000</v>
      </c>
      <c r="Q12" s="769">
        <f>'Corrected and Updated TSF 1'!CQ12</f>
        <v>2478276.1922258465</v>
      </c>
      <c r="R12" s="425">
        <f>'Corrected and Updated TSF 1'!CR12</f>
        <v>32</v>
      </c>
      <c r="S12" s="769">
        <f>'Corrected and Updated TSF 1'!CS12</f>
        <v>77446.131007057702</v>
      </c>
      <c r="T12" s="769">
        <f>'Corrected and Updated TSF 1'!CU12</f>
        <v>10713104.768903386</v>
      </c>
      <c r="U12" s="769">
        <f>'Corrected and Updated TSF 1'!CV12</f>
        <v>83058.587245042858</v>
      </c>
      <c r="V12" s="772">
        <f>'Corrected and Updated TSF 1'!CW12</f>
        <v>96292.414348943203</v>
      </c>
      <c r="W12" s="773">
        <f>'Corrected and Updated TSF 1'!CX12</f>
        <v>124388.2302427161</v>
      </c>
      <c r="X12" s="773">
        <f>'Corrected and Updated TSF 1'!CY12</f>
        <v>212132.31451262138</v>
      </c>
      <c r="Y12" s="1130">
        <f>'Corrected and Updated TSF 1'!CZ12</f>
        <v>951846.38514719065</v>
      </c>
      <c r="Z12" s="1130">
        <f>'Corrected and Updated TSF 1'!DA12</f>
        <v>376640.97789279366</v>
      </c>
      <c r="AA12" s="1130">
        <f>'Corrected and Updated TSF 1'!DB12</f>
        <v>272042.44389250001</v>
      </c>
      <c r="AB12" s="1130">
        <f>'Corrected and Updated TSF 1'!DC12</f>
        <v>207036.82398946187</v>
      </c>
      <c r="AC12" s="774">
        <f>K12-'Corrected and Updated TSF 1'!CJ12</f>
        <v>0</v>
      </c>
      <c r="AD12" s="774">
        <f>L12-SUM('Corrected and Updated TSF 1'!CK12:CL12)</f>
        <v>0</v>
      </c>
      <c r="AE12" s="1173">
        <f t="shared" si="3"/>
        <v>10649209.51183239</v>
      </c>
      <c r="AF12" s="1174">
        <f>SUM(FORM!$V$19:$W$22)+SUM(FORM!$V$25:$W$28)+SUM(FORM!$V$31:$W$34)</f>
        <v>0</v>
      </c>
      <c r="AG12" s="1173">
        <f t="shared" si="4"/>
        <v>10649209.51183239</v>
      </c>
      <c r="AH12" s="1173">
        <f t="shared" si="5"/>
        <v>1277905.1414198868</v>
      </c>
      <c r="AI12" s="714"/>
      <c r="AJ12" s="714"/>
      <c r="AK12" s="714"/>
      <c r="AL12" s="714"/>
      <c r="AM12" s="714"/>
      <c r="AN12" s="714"/>
      <c r="AO12" s="714"/>
      <c r="AP12" s="714"/>
      <c r="AQ12" s="552"/>
      <c r="AR12" s="552"/>
      <c r="AS12" s="552"/>
      <c r="AT12" s="552"/>
    </row>
    <row r="13" spans="1:49" s="119" customFormat="1" ht="12" hidden="1" customHeight="1">
      <c r="A13" s="767" t="str">
        <f t="shared" si="0"/>
        <v>2A</v>
      </c>
      <c r="B13" s="768" t="str">
        <f>'Corrected and Updated TSF 1'!ER13</f>
        <v>SOLD</v>
      </c>
      <c r="C13" s="757" t="str">
        <f>'Corrected and Updated TSF 1'!E13</f>
        <v>2nd Floor</v>
      </c>
      <c r="D13" s="642" t="str">
        <f>'Corrected and Updated TSF 1'!M13</f>
        <v>End</v>
      </c>
      <c r="E13" s="642" t="str">
        <f>'Corrected and Updated TSF 1'!G13</f>
        <v>2A</v>
      </c>
      <c r="F13" s="758" t="str">
        <f>'Corrected and Updated TSF 1'!I13</f>
        <v>Studio Unit</v>
      </c>
      <c r="G13" s="769">
        <f>'Corrected and Updated TSF 1'!J13</f>
        <v>22</v>
      </c>
      <c r="H13" s="769">
        <f>'Corrected and Updated TSF 1'!CI13</f>
        <v>3105802.7666149172</v>
      </c>
      <c r="I13" s="770"/>
      <c r="J13" s="770">
        <f t="shared" si="1"/>
        <v>3105802.7666149172</v>
      </c>
      <c r="K13" s="769">
        <f>'Corrected and Updated TSF 1'!CJ13</f>
        <v>0</v>
      </c>
      <c r="L13" s="769">
        <f>SUM('Corrected and Updated TSF 1'!CK13:CL13)</f>
        <v>427047.88040955114</v>
      </c>
      <c r="M13" s="769">
        <f t="shared" si="2"/>
        <v>3532850.6470244685</v>
      </c>
      <c r="N13" s="771">
        <f>'Corrected and Updated TSF 1'!CN13</f>
        <v>0.125</v>
      </c>
      <c r="O13" s="769">
        <f>'Corrected and Updated TSF 1'!CO13</f>
        <v>441606.33087805851</v>
      </c>
      <c r="P13" s="769">
        <f>'Corrected and Updated TSF 1'!CP13</f>
        <v>30000</v>
      </c>
      <c r="Q13" s="769">
        <f>'Corrected and Updated TSF 1'!CQ13</f>
        <v>411606.33087805851</v>
      </c>
      <c r="R13" s="425">
        <f>'Corrected and Updated TSF 1'!CR13</f>
        <v>2</v>
      </c>
      <c r="S13" s="769">
        <f>'Corrected and Updated TSF 1'!CS13</f>
        <v>205803.16543902925</v>
      </c>
      <c r="T13" s="769">
        <f>'Corrected and Updated TSF 1'!CU13</f>
        <v>3091244.3161464096</v>
      </c>
      <c r="U13" s="769">
        <f>'Corrected and Updated TSF 1'!CV13</f>
        <v>23966.384280462073</v>
      </c>
      <c r="V13" s="772">
        <f>'Corrected and Updated TSF 1'!CW13</f>
        <v>27784.977834642708</v>
      </c>
      <c r="W13" s="773">
        <f>'Corrected and Updated TSF 1'!CX13</f>
        <v>35891.967644097516</v>
      </c>
      <c r="X13" s="773">
        <f>'Corrected and Updated TSF 1'!CY13</f>
        <v>61210.342440742083</v>
      </c>
      <c r="Y13" s="1130">
        <f>'Corrected and Updated TSF 1'!CZ13</f>
        <v>251111.60136479235</v>
      </c>
      <c r="Z13" s="1130">
        <f>'Corrected and Updated TSF 1'!DA13</f>
        <v>99363.63742520845</v>
      </c>
      <c r="AA13" s="1130">
        <f>'Corrected and Updated TSF 1'!DB13</f>
        <v>71768.948005694881</v>
      </c>
      <c r="AB13" s="1130">
        <f>'Corrected and Updated TSF 1'!DC13</f>
        <v>54619.473504051763</v>
      </c>
      <c r="AC13" s="774">
        <f>K13-'Corrected and Updated TSF 1'!CJ13</f>
        <v>0</v>
      </c>
      <c r="AD13" s="774">
        <f>L13-SUM('Corrected and Updated TSF 1'!CK13:CL13)</f>
        <v>0</v>
      </c>
      <c r="AE13" s="1173">
        <f t="shared" ref="AE13:AE76" si="6">H13</f>
        <v>3105802.7666149172</v>
      </c>
      <c r="AF13" s="1174">
        <f>SUM(FORM!$V$19:$W$22)+SUM(FORM!$V$25:$W$28)+SUM(FORM!$V$31:$W$34)</f>
        <v>0</v>
      </c>
      <c r="AG13" s="1173">
        <f t="shared" ref="AG13:AG76" si="7">AE13-AF13</f>
        <v>3105802.7666149172</v>
      </c>
      <c r="AH13" s="1173"/>
      <c r="AI13" s="714"/>
      <c r="AJ13" s="714"/>
      <c r="AK13" s="714"/>
      <c r="AL13" s="714"/>
      <c r="AM13" s="714"/>
      <c r="AN13" s="714"/>
      <c r="AO13" s="714"/>
      <c r="AP13" s="714"/>
      <c r="AQ13" s="552"/>
      <c r="AR13" s="552"/>
      <c r="AS13" s="552"/>
      <c r="AT13" s="552"/>
    </row>
    <row r="14" spans="1:49" s="119" customFormat="1" ht="12.75" hidden="1" customHeight="1">
      <c r="A14" s="767" t="str">
        <f t="shared" si="0"/>
        <v>2B</v>
      </c>
      <c r="B14" s="768" t="str">
        <f>'Corrected and Updated TSF 1'!ER14</f>
        <v>SOLD</v>
      </c>
      <c r="C14" s="757" t="str">
        <f>'Corrected and Updated TSF 1'!E14</f>
        <v>2nd Floor</v>
      </c>
      <c r="D14" s="642" t="str">
        <f>'Corrected and Updated TSF 1'!M14</f>
        <v>Inner</v>
      </c>
      <c r="E14" s="642" t="str">
        <f>'Corrected and Updated TSF 1'!G14</f>
        <v>2B</v>
      </c>
      <c r="F14" s="758" t="str">
        <f>'Corrected and Updated TSF 1'!I14</f>
        <v>Studio Unit</v>
      </c>
      <c r="G14" s="769">
        <f>'Corrected and Updated TSF 1'!J14</f>
        <v>22</v>
      </c>
      <c r="H14" s="769">
        <f>'Corrected and Updated TSF 1'!CI14</f>
        <v>3074224.6067545544</v>
      </c>
      <c r="I14" s="770"/>
      <c r="J14" s="770">
        <f t="shared" si="1"/>
        <v>3074224.6067545544</v>
      </c>
      <c r="K14" s="769">
        <f>'Corrected and Updated TSF 1'!CJ14</f>
        <v>0</v>
      </c>
      <c r="L14" s="769">
        <f>SUM('Corrected and Updated TSF 1'!CK14:CL14)</f>
        <v>422705.8834287512</v>
      </c>
      <c r="M14" s="769">
        <f t="shared" si="2"/>
        <v>3496930.4901833055</v>
      </c>
      <c r="N14" s="771">
        <f>'Corrected and Updated TSF 1'!CN14</f>
        <v>0.125</v>
      </c>
      <c r="O14" s="769">
        <f>'Corrected and Updated TSF 1'!CO14</f>
        <v>437116.31127291318</v>
      </c>
      <c r="P14" s="769">
        <f>'Corrected and Updated TSF 1'!CP14</f>
        <v>30000</v>
      </c>
      <c r="Q14" s="769">
        <f>'Corrected and Updated TSF 1'!CQ14</f>
        <v>407116.31127291318</v>
      </c>
      <c r="R14" s="425">
        <f>'Corrected and Updated TSF 1'!CR14</f>
        <v>2</v>
      </c>
      <c r="S14" s="769">
        <f>'Corrected and Updated TSF 1'!CS14</f>
        <v>203558.15563645659</v>
      </c>
      <c r="T14" s="769">
        <f>'Corrected and Updated TSF 1'!CU14</f>
        <v>3059814.1789103923</v>
      </c>
      <c r="U14" s="769">
        <f>'Corrected and Updated TSF 1'!CV14</f>
        <v>23722.706761007681</v>
      </c>
      <c r="V14" s="772">
        <f>'Corrected and Updated TSF 1'!CW14</f>
        <v>27502.474875597669</v>
      </c>
      <c r="W14" s="773">
        <f>'Corrected and Updated TSF 1'!CX14</f>
        <v>35527.03710048685</v>
      </c>
      <c r="X14" s="773">
        <f>'Corrected and Updated TSF 1'!CY14</f>
        <v>60587.988053181267</v>
      </c>
      <c r="Y14" s="1130">
        <f>'Corrected and Updated TSF 1'!CZ14</f>
        <v>248558.43141597047</v>
      </c>
      <c r="Z14" s="1130">
        <f>'Corrected and Updated TSF 1'!DA14</f>
        <v>98353.36051366452</v>
      </c>
      <c r="AA14" s="1130">
        <f>'Corrected and Updated TSF 1'!DB14</f>
        <v>71039.239301235197</v>
      </c>
      <c r="AB14" s="1130">
        <f>'Corrected and Updated TSF 1'!DC14</f>
        <v>54064.131585904252</v>
      </c>
      <c r="AC14" s="774">
        <f>K14-'Corrected and Updated TSF 1'!CJ14</f>
        <v>0</v>
      </c>
      <c r="AD14" s="774">
        <f>L14-SUM('Corrected and Updated TSF 1'!CK14:CL14)</f>
        <v>0</v>
      </c>
      <c r="AE14" s="1173">
        <f t="shared" si="6"/>
        <v>3074224.6067545544</v>
      </c>
      <c r="AF14" s="1174">
        <f>SUM(FORM!$V$19:$W$22)+SUM(FORM!$V$25:$W$28)+SUM(FORM!$V$31:$W$34)</f>
        <v>0</v>
      </c>
      <c r="AG14" s="1173">
        <f t="shared" si="7"/>
        <v>3074224.6067545544</v>
      </c>
      <c r="AH14" s="1173"/>
      <c r="AI14" s="714"/>
      <c r="AJ14" s="714"/>
      <c r="AK14" s="714"/>
      <c r="AL14" s="714"/>
      <c r="AM14" s="714"/>
      <c r="AN14" s="714"/>
      <c r="AO14" s="714"/>
      <c r="AP14" s="714"/>
      <c r="AQ14" s="552"/>
      <c r="AR14" s="552"/>
      <c r="AS14" s="552"/>
      <c r="AT14" s="552"/>
    </row>
    <row r="15" spans="1:49" s="119" customFormat="1" ht="12.75" hidden="1" customHeight="1">
      <c r="A15" s="767" t="str">
        <f t="shared" si="0"/>
        <v>2C</v>
      </c>
      <c r="B15" s="768" t="str">
        <f>'Corrected and Updated TSF 1'!ER15</f>
        <v>SOLD</v>
      </c>
      <c r="C15" s="757" t="str">
        <f>'Corrected and Updated TSF 1'!E15</f>
        <v>2nd Floor</v>
      </c>
      <c r="D15" s="642" t="str">
        <f>'Corrected and Updated TSF 1'!M15</f>
        <v>Inner</v>
      </c>
      <c r="E15" s="642" t="str">
        <f>'Corrected and Updated TSF 1'!G15</f>
        <v>2C</v>
      </c>
      <c r="F15" s="758" t="str">
        <f>'Corrected and Updated TSF 1'!I15</f>
        <v>Studio Unit</v>
      </c>
      <c r="G15" s="769">
        <f>'Corrected and Updated TSF 1'!J15</f>
        <v>22</v>
      </c>
      <c r="H15" s="769">
        <f>'Corrected and Updated TSF 1'!CI15</f>
        <v>3074224.6067545544</v>
      </c>
      <c r="I15" s="770"/>
      <c r="J15" s="770">
        <f t="shared" si="1"/>
        <v>3074224.6067545544</v>
      </c>
      <c r="K15" s="769">
        <f>'Corrected and Updated TSF 1'!CJ15</f>
        <v>0</v>
      </c>
      <c r="L15" s="769">
        <f>SUM('Corrected and Updated TSF 1'!CK15:CL15)</f>
        <v>422705.8834287512</v>
      </c>
      <c r="M15" s="769">
        <f t="shared" si="2"/>
        <v>3496930.4901833055</v>
      </c>
      <c r="N15" s="771">
        <f>'Corrected and Updated TSF 1'!CN15</f>
        <v>0.125</v>
      </c>
      <c r="O15" s="769">
        <f>'Corrected and Updated TSF 1'!CO15</f>
        <v>437116.31127291318</v>
      </c>
      <c r="P15" s="769">
        <f>'Corrected and Updated TSF 1'!CP15</f>
        <v>30000</v>
      </c>
      <c r="Q15" s="769">
        <f>'Corrected and Updated TSF 1'!CQ15</f>
        <v>407116.31127291318</v>
      </c>
      <c r="R15" s="425">
        <f>'Corrected and Updated TSF 1'!CR15</f>
        <v>2</v>
      </c>
      <c r="S15" s="769">
        <f>'Corrected and Updated TSF 1'!CS15</f>
        <v>203558.15563645659</v>
      </c>
      <c r="T15" s="769">
        <f>'Corrected and Updated TSF 1'!CU15</f>
        <v>3059814.1789103923</v>
      </c>
      <c r="U15" s="769">
        <f>'Corrected and Updated TSF 1'!CV15</f>
        <v>23722.706761007681</v>
      </c>
      <c r="V15" s="772">
        <f>'Corrected and Updated TSF 1'!CW15</f>
        <v>27502.474875597669</v>
      </c>
      <c r="W15" s="773">
        <f>'Corrected and Updated TSF 1'!CX15</f>
        <v>35527.03710048685</v>
      </c>
      <c r="X15" s="773">
        <f>'Corrected and Updated TSF 1'!CY15</f>
        <v>60587.988053181267</v>
      </c>
      <c r="Y15" s="1130">
        <f>'Corrected and Updated TSF 1'!CZ15</f>
        <v>248558.43141597047</v>
      </c>
      <c r="Z15" s="1130">
        <f>'Corrected and Updated TSF 1'!DA15</f>
        <v>98353.36051366452</v>
      </c>
      <c r="AA15" s="1130">
        <f>'Corrected and Updated TSF 1'!DB15</f>
        <v>71039.239301235197</v>
      </c>
      <c r="AB15" s="1130">
        <f>'Corrected and Updated TSF 1'!DC15</f>
        <v>54064.131585904252</v>
      </c>
      <c r="AC15" s="774">
        <f>K15-'Corrected and Updated TSF 1'!CJ15</f>
        <v>0</v>
      </c>
      <c r="AD15" s="774">
        <f>L15-SUM('Corrected and Updated TSF 1'!CK15:CL15)</f>
        <v>0</v>
      </c>
      <c r="AE15" s="1173">
        <f t="shared" si="6"/>
        <v>3074224.6067545544</v>
      </c>
      <c r="AF15" s="1174">
        <f>SUM(FORM!$V$19:$W$22)+SUM(FORM!$V$25:$W$28)+SUM(FORM!$V$31:$W$34)</f>
        <v>0</v>
      </c>
      <c r="AG15" s="1173">
        <f t="shared" si="7"/>
        <v>3074224.6067545544</v>
      </c>
      <c r="AH15" s="1173"/>
      <c r="AI15" s="714"/>
      <c r="AJ15" s="714"/>
      <c r="AK15" s="714"/>
      <c r="AL15" s="714"/>
      <c r="AM15" s="714"/>
      <c r="AN15" s="714"/>
      <c r="AO15" s="714"/>
      <c r="AP15" s="714"/>
      <c r="AQ15" s="552"/>
      <c r="AR15" s="552"/>
      <c r="AS15" s="552"/>
      <c r="AT15" s="552"/>
    </row>
    <row r="16" spans="1:49" s="119" customFormat="1" ht="12.75" hidden="1" customHeight="1">
      <c r="A16" s="767" t="str">
        <f t="shared" si="0"/>
        <v>2D</v>
      </c>
      <c r="B16" s="768" t="str">
        <f>'Corrected and Updated TSF 1'!ER16</f>
        <v>SOLD</v>
      </c>
      <c r="C16" s="757" t="str">
        <f>'Corrected and Updated TSF 1'!E16</f>
        <v>2nd Floor</v>
      </c>
      <c r="D16" s="642" t="str">
        <f>'Corrected and Updated TSF 1'!M16</f>
        <v>Inner</v>
      </c>
      <c r="E16" s="642" t="str">
        <f>'Corrected and Updated TSF 1'!G16</f>
        <v>2D</v>
      </c>
      <c r="F16" s="758" t="str">
        <f>'Corrected and Updated TSF 1'!I16</f>
        <v>Studio Unit</v>
      </c>
      <c r="G16" s="769">
        <f>'Corrected and Updated TSF 1'!J16</f>
        <v>22</v>
      </c>
      <c r="H16" s="769">
        <f>'Corrected and Updated TSF 1'!CI16</f>
        <v>3074224.6067545544</v>
      </c>
      <c r="I16" s="770"/>
      <c r="J16" s="770">
        <f t="shared" si="1"/>
        <v>3074224.6067545544</v>
      </c>
      <c r="K16" s="769">
        <f>'Corrected and Updated TSF 1'!CJ16</f>
        <v>0</v>
      </c>
      <c r="L16" s="769">
        <f>SUM('Corrected and Updated TSF 1'!CK16:CL16)</f>
        <v>422705.8834287512</v>
      </c>
      <c r="M16" s="769">
        <f t="shared" si="2"/>
        <v>3496930.4901833055</v>
      </c>
      <c r="N16" s="771">
        <f>'Corrected and Updated TSF 1'!CN16</f>
        <v>0.125</v>
      </c>
      <c r="O16" s="769">
        <f>'Corrected and Updated TSF 1'!CO16</f>
        <v>437116.31127291318</v>
      </c>
      <c r="P16" s="769">
        <f>'Corrected and Updated TSF 1'!CP16</f>
        <v>30000</v>
      </c>
      <c r="Q16" s="769">
        <f>'Corrected and Updated TSF 1'!CQ16</f>
        <v>407116.31127291318</v>
      </c>
      <c r="R16" s="425">
        <f>'Corrected and Updated TSF 1'!CR16</f>
        <v>2</v>
      </c>
      <c r="S16" s="769">
        <f>'Corrected and Updated TSF 1'!CS16</f>
        <v>203558.15563645659</v>
      </c>
      <c r="T16" s="769">
        <f>'Corrected and Updated TSF 1'!CU16</f>
        <v>3059814.1789103923</v>
      </c>
      <c r="U16" s="769">
        <f>'Corrected and Updated TSF 1'!CV16</f>
        <v>23722.706761007681</v>
      </c>
      <c r="V16" s="772">
        <f>'Corrected and Updated TSF 1'!CW16</f>
        <v>27502.474875597669</v>
      </c>
      <c r="W16" s="773">
        <f>'Corrected and Updated TSF 1'!CX16</f>
        <v>35527.03710048685</v>
      </c>
      <c r="X16" s="773">
        <f>'Corrected and Updated TSF 1'!CY16</f>
        <v>60587.988053181267</v>
      </c>
      <c r="Y16" s="1130">
        <f>'Corrected and Updated TSF 1'!CZ16</f>
        <v>248558.43141597047</v>
      </c>
      <c r="Z16" s="1130">
        <f>'Corrected and Updated TSF 1'!DA16</f>
        <v>98353.36051366452</v>
      </c>
      <c r="AA16" s="1130">
        <f>'Corrected and Updated TSF 1'!DB16</f>
        <v>71039.239301235197</v>
      </c>
      <c r="AB16" s="1130">
        <f>'Corrected and Updated TSF 1'!DC16</f>
        <v>54064.131585904252</v>
      </c>
      <c r="AC16" s="774">
        <f>K16-'Corrected and Updated TSF 1'!CJ16</f>
        <v>0</v>
      </c>
      <c r="AD16" s="774">
        <f>L16-SUM('Corrected and Updated TSF 1'!CK16:CL16)</f>
        <v>0</v>
      </c>
      <c r="AE16" s="1173">
        <f t="shared" si="6"/>
        <v>3074224.6067545544</v>
      </c>
      <c r="AF16" s="1174">
        <f>SUM(FORM!$V$19:$W$22)+SUM(FORM!$V$25:$W$28)+SUM(FORM!$V$31:$W$34)</f>
        <v>0</v>
      </c>
      <c r="AG16" s="1173">
        <f t="shared" si="7"/>
        <v>3074224.6067545544</v>
      </c>
      <c r="AH16" s="1173"/>
      <c r="AI16" s="714"/>
      <c r="AJ16" s="714"/>
      <c r="AK16" s="714"/>
      <c r="AL16" s="714"/>
      <c r="AM16" s="714"/>
      <c r="AN16" s="714"/>
      <c r="AO16" s="714"/>
      <c r="AP16" s="714"/>
      <c r="AQ16" s="552"/>
      <c r="AR16" s="552"/>
      <c r="AS16" s="552"/>
      <c r="AT16" s="552"/>
    </row>
    <row r="17" spans="1:49" s="119" customFormat="1" ht="12.75" hidden="1" customHeight="1">
      <c r="A17" s="767" t="str">
        <f t="shared" si="0"/>
        <v>2E</v>
      </c>
      <c r="B17" s="768" t="str">
        <f>'Corrected and Updated TSF 1'!ER17</f>
        <v>SOLD</v>
      </c>
      <c r="C17" s="757" t="str">
        <f>'Corrected and Updated TSF 1'!E17</f>
        <v>2nd Floor</v>
      </c>
      <c r="D17" s="642" t="str">
        <f>'Corrected and Updated TSF 1'!M17</f>
        <v>Inner</v>
      </c>
      <c r="E17" s="642" t="str">
        <f>'Corrected and Updated TSF 1'!G17</f>
        <v>2E</v>
      </c>
      <c r="F17" s="758" t="str">
        <f>'Corrected and Updated TSF 1'!I17</f>
        <v>Studio Unit</v>
      </c>
      <c r="G17" s="769">
        <f>'Corrected and Updated TSF 1'!J17</f>
        <v>22</v>
      </c>
      <c r="H17" s="769">
        <f>'Corrected and Updated TSF 1'!CI17</f>
        <v>3074224.6067545544</v>
      </c>
      <c r="I17" s="770"/>
      <c r="J17" s="770">
        <f t="shared" si="1"/>
        <v>3074224.6067545544</v>
      </c>
      <c r="K17" s="769">
        <f>'Corrected and Updated TSF 1'!CJ17</f>
        <v>0</v>
      </c>
      <c r="L17" s="769">
        <f>SUM('Corrected and Updated TSF 1'!CK17:CL17)</f>
        <v>422705.8834287512</v>
      </c>
      <c r="M17" s="769">
        <f t="shared" si="2"/>
        <v>3496930.4901833055</v>
      </c>
      <c r="N17" s="771">
        <f>'Corrected and Updated TSF 1'!CN17</f>
        <v>0.125</v>
      </c>
      <c r="O17" s="769">
        <f>'Corrected and Updated TSF 1'!CO17</f>
        <v>437116.31127291318</v>
      </c>
      <c r="P17" s="769">
        <f>'Corrected and Updated TSF 1'!CP17</f>
        <v>30000</v>
      </c>
      <c r="Q17" s="769">
        <f>'Corrected and Updated TSF 1'!CQ17</f>
        <v>407116.31127291318</v>
      </c>
      <c r="R17" s="425">
        <f>'Corrected and Updated TSF 1'!CR17</f>
        <v>2</v>
      </c>
      <c r="S17" s="769">
        <f>'Corrected and Updated TSF 1'!CS17</f>
        <v>203558.15563645659</v>
      </c>
      <c r="T17" s="769">
        <f>'Corrected and Updated TSF 1'!CU17</f>
        <v>3059814.1789103923</v>
      </c>
      <c r="U17" s="769">
        <f>'Corrected and Updated TSF 1'!CV17</f>
        <v>23722.706761007681</v>
      </c>
      <c r="V17" s="772">
        <f>'Corrected and Updated TSF 1'!CW17</f>
        <v>27502.474875597669</v>
      </c>
      <c r="W17" s="773">
        <f>'Corrected and Updated TSF 1'!CX17</f>
        <v>35527.03710048685</v>
      </c>
      <c r="X17" s="773">
        <f>'Corrected and Updated TSF 1'!CY17</f>
        <v>60587.988053181267</v>
      </c>
      <c r="Y17" s="1130">
        <f>'Corrected and Updated TSF 1'!CZ17</f>
        <v>248558.43141597047</v>
      </c>
      <c r="Z17" s="1130">
        <f>'Corrected and Updated TSF 1'!DA17</f>
        <v>98353.36051366452</v>
      </c>
      <c r="AA17" s="1130">
        <f>'Corrected and Updated TSF 1'!DB17</f>
        <v>71039.239301235197</v>
      </c>
      <c r="AB17" s="1130">
        <f>'Corrected and Updated TSF 1'!DC17</f>
        <v>54064.131585904252</v>
      </c>
      <c r="AC17" s="774">
        <f>K17-'Corrected and Updated TSF 1'!CJ17</f>
        <v>0</v>
      </c>
      <c r="AD17" s="774">
        <f>L17-SUM('Corrected and Updated TSF 1'!CK17:CL17)</f>
        <v>0</v>
      </c>
      <c r="AE17" s="1173">
        <f t="shared" si="6"/>
        <v>3074224.6067545544</v>
      </c>
      <c r="AF17" s="1174">
        <f>SUM(FORM!$V$19:$W$22)+SUM(FORM!$V$25:$W$28)+SUM(FORM!$V$31:$W$34)</f>
        <v>0</v>
      </c>
      <c r="AG17" s="1173">
        <f t="shared" si="7"/>
        <v>3074224.6067545544</v>
      </c>
      <c r="AH17" s="1173"/>
      <c r="AI17" s="714"/>
      <c r="AJ17" s="714"/>
      <c r="AK17" s="714"/>
      <c r="AL17" s="714"/>
      <c r="AM17" s="714"/>
      <c r="AN17" s="714"/>
      <c r="AO17" s="714"/>
      <c r="AP17" s="714"/>
      <c r="AQ17" s="552"/>
      <c r="AR17" s="552"/>
      <c r="AS17" s="552"/>
      <c r="AT17" s="552"/>
    </row>
    <row r="18" spans="1:49" s="119" customFormat="1" ht="12.75" customHeight="1">
      <c r="A18" s="767" t="str">
        <f t="shared" si="0"/>
        <v>2F</v>
      </c>
      <c r="B18" s="768" t="str">
        <f>'Corrected and Updated TSF 1'!ER18</f>
        <v>UNSOLD</v>
      </c>
      <c r="C18" s="757" t="str">
        <f>'Corrected and Updated TSF 1'!E18</f>
        <v>2nd Floor</v>
      </c>
      <c r="D18" s="642" t="str">
        <f>'Corrected and Updated TSF 1'!M18</f>
        <v>Corner</v>
      </c>
      <c r="E18" s="642" t="str">
        <f>'Corrected and Updated TSF 1'!G18</f>
        <v>2F</v>
      </c>
      <c r="F18" s="758" t="str">
        <f>'Corrected and Updated TSF 1'!I18</f>
        <v>Studio Unit</v>
      </c>
      <c r="G18" s="769">
        <f>'Corrected and Updated TSF 1'!J18</f>
        <v>22</v>
      </c>
      <c r="H18" s="769">
        <f>'Corrected and Updated TSF 1'!CI18</f>
        <v>3195170.8635638431</v>
      </c>
      <c r="I18" s="770"/>
      <c r="J18" s="770">
        <f t="shared" si="1"/>
        <v>3195170.8635638431</v>
      </c>
      <c r="K18" s="769">
        <f>'Corrected and Updated TSF 1'!CJ18</f>
        <v>0</v>
      </c>
      <c r="L18" s="769">
        <f>SUM('Corrected and Updated TSF 1'!CK18:CL18)</f>
        <v>439335.99374002841</v>
      </c>
      <c r="M18" s="769">
        <f t="shared" si="2"/>
        <v>3634506.8573038713</v>
      </c>
      <c r="N18" s="771">
        <f>'Corrected and Updated TSF 1'!CN18</f>
        <v>0.125</v>
      </c>
      <c r="O18" s="769">
        <f>'Corrected and Updated TSF 1'!CO18</f>
        <v>454313.35716298397</v>
      </c>
      <c r="P18" s="769">
        <f>'Corrected and Updated TSF 1'!CP18</f>
        <v>30000</v>
      </c>
      <c r="Q18" s="769">
        <f>'Corrected and Updated TSF 1'!CQ18</f>
        <v>424313.35716298397</v>
      </c>
      <c r="R18" s="425">
        <f>'Corrected and Updated TSF 1'!CR18</f>
        <v>1</v>
      </c>
      <c r="S18" s="769">
        <f>'Corrected and Updated TSF 1'!CS18</f>
        <v>424313.35716298397</v>
      </c>
      <c r="T18" s="769">
        <f>'Corrected and Updated TSF 1'!CU18</f>
        <v>3180193.5001408877</v>
      </c>
      <c r="U18" s="769">
        <f>'Corrected and Updated TSF 1'!CV18</f>
        <v>24656.006357212933</v>
      </c>
      <c r="V18" s="772">
        <f>'Corrected and Updated TSF 1'!CW18</f>
        <v>28584.478247077615</v>
      </c>
      <c r="W18" s="773">
        <f>'Corrected and Updated TSF 1'!CX18</f>
        <v>36924.743092231161</v>
      </c>
      <c r="X18" s="773">
        <f>'Corrected and Updated TSF 1'!CY18</f>
        <v>62971.642893018819</v>
      </c>
      <c r="Y18" s="1130">
        <f>'Corrected and Updated TSF 1'!CZ18</f>
        <v>258337.22630691587</v>
      </c>
      <c r="Z18" s="1130">
        <f>'Corrected and Updated TSF 1'!DA18</f>
        <v>102222.78201676681</v>
      </c>
      <c r="AA18" s="1130">
        <f>'Corrected and Updated TSF 1'!DB18</f>
        <v>73834.067649556237</v>
      </c>
      <c r="AB18" s="1130">
        <f>'Corrected and Updated TSF 1'!DC18</f>
        <v>56191.124626228331</v>
      </c>
      <c r="AC18" s="774">
        <f>K18-'Corrected and Updated TSF 1'!CJ18</f>
        <v>0</v>
      </c>
      <c r="AD18" s="774">
        <f>L18-SUM('Corrected and Updated TSF 1'!CK18:CL18)</f>
        <v>0</v>
      </c>
      <c r="AE18" s="1173">
        <f t="shared" si="6"/>
        <v>3195170.8635638431</v>
      </c>
      <c r="AF18" s="1174">
        <f>SUM(FORM!$V$19:$W$22)+SUM(FORM!$V$25:$W$28)+SUM(FORM!$V$31:$W$34)</f>
        <v>0</v>
      </c>
      <c r="AG18" s="1173">
        <f t="shared" si="7"/>
        <v>3195170.8635638431</v>
      </c>
      <c r="AH18" s="1173"/>
      <c r="AI18" s="714"/>
      <c r="AJ18" s="714"/>
      <c r="AK18" s="714"/>
      <c r="AL18" s="714"/>
      <c r="AM18" s="714"/>
      <c r="AN18" s="714"/>
      <c r="AO18" s="714"/>
      <c r="AP18" s="714"/>
      <c r="AQ18" s="552"/>
      <c r="AR18" s="552"/>
      <c r="AS18" s="552"/>
      <c r="AT18" s="552"/>
    </row>
    <row r="19" spans="1:49" s="119" customFormat="1" ht="12.75" hidden="1" customHeight="1">
      <c r="A19" s="767" t="str">
        <f t="shared" si="0"/>
        <v>3A</v>
      </c>
      <c r="B19" s="768" t="str">
        <f>'Corrected and Updated TSF 1'!ER19</f>
        <v>SOLD</v>
      </c>
      <c r="C19" s="757" t="str">
        <f>'Corrected and Updated TSF 1'!E19</f>
        <v>3rd Floor</v>
      </c>
      <c r="D19" s="642" t="str">
        <f>'Corrected and Updated TSF 1'!M19</f>
        <v>Corner</v>
      </c>
      <c r="E19" s="642" t="str">
        <f>'Corrected and Updated TSF 1'!G19</f>
        <v>3A</v>
      </c>
      <c r="F19" s="758" t="str">
        <f>'Corrected and Updated TSF 1'!I19</f>
        <v>Studio Unit</v>
      </c>
      <c r="G19" s="769">
        <f>'Corrected and Updated TSF 1'!J19</f>
        <v>22</v>
      </c>
      <c r="H19" s="769">
        <f>'Corrected and Updated TSF 1'!CI19</f>
        <v>3155877.7342040357</v>
      </c>
      <c r="I19" s="770"/>
      <c r="J19" s="770">
        <f t="shared" si="1"/>
        <v>3155877.7342040357</v>
      </c>
      <c r="K19" s="769">
        <f>'Corrected and Updated TSF 1'!CJ19</f>
        <v>0</v>
      </c>
      <c r="L19" s="769">
        <f>SUM('Corrected and Updated TSF 1'!CK19:CL19)</f>
        <v>433933.18845305487</v>
      </c>
      <c r="M19" s="769">
        <f t="shared" si="2"/>
        <v>3589810.9226570907</v>
      </c>
      <c r="N19" s="771">
        <f>'Corrected and Updated TSF 1'!CN19</f>
        <v>0.125</v>
      </c>
      <c r="O19" s="769">
        <f>'Corrected and Updated TSF 1'!CO19</f>
        <v>448726.36533213634</v>
      </c>
      <c r="P19" s="769">
        <f>'Corrected and Updated TSF 1'!CP19</f>
        <v>30000</v>
      </c>
      <c r="Q19" s="769">
        <f>'Corrected and Updated TSF 1'!CQ19</f>
        <v>418726.36533213634</v>
      </c>
      <c r="R19" s="425">
        <f>'Corrected and Updated TSF 1'!CR19</f>
        <v>1</v>
      </c>
      <c r="S19" s="769">
        <f>'Corrected and Updated TSF 1'!CS19</f>
        <v>418726.36533213634</v>
      </c>
      <c r="T19" s="769">
        <f>'Corrected and Updated TSF 1'!CU19</f>
        <v>3141084.5573249543</v>
      </c>
      <c r="U19" s="769">
        <f>'Corrected and Updated TSF 1'!CV19</f>
        <v>24352.79513982921</v>
      </c>
      <c r="V19" s="772">
        <f>'Corrected and Updated TSF 1'!CW19</f>
        <v>28232.956012616498</v>
      </c>
      <c r="W19" s="773">
        <f>'Corrected and Updated TSF 1'!CX19</f>
        <v>36470.655104810539</v>
      </c>
      <c r="X19" s="773">
        <f>'Corrected and Updated TSF 1'!CY19</f>
        <v>62197.238951617357</v>
      </c>
      <c r="Y19" s="1130">
        <f>'Corrected and Updated TSF 1'!CZ19</f>
        <v>255160.28257364413</v>
      </c>
      <c r="Z19" s="1130">
        <f>'Corrected and Updated TSF 1'!DA19</f>
        <v>100965.68085729262</v>
      </c>
      <c r="AA19" s="1130">
        <f>'Corrected and Updated TSF 1'!DB19</f>
        <v>72926.081286636385</v>
      </c>
      <c r="AB19" s="1130">
        <f>'Corrected and Updated TSF 1'!DC19</f>
        <v>55500.105202513136</v>
      </c>
      <c r="AC19" s="774">
        <f>K19-'Corrected and Updated TSF 1'!CJ19</f>
        <v>0</v>
      </c>
      <c r="AD19" s="774">
        <f>L19-SUM('Corrected and Updated TSF 1'!CK19:CL19)</f>
        <v>0</v>
      </c>
      <c r="AE19" s="1173">
        <f t="shared" si="6"/>
        <v>3155877.7342040357</v>
      </c>
      <c r="AF19" s="1174">
        <f>SUM(FORM!$V$19:$W$22)+SUM(FORM!$V$25:$W$28)+SUM(FORM!$V$31:$W$34)</f>
        <v>0</v>
      </c>
      <c r="AG19" s="1173">
        <f t="shared" si="7"/>
        <v>3155877.7342040357</v>
      </c>
      <c r="AH19" s="1173"/>
      <c r="AI19" s="714"/>
      <c r="AJ19" s="714"/>
      <c r="AK19" s="714"/>
      <c r="AL19" s="714"/>
      <c r="AM19" s="714"/>
      <c r="AN19" s="714"/>
      <c r="AO19" s="714"/>
      <c r="AP19" s="714"/>
      <c r="AQ19" s="760"/>
      <c r="AR19" s="760"/>
      <c r="AS19" s="760"/>
      <c r="AT19" s="760"/>
      <c r="AU19" s="760"/>
      <c r="AV19" s="760"/>
      <c r="AW19" s="760"/>
    </row>
    <row r="20" spans="1:49" s="119" customFormat="1" ht="12.75" hidden="1" customHeight="1">
      <c r="A20" s="767" t="str">
        <f t="shared" si="0"/>
        <v>3B</v>
      </c>
      <c r="B20" s="768" t="str">
        <f>'Corrected and Updated TSF 1'!ER20</f>
        <v>SOLD</v>
      </c>
      <c r="C20" s="757" t="str">
        <f>'Corrected and Updated TSF 1'!E20</f>
        <v>3rd Floor</v>
      </c>
      <c r="D20" s="642" t="str">
        <f>'Corrected and Updated TSF 1'!M20</f>
        <v>End</v>
      </c>
      <c r="E20" s="642" t="str">
        <f>'Corrected and Updated TSF 1'!G20</f>
        <v>3B</v>
      </c>
      <c r="F20" s="758" t="str">
        <f>'Corrected and Updated TSF 1'!I20</f>
        <v>Studio Unit</v>
      </c>
      <c r="G20" s="769">
        <f>'Corrected and Updated TSF 1'!J20</f>
        <v>22</v>
      </c>
      <c r="H20" s="769">
        <f>'Corrected and Updated TSF 1'!CI20</f>
        <v>3105802.7666149172</v>
      </c>
      <c r="I20" s="770"/>
      <c r="J20" s="770">
        <f t="shared" si="1"/>
        <v>3105802.7666149172</v>
      </c>
      <c r="K20" s="769">
        <f>'Corrected and Updated TSF 1'!CJ20</f>
        <v>0</v>
      </c>
      <c r="L20" s="769">
        <f>SUM('Corrected and Updated TSF 1'!CK20:CL20)</f>
        <v>427047.88040955114</v>
      </c>
      <c r="M20" s="769">
        <f t="shared" si="2"/>
        <v>3532850.6470244685</v>
      </c>
      <c r="N20" s="771">
        <f>'Corrected and Updated TSF 1'!CN20</f>
        <v>0.125</v>
      </c>
      <c r="O20" s="769">
        <f>'Corrected and Updated TSF 1'!CO20</f>
        <v>441606.33087805851</v>
      </c>
      <c r="P20" s="769">
        <f>'Corrected and Updated TSF 1'!CP20</f>
        <v>30000</v>
      </c>
      <c r="Q20" s="769">
        <f>'Corrected and Updated TSF 1'!CQ20</f>
        <v>411606.33087805851</v>
      </c>
      <c r="R20" s="425">
        <f>'Corrected and Updated TSF 1'!CR20</f>
        <v>1</v>
      </c>
      <c r="S20" s="769">
        <f>'Corrected and Updated TSF 1'!CS20</f>
        <v>411606.33087805851</v>
      </c>
      <c r="T20" s="769">
        <f>'Corrected and Updated TSF 1'!CU20</f>
        <v>3091244.3161464096</v>
      </c>
      <c r="U20" s="769">
        <f>'Corrected and Updated TSF 1'!CV20</f>
        <v>23966.384280462073</v>
      </c>
      <c r="V20" s="772">
        <f>'Corrected and Updated TSF 1'!CW20</f>
        <v>27784.977834642708</v>
      </c>
      <c r="W20" s="773">
        <f>'Corrected and Updated TSF 1'!CX20</f>
        <v>35891.967644097516</v>
      </c>
      <c r="X20" s="773">
        <f>'Corrected and Updated TSF 1'!CY20</f>
        <v>61210.342440742083</v>
      </c>
      <c r="Y20" s="1130">
        <f>'Corrected and Updated TSF 1'!CZ20</f>
        <v>251111.60136479235</v>
      </c>
      <c r="Z20" s="1130">
        <f>'Corrected and Updated TSF 1'!DA20</f>
        <v>99363.63742520845</v>
      </c>
      <c r="AA20" s="1130">
        <f>'Corrected and Updated TSF 1'!DB20</f>
        <v>71768.948005694881</v>
      </c>
      <c r="AB20" s="1130">
        <f>'Corrected and Updated TSF 1'!DC20</f>
        <v>54619.473504051763</v>
      </c>
      <c r="AC20" s="774">
        <f>K20-'Corrected and Updated TSF 1'!CJ20</f>
        <v>0</v>
      </c>
      <c r="AD20" s="774">
        <f>L20-SUM('Corrected and Updated TSF 1'!CK20:CL20)</f>
        <v>0</v>
      </c>
      <c r="AE20" s="1173">
        <f t="shared" si="6"/>
        <v>3105802.7666149172</v>
      </c>
      <c r="AF20" s="1174">
        <f>SUM(FORM!$V$19:$W$22)+SUM(FORM!$V$25:$W$28)+SUM(FORM!$V$31:$W$34)</f>
        <v>0</v>
      </c>
      <c r="AG20" s="1173">
        <f t="shared" si="7"/>
        <v>3105802.7666149172</v>
      </c>
      <c r="AH20" s="1173"/>
      <c r="AI20" s="714"/>
      <c r="AJ20" s="714"/>
      <c r="AK20" s="714"/>
      <c r="AL20" s="714"/>
      <c r="AM20" s="714"/>
      <c r="AN20" s="714"/>
      <c r="AO20" s="714"/>
      <c r="AP20" s="714"/>
      <c r="AQ20" s="760"/>
      <c r="AR20" s="760"/>
      <c r="AS20" s="760"/>
      <c r="AT20" s="760"/>
      <c r="AU20" s="760"/>
      <c r="AV20" s="760"/>
      <c r="AW20" s="760"/>
    </row>
    <row r="21" spans="1:49" hidden="1">
      <c r="A21" s="767" t="str">
        <f t="shared" si="0"/>
        <v>3C</v>
      </c>
      <c r="B21" s="768" t="str">
        <f>'Corrected and Updated TSF 1'!ER21</f>
        <v>SOLD</v>
      </c>
      <c r="C21" s="757" t="str">
        <f>'Corrected and Updated TSF 1'!E21</f>
        <v>3rd Floor</v>
      </c>
      <c r="D21" s="642" t="str">
        <f>'Corrected and Updated TSF 1'!M21</f>
        <v>End</v>
      </c>
      <c r="E21" s="642" t="str">
        <f>'Corrected and Updated TSF 1'!G21</f>
        <v>3C</v>
      </c>
      <c r="F21" s="758" t="str">
        <f>'Corrected and Updated TSF 1'!I21</f>
        <v>Studio Unit</v>
      </c>
      <c r="G21" s="769">
        <f>'Corrected and Updated TSF 1'!J21</f>
        <v>22</v>
      </c>
      <c r="H21" s="769">
        <f>'Corrected and Updated TSF 1'!CI21</f>
        <v>3105802.7666149172</v>
      </c>
      <c r="I21" s="770"/>
      <c r="J21" s="770">
        <f t="shared" si="1"/>
        <v>3105802.7666149172</v>
      </c>
      <c r="K21" s="769">
        <f>'Corrected and Updated TSF 1'!CJ21</f>
        <v>0</v>
      </c>
      <c r="L21" s="769">
        <f>SUM('Corrected and Updated TSF 1'!CK21:CL21)</f>
        <v>427047.88040955114</v>
      </c>
      <c r="M21" s="769">
        <f t="shared" si="2"/>
        <v>3532850.6470244685</v>
      </c>
      <c r="N21" s="771">
        <f>'Corrected and Updated TSF 1'!CN21</f>
        <v>0.125</v>
      </c>
      <c r="O21" s="769">
        <f>'Corrected and Updated TSF 1'!CO21</f>
        <v>441606.33087805851</v>
      </c>
      <c r="P21" s="769">
        <f>'Corrected and Updated TSF 1'!CP21</f>
        <v>30000</v>
      </c>
      <c r="Q21" s="769">
        <f>'Corrected and Updated TSF 1'!CQ21</f>
        <v>411606.33087805851</v>
      </c>
      <c r="R21" s="425">
        <f>'Corrected and Updated TSF 1'!CR21</f>
        <v>1</v>
      </c>
      <c r="S21" s="769">
        <f>'Corrected and Updated TSF 1'!CS21</f>
        <v>411606.33087805851</v>
      </c>
      <c r="T21" s="769">
        <f>'Corrected and Updated TSF 1'!CU21</f>
        <v>3091244.3161464096</v>
      </c>
      <c r="U21" s="769">
        <f>'Corrected and Updated TSF 1'!CV21</f>
        <v>23966.384280462073</v>
      </c>
      <c r="V21" s="772">
        <f>'Corrected and Updated TSF 1'!CW21</f>
        <v>27784.977834642708</v>
      </c>
      <c r="W21" s="773">
        <f>'Corrected and Updated TSF 1'!CX21</f>
        <v>35891.967644097516</v>
      </c>
      <c r="X21" s="773">
        <f>'Corrected and Updated TSF 1'!CY21</f>
        <v>61210.342440742083</v>
      </c>
      <c r="Y21" s="1130">
        <f>'Corrected and Updated TSF 1'!CZ21</f>
        <v>251111.60136479235</v>
      </c>
      <c r="Z21" s="1130">
        <f>'Corrected and Updated TSF 1'!DA21</f>
        <v>99363.63742520845</v>
      </c>
      <c r="AA21" s="1130">
        <f>'Corrected and Updated TSF 1'!DB21</f>
        <v>71768.948005694881</v>
      </c>
      <c r="AB21" s="1130">
        <f>'Corrected and Updated TSF 1'!DC21</f>
        <v>54619.473504051763</v>
      </c>
      <c r="AC21" s="774">
        <f>K21-'Corrected and Updated TSF 1'!CJ21</f>
        <v>0</v>
      </c>
      <c r="AD21" s="774">
        <f>L21-SUM('Corrected and Updated TSF 1'!CK21:CL21)</f>
        <v>0</v>
      </c>
      <c r="AE21" s="1173">
        <f t="shared" si="6"/>
        <v>3105802.7666149172</v>
      </c>
      <c r="AF21" s="1174">
        <f>SUM(FORM!$V$19:$W$22)+SUM(FORM!$V$25:$W$28)+SUM(FORM!$V$31:$W$34)</f>
        <v>0</v>
      </c>
      <c r="AG21" s="1173">
        <f t="shared" si="7"/>
        <v>3105802.7666149172</v>
      </c>
      <c r="AH21" s="1173"/>
    </row>
    <row r="22" spans="1:49" s="119" customFormat="1" hidden="1">
      <c r="A22" s="767" t="str">
        <f t="shared" si="0"/>
        <v>3D</v>
      </c>
      <c r="B22" s="768" t="str">
        <f>'Corrected and Updated TSF 1'!ER22</f>
        <v>SOLD</v>
      </c>
      <c r="C22" s="757" t="str">
        <f>'Corrected and Updated TSF 1'!E22</f>
        <v>3rd Floor</v>
      </c>
      <c r="D22" s="642" t="str">
        <f>'Corrected and Updated TSF 1'!M22</f>
        <v>End</v>
      </c>
      <c r="E22" s="642" t="str">
        <f>'Corrected and Updated TSF 1'!G22</f>
        <v>3D</v>
      </c>
      <c r="F22" s="758" t="str">
        <f>'Corrected and Updated TSF 1'!I22</f>
        <v>Studio Unit</v>
      </c>
      <c r="G22" s="769">
        <f>'Corrected and Updated TSF 1'!J22</f>
        <v>22</v>
      </c>
      <c r="H22" s="769">
        <f>'Corrected and Updated TSF 1'!CI22</f>
        <v>3105802.7666149172</v>
      </c>
      <c r="I22" s="770"/>
      <c r="J22" s="770">
        <f t="shared" si="1"/>
        <v>3105802.7666149172</v>
      </c>
      <c r="K22" s="769">
        <f>'Corrected and Updated TSF 1'!CJ22</f>
        <v>0</v>
      </c>
      <c r="L22" s="769">
        <f>SUM('Corrected and Updated TSF 1'!CK22:CL22)</f>
        <v>427047.88040955114</v>
      </c>
      <c r="M22" s="769">
        <f t="shared" si="2"/>
        <v>3532850.6470244685</v>
      </c>
      <c r="N22" s="771">
        <f>'Corrected and Updated TSF 1'!CN22</f>
        <v>0.125</v>
      </c>
      <c r="O22" s="769">
        <f>'Corrected and Updated TSF 1'!CO22</f>
        <v>441606.33087805851</v>
      </c>
      <c r="P22" s="769">
        <f>'Corrected and Updated TSF 1'!CP22</f>
        <v>30000</v>
      </c>
      <c r="Q22" s="769">
        <f>'Corrected and Updated TSF 1'!CQ22</f>
        <v>411606.33087805851</v>
      </c>
      <c r="R22" s="425">
        <f>'Corrected and Updated TSF 1'!CR22</f>
        <v>1</v>
      </c>
      <c r="S22" s="769">
        <f>'Corrected and Updated TSF 1'!CS22</f>
        <v>411606.33087805851</v>
      </c>
      <c r="T22" s="769">
        <f>'Corrected and Updated TSF 1'!CU22</f>
        <v>3091244.3161464096</v>
      </c>
      <c r="U22" s="769">
        <f>'Corrected and Updated TSF 1'!CV22</f>
        <v>23966.384280462073</v>
      </c>
      <c r="V22" s="772">
        <f>'Corrected and Updated TSF 1'!CW22</f>
        <v>27784.977834642708</v>
      </c>
      <c r="W22" s="773">
        <f>'Corrected and Updated TSF 1'!CX22</f>
        <v>35891.967644097516</v>
      </c>
      <c r="X22" s="773">
        <f>'Corrected and Updated TSF 1'!CY22</f>
        <v>61210.342440742083</v>
      </c>
      <c r="Y22" s="1130">
        <f>'Corrected and Updated TSF 1'!CZ22</f>
        <v>251111.60136479235</v>
      </c>
      <c r="Z22" s="1130">
        <f>'Corrected and Updated TSF 1'!DA22</f>
        <v>99363.63742520845</v>
      </c>
      <c r="AA22" s="1130">
        <f>'Corrected and Updated TSF 1'!DB22</f>
        <v>71768.948005694881</v>
      </c>
      <c r="AB22" s="1130">
        <f>'Corrected and Updated TSF 1'!DC22</f>
        <v>54619.473504051763</v>
      </c>
      <c r="AC22" s="774">
        <f>K22-'Corrected and Updated TSF 1'!CJ22</f>
        <v>0</v>
      </c>
      <c r="AD22" s="774">
        <f>L22-SUM('Corrected and Updated TSF 1'!CK22:CL22)</f>
        <v>0</v>
      </c>
      <c r="AE22" s="1173">
        <f t="shared" si="6"/>
        <v>3105802.7666149172</v>
      </c>
      <c r="AF22" s="1174">
        <f>SUM(FORM!$V$19:$W$22)+SUM(FORM!$V$25:$W$28)+SUM(FORM!$V$31:$W$34)</f>
        <v>0</v>
      </c>
      <c r="AG22" s="1173">
        <f t="shared" si="7"/>
        <v>3105802.7666149172</v>
      </c>
      <c r="AH22" s="1173"/>
      <c r="AI22" s="714"/>
      <c r="AJ22" s="714"/>
      <c r="AK22" s="714"/>
      <c r="AL22" s="714"/>
      <c r="AM22" s="714"/>
      <c r="AN22" s="714"/>
      <c r="AO22" s="714"/>
      <c r="AP22" s="714"/>
      <c r="AQ22" s="552"/>
      <c r="AR22" s="552"/>
      <c r="AS22" s="552"/>
      <c r="AT22" s="552"/>
    </row>
    <row r="23" spans="1:49" s="119" customFormat="1" hidden="1">
      <c r="A23" s="767" t="str">
        <f t="shared" si="0"/>
        <v>3E</v>
      </c>
      <c r="B23" s="768" t="str">
        <f>'Corrected and Updated TSF 1'!ER23</f>
        <v>SOLD</v>
      </c>
      <c r="C23" s="757" t="str">
        <f>'Corrected and Updated TSF 1'!E23</f>
        <v>3rd Floor</v>
      </c>
      <c r="D23" s="642" t="str">
        <f>'Corrected and Updated TSF 1'!M23</f>
        <v>End</v>
      </c>
      <c r="E23" s="642" t="str">
        <f>'Corrected and Updated TSF 1'!G23</f>
        <v>3E</v>
      </c>
      <c r="F23" s="758" t="str">
        <f>'Corrected and Updated TSF 1'!I23</f>
        <v>Studio Unit</v>
      </c>
      <c r="G23" s="769">
        <f>'Corrected and Updated TSF 1'!J23</f>
        <v>22</v>
      </c>
      <c r="H23" s="769">
        <f>'Corrected and Updated TSF 1'!CI23</f>
        <v>3105802.7666149172</v>
      </c>
      <c r="I23" s="770"/>
      <c r="J23" s="770">
        <f t="shared" si="1"/>
        <v>3105802.7666149172</v>
      </c>
      <c r="K23" s="769">
        <f>'Corrected and Updated TSF 1'!CJ23</f>
        <v>0</v>
      </c>
      <c r="L23" s="769">
        <f>SUM('Corrected and Updated TSF 1'!CK23:CL23)</f>
        <v>427047.88040955114</v>
      </c>
      <c r="M23" s="769">
        <f t="shared" si="2"/>
        <v>3532850.6470244685</v>
      </c>
      <c r="N23" s="771">
        <f>'Corrected and Updated TSF 1'!CN23</f>
        <v>0.125</v>
      </c>
      <c r="O23" s="769">
        <f>'Corrected and Updated TSF 1'!CO23</f>
        <v>441606.33087805851</v>
      </c>
      <c r="P23" s="769">
        <f>'Corrected and Updated TSF 1'!CP23</f>
        <v>30000</v>
      </c>
      <c r="Q23" s="769">
        <f>'Corrected and Updated TSF 1'!CQ23</f>
        <v>411606.33087805851</v>
      </c>
      <c r="R23" s="425">
        <f>'Corrected and Updated TSF 1'!CR23</f>
        <v>1</v>
      </c>
      <c r="S23" s="769">
        <f>'Corrected and Updated TSF 1'!CS23</f>
        <v>411606.33087805851</v>
      </c>
      <c r="T23" s="769">
        <f>'Corrected and Updated TSF 1'!CU23</f>
        <v>3091244.3161464096</v>
      </c>
      <c r="U23" s="769">
        <f>'Corrected and Updated TSF 1'!CV23</f>
        <v>23966.384280462073</v>
      </c>
      <c r="V23" s="772">
        <f>'Corrected and Updated TSF 1'!CW23</f>
        <v>27784.977834642708</v>
      </c>
      <c r="W23" s="773">
        <f>'Corrected and Updated TSF 1'!CX23</f>
        <v>35891.967644097516</v>
      </c>
      <c r="X23" s="773">
        <f>'Corrected and Updated TSF 1'!CY23</f>
        <v>61210.342440742083</v>
      </c>
      <c r="Y23" s="1130">
        <f>'Corrected and Updated TSF 1'!CZ23</f>
        <v>251111.60136479235</v>
      </c>
      <c r="Z23" s="1130">
        <f>'Corrected and Updated TSF 1'!DA23</f>
        <v>99363.63742520845</v>
      </c>
      <c r="AA23" s="1130">
        <f>'Corrected and Updated TSF 1'!DB23</f>
        <v>71768.948005694881</v>
      </c>
      <c r="AB23" s="1130">
        <f>'Corrected and Updated TSF 1'!DC23</f>
        <v>54619.473504051763</v>
      </c>
      <c r="AC23" s="774">
        <f>K23-'Corrected and Updated TSF 1'!CJ23</f>
        <v>0</v>
      </c>
      <c r="AD23" s="774">
        <f>L23-SUM('Corrected and Updated TSF 1'!CK23:CL23)</f>
        <v>0</v>
      </c>
      <c r="AE23" s="1173">
        <f t="shared" si="6"/>
        <v>3105802.7666149172</v>
      </c>
      <c r="AF23" s="1174">
        <f>SUM(FORM!$V$19:$W$22)+SUM(FORM!$V$25:$W$28)+SUM(FORM!$V$31:$W$34)</f>
        <v>0</v>
      </c>
      <c r="AG23" s="1173">
        <f t="shared" si="7"/>
        <v>3105802.7666149172</v>
      </c>
      <c r="AH23" s="1173"/>
      <c r="AI23" s="714"/>
      <c r="AJ23" s="714"/>
      <c r="AK23" s="714"/>
      <c r="AL23" s="714"/>
      <c r="AM23" s="714"/>
      <c r="AN23" s="714"/>
      <c r="AO23" s="714"/>
      <c r="AP23" s="714"/>
      <c r="AQ23" s="552"/>
      <c r="AR23" s="552"/>
      <c r="AS23" s="552"/>
      <c r="AT23" s="552"/>
    </row>
    <row r="24" spans="1:49" s="119" customFormat="1" ht="12.75" hidden="1" customHeight="1">
      <c r="A24" s="767" t="str">
        <f t="shared" si="0"/>
        <v>3F</v>
      </c>
      <c r="B24" s="768" t="str">
        <f>'Corrected and Updated TSF 1'!ER24</f>
        <v>SOLD</v>
      </c>
      <c r="C24" s="757" t="str">
        <f>'Corrected and Updated TSF 1'!E24</f>
        <v>3rd Floor</v>
      </c>
      <c r="D24" s="642" t="str">
        <f>'Corrected and Updated TSF 1'!M24</f>
        <v>Inner</v>
      </c>
      <c r="E24" s="642" t="str">
        <f>'Corrected and Updated TSF 1'!G24</f>
        <v>3F</v>
      </c>
      <c r="F24" s="758" t="str">
        <f>'Corrected and Updated TSF 1'!I24</f>
        <v>Studio Unit</v>
      </c>
      <c r="G24" s="769">
        <f>'Corrected and Updated TSF 1'!J24</f>
        <v>22</v>
      </c>
      <c r="H24" s="769">
        <f>'Corrected and Updated TSF 1'!CI24</f>
        <v>3074224.6067545544</v>
      </c>
      <c r="I24" s="770"/>
      <c r="J24" s="770">
        <f t="shared" si="1"/>
        <v>3074224.6067545544</v>
      </c>
      <c r="K24" s="769">
        <f>'Corrected and Updated TSF 1'!CJ24</f>
        <v>0</v>
      </c>
      <c r="L24" s="769">
        <f>SUM('Corrected and Updated TSF 1'!CK24:CL24)</f>
        <v>422705.8834287512</v>
      </c>
      <c r="M24" s="769">
        <f t="shared" si="2"/>
        <v>3496930.4901833055</v>
      </c>
      <c r="N24" s="771">
        <f>'Corrected and Updated TSF 1'!CN24</f>
        <v>0.125</v>
      </c>
      <c r="O24" s="769">
        <f>'Corrected and Updated TSF 1'!CO24</f>
        <v>437116.31127291318</v>
      </c>
      <c r="P24" s="769">
        <f>'Corrected and Updated TSF 1'!CP24</f>
        <v>30000</v>
      </c>
      <c r="Q24" s="769">
        <f>'Corrected and Updated TSF 1'!CQ24</f>
        <v>407116.31127291318</v>
      </c>
      <c r="R24" s="425">
        <f>'Corrected and Updated TSF 1'!CR24</f>
        <v>1</v>
      </c>
      <c r="S24" s="769">
        <f>'Corrected and Updated TSF 1'!CS24</f>
        <v>407116.31127291318</v>
      </c>
      <c r="T24" s="769">
        <f>'Corrected and Updated TSF 1'!CU24</f>
        <v>3059814.1789103923</v>
      </c>
      <c r="U24" s="769">
        <f>'Corrected and Updated TSF 1'!CV24</f>
        <v>23722.706761007681</v>
      </c>
      <c r="V24" s="772">
        <f>'Corrected and Updated TSF 1'!CW24</f>
        <v>27502.474875597669</v>
      </c>
      <c r="W24" s="773">
        <f>'Corrected and Updated TSF 1'!CX24</f>
        <v>35527.03710048685</v>
      </c>
      <c r="X24" s="773">
        <f>'Corrected and Updated TSF 1'!CY24</f>
        <v>60587.988053181267</v>
      </c>
      <c r="Y24" s="1130">
        <f>'Corrected and Updated TSF 1'!CZ24</f>
        <v>248558.43141597047</v>
      </c>
      <c r="Z24" s="1130">
        <f>'Corrected and Updated TSF 1'!DA24</f>
        <v>98353.36051366452</v>
      </c>
      <c r="AA24" s="1130">
        <f>'Corrected and Updated TSF 1'!DB24</f>
        <v>71039.239301235197</v>
      </c>
      <c r="AB24" s="1130">
        <f>'Corrected and Updated TSF 1'!DC24</f>
        <v>54064.131585904252</v>
      </c>
      <c r="AC24" s="774">
        <f>K24-'Corrected and Updated TSF 1'!CJ24</f>
        <v>0</v>
      </c>
      <c r="AD24" s="774">
        <f>L24-SUM('Corrected and Updated TSF 1'!CK24:CL24)</f>
        <v>0</v>
      </c>
      <c r="AE24" s="1173">
        <f t="shared" si="6"/>
        <v>3074224.6067545544</v>
      </c>
      <c r="AF24" s="1174">
        <f>SUM(FORM!$V$19:$W$22)+SUM(FORM!$V$25:$W$28)+SUM(FORM!$V$31:$W$34)</f>
        <v>0</v>
      </c>
      <c r="AG24" s="1173">
        <f t="shared" si="7"/>
        <v>3074224.6067545544</v>
      </c>
      <c r="AH24" s="1173"/>
      <c r="AI24" s="714"/>
      <c r="AJ24" s="714"/>
      <c r="AK24" s="714"/>
      <c r="AL24" s="714"/>
      <c r="AM24" s="714"/>
      <c r="AN24" s="714"/>
      <c r="AO24" s="714"/>
      <c r="AP24" s="714"/>
      <c r="AQ24" s="552"/>
      <c r="AR24" s="552"/>
      <c r="AS24" s="552"/>
      <c r="AT24" s="552"/>
    </row>
    <row r="25" spans="1:49" s="119" customFormat="1" ht="12.75" hidden="1" customHeight="1">
      <c r="A25" s="767" t="str">
        <f t="shared" si="0"/>
        <v>3G</v>
      </c>
      <c r="B25" s="768" t="str">
        <f>'Corrected and Updated TSF 1'!ER25</f>
        <v>SOLD</v>
      </c>
      <c r="C25" s="757" t="str">
        <f>'Corrected and Updated TSF 1'!E25</f>
        <v>3rd Floor</v>
      </c>
      <c r="D25" s="642" t="str">
        <f>'Corrected and Updated TSF 1'!M25</f>
        <v>End</v>
      </c>
      <c r="E25" s="642" t="str">
        <f>'Corrected and Updated TSF 1'!G25</f>
        <v>3G</v>
      </c>
      <c r="F25" s="758" t="str">
        <f>'Corrected and Updated TSF 1'!I25</f>
        <v>Studio Unit</v>
      </c>
      <c r="G25" s="769">
        <f>'Corrected and Updated TSF 1'!J25</f>
        <v>22</v>
      </c>
      <c r="H25" s="769">
        <f>'Corrected and Updated TSF 1'!CI25</f>
        <v>3105802.7666149172</v>
      </c>
      <c r="I25" s="770"/>
      <c r="J25" s="770">
        <f t="shared" si="1"/>
        <v>3105802.7666149172</v>
      </c>
      <c r="K25" s="769">
        <f>'Corrected and Updated TSF 1'!CJ25</f>
        <v>0</v>
      </c>
      <c r="L25" s="769">
        <f>SUM('Corrected and Updated TSF 1'!CK25:CL25)</f>
        <v>427047.88040955114</v>
      </c>
      <c r="M25" s="769">
        <f t="shared" si="2"/>
        <v>3532850.6470244685</v>
      </c>
      <c r="N25" s="771">
        <f>'Corrected and Updated TSF 1'!CN25</f>
        <v>0.125</v>
      </c>
      <c r="O25" s="769">
        <f>'Corrected and Updated TSF 1'!CO25</f>
        <v>441606.33087805851</v>
      </c>
      <c r="P25" s="769">
        <f>'Corrected and Updated TSF 1'!CP25</f>
        <v>30000</v>
      </c>
      <c r="Q25" s="769">
        <f>'Corrected and Updated TSF 1'!CQ25</f>
        <v>411606.33087805851</v>
      </c>
      <c r="R25" s="425">
        <f>'Corrected and Updated TSF 1'!CR25</f>
        <v>1</v>
      </c>
      <c r="S25" s="769">
        <f>'Corrected and Updated TSF 1'!CS25</f>
        <v>411606.33087805851</v>
      </c>
      <c r="T25" s="769">
        <f>'Corrected and Updated TSF 1'!CU25</f>
        <v>3091244.3161464096</v>
      </c>
      <c r="U25" s="769">
        <f>'Corrected and Updated TSF 1'!CV25</f>
        <v>23966.384280462073</v>
      </c>
      <c r="V25" s="772">
        <f>'Corrected and Updated TSF 1'!CW25</f>
        <v>27784.977834642708</v>
      </c>
      <c r="W25" s="773">
        <f>'Corrected and Updated TSF 1'!CX25</f>
        <v>35891.967644097516</v>
      </c>
      <c r="X25" s="773">
        <f>'Corrected and Updated TSF 1'!CY25</f>
        <v>61210.342440742083</v>
      </c>
      <c r="Y25" s="1130">
        <f>'Corrected and Updated TSF 1'!CZ25</f>
        <v>251111.60136479235</v>
      </c>
      <c r="Z25" s="1130">
        <f>'Corrected and Updated TSF 1'!DA25</f>
        <v>99363.63742520845</v>
      </c>
      <c r="AA25" s="1130">
        <f>'Corrected and Updated TSF 1'!DB25</f>
        <v>71768.948005694881</v>
      </c>
      <c r="AB25" s="1130">
        <f>'Corrected and Updated TSF 1'!DC25</f>
        <v>54619.473504051763</v>
      </c>
      <c r="AC25" s="774">
        <f>K25-'Corrected and Updated TSF 1'!CJ25</f>
        <v>0</v>
      </c>
      <c r="AD25" s="774">
        <f>L25-SUM('Corrected and Updated TSF 1'!CK25:CL25)</f>
        <v>0</v>
      </c>
      <c r="AE25" s="1173">
        <f t="shared" si="6"/>
        <v>3105802.7666149172</v>
      </c>
      <c r="AF25" s="1174">
        <f>SUM(FORM!$V$19:$W$22)+SUM(FORM!$V$25:$W$28)+SUM(FORM!$V$31:$W$34)</f>
        <v>0</v>
      </c>
      <c r="AG25" s="1173">
        <f t="shared" si="7"/>
        <v>3105802.7666149172</v>
      </c>
      <c r="AH25" s="1173"/>
      <c r="AI25" s="714"/>
      <c r="AJ25" s="714"/>
      <c r="AK25" s="714"/>
      <c r="AL25" s="714"/>
      <c r="AM25" s="714"/>
      <c r="AN25" s="714"/>
      <c r="AO25" s="714"/>
      <c r="AP25" s="714"/>
      <c r="AQ25" s="760"/>
      <c r="AR25" s="760"/>
      <c r="AS25" s="760"/>
      <c r="AT25" s="760"/>
      <c r="AU25" s="760"/>
      <c r="AV25" s="760"/>
      <c r="AW25" s="760"/>
    </row>
    <row r="26" spans="1:49" s="119" customFormat="1" ht="12.75" hidden="1" customHeight="1">
      <c r="A26" s="767" t="str">
        <f t="shared" si="0"/>
        <v>3H</v>
      </c>
      <c r="B26" s="768" t="str">
        <f>'Corrected and Updated TSF 1'!ER26</f>
        <v>SOLD</v>
      </c>
      <c r="C26" s="757" t="str">
        <f>'Corrected and Updated TSF 1'!E26</f>
        <v>3rd Floor</v>
      </c>
      <c r="D26" s="642" t="str">
        <f>'Corrected and Updated TSF 1'!M26</f>
        <v>Corner</v>
      </c>
      <c r="E26" s="642" t="str">
        <f>'Corrected and Updated TSF 1'!G26</f>
        <v>3H</v>
      </c>
      <c r="F26" s="758" t="str">
        <f>'Corrected and Updated TSF 1'!I26</f>
        <v>Studio Unit</v>
      </c>
      <c r="G26" s="769">
        <f>'Corrected and Updated TSF 1'!J26</f>
        <v>22</v>
      </c>
      <c r="H26" s="769">
        <f>'Corrected and Updated TSF 1'!CI26</f>
        <v>3155877.7342040357</v>
      </c>
      <c r="I26" s="770"/>
      <c r="J26" s="770">
        <f t="shared" si="1"/>
        <v>3155877.7342040357</v>
      </c>
      <c r="K26" s="769">
        <f>'Corrected and Updated TSF 1'!CJ26</f>
        <v>0</v>
      </c>
      <c r="L26" s="769">
        <f>SUM('Corrected and Updated TSF 1'!CK26:CL26)</f>
        <v>433933.18845305487</v>
      </c>
      <c r="M26" s="769">
        <f t="shared" si="2"/>
        <v>3589810.9226570907</v>
      </c>
      <c r="N26" s="771">
        <f>'Corrected and Updated TSF 1'!CN26</f>
        <v>0.125</v>
      </c>
      <c r="O26" s="769">
        <f>'Corrected and Updated TSF 1'!CO26</f>
        <v>448726.36533213634</v>
      </c>
      <c r="P26" s="769">
        <f>'Corrected and Updated TSF 1'!CP26</f>
        <v>30000</v>
      </c>
      <c r="Q26" s="769">
        <f>'Corrected and Updated TSF 1'!CQ26</f>
        <v>418726.36533213634</v>
      </c>
      <c r="R26" s="425">
        <f>'Corrected and Updated TSF 1'!CR26</f>
        <v>1</v>
      </c>
      <c r="S26" s="769">
        <f>'Corrected and Updated TSF 1'!CS26</f>
        <v>418726.36533213634</v>
      </c>
      <c r="T26" s="769">
        <f>'Corrected and Updated TSF 1'!CU26</f>
        <v>3141084.5573249543</v>
      </c>
      <c r="U26" s="769">
        <f>'Corrected and Updated TSF 1'!CV26</f>
        <v>24352.79513982921</v>
      </c>
      <c r="V26" s="772">
        <f>'Corrected and Updated TSF 1'!CW26</f>
        <v>28232.956012616498</v>
      </c>
      <c r="W26" s="773">
        <f>'Corrected and Updated TSF 1'!CX26</f>
        <v>36470.655104810539</v>
      </c>
      <c r="X26" s="773">
        <f>'Corrected and Updated TSF 1'!CY26</f>
        <v>62197.238951617357</v>
      </c>
      <c r="Y26" s="1130">
        <f>'Corrected and Updated TSF 1'!CZ26</f>
        <v>255160.28257364413</v>
      </c>
      <c r="Z26" s="1130">
        <f>'Corrected and Updated TSF 1'!DA26</f>
        <v>100965.68085729262</v>
      </c>
      <c r="AA26" s="1130">
        <f>'Corrected and Updated TSF 1'!DB26</f>
        <v>72926.081286636385</v>
      </c>
      <c r="AB26" s="1130">
        <f>'Corrected and Updated TSF 1'!DC26</f>
        <v>55500.105202513136</v>
      </c>
      <c r="AC26" s="774">
        <f>K26-'Corrected and Updated TSF 1'!CJ26</f>
        <v>0</v>
      </c>
      <c r="AD26" s="774">
        <f>L26-SUM('Corrected and Updated TSF 1'!CK26:CL26)</f>
        <v>0</v>
      </c>
      <c r="AE26" s="1173">
        <f t="shared" si="6"/>
        <v>3155877.7342040357</v>
      </c>
      <c r="AF26" s="1174">
        <f>SUM(FORM!$V$19:$W$22)+SUM(FORM!$V$25:$W$28)+SUM(FORM!$V$31:$W$34)</f>
        <v>0</v>
      </c>
      <c r="AG26" s="1173">
        <f t="shared" si="7"/>
        <v>3155877.7342040357</v>
      </c>
      <c r="AH26" s="1173"/>
      <c r="AI26" s="714"/>
      <c r="AJ26" s="714"/>
      <c r="AK26" s="714"/>
      <c r="AL26" s="714"/>
      <c r="AM26" s="714"/>
      <c r="AN26" s="714"/>
      <c r="AO26" s="714"/>
      <c r="AP26" s="714"/>
      <c r="AQ26" s="552"/>
      <c r="AR26" s="552"/>
      <c r="AS26" s="552"/>
      <c r="AT26" s="552"/>
    </row>
    <row r="27" spans="1:49" s="119" customFormat="1" hidden="1">
      <c r="A27" s="767" t="str">
        <f t="shared" si="0"/>
        <v>3I</v>
      </c>
      <c r="B27" s="768" t="str">
        <f>'Corrected and Updated TSF 1'!ER27</f>
        <v>SOLD</v>
      </c>
      <c r="C27" s="757" t="str">
        <f>'Corrected and Updated TSF 1'!E27</f>
        <v>3rd Floor</v>
      </c>
      <c r="D27" s="642" t="str">
        <f>'Corrected and Updated TSF 1'!M27</f>
        <v>Inner</v>
      </c>
      <c r="E27" s="642" t="str">
        <f>'Corrected and Updated TSF 1'!G27</f>
        <v>3I</v>
      </c>
      <c r="F27" s="758" t="str">
        <f>'Corrected and Updated TSF 1'!I27</f>
        <v>Studio Unit</v>
      </c>
      <c r="G27" s="769">
        <f>'Corrected and Updated TSF 1'!J27</f>
        <v>22</v>
      </c>
      <c r="H27" s="769">
        <f>'Corrected and Updated TSF 1'!CI27</f>
        <v>3074224.6067545544</v>
      </c>
      <c r="I27" s="770"/>
      <c r="J27" s="770">
        <f t="shared" si="1"/>
        <v>3074224.6067545544</v>
      </c>
      <c r="K27" s="769">
        <f>'Corrected and Updated TSF 1'!CJ27</f>
        <v>0</v>
      </c>
      <c r="L27" s="769">
        <f>SUM('Corrected and Updated TSF 1'!CK27:CL27)</f>
        <v>422705.8834287512</v>
      </c>
      <c r="M27" s="769">
        <f t="shared" si="2"/>
        <v>3496930.4901833055</v>
      </c>
      <c r="N27" s="771">
        <f>'Corrected and Updated TSF 1'!CN27</f>
        <v>0.125</v>
      </c>
      <c r="O27" s="769">
        <f>'Corrected and Updated TSF 1'!CO27</f>
        <v>437116.31127291318</v>
      </c>
      <c r="P27" s="769">
        <f>'Corrected and Updated TSF 1'!CP27</f>
        <v>30000</v>
      </c>
      <c r="Q27" s="769">
        <f>'Corrected and Updated TSF 1'!CQ27</f>
        <v>407116.31127291318</v>
      </c>
      <c r="R27" s="425">
        <f>'Corrected and Updated TSF 1'!CR27</f>
        <v>1</v>
      </c>
      <c r="S27" s="769">
        <f>'Corrected and Updated TSF 1'!CS27</f>
        <v>407116.31127291318</v>
      </c>
      <c r="T27" s="769">
        <f>'Corrected and Updated TSF 1'!CU27</f>
        <v>3059814.1789103923</v>
      </c>
      <c r="U27" s="769">
        <f>'Corrected and Updated TSF 1'!CV27</f>
        <v>23722.706761007681</v>
      </c>
      <c r="V27" s="772">
        <f>'Corrected and Updated TSF 1'!CW27</f>
        <v>27502.474875597669</v>
      </c>
      <c r="W27" s="773">
        <f>'Corrected and Updated TSF 1'!CX27</f>
        <v>35527.03710048685</v>
      </c>
      <c r="X27" s="773">
        <f>'Corrected and Updated TSF 1'!CY27</f>
        <v>60587.988053181267</v>
      </c>
      <c r="Y27" s="1130">
        <f>'Corrected and Updated TSF 1'!CZ27</f>
        <v>248558.43141597047</v>
      </c>
      <c r="Z27" s="1130">
        <f>'Corrected and Updated TSF 1'!DA27</f>
        <v>98353.36051366452</v>
      </c>
      <c r="AA27" s="1130">
        <f>'Corrected and Updated TSF 1'!DB27</f>
        <v>71039.239301235197</v>
      </c>
      <c r="AB27" s="1130">
        <f>'Corrected and Updated TSF 1'!DC27</f>
        <v>54064.131585904252</v>
      </c>
      <c r="AC27" s="774">
        <f>K27-'Corrected and Updated TSF 1'!CJ27</f>
        <v>0</v>
      </c>
      <c r="AD27" s="774">
        <f>L27-SUM('Corrected and Updated TSF 1'!CK27:CL27)</f>
        <v>0</v>
      </c>
      <c r="AE27" s="1173">
        <f t="shared" si="6"/>
        <v>3074224.6067545544</v>
      </c>
      <c r="AF27" s="1174">
        <f>SUM(FORM!$V$19:$W$22)+SUM(FORM!$V$25:$W$28)+SUM(FORM!$V$31:$W$34)</f>
        <v>0</v>
      </c>
      <c r="AG27" s="1173">
        <f t="shared" si="7"/>
        <v>3074224.6067545544</v>
      </c>
      <c r="AH27" s="1173"/>
      <c r="AI27" s="714"/>
      <c r="AJ27" s="714"/>
      <c r="AK27" s="714"/>
      <c r="AL27" s="714"/>
      <c r="AM27" s="714"/>
      <c r="AN27" s="714"/>
      <c r="AO27" s="714"/>
      <c r="AP27" s="714"/>
      <c r="AQ27" s="760"/>
      <c r="AR27" s="760"/>
      <c r="AS27" s="760"/>
      <c r="AT27" s="760"/>
      <c r="AU27" s="760"/>
      <c r="AV27" s="760"/>
      <c r="AW27" s="760"/>
    </row>
    <row r="28" spans="1:49" hidden="1">
      <c r="A28" s="767" t="str">
        <f t="shared" si="0"/>
        <v>3J</v>
      </c>
      <c r="B28" s="768" t="str">
        <f>'Corrected and Updated TSF 1'!ER28</f>
        <v>SOLD</v>
      </c>
      <c r="C28" s="757" t="str">
        <f>'Corrected and Updated TSF 1'!E28</f>
        <v>3rd Floor</v>
      </c>
      <c r="D28" s="642" t="str">
        <f>'Corrected and Updated TSF 1'!M28</f>
        <v>Inner</v>
      </c>
      <c r="E28" s="642" t="str">
        <f>'Corrected and Updated TSF 1'!G28</f>
        <v>3J</v>
      </c>
      <c r="F28" s="758" t="str">
        <f>'Corrected and Updated TSF 1'!I28</f>
        <v>Studio Unit</v>
      </c>
      <c r="G28" s="769">
        <f>'Corrected and Updated TSF 1'!J28</f>
        <v>22</v>
      </c>
      <c r="H28" s="769">
        <f>'Corrected and Updated TSF 1'!CI28</f>
        <v>3074224.6067545544</v>
      </c>
      <c r="I28" s="770"/>
      <c r="J28" s="770">
        <f t="shared" si="1"/>
        <v>3074224.6067545544</v>
      </c>
      <c r="K28" s="769">
        <f>'Corrected and Updated TSF 1'!CJ28</f>
        <v>0</v>
      </c>
      <c r="L28" s="769">
        <f>SUM('Corrected and Updated TSF 1'!CK28:CL28)</f>
        <v>422705.8834287512</v>
      </c>
      <c r="M28" s="769">
        <f t="shared" si="2"/>
        <v>3496930.4901833055</v>
      </c>
      <c r="N28" s="771">
        <f>'Corrected and Updated TSF 1'!CN28</f>
        <v>0.125</v>
      </c>
      <c r="O28" s="769">
        <f>'Corrected and Updated TSF 1'!CO28</f>
        <v>437116.31127291318</v>
      </c>
      <c r="P28" s="769">
        <f>'Corrected and Updated TSF 1'!CP28</f>
        <v>30000</v>
      </c>
      <c r="Q28" s="769">
        <f>'Corrected and Updated TSF 1'!CQ28</f>
        <v>407116.31127291318</v>
      </c>
      <c r="R28" s="425">
        <f>'Corrected and Updated TSF 1'!CR28</f>
        <v>1</v>
      </c>
      <c r="S28" s="769">
        <f>'Corrected and Updated TSF 1'!CS28</f>
        <v>407116.31127291318</v>
      </c>
      <c r="T28" s="769">
        <f>'Corrected and Updated TSF 1'!CU28</f>
        <v>3059814.1789103923</v>
      </c>
      <c r="U28" s="769">
        <f>'Corrected and Updated TSF 1'!CV28</f>
        <v>23722.706761007681</v>
      </c>
      <c r="V28" s="772">
        <f>'Corrected and Updated TSF 1'!CW28</f>
        <v>27502.474875597669</v>
      </c>
      <c r="W28" s="773">
        <f>'Corrected and Updated TSF 1'!CX28</f>
        <v>35527.03710048685</v>
      </c>
      <c r="X28" s="773">
        <f>'Corrected and Updated TSF 1'!CY28</f>
        <v>60587.988053181267</v>
      </c>
      <c r="Y28" s="1130">
        <f>'Corrected and Updated TSF 1'!CZ28</f>
        <v>248558.43141597047</v>
      </c>
      <c r="Z28" s="1130">
        <f>'Corrected and Updated TSF 1'!DA28</f>
        <v>98353.36051366452</v>
      </c>
      <c r="AA28" s="1130">
        <f>'Corrected and Updated TSF 1'!DB28</f>
        <v>71039.239301235197</v>
      </c>
      <c r="AB28" s="1130">
        <f>'Corrected and Updated TSF 1'!DC28</f>
        <v>54064.131585904252</v>
      </c>
      <c r="AC28" s="774">
        <f>K28-'Corrected and Updated TSF 1'!CJ28</f>
        <v>0</v>
      </c>
      <c r="AD28" s="774">
        <f>L28-SUM('Corrected and Updated TSF 1'!CK28:CL28)</f>
        <v>0</v>
      </c>
      <c r="AE28" s="1173">
        <f t="shared" si="6"/>
        <v>3074224.6067545544</v>
      </c>
      <c r="AF28" s="1174">
        <f>SUM(FORM!$V$19:$W$22)+SUM(FORM!$V$25:$W$28)+SUM(FORM!$V$31:$W$34)</f>
        <v>0</v>
      </c>
      <c r="AG28" s="1173">
        <f t="shared" si="7"/>
        <v>3074224.6067545544</v>
      </c>
      <c r="AH28" s="1173"/>
    </row>
    <row r="29" spans="1:49" s="119" customFormat="1" ht="12.75" hidden="1" customHeight="1">
      <c r="A29" s="767" t="str">
        <f t="shared" si="0"/>
        <v>3K</v>
      </c>
      <c r="B29" s="768" t="str">
        <f>'Corrected and Updated TSF 1'!ER29</f>
        <v>SOLD</v>
      </c>
      <c r="C29" s="757" t="str">
        <f>'Corrected and Updated TSF 1'!E29</f>
        <v>3rd Floor</v>
      </c>
      <c r="D29" s="642" t="str">
        <f>'Corrected and Updated TSF 1'!M29</f>
        <v>Inner</v>
      </c>
      <c r="E29" s="642" t="str">
        <f>'Corrected and Updated TSF 1'!G29</f>
        <v>3K</v>
      </c>
      <c r="F29" s="758" t="str">
        <f>'Corrected and Updated TSF 1'!I29</f>
        <v>Studio Unit</v>
      </c>
      <c r="G29" s="769">
        <f>'Corrected and Updated TSF 1'!J29</f>
        <v>22</v>
      </c>
      <c r="H29" s="769">
        <f>'Corrected and Updated TSF 1'!CI29</f>
        <v>3074224.6067545544</v>
      </c>
      <c r="I29" s="770"/>
      <c r="J29" s="770">
        <f t="shared" si="1"/>
        <v>3074224.6067545544</v>
      </c>
      <c r="K29" s="769">
        <f>'Corrected and Updated TSF 1'!CJ29</f>
        <v>0</v>
      </c>
      <c r="L29" s="769">
        <f>SUM('Corrected and Updated TSF 1'!CK29:CL29)</f>
        <v>422705.8834287512</v>
      </c>
      <c r="M29" s="769">
        <f t="shared" si="2"/>
        <v>3496930.4901833055</v>
      </c>
      <c r="N29" s="771">
        <f>'Corrected and Updated TSF 1'!CN29</f>
        <v>0.125</v>
      </c>
      <c r="O29" s="769">
        <f>'Corrected and Updated TSF 1'!CO29</f>
        <v>437116.31127291318</v>
      </c>
      <c r="P29" s="769">
        <f>'Corrected and Updated TSF 1'!CP29</f>
        <v>30000</v>
      </c>
      <c r="Q29" s="769">
        <f>'Corrected and Updated TSF 1'!CQ29</f>
        <v>407116.31127291318</v>
      </c>
      <c r="R29" s="425">
        <f>'Corrected and Updated TSF 1'!CR29</f>
        <v>1</v>
      </c>
      <c r="S29" s="769">
        <f>'Corrected and Updated TSF 1'!CS29</f>
        <v>407116.31127291318</v>
      </c>
      <c r="T29" s="769">
        <f>'Corrected and Updated TSF 1'!CU29</f>
        <v>3059814.1789103923</v>
      </c>
      <c r="U29" s="769">
        <f>'Corrected and Updated TSF 1'!CV29</f>
        <v>23722.706761007681</v>
      </c>
      <c r="V29" s="772">
        <f>'Corrected and Updated TSF 1'!CW29</f>
        <v>27502.474875597669</v>
      </c>
      <c r="W29" s="773">
        <f>'Corrected and Updated TSF 1'!CX29</f>
        <v>35527.03710048685</v>
      </c>
      <c r="X29" s="773">
        <f>'Corrected and Updated TSF 1'!CY29</f>
        <v>60587.988053181267</v>
      </c>
      <c r="Y29" s="1130">
        <f>'Corrected and Updated TSF 1'!CZ29</f>
        <v>248558.43141597047</v>
      </c>
      <c r="Z29" s="1130">
        <f>'Corrected and Updated TSF 1'!DA29</f>
        <v>98353.36051366452</v>
      </c>
      <c r="AA29" s="1130">
        <f>'Corrected and Updated TSF 1'!DB29</f>
        <v>71039.239301235197</v>
      </c>
      <c r="AB29" s="1130">
        <f>'Corrected and Updated TSF 1'!DC29</f>
        <v>54064.131585904252</v>
      </c>
      <c r="AC29" s="774">
        <f>K29-'Corrected and Updated TSF 1'!CJ29</f>
        <v>0</v>
      </c>
      <c r="AD29" s="774">
        <f>L29-SUM('Corrected and Updated TSF 1'!CK29:CL29)</f>
        <v>0</v>
      </c>
      <c r="AE29" s="1173">
        <f t="shared" si="6"/>
        <v>3074224.6067545544</v>
      </c>
      <c r="AF29" s="1174">
        <f>SUM(FORM!$V$19:$W$22)+SUM(FORM!$V$25:$W$28)+SUM(FORM!$V$31:$W$34)</f>
        <v>0</v>
      </c>
      <c r="AG29" s="1173">
        <f t="shared" si="7"/>
        <v>3074224.6067545544</v>
      </c>
      <c r="AH29" s="1173"/>
      <c r="AI29" s="714"/>
      <c r="AJ29" s="714"/>
      <c r="AK29" s="714"/>
      <c r="AL29" s="714"/>
      <c r="AM29" s="714"/>
      <c r="AN29" s="714"/>
      <c r="AO29" s="714"/>
      <c r="AP29" s="714"/>
      <c r="AQ29" s="760"/>
      <c r="AR29" s="760"/>
      <c r="AS29" s="760"/>
      <c r="AT29" s="760"/>
      <c r="AU29" s="760"/>
      <c r="AV29" s="760"/>
      <c r="AW29" s="760"/>
    </row>
    <row r="30" spans="1:49" s="119" customFormat="1" ht="12.75" hidden="1" customHeight="1">
      <c r="A30" s="767" t="str">
        <f t="shared" si="0"/>
        <v>3L</v>
      </c>
      <c r="B30" s="768" t="str">
        <f>'Corrected and Updated TSF 1'!ER30</f>
        <v>SOLD</v>
      </c>
      <c r="C30" s="757" t="str">
        <f>'Corrected and Updated TSF 1'!E30</f>
        <v>3rd Floor</v>
      </c>
      <c r="D30" s="642" t="str">
        <f>'Corrected and Updated TSF 1'!M30</f>
        <v>Inner</v>
      </c>
      <c r="E30" s="642" t="str">
        <f>'Corrected and Updated TSF 1'!G30</f>
        <v>3L</v>
      </c>
      <c r="F30" s="758" t="str">
        <f>'Corrected and Updated TSF 1'!I30</f>
        <v>Studio Unit</v>
      </c>
      <c r="G30" s="769">
        <f>'Corrected and Updated TSF 1'!J30</f>
        <v>22</v>
      </c>
      <c r="H30" s="769">
        <f>'Corrected and Updated TSF 1'!CI30</f>
        <v>3074224.6067545544</v>
      </c>
      <c r="I30" s="770"/>
      <c r="J30" s="770">
        <f t="shared" si="1"/>
        <v>3074224.6067545544</v>
      </c>
      <c r="K30" s="769">
        <f>'Corrected and Updated TSF 1'!CJ30</f>
        <v>0</v>
      </c>
      <c r="L30" s="769">
        <f>SUM('Corrected and Updated TSF 1'!CK30:CL30)</f>
        <v>422705.8834287512</v>
      </c>
      <c r="M30" s="769">
        <f t="shared" si="2"/>
        <v>3496930.4901833055</v>
      </c>
      <c r="N30" s="771">
        <f>'Corrected and Updated TSF 1'!CN30</f>
        <v>0.125</v>
      </c>
      <c r="O30" s="769">
        <f>'Corrected and Updated TSF 1'!CO30</f>
        <v>437116.31127291318</v>
      </c>
      <c r="P30" s="769">
        <f>'Corrected and Updated TSF 1'!CP30</f>
        <v>30000</v>
      </c>
      <c r="Q30" s="769">
        <f>'Corrected and Updated TSF 1'!CQ30</f>
        <v>407116.31127291318</v>
      </c>
      <c r="R30" s="425">
        <f>'Corrected and Updated TSF 1'!CR30</f>
        <v>1</v>
      </c>
      <c r="S30" s="769">
        <f>'Corrected and Updated TSF 1'!CS30</f>
        <v>407116.31127291318</v>
      </c>
      <c r="T30" s="769">
        <f>'Corrected and Updated TSF 1'!CU30</f>
        <v>3059814.1789103923</v>
      </c>
      <c r="U30" s="769">
        <f>'Corrected and Updated TSF 1'!CV30</f>
        <v>23722.706761007681</v>
      </c>
      <c r="V30" s="772">
        <f>'Corrected and Updated TSF 1'!CW30</f>
        <v>27502.474875597669</v>
      </c>
      <c r="W30" s="773">
        <f>'Corrected and Updated TSF 1'!CX30</f>
        <v>35527.03710048685</v>
      </c>
      <c r="X30" s="773">
        <f>'Corrected and Updated TSF 1'!CY30</f>
        <v>60587.988053181267</v>
      </c>
      <c r="Y30" s="1130">
        <f>'Corrected and Updated TSF 1'!CZ30</f>
        <v>248558.43141597047</v>
      </c>
      <c r="Z30" s="1130">
        <f>'Corrected and Updated TSF 1'!DA30</f>
        <v>98353.36051366452</v>
      </c>
      <c r="AA30" s="1130">
        <f>'Corrected and Updated TSF 1'!DB30</f>
        <v>71039.239301235197</v>
      </c>
      <c r="AB30" s="1130">
        <f>'Corrected and Updated TSF 1'!DC30</f>
        <v>54064.131585904252</v>
      </c>
      <c r="AC30" s="774">
        <f>K30-'Corrected and Updated TSF 1'!CJ30</f>
        <v>0</v>
      </c>
      <c r="AD30" s="774">
        <f>L30-SUM('Corrected and Updated TSF 1'!CK30:CL30)</f>
        <v>0</v>
      </c>
      <c r="AE30" s="1173">
        <f t="shared" si="6"/>
        <v>3074224.6067545544</v>
      </c>
      <c r="AF30" s="1174">
        <f>SUM(FORM!$V$19:$W$22)+SUM(FORM!$V$25:$W$28)+SUM(FORM!$V$31:$W$34)</f>
        <v>0</v>
      </c>
      <c r="AG30" s="1173">
        <f t="shared" si="7"/>
        <v>3074224.6067545544</v>
      </c>
      <c r="AH30" s="1173"/>
      <c r="AI30" s="714"/>
      <c r="AJ30" s="714"/>
      <c r="AK30" s="714"/>
      <c r="AL30" s="714"/>
      <c r="AM30" s="714"/>
      <c r="AN30" s="714"/>
      <c r="AO30" s="714"/>
      <c r="AP30" s="714"/>
      <c r="AQ30" s="552"/>
      <c r="AR30" s="552"/>
      <c r="AS30" s="552"/>
      <c r="AT30" s="552"/>
    </row>
    <row r="31" spans="1:49" s="119" customFormat="1" ht="12.75" hidden="1" customHeight="1">
      <c r="A31" s="767" t="str">
        <f t="shared" si="0"/>
        <v>3M</v>
      </c>
      <c r="B31" s="768" t="str">
        <f>'Corrected and Updated TSF 1'!ER31</f>
        <v>SOLD</v>
      </c>
      <c r="C31" s="757" t="str">
        <f>'Corrected and Updated TSF 1'!E31</f>
        <v>3rd Floor</v>
      </c>
      <c r="D31" s="642" t="str">
        <f>'Corrected and Updated TSF 1'!M31</f>
        <v>Inner</v>
      </c>
      <c r="E31" s="642" t="str">
        <f>'Corrected and Updated TSF 1'!G31</f>
        <v>3M</v>
      </c>
      <c r="F31" s="758" t="str">
        <f>'Corrected and Updated TSF 1'!I31</f>
        <v>Studio Unit</v>
      </c>
      <c r="G31" s="769">
        <f>'Corrected and Updated TSF 1'!J31</f>
        <v>22</v>
      </c>
      <c r="H31" s="769">
        <f>'Corrected and Updated TSF 1'!CI31</f>
        <v>3074224.6067545544</v>
      </c>
      <c r="I31" s="770"/>
      <c r="J31" s="770">
        <f t="shared" si="1"/>
        <v>3074224.6067545544</v>
      </c>
      <c r="K31" s="769">
        <f>'Corrected and Updated TSF 1'!CJ31</f>
        <v>0</v>
      </c>
      <c r="L31" s="769">
        <f>SUM('Corrected and Updated TSF 1'!CK31:CL31)</f>
        <v>422705.8834287512</v>
      </c>
      <c r="M31" s="769">
        <f t="shared" si="2"/>
        <v>3496930.4901833055</v>
      </c>
      <c r="N31" s="771">
        <f>'Corrected and Updated TSF 1'!CN31</f>
        <v>0.125</v>
      </c>
      <c r="O31" s="769">
        <f>'Corrected and Updated TSF 1'!CO31</f>
        <v>437116.31127291318</v>
      </c>
      <c r="P31" s="769">
        <f>'Corrected and Updated TSF 1'!CP31</f>
        <v>30000</v>
      </c>
      <c r="Q31" s="769">
        <f>'Corrected and Updated TSF 1'!CQ31</f>
        <v>407116.31127291318</v>
      </c>
      <c r="R31" s="425">
        <f>'Corrected and Updated TSF 1'!CR31</f>
        <v>1</v>
      </c>
      <c r="S31" s="769">
        <f>'Corrected and Updated TSF 1'!CS31</f>
        <v>407116.31127291318</v>
      </c>
      <c r="T31" s="769">
        <f>'Corrected and Updated TSF 1'!CU31</f>
        <v>3059814.1789103923</v>
      </c>
      <c r="U31" s="769">
        <f>'Corrected and Updated TSF 1'!CV31</f>
        <v>23722.706761007681</v>
      </c>
      <c r="V31" s="772">
        <f>'Corrected and Updated TSF 1'!CW31</f>
        <v>27502.474875597669</v>
      </c>
      <c r="W31" s="773">
        <f>'Corrected and Updated TSF 1'!CX31</f>
        <v>35527.03710048685</v>
      </c>
      <c r="X31" s="773">
        <f>'Corrected and Updated TSF 1'!CY31</f>
        <v>60587.988053181267</v>
      </c>
      <c r="Y31" s="1130">
        <f>'Corrected and Updated TSF 1'!CZ31</f>
        <v>248558.43141597047</v>
      </c>
      <c r="Z31" s="1130">
        <f>'Corrected and Updated TSF 1'!DA31</f>
        <v>98353.36051366452</v>
      </c>
      <c r="AA31" s="1130">
        <f>'Corrected and Updated TSF 1'!DB31</f>
        <v>71039.239301235197</v>
      </c>
      <c r="AB31" s="1130">
        <f>'Corrected and Updated TSF 1'!DC31</f>
        <v>54064.131585904252</v>
      </c>
      <c r="AC31" s="774">
        <f>K31-'Corrected and Updated TSF 1'!CJ31</f>
        <v>0</v>
      </c>
      <c r="AD31" s="774">
        <f>L31-SUM('Corrected and Updated TSF 1'!CK31:CL31)</f>
        <v>0</v>
      </c>
      <c r="AE31" s="1173">
        <f t="shared" si="6"/>
        <v>3074224.6067545544</v>
      </c>
      <c r="AF31" s="1174">
        <f>SUM(FORM!$V$19:$W$22)+SUM(FORM!$V$25:$W$28)+SUM(FORM!$V$31:$W$34)</f>
        <v>0</v>
      </c>
      <c r="AG31" s="1173">
        <f t="shared" si="7"/>
        <v>3074224.6067545544</v>
      </c>
      <c r="AH31" s="1173"/>
      <c r="AI31" s="714"/>
      <c r="AJ31" s="714"/>
      <c r="AK31" s="714"/>
      <c r="AL31" s="714"/>
      <c r="AM31" s="714"/>
      <c r="AN31" s="714"/>
      <c r="AO31" s="714"/>
      <c r="AP31" s="714"/>
      <c r="AQ31" s="552"/>
      <c r="AR31" s="552"/>
      <c r="AS31" s="552"/>
      <c r="AT31" s="552"/>
    </row>
    <row r="32" spans="1:49" s="119" customFormat="1" ht="12.75" hidden="1" customHeight="1">
      <c r="A32" s="767" t="str">
        <f t="shared" si="0"/>
        <v>3N</v>
      </c>
      <c r="B32" s="768" t="str">
        <f>'Corrected and Updated TSF 1'!ER32</f>
        <v>SOLD</v>
      </c>
      <c r="C32" s="757" t="str">
        <f>'Corrected and Updated TSF 1'!E32</f>
        <v>3rd Floor</v>
      </c>
      <c r="D32" s="642" t="str">
        <f>'Corrected and Updated TSF 1'!M32</f>
        <v>Inner</v>
      </c>
      <c r="E32" s="642" t="str">
        <f>'Corrected and Updated TSF 1'!G32</f>
        <v>3N</v>
      </c>
      <c r="F32" s="758" t="str">
        <f>'Corrected and Updated TSF 1'!I32</f>
        <v>Studio Unit</v>
      </c>
      <c r="G32" s="769">
        <f>'Corrected and Updated TSF 1'!J32</f>
        <v>22</v>
      </c>
      <c r="H32" s="769">
        <f>'Corrected and Updated TSF 1'!CI32</f>
        <v>3074224.6067545544</v>
      </c>
      <c r="I32" s="770"/>
      <c r="J32" s="770">
        <f t="shared" si="1"/>
        <v>3074224.6067545544</v>
      </c>
      <c r="K32" s="769">
        <f>'Corrected and Updated TSF 1'!CJ32</f>
        <v>0</v>
      </c>
      <c r="L32" s="769">
        <f>SUM('Corrected and Updated TSF 1'!CK32:CL32)</f>
        <v>422705.8834287512</v>
      </c>
      <c r="M32" s="769">
        <f t="shared" si="2"/>
        <v>3496930.4901833055</v>
      </c>
      <c r="N32" s="771">
        <f>'Corrected and Updated TSF 1'!CN32</f>
        <v>0.125</v>
      </c>
      <c r="O32" s="769">
        <f>'Corrected and Updated TSF 1'!CO32</f>
        <v>437116.31127291318</v>
      </c>
      <c r="P32" s="769">
        <f>'Corrected and Updated TSF 1'!CP32</f>
        <v>30000</v>
      </c>
      <c r="Q32" s="769">
        <f>'Corrected and Updated TSF 1'!CQ32</f>
        <v>407116.31127291318</v>
      </c>
      <c r="R32" s="425">
        <f>'Corrected and Updated TSF 1'!CR32</f>
        <v>1</v>
      </c>
      <c r="S32" s="769">
        <f>'Corrected and Updated TSF 1'!CS32</f>
        <v>407116.31127291318</v>
      </c>
      <c r="T32" s="769">
        <f>'Corrected and Updated TSF 1'!CU32</f>
        <v>3059814.1789103923</v>
      </c>
      <c r="U32" s="769">
        <f>'Corrected and Updated TSF 1'!CV32</f>
        <v>23722.706761007681</v>
      </c>
      <c r="V32" s="772">
        <f>'Corrected and Updated TSF 1'!CW32</f>
        <v>27502.474875597669</v>
      </c>
      <c r="W32" s="773">
        <f>'Corrected and Updated TSF 1'!CX32</f>
        <v>35527.03710048685</v>
      </c>
      <c r="X32" s="773">
        <f>'Corrected and Updated TSF 1'!CY32</f>
        <v>60587.988053181267</v>
      </c>
      <c r="Y32" s="1130">
        <f>'Corrected and Updated TSF 1'!CZ32</f>
        <v>248558.43141597047</v>
      </c>
      <c r="Z32" s="1130">
        <f>'Corrected and Updated TSF 1'!DA32</f>
        <v>98353.36051366452</v>
      </c>
      <c r="AA32" s="1130">
        <f>'Corrected and Updated TSF 1'!DB32</f>
        <v>71039.239301235197</v>
      </c>
      <c r="AB32" s="1130">
        <f>'Corrected and Updated TSF 1'!DC32</f>
        <v>54064.131585904252</v>
      </c>
      <c r="AC32" s="774">
        <f>K32-'Corrected and Updated TSF 1'!CJ32</f>
        <v>0</v>
      </c>
      <c r="AD32" s="774">
        <f>L32-SUM('Corrected and Updated TSF 1'!CK32:CL32)</f>
        <v>0</v>
      </c>
      <c r="AE32" s="1173">
        <f t="shared" si="6"/>
        <v>3074224.6067545544</v>
      </c>
      <c r="AF32" s="1174">
        <f>SUM(FORM!$V$19:$W$22)+SUM(FORM!$V$25:$W$28)+SUM(FORM!$V$31:$W$34)</f>
        <v>0</v>
      </c>
      <c r="AG32" s="1173">
        <f t="shared" si="7"/>
        <v>3074224.6067545544</v>
      </c>
      <c r="AH32" s="1173"/>
      <c r="AI32" s="714"/>
      <c r="AJ32" s="714"/>
      <c r="AK32" s="714"/>
      <c r="AL32" s="714"/>
      <c r="AM32" s="714"/>
      <c r="AN32" s="714"/>
      <c r="AO32" s="714"/>
      <c r="AP32" s="714"/>
      <c r="AQ32" s="760"/>
      <c r="AR32" s="760"/>
      <c r="AS32" s="760"/>
      <c r="AT32" s="760"/>
      <c r="AU32" s="760"/>
      <c r="AV32" s="760"/>
      <c r="AW32" s="760"/>
    </row>
    <row r="33" spans="1:49" s="119" customFormat="1" ht="12.75" hidden="1" customHeight="1">
      <c r="A33" s="767" t="str">
        <f t="shared" si="0"/>
        <v>3O</v>
      </c>
      <c r="B33" s="768" t="str">
        <f>'Corrected and Updated TSF 1'!ER33</f>
        <v>SOLD</v>
      </c>
      <c r="C33" s="757" t="str">
        <f>'Corrected and Updated TSF 1'!E33</f>
        <v>3rd Floor</v>
      </c>
      <c r="D33" s="642" t="str">
        <f>'Corrected and Updated TSF 1'!M33</f>
        <v>Inner</v>
      </c>
      <c r="E33" s="642" t="str">
        <f>'Corrected and Updated TSF 1'!G33</f>
        <v>3O</v>
      </c>
      <c r="F33" s="758" t="str">
        <f>'Corrected and Updated TSF 1'!I33</f>
        <v>Studio Unit</v>
      </c>
      <c r="G33" s="769">
        <f>'Corrected and Updated TSF 1'!J33</f>
        <v>22</v>
      </c>
      <c r="H33" s="769">
        <f>'Corrected and Updated TSF 1'!CI33</f>
        <v>3074224.6067545544</v>
      </c>
      <c r="I33" s="770"/>
      <c r="J33" s="770">
        <f t="shared" si="1"/>
        <v>3074224.6067545544</v>
      </c>
      <c r="K33" s="769">
        <f>'Corrected and Updated TSF 1'!CJ33</f>
        <v>0</v>
      </c>
      <c r="L33" s="769">
        <f>SUM('Corrected and Updated TSF 1'!CK33:CL33)</f>
        <v>422705.8834287512</v>
      </c>
      <c r="M33" s="769">
        <f t="shared" si="2"/>
        <v>3496930.4901833055</v>
      </c>
      <c r="N33" s="771">
        <f>'Corrected and Updated TSF 1'!CN33</f>
        <v>0.125</v>
      </c>
      <c r="O33" s="769">
        <f>'Corrected and Updated TSF 1'!CO33</f>
        <v>437116.31127291318</v>
      </c>
      <c r="P33" s="769">
        <f>'Corrected and Updated TSF 1'!CP33</f>
        <v>30000</v>
      </c>
      <c r="Q33" s="769">
        <f>'Corrected and Updated TSF 1'!CQ33</f>
        <v>407116.31127291318</v>
      </c>
      <c r="R33" s="425">
        <f>'Corrected and Updated TSF 1'!CR33</f>
        <v>1</v>
      </c>
      <c r="S33" s="769">
        <f>'Corrected and Updated TSF 1'!CS33</f>
        <v>407116.31127291318</v>
      </c>
      <c r="T33" s="769">
        <f>'Corrected and Updated TSF 1'!CU33</f>
        <v>3059814.1789103923</v>
      </c>
      <c r="U33" s="769">
        <f>'Corrected and Updated TSF 1'!CV33</f>
        <v>23722.706761007681</v>
      </c>
      <c r="V33" s="772">
        <f>'Corrected and Updated TSF 1'!CW33</f>
        <v>27502.474875597669</v>
      </c>
      <c r="W33" s="773">
        <f>'Corrected and Updated TSF 1'!CX33</f>
        <v>35527.03710048685</v>
      </c>
      <c r="X33" s="773">
        <f>'Corrected and Updated TSF 1'!CY33</f>
        <v>60587.988053181267</v>
      </c>
      <c r="Y33" s="1130">
        <f>'Corrected and Updated TSF 1'!CZ33</f>
        <v>248558.43141597047</v>
      </c>
      <c r="Z33" s="1130">
        <f>'Corrected and Updated TSF 1'!DA33</f>
        <v>98353.36051366452</v>
      </c>
      <c r="AA33" s="1130">
        <f>'Corrected and Updated TSF 1'!DB33</f>
        <v>71039.239301235197</v>
      </c>
      <c r="AB33" s="1130">
        <f>'Corrected and Updated TSF 1'!DC33</f>
        <v>54064.131585904252</v>
      </c>
      <c r="AC33" s="774">
        <f>K33-'Corrected and Updated TSF 1'!CJ33</f>
        <v>0</v>
      </c>
      <c r="AD33" s="774">
        <f>L33-SUM('Corrected and Updated TSF 1'!CK33:CL33)</f>
        <v>0</v>
      </c>
      <c r="AE33" s="1173">
        <f t="shared" si="6"/>
        <v>3074224.6067545544</v>
      </c>
      <c r="AF33" s="1174">
        <f>SUM(FORM!$V$19:$W$22)+SUM(FORM!$V$25:$W$28)+SUM(FORM!$V$31:$W$34)</f>
        <v>0</v>
      </c>
      <c r="AG33" s="1173">
        <f t="shared" si="7"/>
        <v>3074224.6067545544</v>
      </c>
      <c r="AH33" s="1173"/>
      <c r="AI33" s="714"/>
      <c r="AJ33" s="714"/>
      <c r="AK33" s="714"/>
      <c r="AL33" s="714"/>
      <c r="AM33" s="714"/>
      <c r="AN33" s="714"/>
      <c r="AO33" s="714"/>
      <c r="AP33" s="714"/>
      <c r="AQ33" s="552"/>
      <c r="AR33" s="552"/>
      <c r="AS33" s="552"/>
      <c r="AT33" s="552"/>
    </row>
    <row r="34" spans="1:49" s="119" customFormat="1" ht="12.75" hidden="1" customHeight="1">
      <c r="A34" s="767" t="str">
        <f t="shared" si="0"/>
        <v>3P</v>
      </c>
      <c r="B34" s="768" t="str">
        <f>'Corrected and Updated TSF 1'!ER34</f>
        <v>SOLD</v>
      </c>
      <c r="C34" s="757" t="str">
        <f>'Corrected and Updated TSF 1'!E34</f>
        <v>3rd Floor</v>
      </c>
      <c r="D34" s="642" t="str">
        <f>'Corrected and Updated TSF 1'!M34</f>
        <v>Inner</v>
      </c>
      <c r="E34" s="642" t="str">
        <f>'Corrected and Updated TSF 1'!G34</f>
        <v>3P</v>
      </c>
      <c r="F34" s="758" t="str">
        <f>'Corrected and Updated TSF 1'!I34</f>
        <v>Studio Unit</v>
      </c>
      <c r="G34" s="769">
        <f>'Corrected and Updated TSF 1'!J34</f>
        <v>22</v>
      </c>
      <c r="H34" s="769">
        <f>'Corrected and Updated TSF 1'!CI34</f>
        <v>3074224.6067545544</v>
      </c>
      <c r="I34" s="770"/>
      <c r="J34" s="770">
        <f t="shared" si="1"/>
        <v>3074224.6067545544</v>
      </c>
      <c r="K34" s="769">
        <f>'Corrected and Updated TSF 1'!CJ34</f>
        <v>0</v>
      </c>
      <c r="L34" s="769">
        <f>SUM('Corrected and Updated TSF 1'!CK34:CL34)</f>
        <v>422705.8834287512</v>
      </c>
      <c r="M34" s="769">
        <f t="shared" si="2"/>
        <v>3496930.4901833055</v>
      </c>
      <c r="N34" s="771">
        <f>'Corrected and Updated TSF 1'!CN34</f>
        <v>0.125</v>
      </c>
      <c r="O34" s="769">
        <f>'Corrected and Updated TSF 1'!CO34</f>
        <v>437116.31127291318</v>
      </c>
      <c r="P34" s="769">
        <f>'Corrected and Updated TSF 1'!CP34</f>
        <v>30000</v>
      </c>
      <c r="Q34" s="769">
        <f>'Corrected and Updated TSF 1'!CQ34</f>
        <v>407116.31127291318</v>
      </c>
      <c r="R34" s="425">
        <f>'Corrected and Updated TSF 1'!CR34</f>
        <v>1</v>
      </c>
      <c r="S34" s="769">
        <f>'Corrected and Updated TSF 1'!CS34</f>
        <v>407116.31127291318</v>
      </c>
      <c r="T34" s="769">
        <f>'Corrected and Updated TSF 1'!CU34</f>
        <v>3059814.1789103923</v>
      </c>
      <c r="U34" s="769">
        <f>'Corrected and Updated TSF 1'!CV34</f>
        <v>23722.706761007681</v>
      </c>
      <c r="V34" s="772">
        <f>'Corrected and Updated TSF 1'!CW34</f>
        <v>27502.474875597669</v>
      </c>
      <c r="W34" s="773">
        <f>'Corrected and Updated TSF 1'!CX34</f>
        <v>35527.03710048685</v>
      </c>
      <c r="X34" s="773">
        <f>'Corrected and Updated TSF 1'!CY34</f>
        <v>60587.988053181267</v>
      </c>
      <c r="Y34" s="1130">
        <f>'Corrected and Updated TSF 1'!CZ34</f>
        <v>248558.43141597047</v>
      </c>
      <c r="Z34" s="1130">
        <f>'Corrected and Updated TSF 1'!DA34</f>
        <v>98353.36051366452</v>
      </c>
      <c r="AA34" s="1130">
        <f>'Corrected and Updated TSF 1'!DB34</f>
        <v>71039.239301235197</v>
      </c>
      <c r="AB34" s="1130">
        <f>'Corrected and Updated TSF 1'!DC34</f>
        <v>54064.131585904252</v>
      </c>
      <c r="AC34" s="774">
        <f>K34-'Corrected and Updated TSF 1'!CJ34</f>
        <v>0</v>
      </c>
      <c r="AD34" s="774">
        <f>L34-SUM('Corrected and Updated TSF 1'!CK34:CL34)</f>
        <v>0</v>
      </c>
      <c r="AE34" s="1173">
        <f t="shared" si="6"/>
        <v>3074224.6067545544</v>
      </c>
      <c r="AF34" s="1174">
        <f>SUM(FORM!$V$19:$W$22)+SUM(FORM!$V$25:$W$28)+SUM(FORM!$V$31:$W$34)</f>
        <v>0</v>
      </c>
      <c r="AG34" s="1173">
        <f t="shared" si="7"/>
        <v>3074224.6067545544</v>
      </c>
      <c r="AH34" s="1173"/>
      <c r="AI34" s="714"/>
      <c r="AJ34" s="714"/>
      <c r="AK34" s="714"/>
      <c r="AL34" s="714"/>
      <c r="AM34" s="714"/>
      <c r="AN34" s="714"/>
      <c r="AO34" s="714"/>
      <c r="AP34" s="714"/>
      <c r="AQ34" s="552"/>
      <c r="AR34" s="552"/>
      <c r="AS34" s="552"/>
      <c r="AT34" s="552"/>
    </row>
    <row r="35" spans="1:49" s="119" customFormat="1" ht="12.75" hidden="1" customHeight="1">
      <c r="A35" s="767" t="str">
        <f t="shared" si="0"/>
        <v>3Q</v>
      </c>
      <c r="B35" s="768" t="str">
        <f>'Corrected and Updated TSF 1'!ER35</f>
        <v>SOLD</v>
      </c>
      <c r="C35" s="757" t="str">
        <f>'Corrected and Updated TSF 1'!E35</f>
        <v>3rd Floor</v>
      </c>
      <c r="D35" s="642" t="str">
        <f>'Corrected and Updated TSF 1'!M35</f>
        <v>Inner</v>
      </c>
      <c r="E35" s="642" t="str">
        <f>'Corrected and Updated TSF 1'!G35</f>
        <v>3Q</v>
      </c>
      <c r="F35" s="758" t="str">
        <f>'Corrected and Updated TSF 1'!I35</f>
        <v>Studio Unit</v>
      </c>
      <c r="G35" s="769">
        <f>'Corrected and Updated TSF 1'!J35</f>
        <v>22</v>
      </c>
      <c r="H35" s="769">
        <f>'Corrected and Updated TSF 1'!CI35</f>
        <v>3074224.6067545544</v>
      </c>
      <c r="I35" s="770"/>
      <c r="J35" s="770">
        <f t="shared" si="1"/>
        <v>3074224.6067545544</v>
      </c>
      <c r="K35" s="769">
        <f>'Corrected and Updated TSF 1'!CJ35</f>
        <v>0</v>
      </c>
      <c r="L35" s="769">
        <f>SUM('Corrected and Updated TSF 1'!CK35:CL35)</f>
        <v>422705.8834287512</v>
      </c>
      <c r="M35" s="769">
        <f t="shared" si="2"/>
        <v>3496930.4901833055</v>
      </c>
      <c r="N35" s="771">
        <f>'Corrected and Updated TSF 1'!CN35</f>
        <v>0.125</v>
      </c>
      <c r="O35" s="769">
        <f>'Corrected and Updated TSF 1'!CO35</f>
        <v>437116.31127291318</v>
      </c>
      <c r="P35" s="769">
        <f>'Corrected and Updated TSF 1'!CP35</f>
        <v>30000</v>
      </c>
      <c r="Q35" s="769">
        <f>'Corrected and Updated TSF 1'!CQ35</f>
        <v>407116.31127291318</v>
      </c>
      <c r="R35" s="425">
        <f>'Corrected and Updated TSF 1'!CR35</f>
        <v>1</v>
      </c>
      <c r="S35" s="769">
        <f>'Corrected and Updated TSF 1'!CS35</f>
        <v>407116.31127291318</v>
      </c>
      <c r="T35" s="769">
        <f>'Corrected and Updated TSF 1'!CU35</f>
        <v>3059814.1789103923</v>
      </c>
      <c r="U35" s="769">
        <f>'Corrected and Updated TSF 1'!CV35</f>
        <v>23722.706761007681</v>
      </c>
      <c r="V35" s="772">
        <f>'Corrected and Updated TSF 1'!CW35</f>
        <v>27502.474875597669</v>
      </c>
      <c r="W35" s="773">
        <f>'Corrected and Updated TSF 1'!CX35</f>
        <v>35527.03710048685</v>
      </c>
      <c r="X35" s="773">
        <f>'Corrected and Updated TSF 1'!CY35</f>
        <v>60587.988053181267</v>
      </c>
      <c r="Y35" s="1130">
        <f>'Corrected and Updated TSF 1'!CZ35</f>
        <v>248558.43141597047</v>
      </c>
      <c r="Z35" s="1130">
        <f>'Corrected and Updated TSF 1'!DA35</f>
        <v>98353.36051366452</v>
      </c>
      <c r="AA35" s="1130">
        <f>'Corrected and Updated TSF 1'!DB35</f>
        <v>71039.239301235197</v>
      </c>
      <c r="AB35" s="1130">
        <f>'Corrected and Updated TSF 1'!DC35</f>
        <v>54064.131585904252</v>
      </c>
      <c r="AC35" s="774">
        <f>K35-'Corrected and Updated TSF 1'!CJ35</f>
        <v>0</v>
      </c>
      <c r="AD35" s="774">
        <f>L35-SUM('Corrected and Updated TSF 1'!CK35:CL35)</f>
        <v>0</v>
      </c>
      <c r="AE35" s="1173">
        <f t="shared" si="6"/>
        <v>3074224.6067545544</v>
      </c>
      <c r="AF35" s="1174">
        <f>SUM(FORM!$V$19:$W$22)+SUM(FORM!$V$25:$W$28)+SUM(FORM!$V$31:$W$34)</f>
        <v>0</v>
      </c>
      <c r="AG35" s="1173">
        <f t="shared" si="7"/>
        <v>3074224.6067545544</v>
      </c>
      <c r="AH35" s="1173"/>
      <c r="AI35" s="714"/>
      <c r="AJ35" s="714"/>
      <c r="AK35" s="714"/>
      <c r="AL35" s="714"/>
      <c r="AM35" s="714"/>
      <c r="AN35" s="714"/>
      <c r="AO35" s="714"/>
      <c r="AP35" s="714"/>
      <c r="AQ35" s="552"/>
      <c r="AR35" s="552"/>
      <c r="AS35" s="552"/>
      <c r="AT35" s="552"/>
    </row>
    <row r="36" spans="1:49" s="119" customFormat="1" ht="12.75" hidden="1" customHeight="1">
      <c r="A36" s="767" t="str">
        <f t="shared" si="0"/>
        <v>3R</v>
      </c>
      <c r="B36" s="768" t="str">
        <f>'Corrected and Updated TSF 1'!ER36</f>
        <v>SOLD</v>
      </c>
      <c r="C36" s="757" t="str">
        <f>'Corrected and Updated TSF 1'!E36</f>
        <v>3rd Floor</v>
      </c>
      <c r="D36" s="642" t="str">
        <f>'Corrected and Updated TSF 1'!M36</f>
        <v>Corner</v>
      </c>
      <c r="E36" s="642" t="str">
        <f>'Corrected and Updated TSF 1'!G36</f>
        <v>3R</v>
      </c>
      <c r="F36" s="758" t="str">
        <f>'Corrected and Updated TSF 1'!I36</f>
        <v>Studio Unit</v>
      </c>
      <c r="G36" s="769">
        <f>'Corrected and Updated TSF 1'!J36</f>
        <v>22</v>
      </c>
      <c r="H36" s="769">
        <f>'Corrected and Updated TSF 1'!CI36</f>
        <v>3155877.7342040357</v>
      </c>
      <c r="I36" s="770"/>
      <c r="J36" s="770">
        <f t="shared" si="1"/>
        <v>3155877.7342040357</v>
      </c>
      <c r="K36" s="769">
        <f>'Corrected and Updated TSF 1'!CJ36</f>
        <v>0</v>
      </c>
      <c r="L36" s="769">
        <f>SUM('Corrected and Updated TSF 1'!CK36:CL36)</f>
        <v>433933.18845305487</v>
      </c>
      <c r="M36" s="769">
        <f t="shared" si="2"/>
        <v>3589810.9226570907</v>
      </c>
      <c r="N36" s="771">
        <f>'Corrected and Updated TSF 1'!CN36</f>
        <v>0.125</v>
      </c>
      <c r="O36" s="769">
        <f>'Corrected and Updated TSF 1'!CO36</f>
        <v>448726.36533213634</v>
      </c>
      <c r="P36" s="769">
        <f>'Corrected and Updated TSF 1'!CP36</f>
        <v>30000</v>
      </c>
      <c r="Q36" s="769">
        <f>'Corrected and Updated TSF 1'!CQ36</f>
        <v>418726.36533213634</v>
      </c>
      <c r="R36" s="425">
        <f>'Corrected and Updated TSF 1'!CR36</f>
        <v>1</v>
      </c>
      <c r="S36" s="769">
        <f>'Corrected and Updated TSF 1'!CS36</f>
        <v>418726.36533213634</v>
      </c>
      <c r="T36" s="769">
        <f>'Corrected and Updated TSF 1'!CU36</f>
        <v>3141084.5573249543</v>
      </c>
      <c r="U36" s="769">
        <f>'Corrected and Updated TSF 1'!CV36</f>
        <v>24352.79513982921</v>
      </c>
      <c r="V36" s="772">
        <f>'Corrected and Updated TSF 1'!CW36</f>
        <v>28232.956012616498</v>
      </c>
      <c r="W36" s="773">
        <f>'Corrected and Updated TSF 1'!CX36</f>
        <v>36470.655104810539</v>
      </c>
      <c r="X36" s="773">
        <f>'Corrected and Updated TSF 1'!CY36</f>
        <v>62197.238951617357</v>
      </c>
      <c r="Y36" s="1130">
        <f>'Corrected and Updated TSF 1'!CZ36</f>
        <v>255160.28257364413</v>
      </c>
      <c r="Z36" s="1130">
        <f>'Corrected and Updated TSF 1'!DA36</f>
        <v>100965.68085729262</v>
      </c>
      <c r="AA36" s="1130">
        <f>'Corrected and Updated TSF 1'!DB36</f>
        <v>72926.081286636385</v>
      </c>
      <c r="AB36" s="1130">
        <f>'Corrected and Updated TSF 1'!DC36</f>
        <v>55500.105202513136</v>
      </c>
      <c r="AC36" s="774">
        <f>K36-'Corrected and Updated TSF 1'!CJ36</f>
        <v>0</v>
      </c>
      <c r="AD36" s="774">
        <f>L36-SUM('Corrected and Updated TSF 1'!CK36:CL36)</f>
        <v>0</v>
      </c>
      <c r="AE36" s="1173">
        <f t="shared" si="6"/>
        <v>3155877.7342040357</v>
      </c>
      <c r="AF36" s="1174">
        <f>SUM(FORM!$V$19:$W$22)+SUM(FORM!$V$25:$W$28)+SUM(FORM!$V$31:$W$34)</f>
        <v>0</v>
      </c>
      <c r="AG36" s="1173">
        <f t="shared" si="7"/>
        <v>3155877.7342040357</v>
      </c>
      <c r="AH36" s="1173"/>
      <c r="AI36" s="714"/>
      <c r="AJ36" s="714"/>
      <c r="AK36" s="714"/>
      <c r="AL36" s="714"/>
      <c r="AM36" s="714"/>
      <c r="AN36" s="714"/>
      <c r="AO36" s="714"/>
      <c r="AP36" s="714"/>
      <c r="AQ36" s="552"/>
      <c r="AR36" s="552"/>
      <c r="AS36" s="552"/>
      <c r="AT36" s="552"/>
    </row>
    <row r="37" spans="1:49" s="119" customFormat="1" ht="12.75" hidden="1" customHeight="1">
      <c r="A37" s="767" t="str">
        <f t="shared" si="0"/>
        <v>4A</v>
      </c>
      <c r="B37" s="768" t="str">
        <f>'Corrected and Updated TSF 1'!ER37</f>
        <v>SOLD</v>
      </c>
      <c r="C37" s="757" t="str">
        <f>'Corrected and Updated TSF 1'!E37</f>
        <v>4th Floor</v>
      </c>
      <c r="D37" s="642" t="str">
        <f>'Corrected and Updated TSF 1'!M37</f>
        <v>Corner</v>
      </c>
      <c r="E37" s="642" t="str">
        <f>'Corrected and Updated TSF 1'!G37</f>
        <v>4A</v>
      </c>
      <c r="F37" s="758" t="str">
        <f>'Corrected and Updated TSF 1'!I37</f>
        <v>Studio Unit</v>
      </c>
      <c r="G37" s="769">
        <f>'Corrected and Updated TSF 1'!J37</f>
        <v>22</v>
      </c>
      <c r="H37" s="769">
        <f>'Corrected and Updated TSF 1'!CI37</f>
        <v>3155877.7342040357</v>
      </c>
      <c r="I37" s="770"/>
      <c r="J37" s="770">
        <f t="shared" si="1"/>
        <v>3155877.7342040357</v>
      </c>
      <c r="K37" s="769">
        <f>'Corrected and Updated TSF 1'!CJ37</f>
        <v>0</v>
      </c>
      <c r="L37" s="769">
        <f>SUM('Corrected and Updated TSF 1'!CK37:CL37)</f>
        <v>433933.18845305487</v>
      </c>
      <c r="M37" s="769">
        <f t="shared" si="2"/>
        <v>3589810.9226570907</v>
      </c>
      <c r="N37" s="771">
        <f>'Corrected and Updated TSF 1'!CN37</f>
        <v>0.125</v>
      </c>
      <c r="O37" s="769">
        <f>'Corrected and Updated TSF 1'!CO37</f>
        <v>448726.36533213634</v>
      </c>
      <c r="P37" s="769">
        <f>'Corrected and Updated TSF 1'!CP37</f>
        <v>30000</v>
      </c>
      <c r="Q37" s="769">
        <f>'Corrected and Updated TSF 1'!CQ37</f>
        <v>418726.36533213634</v>
      </c>
      <c r="R37" s="425">
        <f>'Corrected and Updated TSF 1'!CR37</f>
        <v>1</v>
      </c>
      <c r="S37" s="769">
        <f>'Corrected and Updated TSF 1'!CS37</f>
        <v>418726.36533213634</v>
      </c>
      <c r="T37" s="769">
        <f>'Corrected and Updated TSF 1'!CU37</f>
        <v>3141084.5573249543</v>
      </c>
      <c r="U37" s="769">
        <f>'Corrected and Updated TSF 1'!CV37</f>
        <v>24352.79513982921</v>
      </c>
      <c r="V37" s="772">
        <f>'Corrected and Updated TSF 1'!CW37</f>
        <v>28232.956012616498</v>
      </c>
      <c r="W37" s="773">
        <f>'Corrected and Updated TSF 1'!CX37</f>
        <v>36470.655104810539</v>
      </c>
      <c r="X37" s="773">
        <f>'Corrected and Updated TSF 1'!CY37</f>
        <v>62197.238951617357</v>
      </c>
      <c r="Y37" s="1130">
        <f>'Corrected and Updated TSF 1'!CZ37</f>
        <v>255160.28257364413</v>
      </c>
      <c r="Z37" s="1130">
        <f>'Corrected and Updated TSF 1'!DA37</f>
        <v>100965.68085729262</v>
      </c>
      <c r="AA37" s="1130">
        <f>'Corrected and Updated TSF 1'!DB37</f>
        <v>72926.081286636385</v>
      </c>
      <c r="AB37" s="1130">
        <f>'Corrected and Updated TSF 1'!DC37</f>
        <v>55500.105202513136</v>
      </c>
      <c r="AC37" s="774">
        <f>K37-'Corrected and Updated TSF 1'!CJ37</f>
        <v>0</v>
      </c>
      <c r="AD37" s="774">
        <f>L37-SUM('Corrected and Updated TSF 1'!CK37:CL37)</f>
        <v>0</v>
      </c>
      <c r="AE37" s="1173">
        <f t="shared" si="6"/>
        <v>3155877.7342040357</v>
      </c>
      <c r="AF37" s="1174">
        <f>SUM(FORM!$V$19:$W$22)+SUM(FORM!$V$25:$W$28)+SUM(FORM!$V$31:$W$34)</f>
        <v>0</v>
      </c>
      <c r="AG37" s="1173">
        <f t="shared" si="7"/>
        <v>3155877.7342040357</v>
      </c>
      <c r="AH37" s="1173"/>
      <c r="AI37" s="714"/>
      <c r="AJ37" s="714"/>
      <c r="AK37" s="714"/>
      <c r="AL37" s="714"/>
      <c r="AM37" s="714"/>
      <c r="AN37" s="714"/>
      <c r="AO37" s="714"/>
      <c r="AP37" s="714"/>
      <c r="AQ37" s="760"/>
      <c r="AR37" s="760"/>
      <c r="AS37" s="760"/>
      <c r="AT37" s="760"/>
      <c r="AU37" s="760"/>
      <c r="AV37" s="760"/>
      <c r="AW37" s="760"/>
    </row>
    <row r="38" spans="1:49" s="119" customFormat="1" ht="12.75" customHeight="1">
      <c r="A38" s="767" t="str">
        <f t="shared" si="0"/>
        <v>4B</v>
      </c>
      <c r="B38" s="768" t="str">
        <f>'Corrected and Updated TSF 1'!ER38</f>
        <v>UNSOLD</v>
      </c>
      <c r="C38" s="757" t="str">
        <f>'Corrected and Updated TSF 1'!E38</f>
        <v>4th Floor</v>
      </c>
      <c r="D38" s="642" t="str">
        <f>'Corrected and Updated TSF 1'!M38</f>
        <v>End</v>
      </c>
      <c r="E38" s="642" t="str">
        <f>'Corrected and Updated TSF 1'!G38</f>
        <v>4B</v>
      </c>
      <c r="F38" s="758" t="str">
        <f>'Corrected and Updated TSF 1'!I38</f>
        <v>Studio Unit</v>
      </c>
      <c r="G38" s="769">
        <f>'Corrected and Updated TSF 1'!J38</f>
        <v>22</v>
      </c>
      <c r="H38" s="769">
        <f>'Corrected and Updated TSF 1'!CI38</f>
        <v>3145095.8959747246</v>
      </c>
      <c r="I38" s="770"/>
      <c r="J38" s="770">
        <f t="shared" si="1"/>
        <v>3145095.8959747246</v>
      </c>
      <c r="K38" s="769">
        <f>'Corrected and Updated TSF 1'!CJ38</f>
        <v>0</v>
      </c>
      <c r="L38" s="769">
        <f>SUM('Corrected and Updated TSF 1'!CK38:CL38)</f>
        <v>432450.68569652457</v>
      </c>
      <c r="M38" s="769">
        <f t="shared" si="2"/>
        <v>3577546.5816712491</v>
      </c>
      <c r="N38" s="771">
        <f>'Corrected and Updated TSF 1'!CN38</f>
        <v>0.125</v>
      </c>
      <c r="O38" s="769">
        <f>'Corrected and Updated TSF 1'!CO38</f>
        <v>447193.32270890614</v>
      </c>
      <c r="P38" s="769">
        <f>'Corrected and Updated TSF 1'!CP38</f>
        <v>30000</v>
      </c>
      <c r="Q38" s="769">
        <f>'Corrected and Updated TSF 1'!CQ38</f>
        <v>417193.32270890614</v>
      </c>
      <c r="R38" s="425">
        <f>'Corrected and Updated TSF 1'!CR38</f>
        <v>1</v>
      </c>
      <c r="S38" s="769">
        <f>'Corrected and Updated TSF 1'!CS38</f>
        <v>417193.32270890614</v>
      </c>
      <c r="T38" s="769">
        <f>'Corrected and Updated TSF 1'!CU38</f>
        <v>3130353.258962343</v>
      </c>
      <c r="U38" s="769">
        <f>'Corrected and Updated TSF 1'!CV38</f>
        <v>24269.595497845799</v>
      </c>
      <c r="V38" s="772">
        <f>'Corrected and Updated TSF 1'!CW38</f>
        <v>28136.500069103826</v>
      </c>
      <c r="W38" s="773">
        <f>'Corrected and Updated TSF 1'!CX38</f>
        <v>36346.055631518131</v>
      </c>
      <c r="X38" s="773">
        <f>'Corrected and Updated TSF 1'!CY38</f>
        <v>61984.746382143559</v>
      </c>
      <c r="Y38" s="1130">
        <f>'Corrected and Updated TSF 1'!CZ38</f>
        <v>254288.54509806409</v>
      </c>
      <c r="Z38" s="1130">
        <f>'Corrected and Updated TSF 1'!DA38</f>
        <v>100620.73858468265</v>
      </c>
      <c r="AA38" s="1130">
        <f>'Corrected and Updated TSF 1'!DB38</f>
        <v>72676.934368614733</v>
      </c>
      <c r="AB38" s="1130">
        <f>'Corrected and Updated TSF 1'!DC38</f>
        <v>55310.492927766958</v>
      </c>
      <c r="AC38" s="774">
        <f>K38-'Corrected and Updated TSF 1'!CJ38</f>
        <v>0</v>
      </c>
      <c r="AD38" s="774">
        <f>L38-SUM('Corrected and Updated TSF 1'!CK38:CL38)</f>
        <v>0</v>
      </c>
      <c r="AE38" s="1173">
        <f t="shared" si="6"/>
        <v>3145095.8959747246</v>
      </c>
      <c r="AF38" s="1174">
        <f>SUM(FORM!$V$19:$W$22)+SUM(FORM!$V$25:$W$28)+SUM(FORM!$V$31:$W$34)</f>
        <v>0</v>
      </c>
      <c r="AG38" s="1173">
        <f t="shared" si="7"/>
        <v>3145095.8959747246</v>
      </c>
      <c r="AH38" s="1173"/>
      <c r="AI38" s="714"/>
      <c r="AJ38" s="714"/>
      <c r="AK38" s="714"/>
      <c r="AL38" s="714"/>
      <c r="AM38" s="714"/>
      <c r="AN38" s="714"/>
      <c r="AO38" s="714"/>
      <c r="AP38" s="714"/>
      <c r="AQ38" s="552"/>
      <c r="AR38" s="552"/>
      <c r="AS38" s="552"/>
      <c r="AT38" s="552"/>
    </row>
    <row r="39" spans="1:49" s="119" customFormat="1" ht="12.75" hidden="1" customHeight="1">
      <c r="A39" s="767" t="str">
        <f t="shared" si="0"/>
        <v>4C</v>
      </c>
      <c r="B39" s="768" t="str">
        <f>'Corrected and Updated TSF 1'!ER39</f>
        <v>SOLD</v>
      </c>
      <c r="C39" s="757" t="str">
        <f>'Corrected and Updated TSF 1'!E39</f>
        <v>4th Floor</v>
      </c>
      <c r="D39" s="642" t="str">
        <f>'Corrected and Updated TSF 1'!M39</f>
        <v>End</v>
      </c>
      <c r="E39" s="642" t="str">
        <f>'Corrected and Updated TSF 1'!G39</f>
        <v>4C</v>
      </c>
      <c r="F39" s="758" t="str">
        <f>'Corrected and Updated TSF 1'!I39</f>
        <v>Studio Unit</v>
      </c>
      <c r="G39" s="769">
        <f>'Corrected and Updated TSF 1'!J39</f>
        <v>22</v>
      </c>
      <c r="H39" s="769">
        <f>'Corrected and Updated TSF 1'!CI39</f>
        <v>3105802.7666149172</v>
      </c>
      <c r="I39" s="770"/>
      <c r="J39" s="770">
        <f t="shared" si="1"/>
        <v>3105802.7666149172</v>
      </c>
      <c r="K39" s="769">
        <f>'Corrected and Updated TSF 1'!CJ39</f>
        <v>0</v>
      </c>
      <c r="L39" s="769">
        <f>SUM('Corrected and Updated TSF 1'!CK39:CL39)</f>
        <v>427047.88040955114</v>
      </c>
      <c r="M39" s="769">
        <f t="shared" si="2"/>
        <v>3532850.6470244685</v>
      </c>
      <c r="N39" s="771">
        <f>'Corrected and Updated TSF 1'!CN39</f>
        <v>0.125</v>
      </c>
      <c r="O39" s="769">
        <f>'Corrected and Updated TSF 1'!CO39</f>
        <v>441606.33087805851</v>
      </c>
      <c r="P39" s="769">
        <f>'Corrected and Updated TSF 1'!CP39</f>
        <v>30000</v>
      </c>
      <c r="Q39" s="769">
        <f>'Corrected and Updated TSF 1'!CQ39</f>
        <v>411606.33087805851</v>
      </c>
      <c r="R39" s="425">
        <f>'Corrected and Updated TSF 1'!CR39</f>
        <v>1</v>
      </c>
      <c r="S39" s="769">
        <f>'Corrected and Updated TSF 1'!CS39</f>
        <v>411606.33087805851</v>
      </c>
      <c r="T39" s="769">
        <f>'Corrected and Updated TSF 1'!CU39</f>
        <v>3091244.3161464096</v>
      </c>
      <c r="U39" s="769">
        <f>'Corrected and Updated TSF 1'!CV39</f>
        <v>23966.384280462073</v>
      </c>
      <c r="V39" s="772">
        <f>'Corrected and Updated TSF 1'!CW39</f>
        <v>27784.977834642708</v>
      </c>
      <c r="W39" s="773">
        <f>'Corrected and Updated TSF 1'!CX39</f>
        <v>35891.967644097516</v>
      </c>
      <c r="X39" s="773">
        <f>'Corrected and Updated TSF 1'!CY39</f>
        <v>61210.342440742083</v>
      </c>
      <c r="Y39" s="1130">
        <f>'Corrected and Updated TSF 1'!CZ39</f>
        <v>251111.60136479235</v>
      </c>
      <c r="Z39" s="1130">
        <f>'Corrected and Updated TSF 1'!DA39</f>
        <v>99363.63742520845</v>
      </c>
      <c r="AA39" s="1130">
        <f>'Corrected and Updated TSF 1'!DB39</f>
        <v>71768.948005694881</v>
      </c>
      <c r="AB39" s="1130">
        <f>'Corrected and Updated TSF 1'!DC39</f>
        <v>54619.473504051763</v>
      </c>
      <c r="AC39" s="774">
        <f>K39-'Corrected and Updated TSF 1'!CJ39</f>
        <v>0</v>
      </c>
      <c r="AD39" s="774">
        <f>L39-SUM('Corrected and Updated TSF 1'!CK39:CL39)</f>
        <v>0</v>
      </c>
      <c r="AE39" s="1173">
        <f t="shared" si="6"/>
        <v>3105802.7666149172</v>
      </c>
      <c r="AF39" s="1174">
        <f>SUM(FORM!$V$19:$W$22)+SUM(FORM!$V$25:$W$28)+SUM(FORM!$V$31:$W$34)</f>
        <v>0</v>
      </c>
      <c r="AG39" s="1173">
        <f t="shared" si="7"/>
        <v>3105802.7666149172</v>
      </c>
      <c r="AH39" s="1173"/>
      <c r="AI39" s="714"/>
      <c r="AJ39" s="714"/>
      <c r="AK39" s="714"/>
      <c r="AL39" s="714"/>
      <c r="AM39" s="714"/>
      <c r="AN39" s="714"/>
      <c r="AO39" s="714"/>
      <c r="AP39" s="714"/>
      <c r="AQ39" s="760"/>
      <c r="AR39" s="760"/>
      <c r="AS39" s="760"/>
      <c r="AT39" s="760"/>
      <c r="AU39" s="760"/>
      <c r="AV39" s="760"/>
      <c r="AW39" s="760"/>
    </row>
    <row r="40" spans="1:49" s="119" customFormat="1" ht="12.75" hidden="1" customHeight="1">
      <c r="A40" s="767" t="str">
        <f t="shared" si="0"/>
        <v>4D</v>
      </c>
      <c r="B40" s="768" t="str">
        <f>'Corrected and Updated TSF 1'!ER40</f>
        <v>SOLD</v>
      </c>
      <c r="C40" s="757" t="str">
        <f>'Corrected and Updated TSF 1'!E40</f>
        <v>4th Floor</v>
      </c>
      <c r="D40" s="642" t="str">
        <f>'Corrected and Updated TSF 1'!M40</f>
        <v>End</v>
      </c>
      <c r="E40" s="642" t="str">
        <f>'Corrected and Updated TSF 1'!G40</f>
        <v>4D</v>
      </c>
      <c r="F40" s="758" t="str">
        <f>'Corrected and Updated TSF 1'!I40</f>
        <v>Studio Unit</v>
      </c>
      <c r="G40" s="769">
        <f>'Corrected and Updated TSF 1'!J40</f>
        <v>22</v>
      </c>
      <c r="H40" s="769">
        <f>'Corrected and Updated TSF 1'!CI40</f>
        <v>3105802.7666149172</v>
      </c>
      <c r="I40" s="770"/>
      <c r="J40" s="770">
        <f t="shared" si="1"/>
        <v>3105802.7666149172</v>
      </c>
      <c r="K40" s="769">
        <f>'Corrected and Updated TSF 1'!CJ40</f>
        <v>0</v>
      </c>
      <c r="L40" s="769">
        <f>SUM('Corrected and Updated TSF 1'!CK40:CL40)</f>
        <v>427047.88040955114</v>
      </c>
      <c r="M40" s="769">
        <f t="shared" si="2"/>
        <v>3532850.6470244685</v>
      </c>
      <c r="N40" s="771">
        <f>'Corrected and Updated TSF 1'!CN40</f>
        <v>0.125</v>
      </c>
      <c r="O40" s="769">
        <f>'Corrected and Updated TSF 1'!CO40</f>
        <v>441606.33087805851</v>
      </c>
      <c r="P40" s="769">
        <f>'Corrected and Updated TSF 1'!CP40</f>
        <v>30000</v>
      </c>
      <c r="Q40" s="769">
        <f>'Corrected and Updated TSF 1'!CQ40</f>
        <v>411606.33087805851</v>
      </c>
      <c r="R40" s="425">
        <f>'Corrected and Updated TSF 1'!CR40</f>
        <v>1</v>
      </c>
      <c r="S40" s="769">
        <f>'Corrected and Updated TSF 1'!CS40</f>
        <v>411606.33087805851</v>
      </c>
      <c r="T40" s="769">
        <f>'Corrected and Updated TSF 1'!CU40</f>
        <v>3091244.3161464096</v>
      </c>
      <c r="U40" s="769">
        <f>'Corrected and Updated TSF 1'!CV40</f>
        <v>23966.384280462073</v>
      </c>
      <c r="V40" s="772">
        <f>'Corrected and Updated TSF 1'!CW40</f>
        <v>27784.977834642708</v>
      </c>
      <c r="W40" s="773">
        <f>'Corrected and Updated TSF 1'!CX40</f>
        <v>35891.967644097516</v>
      </c>
      <c r="X40" s="773">
        <f>'Corrected and Updated TSF 1'!CY40</f>
        <v>61210.342440742083</v>
      </c>
      <c r="Y40" s="1130">
        <f>'Corrected and Updated TSF 1'!CZ40</f>
        <v>251111.60136479235</v>
      </c>
      <c r="Z40" s="1130">
        <f>'Corrected and Updated TSF 1'!DA40</f>
        <v>99363.63742520845</v>
      </c>
      <c r="AA40" s="1130">
        <f>'Corrected and Updated TSF 1'!DB40</f>
        <v>71768.948005694881</v>
      </c>
      <c r="AB40" s="1130">
        <f>'Corrected and Updated TSF 1'!DC40</f>
        <v>54619.473504051763</v>
      </c>
      <c r="AC40" s="774">
        <f>K40-'Corrected and Updated TSF 1'!CJ40</f>
        <v>0</v>
      </c>
      <c r="AD40" s="774">
        <f>L40-SUM('Corrected and Updated TSF 1'!CK40:CL40)</f>
        <v>0</v>
      </c>
      <c r="AE40" s="1173">
        <f t="shared" si="6"/>
        <v>3105802.7666149172</v>
      </c>
      <c r="AF40" s="1174">
        <f>SUM(FORM!$V$19:$W$22)+SUM(FORM!$V$25:$W$28)+SUM(FORM!$V$31:$W$34)</f>
        <v>0</v>
      </c>
      <c r="AG40" s="1173">
        <f t="shared" si="7"/>
        <v>3105802.7666149172</v>
      </c>
      <c r="AH40" s="1173"/>
      <c r="AI40" s="714"/>
      <c r="AJ40" s="714"/>
      <c r="AK40" s="714"/>
      <c r="AL40" s="714"/>
      <c r="AM40" s="714"/>
      <c r="AN40" s="714"/>
      <c r="AO40" s="714"/>
      <c r="AP40" s="714"/>
      <c r="AQ40" s="552"/>
      <c r="AR40" s="552"/>
      <c r="AS40" s="552"/>
      <c r="AT40" s="552"/>
    </row>
    <row r="41" spans="1:49" ht="12.75" hidden="1" customHeight="1">
      <c r="A41" s="767" t="str">
        <f t="shared" si="0"/>
        <v>4E</v>
      </c>
      <c r="B41" s="768" t="str">
        <f>'Corrected and Updated TSF 1'!ER41</f>
        <v>SOLD</v>
      </c>
      <c r="C41" s="757" t="str">
        <f>'Corrected and Updated TSF 1'!E41</f>
        <v>4th Floor</v>
      </c>
      <c r="D41" s="642" t="str">
        <f>'Corrected and Updated TSF 1'!M41</f>
        <v>End</v>
      </c>
      <c r="E41" s="642" t="str">
        <f>'Corrected and Updated TSF 1'!G41</f>
        <v>4E</v>
      </c>
      <c r="F41" s="758" t="str">
        <f>'Corrected and Updated TSF 1'!I41</f>
        <v>Studio Unit</v>
      </c>
      <c r="G41" s="769">
        <f>'Corrected and Updated TSF 1'!J41</f>
        <v>22</v>
      </c>
      <c r="H41" s="769">
        <f>'Corrected and Updated TSF 1'!CI41</f>
        <v>3105802.7666149172</v>
      </c>
      <c r="I41" s="770"/>
      <c r="J41" s="770">
        <f t="shared" si="1"/>
        <v>3105802.7666149172</v>
      </c>
      <c r="K41" s="769">
        <f>'Corrected and Updated TSF 1'!CJ41</f>
        <v>0</v>
      </c>
      <c r="L41" s="769">
        <f>SUM('Corrected and Updated TSF 1'!CK41:CL41)</f>
        <v>427047.88040955114</v>
      </c>
      <c r="M41" s="769">
        <f t="shared" si="2"/>
        <v>3532850.6470244685</v>
      </c>
      <c r="N41" s="771">
        <f>'Corrected and Updated TSF 1'!CN41</f>
        <v>0.125</v>
      </c>
      <c r="O41" s="769">
        <f>'Corrected and Updated TSF 1'!CO41</f>
        <v>441606.33087805851</v>
      </c>
      <c r="P41" s="769">
        <f>'Corrected and Updated TSF 1'!CP41</f>
        <v>30000</v>
      </c>
      <c r="Q41" s="769">
        <f>'Corrected and Updated TSF 1'!CQ41</f>
        <v>411606.33087805851</v>
      </c>
      <c r="R41" s="425">
        <f>'Corrected and Updated TSF 1'!CR41</f>
        <v>1</v>
      </c>
      <c r="S41" s="769">
        <f>'Corrected and Updated TSF 1'!CS41</f>
        <v>411606.33087805851</v>
      </c>
      <c r="T41" s="769">
        <f>'Corrected and Updated TSF 1'!CU41</f>
        <v>3091244.3161464096</v>
      </c>
      <c r="U41" s="769">
        <f>'Corrected and Updated TSF 1'!CV41</f>
        <v>23966.384280462073</v>
      </c>
      <c r="V41" s="772">
        <f>'Corrected and Updated TSF 1'!CW41</f>
        <v>27784.977834642708</v>
      </c>
      <c r="W41" s="773">
        <f>'Corrected and Updated TSF 1'!CX41</f>
        <v>35891.967644097516</v>
      </c>
      <c r="X41" s="773">
        <f>'Corrected and Updated TSF 1'!CY41</f>
        <v>61210.342440742083</v>
      </c>
      <c r="Y41" s="1130">
        <f>'Corrected and Updated TSF 1'!CZ41</f>
        <v>251111.60136479235</v>
      </c>
      <c r="Z41" s="1130">
        <f>'Corrected and Updated TSF 1'!DA41</f>
        <v>99363.63742520845</v>
      </c>
      <c r="AA41" s="1130">
        <f>'Corrected and Updated TSF 1'!DB41</f>
        <v>71768.948005694881</v>
      </c>
      <c r="AB41" s="1130">
        <f>'Corrected and Updated TSF 1'!DC41</f>
        <v>54619.473504051763</v>
      </c>
      <c r="AC41" s="774">
        <f>K41-'Corrected and Updated TSF 1'!CJ41</f>
        <v>0</v>
      </c>
      <c r="AD41" s="774">
        <f>L41-SUM('Corrected and Updated TSF 1'!CK41:CL41)</f>
        <v>0</v>
      </c>
      <c r="AE41" s="1173">
        <f t="shared" si="6"/>
        <v>3105802.7666149172</v>
      </c>
      <c r="AF41" s="1174">
        <f>SUM(FORM!$V$19:$W$22)+SUM(FORM!$V$25:$W$28)+SUM(FORM!$V$31:$W$34)</f>
        <v>0</v>
      </c>
      <c r="AG41" s="1173">
        <f t="shared" si="7"/>
        <v>3105802.7666149172</v>
      </c>
      <c r="AH41" s="1173"/>
    </row>
    <row r="42" spans="1:49" s="119" customFormat="1" ht="12.75" hidden="1" customHeight="1">
      <c r="A42" s="767" t="str">
        <f t="shared" si="0"/>
        <v>4F</v>
      </c>
      <c r="B42" s="768" t="str">
        <f>'Corrected and Updated TSF 1'!ER42</f>
        <v>SOLD</v>
      </c>
      <c r="C42" s="757" t="str">
        <f>'Corrected and Updated TSF 1'!E42</f>
        <v>4th Floor</v>
      </c>
      <c r="D42" s="642" t="str">
        <f>'Corrected and Updated TSF 1'!M42</f>
        <v>Inner</v>
      </c>
      <c r="E42" s="642" t="str">
        <f>'Corrected and Updated TSF 1'!G42</f>
        <v>4F</v>
      </c>
      <c r="F42" s="758" t="str">
        <f>'Corrected and Updated TSF 1'!I42</f>
        <v>Studio Unit</v>
      </c>
      <c r="G42" s="769">
        <f>'Corrected and Updated TSF 1'!J42</f>
        <v>22</v>
      </c>
      <c r="H42" s="769">
        <f>'Corrected and Updated TSF 1'!CI42</f>
        <v>3074224.6067545544</v>
      </c>
      <c r="I42" s="770"/>
      <c r="J42" s="770">
        <f t="shared" si="1"/>
        <v>3074224.6067545544</v>
      </c>
      <c r="K42" s="769">
        <f>'Corrected and Updated TSF 1'!CJ42</f>
        <v>0</v>
      </c>
      <c r="L42" s="769">
        <f>SUM('Corrected and Updated TSF 1'!CK42:CL42)</f>
        <v>422705.8834287512</v>
      </c>
      <c r="M42" s="769">
        <f t="shared" si="2"/>
        <v>3496930.4901833055</v>
      </c>
      <c r="N42" s="771">
        <f>'Corrected and Updated TSF 1'!CN42</f>
        <v>0.125</v>
      </c>
      <c r="O42" s="769">
        <f>'Corrected and Updated TSF 1'!CO42</f>
        <v>437116.31127291318</v>
      </c>
      <c r="P42" s="769">
        <f>'Corrected and Updated TSF 1'!CP42</f>
        <v>30000</v>
      </c>
      <c r="Q42" s="769">
        <f>'Corrected and Updated TSF 1'!CQ42</f>
        <v>407116.31127291318</v>
      </c>
      <c r="R42" s="425">
        <f>'Corrected and Updated TSF 1'!CR42</f>
        <v>1</v>
      </c>
      <c r="S42" s="769">
        <f>'Corrected and Updated TSF 1'!CS42</f>
        <v>407116.31127291318</v>
      </c>
      <c r="T42" s="769">
        <f>'Corrected and Updated TSF 1'!CU42</f>
        <v>3059814.1789103923</v>
      </c>
      <c r="U42" s="769">
        <f>'Corrected and Updated TSF 1'!CV42</f>
        <v>23722.706761007681</v>
      </c>
      <c r="V42" s="772">
        <f>'Corrected and Updated TSF 1'!CW42</f>
        <v>27502.474875597669</v>
      </c>
      <c r="W42" s="773">
        <f>'Corrected and Updated TSF 1'!CX42</f>
        <v>35527.03710048685</v>
      </c>
      <c r="X42" s="773">
        <f>'Corrected and Updated TSF 1'!CY42</f>
        <v>60587.988053181267</v>
      </c>
      <c r="Y42" s="1130">
        <f>'Corrected and Updated TSF 1'!CZ42</f>
        <v>248558.43141597047</v>
      </c>
      <c r="Z42" s="1130">
        <f>'Corrected and Updated TSF 1'!DA42</f>
        <v>98353.36051366452</v>
      </c>
      <c r="AA42" s="1130">
        <f>'Corrected and Updated TSF 1'!DB42</f>
        <v>71039.239301235197</v>
      </c>
      <c r="AB42" s="1130">
        <f>'Corrected and Updated TSF 1'!DC42</f>
        <v>54064.131585904252</v>
      </c>
      <c r="AC42" s="774">
        <f>K42-'Corrected and Updated TSF 1'!CJ42</f>
        <v>0</v>
      </c>
      <c r="AD42" s="774">
        <f>L42-SUM('Corrected and Updated TSF 1'!CK42:CL42)</f>
        <v>0</v>
      </c>
      <c r="AE42" s="1173">
        <f t="shared" si="6"/>
        <v>3074224.6067545544</v>
      </c>
      <c r="AF42" s="1174">
        <f>SUM(FORM!$V$19:$W$22)+SUM(FORM!$V$25:$W$28)+SUM(FORM!$V$31:$W$34)</f>
        <v>0</v>
      </c>
      <c r="AG42" s="1173">
        <f t="shared" si="7"/>
        <v>3074224.6067545544</v>
      </c>
      <c r="AH42" s="1173"/>
      <c r="AI42" s="714"/>
      <c r="AJ42" s="714"/>
      <c r="AK42" s="714"/>
      <c r="AL42" s="714"/>
      <c r="AM42" s="714"/>
      <c r="AN42" s="714"/>
      <c r="AO42" s="714"/>
      <c r="AP42" s="714"/>
      <c r="AQ42" s="552"/>
      <c r="AR42" s="552"/>
      <c r="AS42" s="552"/>
      <c r="AT42" s="552"/>
    </row>
    <row r="43" spans="1:49" s="119" customFormat="1" ht="12.75" hidden="1" customHeight="1">
      <c r="A43" s="767" t="str">
        <f t="shared" si="0"/>
        <v>4G</v>
      </c>
      <c r="B43" s="768" t="str">
        <f>'Corrected and Updated TSF 1'!ER43</f>
        <v>SOLD</v>
      </c>
      <c r="C43" s="757" t="str">
        <f>'Corrected and Updated TSF 1'!E43</f>
        <v>4th Floor</v>
      </c>
      <c r="D43" s="642" t="str">
        <f>'Corrected and Updated TSF 1'!M43</f>
        <v>End</v>
      </c>
      <c r="E43" s="642" t="str">
        <f>'Corrected and Updated TSF 1'!G43</f>
        <v>4G</v>
      </c>
      <c r="F43" s="758" t="str">
        <f>'Corrected and Updated TSF 1'!I43</f>
        <v>Studio Unit</v>
      </c>
      <c r="G43" s="769">
        <f>'Corrected and Updated TSF 1'!J43</f>
        <v>22</v>
      </c>
      <c r="H43" s="769">
        <f>'Corrected and Updated TSF 1'!CI43</f>
        <v>3105802.7666149172</v>
      </c>
      <c r="I43" s="770"/>
      <c r="J43" s="770">
        <f t="shared" si="1"/>
        <v>3105802.7666149172</v>
      </c>
      <c r="K43" s="769">
        <f>'Corrected and Updated TSF 1'!CJ43</f>
        <v>0</v>
      </c>
      <c r="L43" s="769">
        <f>SUM('Corrected and Updated TSF 1'!CK43:CL43)</f>
        <v>427047.88040955114</v>
      </c>
      <c r="M43" s="769">
        <f t="shared" si="2"/>
        <v>3532850.6470244685</v>
      </c>
      <c r="N43" s="771">
        <f>'Corrected and Updated TSF 1'!CN43</f>
        <v>0.125</v>
      </c>
      <c r="O43" s="769">
        <f>'Corrected and Updated TSF 1'!CO43</f>
        <v>441606.33087805851</v>
      </c>
      <c r="P43" s="769">
        <f>'Corrected and Updated TSF 1'!CP43</f>
        <v>30000</v>
      </c>
      <c r="Q43" s="769">
        <f>'Corrected and Updated TSF 1'!CQ43</f>
        <v>411606.33087805851</v>
      </c>
      <c r="R43" s="425">
        <f>'Corrected and Updated TSF 1'!CR43</f>
        <v>1</v>
      </c>
      <c r="S43" s="769">
        <f>'Corrected and Updated TSF 1'!CS43</f>
        <v>411606.33087805851</v>
      </c>
      <c r="T43" s="769">
        <f>'Corrected and Updated TSF 1'!CU43</f>
        <v>3091244.3161464096</v>
      </c>
      <c r="U43" s="769">
        <f>'Corrected and Updated TSF 1'!CV43</f>
        <v>23966.384280462073</v>
      </c>
      <c r="V43" s="772">
        <f>'Corrected and Updated TSF 1'!CW43</f>
        <v>27784.977834642708</v>
      </c>
      <c r="W43" s="773">
        <f>'Corrected and Updated TSF 1'!CX43</f>
        <v>35891.967644097516</v>
      </c>
      <c r="X43" s="773">
        <f>'Corrected and Updated TSF 1'!CY43</f>
        <v>61210.342440742083</v>
      </c>
      <c r="Y43" s="1130">
        <f>'Corrected and Updated TSF 1'!CZ43</f>
        <v>251111.60136479235</v>
      </c>
      <c r="Z43" s="1130">
        <f>'Corrected and Updated TSF 1'!DA43</f>
        <v>99363.63742520845</v>
      </c>
      <c r="AA43" s="1130">
        <f>'Corrected and Updated TSF 1'!DB43</f>
        <v>71768.948005694881</v>
      </c>
      <c r="AB43" s="1130">
        <f>'Corrected and Updated TSF 1'!DC43</f>
        <v>54619.473504051763</v>
      </c>
      <c r="AC43" s="774">
        <f>K43-'Corrected and Updated TSF 1'!CJ43</f>
        <v>0</v>
      </c>
      <c r="AD43" s="774">
        <f>L43-SUM('Corrected and Updated TSF 1'!CK43:CL43)</f>
        <v>0</v>
      </c>
      <c r="AE43" s="1173">
        <f t="shared" si="6"/>
        <v>3105802.7666149172</v>
      </c>
      <c r="AF43" s="1174">
        <f>SUM(FORM!$V$19:$W$22)+SUM(FORM!$V$25:$W$28)+SUM(FORM!$V$31:$W$34)</f>
        <v>0</v>
      </c>
      <c r="AG43" s="1173">
        <f t="shared" si="7"/>
        <v>3105802.7666149172</v>
      </c>
      <c r="AH43" s="1173"/>
      <c r="AI43" s="714"/>
      <c r="AJ43" s="714"/>
      <c r="AK43" s="714"/>
      <c r="AL43" s="714"/>
      <c r="AM43" s="714"/>
      <c r="AN43" s="714"/>
      <c r="AO43" s="714"/>
      <c r="AP43" s="714"/>
      <c r="AQ43" s="552"/>
      <c r="AR43" s="552"/>
      <c r="AS43" s="552"/>
      <c r="AT43" s="552"/>
    </row>
    <row r="44" spans="1:49" s="119" customFormat="1" ht="12.75" hidden="1" customHeight="1">
      <c r="A44" s="767" t="str">
        <f t="shared" si="0"/>
        <v>4H</v>
      </c>
      <c r="B44" s="768" t="str">
        <f>'Corrected and Updated TSF 1'!ER44</f>
        <v>SOLD</v>
      </c>
      <c r="C44" s="757" t="str">
        <f>'Corrected and Updated TSF 1'!E44</f>
        <v>4th Floor</v>
      </c>
      <c r="D44" s="642" t="str">
        <f>'Corrected and Updated TSF 1'!M44</f>
        <v>Corner</v>
      </c>
      <c r="E44" s="642" t="str">
        <f>'Corrected and Updated TSF 1'!G44</f>
        <v>4H</v>
      </c>
      <c r="F44" s="758" t="str">
        <f>'Corrected and Updated TSF 1'!I44</f>
        <v>Studio Unit</v>
      </c>
      <c r="G44" s="769">
        <f>'Corrected and Updated TSF 1'!J44</f>
        <v>22</v>
      </c>
      <c r="H44" s="769">
        <f>'Corrected and Updated TSF 1'!CI44</f>
        <v>3155877.7342040357</v>
      </c>
      <c r="I44" s="770"/>
      <c r="J44" s="770">
        <f t="shared" si="1"/>
        <v>3155877.7342040357</v>
      </c>
      <c r="K44" s="769">
        <f>'Corrected and Updated TSF 1'!CJ44</f>
        <v>0</v>
      </c>
      <c r="L44" s="769">
        <f>SUM('Corrected and Updated TSF 1'!CK44:CL44)</f>
        <v>433933.18845305487</v>
      </c>
      <c r="M44" s="769">
        <f t="shared" si="2"/>
        <v>3589810.9226570907</v>
      </c>
      <c r="N44" s="771">
        <f>'Corrected and Updated TSF 1'!CN44</f>
        <v>0.125</v>
      </c>
      <c r="O44" s="769">
        <f>'Corrected and Updated TSF 1'!CO44</f>
        <v>448726.36533213634</v>
      </c>
      <c r="P44" s="769">
        <f>'Corrected and Updated TSF 1'!CP44</f>
        <v>30000</v>
      </c>
      <c r="Q44" s="769">
        <f>'Corrected and Updated TSF 1'!CQ44</f>
        <v>418726.36533213634</v>
      </c>
      <c r="R44" s="425">
        <f>'Corrected and Updated TSF 1'!CR44</f>
        <v>1</v>
      </c>
      <c r="S44" s="769">
        <f>'Corrected and Updated TSF 1'!CS44</f>
        <v>418726.36533213634</v>
      </c>
      <c r="T44" s="769">
        <f>'Corrected and Updated TSF 1'!CU44</f>
        <v>3141084.5573249543</v>
      </c>
      <c r="U44" s="769">
        <f>'Corrected and Updated TSF 1'!CV44</f>
        <v>24352.79513982921</v>
      </c>
      <c r="V44" s="772">
        <f>'Corrected and Updated TSF 1'!CW44</f>
        <v>28232.956012616498</v>
      </c>
      <c r="W44" s="773">
        <f>'Corrected and Updated TSF 1'!CX44</f>
        <v>36470.655104810539</v>
      </c>
      <c r="X44" s="773">
        <f>'Corrected and Updated TSF 1'!CY44</f>
        <v>62197.238951617357</v>
      </c>
      <c r="Y44" s="1130">
        <f>'Corrected and Updated TSF 1'!CZ44</f>
        <v>255160.28257364413</v>
      </c>
      <c r="Z44" s="1130">
        <f>'Corrected and Updated TSF 1'!DA44</f>
        <v>100965.68085729262</v>
      </c>
      <c r="AA44" s="1130">
        <f>'Corrected and Updated TSF 1'!DB44</f>
        <v>72926.081286636385</v>
      </c>
      <c r="AB44" s="1130">
        <f>'Corrected and Updated TSF 1'!DC44</f>
        <v>55500.105202513136</v>
      </c>
      <c r="AC44" s="774">
        <f>K44-'Corrected and Updated TSF 1'!CJ44</f>
        <v>0</v>
      </c>
      <c r="AD44" s="774">
        <f>L44-SUM('Corrected and Updated TSF 1'!CK44:CL44)</f>
        <v>0</v>
      </c>
      <c r="AE44" s="1173">
        <f t="shared" si="6"/>
        <v>3155877.7342040357</v>
      </c>
      <c r="AF44" s="1174">
        <f>SUM(FORM!$V$19:$W$22)+SUM(FORM!$V$25:$W$28)+SUM(FORM!$V$31:$W$34)</f>
        <v>0</v>
      </c>
      <c r="AG44" s="1173">
        <f t="shared" si="7"/>
        <v>3155877.7342040357</v>
      </c>
      <c r="AH44" s="1173"/>
      <c r="AI44" s="714"/>
      <c r="AJ44" s="714"/>
      <c r="AK44" s="714"/>
      <c r="AL44" s="714"/>
      <c r="AM44" s="714"/>
      <c r="AN44" s="714"/>
      <c r="AO44" s="714"/>
      <c r="AP44" s="714"/>
      <c r="AQ44" s="760"/>
      <c r="AR44" s="760"/>
      <c r="AS44" s="760"/>
      <c r="AT44" s="760"/>
      <c r="AU44" s="760"/>
      <c r="AV44" s="760"/>
      <c r="AW44" s="760"/>
    </row>
    <row r="45" spans="1:49" s="119" customFormat="1" ht="12.75" hidden="1" customHeight="1">
      <c r="A45" s="767" t="str">
        <f t="shared" si="0"/>
        <v>4I</v>
      </c>
      <c r="B45" s="768" t="str">
        <f>'Corrected and Updated TSF 1'!ER45</f>
        <v>SOLD</v>
      </c>
      <c r="C45" s="757" t="str">
        <f>'Corrected and Updated TSF 1'!E45</f>
        <v>4th Floor</v>
      </c>
      <c r="D45" s="642" t="str">
        <f>'Corrected and Updated TSF 1'!M45</f>
        <v>Inner</v>
      </c>
      <c r="E45" s="642" t="str">
        <f>'Corrected and Updated TSF 1'!G45</f>
        <v>4I</v>
      </c>
      <c r="F45" s="758" t="str">
        <f>'Corrected and Updated TSF 1'!I45</f>
        <v>Studio Unit</v>
      </c>
      <c r="G45" s="769">
        <f>'Corrected and Updated TSF 1'!J45</f>
        <v>22</v>
      </c>
      <c r="H45" s="769">
        <f>'Corrected and Updated TSF 1'!CI45</f>
        <v>3074224.6067545544</v>
      </c>
      <c r="I45" s="770"/>
      <c r="J45" s="770">
        <f t="shared" si="1"/>
        <v>3074224.6067545544</v>
      </c>
      <c r="K45" s="769">
        <f>'Corrected and Updated TSF 1'!CJ45</f>
        <v>0</v>
      </c>
      <c r="L45" s="769">
        <f>SUM('Corrected and Updated TSF 1'!CK45:CL45)</f>
        <v>422705.8834287512</v>
      </c>
      <c r="M45" s="769">
        <f t="shared" si="2"/>
        <v>3496930.4901833055</v>
      </c>
      <c r="N45" s="771">
        <f>'Corrected and Updated TSF 1'!CN45</f>
        <v>0.125</v>
      </c>
      <c r="O45" s="769">
        <f>'Corrected and Updated TSF 1'!CO45</f>
        <v>437116.31127291318</v>
      </c>
      <c r="P45" s="769">
        <f>'Corrected and Updated TSF 1'!CP45</f>
        <v>30000</v>
      </c>
      <c r="Q45" s="769">
        <f>'Corrected and Updated TSF 1'!CQ45</f>
        <v>407116.31127291318</v>
      </c>
      <c r="R45" s="425">
        <f>'Corrected and Updated TSF 1'!CR45</f>
        <v>1</v>
      </c>
      <c r="S45" s="769">
        <f>'Corrected and Updated TSF 1'!CS45</f>
        <v>407116.31127291318</v>
      </c>
      <c r="T45" s="769">
        <f>'Corrected and Updated TSF 1'!CU45</f>
        <v>3059814.1789103923</v>
      </c>
      <c r="U45" s="769">
        <f>'Corrected and Updated TSF 1'!CV45</f>
        <v>23722.706761007681</v>
      </c>
      <c r="V45" s="772">
        <f>'Corrected and Updated TSF 1'!CW45</f>
        <v>27502.474875597669</v>
      </c>
      <c r="W45" s="773">
        <f>'Corrected and Updated TSF 1'!CX45</f>
        <v>35527.03710048685</v>
      </c>
      <c r="X45" s="773">
        <f>'Corrected and Updated TSF 1'!CY45</f>
        <v>60587.988053181267</v>
      </c>
      <c r="Y45" s="1130">
        <f>'Corrected and Updated TSF 1'!CZ45</f>
        <v>248558.43141597047</v>
      </c>
      <c r="Z45" s="1130">
        <f>'Corrected and Updated TSF 1'!DA45</f>
        <v>98353.36051366452</v>
      </c>
      <c r="AA45" s="1130">
        <f>'Corrected and Updated TSF 1'!DB45</f>
        <v>71039.239301235197</v>
      </c>
      <c r="AB45" s="1130">
        <f>'Corrected and Updated TSF 1'!DC45</f>
        <v>54064.131585904252</v>
      </c>
      <c r="AC45" s="774">
        <f>K45-'Corrected and Updated TSF 1'!CJ45</f>
        <v>0</v>
      </c>
      <c r="AD45" s="774">
        <f>L45-SUM('Corrected and Updated TSF 1'!CK45:CL45)</f>
        <v>0</v>
      </c>
      <c r="AE45" s="1173">
        <f t="shared" si="6"/>
        <v>3074224.6067545544</v>
      </c>
      <c r="AF45" s="1174">
        <f>SUM(FORM!$V$19:$W$22)+SUM(FORM!$V$25:$W$28)+SUM(FORM!$V$31:$W$34)</f>
        <v>0</v>
      </c>
      <c r="AG45" s="1173">
        <f t="shared" si="7"/>
        <v>3074224.6067545544</v>
      </c>
      <c r="AH45" s="1173"/>
      <c r="AI45" s="714"/>
      <c r="AJ45" s="714"/>
      <c r="AK45" s="714"/>
      <c r="AL45" s="714"/>
      <c r="AM45" s="714"/>
      <c r="AN45" s="714"/>
      <c r="AO45" s="714"/>
      <c r="AP45" s="714"/>
      <c r="AQ45" s="760"/>
      <c r="AR45" s="760"/>
      <c r="AS45" s="760"/>
      <c r="AT45" s="760"/>
      <c r="AU45" s="760"/>
      <c r="AV45" s="760"/>
      <c r="AW45" s="760"/>
    </row>
    <row r="46" spans="1:49" s="119" customFormat="1" ht="12.75" hidden="1" customHeight="1">
      <c r="A46" s="767" t="str">
        <f t="shared" si="0"/>
        <v>4J</v>
      </c>
      <c r="B46" s="768" t="str">
        <f>'Corrected and Updated TSF 1'!ER46</f>
        <v>SOLD</v>
      </c>
      <c r="C46" s="757" t="str">
        <f>'Corrected and Updated TSF 1'!E46</f>
        <v>4th Floor</v>
      </c>
      <c r="D46" s="642" t="str">
        <f>'Corrected and Updated TSF 1'!M46</f>
        <v>Inner</v>
      </c>
      <c r="E46" s="642" t="str">
        <f>'Corrected and Updated TSF 1'!G46</f>
        <v>4J</v>
      </c>
      <c r="F46" s="758" t="str">
        <f>'Corrected and Updated TSF 1'!I46</f>
        <v>Studio Unit</v>
      </c>
      <c r="G46" s="769">
        <f>'Corrected and Updated TSF 1'!J46</f>
        <v>22</v>
      </c>
      <c r="H46" s="769">
        <f>'Corrected and Updated TSF 1'!CI46</f>
        <v>3074224.6067545544</v>
      </c>
      <c r="I46" s="770"/>
      <c r="J46" s="770">
        <f t="shared" si="1"/>
        <v>3074224.6067545544</v>
      </c>
      <c r="K46" s="769">
        <f>'Corrected and Updated TSF 1'!CJ46</f>
        <v>0</v>
      </c>
      <c r="L46" s="769">
        <f>SUM('Corrected and Updated TSF 1'!CK46:CL46)</f>
        <v>422705.8834287512</v>
      </c>
      <c r="M46" s="769">
        <f t="shared" si="2"/>
        <v>3496930.4901833055</v>
      </c>
      <c r="N46" s="771">
        <f>'Corrected and Updated TSF 1'!CN46</f>
        <v>0.125</v>
      </c>
      <c r="O46" s="769">
        <f>'Corrected and Updated TSF 1'!CO46</f>
        <v>437116.31127291318</v>
      </c>
      <c r="P46" s="769">
        <f>'Corrected and Updated TSF 1'!CP46</f>
        <v>30000</v>
      </c>
      <c r="Q46" s="769">
        <f>'Corrected and Updated TSF 1'!CQ46</f>
        <v>407116.31127291318</v>
      </c>
      <c r="R46" s="425">
        <f>'Corrected and Updated TSF 1'!CR46</f>
        <v>1</v>
      </c>
      <c r="S46" s="769">
        <f>'Corrected and Updated TSF 1'!CS46</f>
        <v>407116.31127291318</v>
      </c>
      <c r="T46" s="769">
        <f>'Corrected and Updated TSF 1'!CU46</f>
        <v>3059814.1789103923</v>
      </c>
      <c r="U46" s="769">
        <f>'Corrected and Updated TSF 1'!CV46</f>
        <v>23722.706761007681</v>
      </c>
      <c r="V46" s="772">
        <f>'Corrected and Updated TSF 1'!CW46</f>
        <v>27502.474875597669</v>
      </c>
      <c r="W46" s="773">
        <f>'Corrected and Updated TSF 1'!CX46</f>
        <v>35527.03710048685</v>
      </c>
      <c r="X46" s="773">
        <f>'Corrected and Updated TSF 1'!CY46</f>
        <v>60587.988053181267</v>
      </c>
      <c r="Y46" s="1130">
        <f>'Corrected and Updated TSF 1'!CZ46</f>
        <v>248558.43141597047</v>
      </c>
      <c r="Z46" s="1130">
        <f>'Corrected and Updated TSF 1'!DA46</f>
        <v>98353.36051366452</v>
      </c>
      <c r="AA46" s="1130">
        <f>'Corrected and Updated TSF 1'!DB46</f>
        <v>71039.239301235197</v>
      </c>
      <c r="AB46" s="1130">
        <f>'Corrected and Updated TSF 1'!DC46</f>
        <v>54064.131585904252</v>
      </c>
      <c r="AC46" s="774">
        <f>K46-'Corrected and Updated TSF 1'!CJ46</f>
        <v>0</v>
      </c>
      <c r="AD46" s="774">
        <f>L46-SUM('Corrected and Updated TSF 1'!CK46:CL46)</f>
        <v>0</v>
      </c>
      <c r="AE46" s="1173">
        <f t="shared" si="6"/>
        <v>3074224.6067545544</v>
      </c>
      <c r="AF46" s="1174">
        <f>SUM(FORM!$V$19:$W$22)+SUM(FORM!$V$25:$W$28)+SUM(FORM!$V$31:$W$34)</f>
        <v>0</v>
      </c>
      <c r="AG46" s="1173">
        <f t="shared" si="7"/>
        <v>3074224.6067545544</v>
      </c>
      <c r="AH46" s="1173"/>
      <c r="AI46" s="714"/>
      <c r="AJ46" s="714"/>
      <c r="AK46" s="714"/>
      <c r="AL46" s="714"/>
      <c r="AM46" s="714"/>
      <c r="AN46" s="714"/>
      <c r="AO46" s="714"/>
      <c r="AP46" s="714"/>
      <c r="AQ46" s="760"/>
      <c r="AR46" s="760"/>
      <c r="AS46" s="760"/>
      <c r="AT46" s="760"/>
      <c r="AU46" s="760"/>
      <c r="AV46" s="760"/>
      <c r="AW46" s="760"/>
    </row>
    <row r="47" spans="1:49" s="119" customFormat="1" ht="12.75" hidden="1" customHeight="1">
      <c r="A47" s="767" t="str">
        <f t="shared" si="0"/>
        <v>4K</v>
      </c>
      <c r="B47" s="768" t="str">
        <f>'Corrected and Updated TSF 1'!ER47</f>
        <v>SOLD</v>
      </c>
      <c r="C47" s="757" t="str">
        <f>'Corrected and Updated TSF 1'!E47</f>
        <v>4th Floor</v>
      </c>
      <c r="D47" s="642" t="str">
        <f>'Corrected and Updated TSF 1'!M47</f>
        <v>Inner</v>
      </c>
      <c r="E47" s="642" t="str">
        <f>'Corrected and Updated TSF 1'!G47</f>
        <v>4K</v>
      </c>
      <c r="F47" s="758" t="str">
        <f>'Corrected and Updated TSF 1'!I47</f>
        <v>Studio Unit</v>
      </c>
      <c r="G47" s="769">
        <f>'Corrected and Updated TSF 1'!J47</f>
        <v>22</v>
      </c>
      <c r="H47" s="769">
        <f>'Corrected and Updated TSF 1'!CI47</f>
        <v>3074224.6067545544</v>
      </c>
      <c r="I47" s="770"/>
      <c r="J47" s="770">
        <f t="shared" si="1"/>
        <v>3074224.6067545544</v>
      </c>
      <c r="K47" s="769">
        <f>'Corrected and Updated TSF 1'!CJ47</f>
        <v>0</v>
      </c>
      <c r="L47" s="769">
        <f>SUM('Corrected and Updated TSF 1'!CK47:CL47)</f>
        <v>422705.8834287512</v>
      </c>
      <c r="M47" s="769">
        <f t="shared" si="2"/>
        <v>3496930.4901833055</v>
      </c>
      <c r="N47" s="771">
        <f>'Corrected and Updated TSF 1'!CN47</f>
        <v>0.125</v>
      </c>
      <c r="O47" s="769">
        <f>'Corrected and Updated TSF 1'!CO47</f>
        <v>437116.31127291318</v>
      </c>
      <c r="P47" s="769">
        <f>'Corrected and Updated TSF 1'!CP47</f>
        <v>30000</v>
      </c>
      <c r="Q47" s="769">
        <f>'Corrected and Updated TSF 1'!CQ47</f>
        <v>407116.31127291318</v>
      </c>
      <c r="R47" s="425">
        <f>'Corrected and Updated TSF 1'!CR47</f>
        <v>1</v>
      </c>
      <c r="S47" s="769">
        <f>'Corrected and Updated TSF 1'!CS47</f>
        <v>407116.31127291318</v>
      </c>
      <c r="T47" s="769">
        <f>'Corrected and Updated TSF 1'!CU47</f>
        <v>3059814.1789103923</v>
      </c>
      <c r="U47" s="769">
        <f>'Corrected and Updated TSF 1'!CV47</f>
        <v>23722.706761007681</v>
      </c>
      <c r="V47" s="772">
        <f>'Corrected and Updated TSF 1'!CW47</f>
        <v>27502.474875597669</v>
      </c>
      <c r="W47" s="773">
        <f>'Corrected and Updated TSF 1'!CX47</f>
        <v>35527.03710048685</v>
      </c>
      <c r="X47" s="773">
        <f>'Corrected and Updated TSF 1'!CY47</f>
        <v>60587.988053181267</v>
      </c>
      <c r="Y47" s="1130">
        <f>'Corrected and Updated TSF 1'!CZ47</f>
        <v>248558.43141597047</v>
      </c>
      <c r="Z47" s="1130">
        <f>'Corrected and Updated TSF 1'!DA47</f>
        <v>98353.36051366452</v>
      </c>
      <c r="AA47" s="1130">
        <f>'Corrected and Updated TSF 1'!DB47</f>
        <v>71039.239301235197</v>
      </c>
      <c r="AB47" s="1130">
        <f>'Corrected and Updated TSF 1'!DC47</f>
        <v>54064.131585904252</v>
      </c>
      <c r="AC47" s="774">
        <f>K47-'Corrected and Updated TSF 1'!CJ47</f>
        <v>0</v>
      </c>
      <c r="AD47" s="774">
        <f>L47-SUM('Corrected and Updated TSF 1'!CK47:CL47)</f>
        <v>0</v>
      </c>
      <c r="AE47" s="1173">
        <f t="shared" si="6"/>
        <v>3074224.6067545544</v>
      </c>
      <c r="AF47" s="1174">
        <f>SUM(FORM!$V$19:$W$22)+SUM(FORM!$V$25:$W$28)+SUM(FORM!$V$31:$W$34)</f>
        <v>0</v>
      </c>
      <c r="AG47" s="1173">
        <f t="shared" si="7"/>
        <v>3074224.6067545544</v>
      </c>
      <c r="AH47" s="1173"/>
      <c r="AI47" s="714"/>
      <c r="AJ47" s="714"/>
      <c r="AK47" s="714"/>
      <c r="AL47" s="714"/>
      <c r="AM47" s="714"/>
      <c r="AN47" s="714"/>
      <c r="AO47" s="714"/>
      <c r="AP47" s="714"/>
      <c r="AQ47" s="760"/>
      <c r="AR47" s="760"/>
      <c r="AS47" s="760"/>
      <c r="AT47" s="760"/>
      <c r="AU47" s="760"/>
      <c r="AV47" s="760"/>
      <c r="AW47" s="760"/>
    </row>
    <row r="48" spans="1:49" s="119" customFormat="1" ht="12.75" hidden="1" customHeight="1">
      <c r="A48" s="767" t="str">
        <f t="shared" si="0"/>
        <v>4L</v>
      </c>
      <c r="B48" s="768" t="str">
        <f>'Corrected and Updated TSF 1'!ER48</f>
        <v>SOLD</v>
      </c>
      <c r="C48" s="757" t="str">
        <f>'Corrected and Updated TSF 1'!E48</f>
        <v>4th Floor</v>
      </c>
      <c r="D48" s="642" t="str">
        <f>'Corrected and Updated TSF 1'!M48</f>
        <v>Inner</v>
      </c>
      <c r="E48" s="642" t="str">
        <f>'Corrected and Updated TSF 1'!G48</f>
        <v>4L</v>
      </c>
      <c r="F48" s="758" t="str">
        <f>'Corrected and Updated TSF 1'!I48</f>
        <v>Studio Unit</v>
      </c>
      <c r="G48" s="769">
        <f>'Corrected and Updated TSF 1'!J48</f>
        <v>22</v>
      </c>
      <c r="H48" s="769">
        <f>'Corrected and Updated TSF 1'!CI48</f>
        <v>3074224.6067545544</v>
      </c>
      <c r="I48" s="770"/>
      <c r="J48" s="770">
        <f t="shared" si="1"/>
        <v>3074224.6067545544</v>
      </c>
      <c r="K48" s="769">
        <f>'Corrected and Updated TSF 1'!CJ48</f>
        <v>0</v>
      </c>
      <c r="L48" s="769">
        <f>SUM('Corrected and Updated TSF 1'!CK48:CL48)</f>
        <v>422705.8834287512</v>
      </c>
      <c r="M48" s="769">
        <f t="shared" si="2"/>
        <v>3496930.4901833055</v>
      </c>
      <c r="N48" s="771">
        <f>'Corrected and Updated TSF 1'!CN48</f>
        <v>0.125</v>
      </c>
      <c r="O48" s="769">
        <f>'Corrected and Updated TSF 1'!CO48</f>
        <v>437116.31127291318</v>
      </c>
      <c r="P48" s="769">
        <f>'Corrected and Updated TSF 1'!CP48</f>
        <v>30000</v>
      </c>
      <c r="Q48" s="769">
        <f>'Corrected and Updated TSF 1'!CQ48</f>
        <v>407116.31127291318</v>
      </c>
      <c r="R48" s="425">
        <f>'Corrected and Updated TSF 1'!CR48</f>
        <v>1</v>
      </c>
      <c r="S48" s="769">
        <f>'Corrected and Updated TSF 1'!CS48</f>
        <v>407116.31127291318</v>
      </c>
      <c r="T48" s="769">
        <f>'Corrected and Updated TSF 1'!CU48</f>
        <v>3059814.1789103923</v>
      </c>
      <c r="U48" s="769">
        <f>'Corrected and Updated TSF 1'!CV48</f>
        <v>23722.706761007681</v>
      </c>
      <c r="V48" s="772">
        <f>'Corrected and Updated TSF 1'!CW48</f>
        <v>27502.474875597669</v>
      </c>
      <c r="W48" s="773">
        <f>'Corrected and Updated TSF 1'!CX48</f>
        <v>35527.03710048685</v>
      </c>
      <c r="X48" s="773">
        <f>'Corrected and Updated TSF 1'!CY48</f>
        <v>60587.988053181267</v>
      </c>
      <c r="Y48" s="1130">
        <f>'Corrected and Updated TSF 1'!CZ48</f>
        <v>248558.43141597047</v>
      </c>
      <c r="Z48" s="1130">
        <f>'Corrected and Updated TSF 1'!DA48</f>
        <v>98353.36051366452</v>
      </c>
      <c r="AA48" s="1130">
        <f>'Corrected and Updated TSF 1'!DB48</f>
        <v>71039.239301235197</v>
      </c>
      <c r="AB48" s="1130">
        <f>'Corrected and Updated TSF 1'!DC48</f>
        <v>54064.131585904252</v>
      </c>
      <c r="AC48" s="774">
        <f>K48-'Corrected and Updated TSF 1'!CJ48</f>
        <v>0</v>
      </c>
      <c r="AD48" s="774">
        <f>L48-SUM('Corrected and Updated TSF 1'!CK48:CL48)</f>
        <v>0</v>
      </c>
      <c r="AE48" s="1173">
        <f t="shared" si="6"/>
        <v>3074224.6067545544</v>
      </c>
      <c r="AF48" s="1174">
        <f>SUM(FORM!$V$19:$W$22)+SUM(FORM!$V$25:$W$28)+SUM(FORM!$V$31:$W$34)</f>
        <v>0</v>
      </c>
      <c r="AG48" s="1173">
        <f t="shared" si="7"/>
        <v>3074224.6067545544</v>
      </c>
      <c r="AH48" s="1173"/>
      <c r="AI48" s="714"/>
      <c r="AJ48" s="714"/>
      <c r="AK48" s="714"/>
      <c r="AL48" s="714"/>
      <c r="AM48" s="714"/>
      <c r="AN48" s="714"/>
      <c r="AO48" s="714"/>
      <c r="AP48" s="714"/>
      <c r="AQ48" s="552"/>
      <c r="AR48" s="552"/>
      <c r="AS48" s="552"/>
      <c r="AT48" s="552"/>
    </row>
    <row r="49" spans="1:49" s="119" customFormat="1" ht="12.75" hidden="1" customHeight="1">
      <c r="A49" s="767" t="str">
        <f t="shared" si="0"/>
        <v>4M</v>
      </c>
      <c r="B49" s="768" t="str">
        <f>'Corrected and Updated TSF 1'!ER49</f>
        <v>SOLD</v>
      </c>
      <c r="C49" s="757" t="str">
        <f>'Corrected and Updated TSF 1'!E49</f>
        <v>4th Floor</v>
      </c>
      <c r="D49" s="642" t="str">
        <f>'Corrected and Updated TSF 1'!M49</f>
        <v>Inner</v>
      </c>
      <c r="E49" s="642" t="str">
        <f>'Corrected and Updated TSF 1'!G49</f>
        <v>4M</v>
      </c>
      <c r="F49" s="758" t="str">
        <f>'Corrected and Updated TSF 1'!I49</f>
        <v>Studio Unit</v>
      </c>
      <c r="G49" s="769">
        <f>'Corrected and Updated TSF 1'!J49</f>
        <v>22</v>
      </c>
      <c r="H49" s="769">
        <f>'Corrected and Updated TSF 1'!CI49</f>
        <v>3074224.6067545544</v>
      </c>
      <c r="I49" s="770"/>
      <c r="J49" s="770">
        <f t="shared" si="1"/>
        <v>3074224.6067545544</v>
      </c>
      <c r="K49" s="769">
        <f>'Corrected and Updated TSF 1'!CJ49</f>
        <v>0</v>
      </c>
      <c r="L49" s="769">
        <f>SUM('Corrected and Updated TSF 1'!CK49:CL49)</f>
        <v>422705.8834287512</v>
      </c>
      <c r="M49" s="769">
        <f t="shared" si="2"/>
        <v>3496930.4901833055</v>
      </c>
      <c r="N49" s="771">
        <f>'Corrected and Updated TSF 1'!CN49</f>
        <v>0.125</v>
      </c>
      <c r="O49" s="769">
        <f>'Corrected and Updated TSF 1'!CO49</f>
        <v>437116.31127291318</v>
      </c>
      <c r="P49" s="769">
        <f>'Corrected and Updated TSF 1'!CP49</f>
        <v>30000</v>
      </c>
      <c r="Q49" s="769">
        <f>'Corrected and Updated TSF 1'!CQ49</f>
        <v>407116.31127291318</v>
      </c>
      <c r="R49" s="425">
        <f>'Corrected and Updated TSF 1'!CR49</f>
        <v>1</v>
      </c>
      <c r="S49" s="769">
        <f>'Corrected and Updated TSF 1'!CS49</f>
        <v>407116.31127291318</v>
      </c>
      <c r="T49" s="769">
        <f>'Corrected and Updated TSF 1'!CU49</f>
        <v>3059814.1789103923</v>
      </c>
      <c r="U49" s="769">
        <f>'Corrected and Updated TSF 1'!CV49</f>
        <v>23722.706761007681</v>
      </c>
      <c r="V49" s="772">
        <f>'Corrected and Updated TSF 1'!CW49</f>
        <v>27502.474875597669</v>
      </c>
      <c r="W49" s="773">
        <f>'Corrected and Updated TSF 1'!CX49</f>
        <v>35527.03710048685</v>
      </c>
      <c r="X49" s="773">
        <f>'Corrected and Updated TSF 1'!CY49</f>
        <v>60587.988053181267</v>
      </c>
      <c r="Y49" s="1130">
        <f>'Corrected and Updated TSF 1'!CZ49</f>
        <v>248558.43141597047</v>
      </c>
      <c r="Z49" s="1130">
        <f>'Corrected and Updated TSF 1'!DA49</f>
        <v>98353.36051366452</v>
      </c>
      <c r="AA49" s="1130">
        <f>'Corrected and Updated TSF 1'!DB49</f>
        <v>71039.239301235197</v>
      </c>
      <c r="AB49" s="1130">
        <f>'Corrected and Updated TSF 1'!DC49</f>
        <v>54064.131585904252</v>
      </c>
      <c r="AC49" s="774">
        <f>K49-'Corrected and Updated TSF 1'!CJ49</f>
        <v>0</v>
      </c>
      <c r="AD49" s="774">
        <f>L49-SUM('Corrected and Updated TSF 1'!CK49:CL49)</f>
        <v>0</v>
      </c>
      <c r="AE49" s="1173">
        <f t="shared" si="6"/>
        <v>3074224.6067545544</v>
      </c>
      <c r="AF49" s="1174">
        <f>SUM(FORM!$V$19:$W$22)+SUM(FORM!$V$25:$W$28)+SUM(FORM!$V$31:$W$34)</f>
        <v>0</v>
      </c>
      <c r="AG49" s="1173">
        <f t="shared" si="7"/>
        <v>3074224.6067545544</v>
      </c>
      <c r="AH49" s="1173"/>
      <c r="AI49" s="714"/>
      <c r="AJ49" s="714"/>
      <c r="AK49" s="714"/>
      <c r="AL49" s="714"/>
      <c r="AM49" s="714"/>
      <c r="AN49" s="714"/>
      <c r="AO49" s="714"/>
      <c r="AP49" s="714"/>
      <c r="AQ49" s="552"/>
      <c r="AR49" s="552"/>
      <c r="AS49" s="552"/>
      <c r="AT49" s="552"/>
    </row>
    <row r="50" spans="1:49" s="119" customFormat="1" ht="12.75" hidden="1" customHeight="1">
      <c r="A50" s="767" t="str">
        <f t="shared" si="0"/>
        <v>4N</v>
      </c>
      <c r="B50" s="768" t="str">
        <f>'Corrected and Updated TSF 1'!ER50</f>
        <v>SOLD</v>
      </c>
      <c r="C50" s="757" t="str">
        <f>'Corrected and Updated TSF 1'!E50</f>
        <v>4th Floor</v>
      </c>
      <c r="D50" s="642" t="str">
        <f>'Corrected and Updated TSF 1'!M50</f>
        <v>Inner</v>
      </c>
      <c r="E50" s="642" t="str">
        <f>'Corrected and Updated TSF 1'!G50</f>
        <v>4N</v>
      </c>
      <c r="F50" s="758" t="str">
        <f>'Corrected and Updated TSF 1'!I50</f>
        <v>Studio Unit</v>
      </c>
      <c r="G50" s="769">
        <f>'Corrected and Updated TSF 1'!J50</f>
        <v>22</v>
      </c>
      <c r="H50" s="769">
        <f>'Corrected and Updated TSF 1'!CI50</f>
        <v>3074224.6067545544</v>
      </c>
      <c r="I50" s="770"/>
      <c r="J50" s="770">
        <f t="shared" si="1"/>
        <v>3074224.6067545544</v>
      </c>
      <c r="K50" s="769">
        <f>'Corrected and Updated TSF 1'!CJ50</f>
        <v>0</v>
      </c>
      <c r="L50" s="769">
        <f>SUM('Corrected and Updated TSF 1'!CK50:CL50)</f>
        <v>422705.8834287512</v>
      </c>
      <c r="M50" s="769">
        <f t="shared" si="2"/>
        <v>3496930.4901833055</v>
      </c>
      <c r="N50" s="771">
        <f>'Corrected and Updated TSF 1'!CN50</f>
        <v>0.125</v>
      </c>
      <c r="O50" s="769">
        <f>'Corrected and Updated TSF 1'!CO50</f>
        <v>437116.31127291318</v>
      </c>
      <c r="P50" s="769">
        <f>'Corrected and Updated TSF 1'!CP50</f>
        <v>30000</v>
      </c>
      <c r="Q50" s="769">
        <f>'Corrected and Updated TSF 1'!CQ50</f>
        <v>407116.31127291318</v>
      </c>
      <c r="R50" s="425">
        <f>'Corrected and Updated TSF 1'!CR50</f>
        <v>1</v>
      </c>
      <c r="S50" s="769">
        <f>'Corrected and Updated TSF 1'!CS50</f>
        <v>407116.31127291318</v>
      </c>
      <c r="T50" s="769">
        <f>'Corrected and Updated TSF 1'!CU50</f>
        <v>3059814.1789103923</v>
      </c>
      <c r="U50" s="769">
        <f>'Corrected and Updated TSF 1'!CV50</f>
        <v>23722.706761007681</v>
      </c>
      <c r="V50" s="772">
        <f>'Corrected and Updated TSF 1'!CW50</f>
        <v>27502.474875597669</v>
      </c>
      <c r="W50" s="773">
        <f>'Corrected and Updated TSF 1'!CX50</f>
        <v>35527.03710048685</v>
      </c>
      <c r="X50" s="773">
        <f>'Corrected and Updated TSF 1'!CY50</f>
        <v>60587.988053181267</v>
      </c>
      <c r="Y50" s="1130">
        <f>'Corrected and Updated TSF 1'!CZ50</f>
        <v>248558.43141597047</v>
      </c>
      <c r="Z50" s="1130">
        <f>'Corrected and Updated TSF 1'!DA50</f>
        <v>98353.36051366452</v>
      </c>
      <c r="AA50" s="1130">
        <f>'Corrected and Updated TSF 1'!DB50</f>
        <v>71039.239301235197</v>
      </c>
      <c r="AB50" s="1130">
        <f>'Corrected and Updated TSF 1'!DC50</f>
        <v>54064.131585904252</v>
      </c>
      <c r="AC50" s="774">
        <f>K50-'Corrected and Updated TSF 1'!CJ50</f>
        <v>0</v>
      </c>
      <c r="AD50" s="774">
        <f>L50-SUM('Corrected and Updated TSF 1'!CK50:CL50)</f>
        <v>0</v>
      </c>
      <c r="AE50" s="1173">
        <f t="shared" si="6"/>
        <v>3074224.6067545544</v>
      </c>
      <c r="AF50" s="1174">
        <f>SUM(FORM!$V$19:$W$22)+SUM(FORM!$V$25:$W$28)+SUM(FORM!$V$31:$W$34)</f>
        <v>0</v>
      </c>
      <c r="AG50" s="1173">
        <f t="shared" si="7"/>
        <v>3074224.6067545544</v>
      </c>
      <c r="AH50" s="1173"/>
      <c r="AI50" s="714"/>
      <c r="AJ50" s="714"/>
      <c r="AK50" s="714"/>
      <c r="AL50" s="714"/>
      <c r="AM50" s="714"/>
      <c r="AN50" s="714"/>
      <c r="AO50" s="714"/>
      <c r="AP50" s="714"/>
      <c r="AQ50" s="760"/>
      <c r="AR50" s="760"/>
      <c r="AS50" s="760"/>
      <c r="AT50" s="760"/>
      <c r="AU50" s="760"/>
      <c r="AV50" s="760"/>
      <c r="AW50" s="760"/>
    </row>
    <row r="51" spans="1:49" s="119" customFormat="1" ht="12.75" hidden="1" customHeight="1">
      <c r="A51" s="767" t="str">
        <f t="shared" si="0"/>
        <v>4O</v>
      </c>
      <c r="B51" s="768" t="str">
        <f>'Corrected and Updated TSF 1'!ER51</f>
        <v>SOLD</v>
      </c>
      <c r="C51" s="757" t="str">
        <f>'Corrected and Updated TSF 1'!E51</f>
        <v>4th Floor</v>
      </c>
      <c r="D51" s="642" t="str">
        <f>'Corrected and Updated TSF 1'!M51</f>
        <v>Inner</v>
      </c>
      <c r="E51" s="642" t="str">
        <f>'Corrected and Updated TSF 1'!G51</f>
        <v>4O</v>
      </c>
      <c r="F51" s="758" t="str">
        <f>'Corrected and Updated TSF 1'!I51</f>
        <v>Studio Unit</v>
      </c>
      <c r="G51" s="769">
        <f>'Corrected and Updated TSF 1'!J51</f>
        <v>22</v>
      </c>
      <c r="H51" s="769">
        <f>'Corrected and Updated TSF 1'!CI51</f>
        <v>3074224.6067545544</v>
      </c>
      <c r="I51" s="770"/>
      <c r="J51" s="770">
        <f t="shared" si="1"/>
        <v>3074224.6067545544</v>
      </c>
      <c r="K51" s="769">
        <f>'Corrected and Updated TSF 1'!CJ51</f>
        <v>0</v>
      </c>
      <c r="L51" s="769">
        <f>SUM('Corrected and Updated TSF 1'!CK51:CL51)</f>
        <v>422705.8834287512</v>
      </c>
      <c r="M51" s="769">
        <f t="shared" si="2"/>
        <v>3496930.4901833055</v>
      </c>
      <c r="N51" s="771">
        <f>'Corrected and Updated TSF 1'!CN51</f>
        <v>0.125</v>
      </c>
      <c r="O51" s="769">
        <f>'Corrected and Updated TSF 1'!CO51</f>
        <v>437116.31127291318</v>
      </c>
      <c r="P51" s="769">
        <f>'Corrected and Updated TSF 1'!CP51</f>
        <v>30000</v>
      </c>
      <c r="Q51" s="769">
        <f>'Corrected and Updated TSF 1'!CQ51</f>
        <v>407116.31127291318</v>
      </c>
      <c r="R51" s="425">
        <f>'Corrected and Updated TSF 1'!CR51</f>
        <v>1</v>
      </c>
      <c r="S51" s="769">
        <f>'Corrected and Updated TSF 1'!CS51</f>
        <v>407116.31127291318</v>
      </c>
      <c r="T51" s="769">
        <f>'Corrected and Updated TSF 1'!CU51</f>
        <v>3059814.1789103923</v>
      </c>
      <c r="U51" s="769">
        <f>'Corrected and Updated TSF 1'!CV51</f>
        <v>23722.706761007681</v>
      </c>
      <c r="V51" s="772">
        <f>'Corrected and Updated TSF 1'!CW51</f>
        <v>27502.474875597669</v>
      </c>
      <c r="W51" s="773">
        <f>'Corrected and Updated TSF 1'!CX51</f>
        <v>35527.03710048685</v>
      </c>
      <c r="X51" s="773">
        <f>'Corrected and Updated TSF 1'!CY51</f>
        <v>60587.988053181267</v>
      </c>
      <c r="Y51" s="1130">
        <f>'Corrected and Updated TSF 1'!CZ51</f>
        <v>248558.43141597047</v>
      </c>
      <c r="Z51" s="1130">
        <f>'Corrected and Updated TSF 1'!DA51</f>
        <v>98353.36051366452</v>
      </c>
      <c r="AA51" s="1130">
        <f>'Corrected and Updated TSF 1'!DB51</f>
        <v>71039.239301235197</v>
      </c>
      <c r="AB51" s="1130">
        <f>'Corrected and Updated TSF 1'!DC51</f>
        <v>54064.131585904252</v>
      </c>
      <c r="AC51" s="774">
        <f>K51-'Corrected and Updated TSF 1'!CJ51</f>
        <v>0</v>
      </c>
      <c r="AD51" s="774">
        <f>L51-SUM('Corrected and Updated TSF 1'!CK51:CL51)</f>
        <v>0</v>
      </c>
      <c r="AE51" s="1173">
        <f t="shared" si="6"/>
        <v>3074224.6067545544</v>
      </c>
      <c r="AF51" s="1174">
        <f>SUM(FORM!$V$19:$W$22)+SUM(FORM!$V$25:$W$28)+SUM(FORM!$V$31:$W$34)</f>
        <v>0</v>
      </c>
      <c r="AG51" s="1173">
        <f t="shared" si="7"/>
        <v>3074224.6067545544</v>
      </c>
      <c r="AH51" s="1173"/>
      <c r="AI51" s="714"/>
      <c r="AJ51" s="714"/>
      <c r="AK51" s="714"/>
      <c r="AL51" s="714"/>
      <c r="AM51" s="714"/>
      <c r="AN51" s="714"/>
      <c r="AO51" s="714"/>
      <c r="AP51" s="714"/>
      <c r="AQ51" s="760"/>
      <c r="AR51" s="760"/>
      <c r="AS51" s="760"/>
      <c r="AT51" s="760"/>
      <c r="AU51" s="760"/>
      <c r="AV51" s="760"/>
      <c r="AW51" s="760"/>
    </row>
    <row r="52" spans="1:49" s="119" customFormat="1" ht="12.75" hidden="1" customHeight="1">
      <c r="A52" s="767" t="str">
        <f t="shared" si="0"/>
        <v>4P</v>
      </c>
      <c r="B52" s="768" t="str">
        <f>'Corrected and Updated TSF 1'!ER52</f>
        <v>SOLD</v>
      </c>
      <c r="C52" s="757" t="str">
        <f>'Corrected and Updated TSF 1'!E52</f>
        <v>4th Floor</v>
      </c>
      <c r="D52" s="642" t="str">
        <f>'Corrected and Updated TSF 1'!M52</f>
        <v>Inner</v>
      </c>
      <c r="E52" s="642" t="str">
        <f>'Corrected and Updated TSF 1'!G52</f>
        <v>4P</v>
      </c>
      <c r="F52" s="758" t="str">
        <f>'Corrected and Updated TSF 1'!I52</f>
        <v>Studio Unit</v>
      </c>
      <c r="G52" s="769">
        <f>'Corrected and Updated TSF 1'!J52</f>
        <v>22</v>
      </c>
      <c r="H52" s="769">
        <f>'Corrected and Updated TSF 1'!CI52</f>
        <v>3074224.6067545544</v>
      </c>
      <c r="I52" s="770"/>
      <c r="J52" s="770">
        <f t="shared" si="1"/>
        <v>3074224.6067545544</v>
      </c>
      <c r="K52" s="769">
        <f>'Corrected and Updated TSF 1'!CJ52</f>
        <v>0</v>
      </c>
      <c r="L52" s="769">
        <f>SUM('Corrected and Updated TSF 1'!CK52:CL52)</f>
        <v>422705.8834287512</v>
      </c>
      <c r="M52" s="769">
        <f t="shared" si="2"/>
        <v>3496930.4901833055</v>
      </c>
      <c r="N52" s="771">
        <f>'Corrected and Updated TSF 1'!CN52</f>
        <v>0.125</v>
      </c>
      <c r="O52" s="769">
        <f>'Corrected and Updated TSF 1'!CO52</f>
        <v>437116.31127291318</v>
      </c>
      <c r="P52" s="769">
        <f>'Corrected and Updated TSF 1'!CP52</f>
        <v>30000</v>
      </c>
      <c r="Q52" s="769">
        <f>'Corrected and Updated TSF 1'!CQ52</f>
        <v>407116.31127291318</v>
      </c>
      <c r="R52" s="425">
        <f>'Corrected and Updated TSF 1'!CR52</f>
        <v>1</v>
      </c>
      <c r="S52" s="769">
        <f>'Corrected and Updated TSF 1'!CS52</f>
        <v>407116.31127291318</v>
      </c>
      <c r="T52" s="769">
        <f>'Corrected and Updated TSF 1'!CU52</f>
        <v>3059814.1789103923</v>
      </c>
      <c r="U52" s="769">
        <f>'Corrected and Updated TSF 1'!CV52</f>
        <v>23722.706761007681</v>
      </c>
      <c r="V52" s="772">
        <f>'Corrected and Updated TSF 1'!CW52</f>
        <v>27502.474875597669</v>
      </c>
      <c r="W52" s="773">
        <f>'Corrected and Updated TSF 1'!CX52</f>
        <v>35527.03710048685</v>
      </c>
      <c r="X52" s="773">
        <f>'Corrected and Updated TSF 1'!CY52</f>
        <v>60587.988053181267</v>
      </c>
      <c r="Y52" s="1130">
        <f>'Corrected and Updated TSF 1'!CZ52</f>
        <v>248558.43141597047</v>
      </c>
      <c r="Z52" s="1130">
        <f>'Corrected and Updated TSF 1'!DA52</f>
        <v>98353.36051366452</v>
      </c>
      <c r="AA52" s="1130">
        <f>'Corrected and Updated TSF 1'!DB52</f>
        <v>71039.239301235197</v>
      </c>
      <c r="AB52" s="1130">
        <f>'Corrected and Updated TSF 1'!DC52</f>
        <v>54064.131585904252</v>
      </c>
      <c r="AC52" s="774">
        <f>K52-'Corrected and Updated TSF 1'!CJ52</f>
        <v>0</v>
      </c>
      <c r="AD52" s="774">
        <f>L52-SUM('Corrected and Updated TSF 1'!CK52:CL52)</f>
        <v>0</v>
      </c>
      <c r="AE52" s="1173">
        <f t="shared" si="6"/>
        <v>3074224.6067545544</v>
      </c>
      <c r="AF52" s="1174">
        <f>SUM(FORM!$V$19:$W$22)+SUM(FORM!$V$25:$W$28)+SUM(FORM!$V$31:$W$34)</f>
        <v>0</v>
      </c>
      <c r="AG52" s="1173">
        <f t="shared" si="7"/>
        <v>3074224.6067545544</v>
      </c>
      <c r="AH52" s="1173"/>
      <c r="AI52" s="714"/>
      <c r="AJ52" s="714"/>
      <c r="AK52" s="714"/>
      <c r="AL52" s="714"/>
      <c r="AM52" s="714"/>
      <c r="AN52" s="714"/>
      <c r="AO52" s="714"/>
      <c r="AP52" s="714"/>
      <c r="AQ52" s="760"/>
      <c r="AR52" s="760"/>
      <c r="AS52" s="760"/>
      <c r="AT52" s="760"/>
      <c r="AU52" s="760"/>
      <c r="AV52" s="760"/>
      <c r="AW52" s="760"/>
    </row>
    <row r="53" spans="1:49" s="119" customFormat="1" ht="12.75" hidden="1" customHeight="1">
      <c r="A53" s="767" t="str">
        <f t="shared" si="0"/>
        <v>4Q</v>
      </c>
      <c r="B53" s="768" t="str">
        <f>'Corrected and Updated TSF 1'!ER53</f>
        <v>SOLD</v>
      </c>
      <c r="C53" s="757" t="str">
        <f>'Corrected and Updated TSF 1'!E53</f>
        <v>4th Floor</v>
      </c>
      <c r="D53" s="642" t="str">
        <f>'Corrected and Updated TSF 1'!M53</f>
        <v>Inner</v>
      </c>
      <c r="E53" s="642" t="str">
        <f>'Corrected and Updated TSF 1'!G53</f>
        <v>4Q</v>
      </c>
      <c r="F53" s="758" t="str">
        <f>'Corrected and Updated TSF 1'!I53</f>
        <v>Studio Unit</v>
      </c>
      <c r="G53" s="769">
        <f>'Corrected and Updated TSF 1'!J53</f>
        <v>22</v>
      </c>
      <c r="H53" s="769">
        <f>'Corrected and Updated TSF 1'!CI53</f>
        <v>3074224.6067545544</v>
      </c>
      <c r="I53" s="770"/>
      <c r="J53" s="770">
        <f t="shared" si="1"/>
        <v>3074224.6067545544</v>
      </c>
      <c r="K53" s="769">
        <f>'Corrected and Updated TSF 1'!CJ53</f>
        <v>0</v>
      </c>
      <c r="L53" s="769">
        <f>SUM('Corrected and Updated TSF 1'!CK53:CL53)</f>
        <v>422705.8834287512</v>
      </c>
      <c r="M53" s="769">
        <f t="shared" si="2"/>
        <v>3496930.4901833055</v>
      </c>
      <c r="N53" s="771">
        <f>'Corrected and Updated TSF 1'!CN53</f>
        <v>0.125</v>
      </c>
      <c r="O53" s="769">
        <f>'Corrected and Updated TSF 1'!CO53</f>
        <v>437116.31127291318</v>
      </c>
      <c r="P53" s="769">
        <f>'Corrected and Updated TSF 1'!CP53</f>
        <v>30000</v>
      </c>
      <c r="Q53" s="769">
        <f>'Corrected and Updated TSF 1'!CQ53</f>
        <v>407116.31127291318</v>
      </c>
      <c r="R53" s="425">
        <f>'Corrected and Updated TSF 1'!CR53</f>
        <v>1</v>
      </c>
      <c r="S53" s="769">
        <f>'Corrected and Updated TSF 1'!CS53</f>
        <v>407116.31127291318</v>
      </c>
      <c r="T53" s="769">
        <f>'Corrected and Updated TSF 1'!CU53</f>
        <v>3059814.1789103923</v>
      </c>
      <c r="U53" s="769">
        <f>'Corrected and Updated TSF 1'!CV53</f>
        <v>23722.706761007681</v>
      </c>
      <c r="V53" s="772">
        <f>'Corrected and Updated TSF 1'!CW53</f>
        <v>27502.474875597669</v>
      </c>
      <c r="W53" s="773">
        <f>'Corrected and Updated TSF 1'!CX53</f>
        <v>35527.03710048685</v>
      </c>
      <c r="X53" s="773">
        <f>'Corrected and Updated TSF 1'!CY53</f>
        <v>60587.988053181267</v>
      </c>
      <c r="Y53" s="1130">
        <f>'Corrected and Updated TSF 1'!CZ53</f>
        <v>248558.43141597047</v>
      </c>
      <c r="Z53" s="1130">
        <f>'Corrected and Updated TSF 1'!DA53</f>
        <v>98353.36051366452</v>
      </c>
      <c r="AA53" s="1130">
        <f>'Corrected and Updated TSF 1'!DB53</f>
        <v>71039.239301235197</v>
      </c>
      <c r="AB53" s="1130">
        <f>'Corrected and Updated TSF 1'!DC53</f>
        <v>54064.131585904252</v>
      </c>
      <c r="AC53" s="774">
        <f>K53-'Corrected and Updated TSF 1'!CJ53</f>
        <v>0</v>
      </c>
      <c r="AD53" s="774">
        <f>L53-SUM('Corrected and Updated TSF 1'!CK53:CL53)</f>
        <v>0</v>
      </c>
      <c r="AE53" s="1173">
        <f t="shared" si="6"/>
        <v>3074224.6067545544</v>
      </c>
      <c r="AF53" s="1174">
        <f>SUM(FORM!$V$19:$W$22)+SUM(FORM!$V$25:$W$28)+SUM(FORM!$V$31:$W$34)</f>
        <v>0</v>
      </c>
      <c r="AG53" s="1173">
        <f t="shared" si="7"/>
        <v>3074224.6067545544</v>
      </c>
      <c r="AH53" s="1173"/>
      <c r="AI53" s="714"/>
      <c r="AJ53" s="714"/>
      <c r="AK53" s="714"/>
      <c r="AL53" s="714"/>
      <c r="AM53" s="714"/>
      <c r="AN53" s="714"/>
      <c r="AO53" s="714"/>
      <c r="AP53" s="714"/>
      <c r="AQ53" s="552"/>
      <c r="AR53" s="552"/>
      <c r="AS53" s="552"/>
      <c r="AT53" s="552"/>
    </row>
    <row r="54" spans="1:49" s="119" customFormat="1" hidden="1">
      <c r="A54" s="767" t="str">
        <f t="shared" si="0"/>
        <v>4R</v>
      </c>
      <c r="B54" s="768" t="str">
        <f>'Corrected and Updated TSF 1'!ER54</f>
        <v>SOLD</v>
      </c>
      <c r="C54" s="757" t="str">
        <f>'Corrected and Updated TSF 1'!E54</f>
        <v>4th Floor</v>
      </c>
      <c r="D54" s="642" t="str">
        <f>'Corrected and Updated TSF 1'!M54</f>
        <v>Corner</v>
      </c>
      <c r="E54" s="642" t="str">
        <f>'Corrected and Updated TSF 1'!G54</f>
        <v>4R</v>
      </c>
      <c r="F54" s="758" t="str">
        <f>'Corrected and Updated TSF 1'!I54</f>
        <v>Studio Unit</v>
      </c>
      <c r="G54" s="769">
        <f>'Corrected and Updated TSF 1'!J54</f>
        <v>22</v>
      </c>
      <c r="H54" s="769">
        <f>'Corrected and Updated TSF 1'!CI54</f>
        <v>3155877.7342040357</v>
      </c>
      <c r="I54" s="770"/>
      <c r="J54" s="770">
        <f t="shared" si="1"/>
        <v>3155877.7342040357</v>
      </c>
      <c r="K54" s="769">
        <f>'Corrected and Updated TSF 1'!CJ54</f>
        <v>0</v>
      </c>
      <c r="L54" s="769">
        <f>SUM('Corrected and Updated TSF 1'!CK54:CL54)</f>
        <v>433933.18845305487</v>
      </c>
      <c r="M54" s="769">
        <f t="shared" si="2"/>
        <v>3589810.9226570907</v>
      </c>
      <c r="N54" s="771">
        <f>'Corrected and Updated TSF 1'!CN54</f>
        <v>0.125</v>
      </c>
      <c r="O54" s="769">
        <f>'Corrected and Updated TSF 1'!CO54</f>
        <v>448726.36533213634</v>
      </c>
      <c r="P54" s="769">
        <f>'Corrected and Updated TSF 1'!CP54</f>
        <v>30000</v>
      </c>
      <c r="Q54" s="769">
        <f>'Corrected and Updated TSF 1'!CQ54</f>
        <v>418726.36533213634</v>
      </c>
      <c r="R54" s="425">
        <f>'Corrected and Updated TSF 1'!CR54</f>
        <v>1</v>
      </c>
      <c r="S54" s="769">
        <f>'Corrected and Updated TSF 1'!CS54</f>
        <v>418726.36533213634</v>
      </c>
      <c r="T54" s="769">
        <f>'Corrected and Updated TSF 1'!CU54</f>
        <v>3141084.5573249543</v>
      </c>
      <c r="U54" s="769">
        <f>'Corrected and Updated TSF 1'!CV54</f>
        <v>24352.79513982921</v>
      </c>
      <c r="V54" s="772">
        <f>'Corrected and Updated TSF 1'!CW54</f>
        <v>28232.956012616498</v>
      </c>
      <c r="W54" s="773">
        <f>'Corrected and Updated TSF 1'!CX54</f>
        <v>36470.655104810539</v>
      </c>
      <c r="X54" s="773">
        <f>'Corrected and Updated TSF 1'!CY54</f>
        <v>62197.238951617357</v>
      </c>
      <c r="Y54" s="1130">
        <f>'Corrected and Updated TSF 1'!CZ54</f>
        <v>255160.28257364413</v>
      </c>
      <c r="Z54" s="1130">
        <f>'Corrected and Updated TSF 1'!DA54</f>
        <v>100965.68085729262</v>
      </c>
      <c r="AA54" s="1130">
        <f>'Corrected and Updated TSF 1'!DB54</f>
        <v>72926.081286636385</v>
      </c>
      <c r="AB54" s="1130">
        <f>'Corrected and Updated TSF 1'!DC54</f>
        <v>55500.105202513136</v>
      </c>
      <c r="AC54" s="774">
        <f>K54-'Corrected and Updated TSF 1'!CJ54</f>
        <v>0</v>
      </c>
      <c r="AD54" s="774">
        <f>L54-SUM('Corrected and Updated TSF 1'!CK54:CL54)</f>
        <v>0</v>
      </c>
      <c r="AE54" s="1173">
        <f t="shared" si="6"/>
        <v>3155877.7342040357</v>
      </c>
      <c r="AF54" s="1174">
        <f>SUM(FORM!$V$19:$W$22)+SUM(FORM!$V$25:$W$28)+SUM(FORM!$V$31:$W$34)</f>
        <v>0</v>
      </c>
      <c r="AG54" s="1173">
        <f t="shared" si="7"/>
        <v>3155877.7342040357</v>
      </c>
      <c r="AH54" s="1173"/>
      <c r="AI54" s="714"/>
      <c r="AJ54" s="714"/>
      <c r="AK54" s="714"/>
      <c r="AL54" s="714"/>
      <c r="AM54" s="714"/>
      <c r="AN54" s="714"/>
      <c r="AO54" s="714"/>
      <c r="AP54" s="714"/>
      <c r="AQ54" s="760"/>
      <c r="AR54" s="760"/>
      <c r="AS54" s="760"/>
      <c r="AT54" s="760"/>
      <c r="AU54" s="760"/>
      <c r="AV54" s="760"/>
      <c r="AW54" s="760"/>
    </row>
    <row r="55" spans="1:49" s="119" customFormat="1" ht="12.75" hidden="1" customHeight="1">
      <c r="A55" s="767" t="str">
        <f t="shared" si="0"/>
        <v>5A</v>
      </c>
      <c r="B55" s="768" t="str">
        <f>'Corrected and Updated TSF 1'!ER55</f>
        <v>SOLD</v>
      </c>
      <c r="C55" s="757" t="str">
        <f>'Corrected and Updated TSF 1'!E55</f>
        <v>5th Floor</v>
      </c>
      <c r="D55" s="642" t="str">
        <f>'Corrected and Updated TSF 1'!M55</f>
        <v>Corner</v>
      </c>
      <c r="E55" s="642" t="str">
        <f>'Corrected and Updated TSF 1'!G55</f>
        <v>5A</v>
      </c>
      <c r="F55" s="758" t="str">
        <f>'Corrected and Updated TSF 1'!I55</f>
        <v>Studio Unit</v>
      </c>
      <c r="G55" s="769">
        <f>'Corrected and Updated TSF 1'!J55</f>
        <v>22</v>
      </c>
      <c r="H55" s="769">
        <f>'Corrected and Updated TSF 1'!CI55</f>
        <v>3184585.1522589116</v>
      </c>
      <c r="I55" s="770"/>
      <c r="J55" s="770">
        <f t="shared" si="1"/>
        <v>3184585.1522589116</v>
      </c>
      <c r="K55" s="769">
        <f>'Corrected and Updated TSF 1'!CJ55</f>
        <v>0</v>
      </c>
      <c r="L55" s="769">
        <f>SUM('Corrected and Updated TSF 1'!CK55:CL55)</f>
        <v>437880.45843560033</v>
      </c>
      <c r="M55" s="769">
        <f t="shared" si="2"/>
        <v>3622465.6106945118</v>
      </c>
      <c r="N55" s="771">
        <f>'Corrected and Updated TSF 1'!CN55</f>
        <v>0.125</v>
      </c>
      <c r="O55" s="769">
        <f>'Corrected and Updated TSF 1'!CO55</f>
        <v>452808.20133681397</v>
      </c>
      <c r="P55" s="769">
        <f>'Corrected and Updated TSF 1'!CP55</f>
        <v>30000</v>
      </c>
      <c r="Q55" s="769">
        <f>'Corrected and Updated TSF 1'!CQ55</f>
        <v>422808.20133681397</v>
      </c>
      <c r="R55" s="425">
        <f>'Corrected and Updated TSF 1'!CR55</f>
        <v>1</v>
      </c>
      <c r="S55" s="769">
        <f>'Corrected and Updated TSF 1'!CS55</f>
        <v>422808.20133681397</v>
      </c>
      <c r="T55" s="769">
        <f>'Corrected and Updated TSF 1'!CU55</f>
        <v>3169657.4093576977</v>
      </c>
      <c r="U55" s="769">
        <f>'Corrected and Updated TSF 1'!CV55</f>
        <v>24574.320157515023</v>
      </c>
      <c r="V55" s="772">
        <f>'Corrected and Updated TSF 1'!CW55</f>
        <v>28489.776884475628</v>
      </c>
      <c r="W55" s="773">
        <f>'Corrected and Updated TSF 1'!CX55</f>
        <v>36802.410144456604</v>
      </c>
      <c r="X55" s="773">
        <f>'Corrected and Updated TSF 1'!CY55</f>
        <v>62763.015667581742</v>
      </c>
      <c r="Y55" s="1130">
        <f>'Corrected and Updated TSF 1'!CZ55</f>
        <v>257481.34616348229</v>
      </c>
      <c r="Z55" s="1130">
        <f>'Corrected and Updated TSF 1'!DA55</f>
        <v>101884.11441324168</v>
      </c>
      <c r="AA55" s="1130">
        <f>'Corrected and Updated TSF 1'!DB55</f>
        <v>73589.45283614521</v>
      </c>
      <c r="AB55" s="1130">
        <f>'Corrected and Updated TSF 1'!DC55</f>
        <v>56004.961491738162</v>
      </c>
      <c r="AC55" s="774">
        <f>K55-'Corrected and Updated TSF 1'!CJ55</f>
        <v>0</v>
      </c>
      <c r="AD55" s="774">
        <f>L55-SUM('Corrected and Updated TSF 1'!CK55:CL55)</f>
        <v>0</v>
      </c>
      <c r="AE55" s="1173">
        <f t="shared" si="6"/>
        <v>3184585.1522589116</v>
      </c>
      <c r="AF55" s="1174">
        <f>SUM(FORM!$V$19:$W$22)+SUM(FORM!$V$25:$W$28)+SUM(FORM!$V$31:$W$34)</f>
        <v>0</v>
      </c>
      <c r="AG55" s="1173">
        <f t="shared" si="7"/>
        <v>3184585.1522589116</v>
      </c>
      <c r="AH55" s="1173"/>
      <c r="AI55" s="714"/>
      <c r="AJ55" s="714"/>
      <c r="AK55" s="714"/>
      <c r="AL55" s="714"/>
      <c r="AM55" s="714"/>
      <c r="AN55" s="714"/>
      <c r="AO55" s="714"/>
      <c r="AP55" s="714"/>
      <c r="AQ55" s="760"/>
      <c r="AR55" s="760"/>
      <c r="AS55" s="760"/>
      <c r="AT55" s="760"/>
      <c r="AU55" s="760"/>
      <c r="AV55" s="760"/>
      <c r="AW55" s="760"/>
    </row>
    <row r="56" spans="1:49" s="119" customFormat="1" ht="12.75" hidden="1" customHeight="1">
      <c r="A56" s="767" t="str">
        <f t="shared" si="0"/>
        <v>5B</v>
      </c>
      <c r="B56" s="768" t="str">
        <f>'Corrected and Updated TSF 1'!ER56</f>
        <v>SOLD</v>
      </c>
      <c r="C56" s="757" t="str">
        <f>'Corrected and Updated TSF 1'!E56</f>
        <v>5th Floor</v>
      </c>
      <c r="D56" s="642" t="str">
        <f>'Corrected and Updated TSF 1'!M56</f>
        <v>End</v>
      </c>
      <c r="E56" s="642" t="str">
        <f>'Corrected and Updated TSF 1'!G56</f>
        <v>5B</v>
      </c>
      <c r="F56" s="758" t="str">
        <f>'Corrected and Updated TSF 1'!I56</f>
        <v>Studio Unit</v>
      </c>
      <c r="G56" s="769">
        <f>'Corrected and Updated TSF 1'!J56</f>
        <v>22</v>
      </c>
      <c r="H56" s="769">
        <f>'Corrected and Updated TSF 1'!CI56</f>
        <v>3134510.1846697927</v>
      </c>
      <c r="I56" s="770"/>
      <c r="J56" s="770">
        <f t="shared" si="1"/>
        <v>3134510.1846697927</v>
      </c>
      <c r="K56" s="769">
        <f>'Corrected and Updated TSF 1'!CJ56</f>
        <v>0</v>
      </c>
      <c r="L56" s="769">
        <f>SUM('Corrected and Updated TSF 1'!CK56:CL56)</f>
        <v>430995.15039209649</v>
      </c>
      <c r="M56" s="769">
        <f t="shared" si="2"/>
        <v>3565505.3350618891</v>
      </c>
      <c r="N56" s="771">
        <f>'Corrected and Updated TSF 1'!CN56</f>
        <v>0.125</v>
      </c>
      <c r="O56" s="769">
        <f>'Corrected and Updated TSF 1'!CO56</f>
        <v>445688.16688273614</v>
      </c>
      <c r="P56" s="769">
        <f>'Corrected and Updated TSF 1'!CP56</f>
        <v>30000</v>
      </c>
      <c r="Q56" s="769">
        <f>'Corrected and Updated TSF 1'!CQ56</f>
        <v>415688.16688273614</v>
      </c>
      <c r="R56" s="425">
        <f>'Corrected and Updated TSF 1'!CR56</f>
        <v>1</v>
      </c>
      <c r="S56" s="769">
        <f>'Corrected and Updated TSF 1'!CS56</f>
        <v>415688.16688273614</v>
      </c>
      <c r="T56" s="769">
        <f>'Corrected and Updated TSF 1'!CU56</f>
        <v>3119817.168179153</v>
      </c>
      <c r="U56" s="769">
        <f>'Corrected and Updated TSF 1'!CV56</f>
        <v>24187.90929814789</v>
      </c>
      <c r="V56" s="772">
        <f>'Corrected and Updated TSF 1'!CW56</f>
        <v>28041.798706501839</v>
      </c>
      <c r="W56" s="773">
        <f>'Corrected and Updated TSF 1'!CX56</f>
        <v>36223.722683743574</v>
      </c>
      <c r="X56" s="773">
        <f>'Corrected and Updated TSF 1'!CY56</f>
        <v>61776.119156706467</v>
      </c>
      <c r="Y56" s="1130">
        <f>'Corrected and Updated TSF 1'!CZ56</f>
        <v>253432.66495463048</v>
      </c>
      <c r="Z56" s="1130">
        <f>'Corrected and Updated TSF 1'!DA56</f>
        <v>100282.07098115752</v>
      </c>
      <c r="AA56" s="1130">
        <f>'Corrected and Updated TSF 1'!DB56</f>
        <v>72432.319555203707</v>
      </c>
      <c r="AB56" s="1130">
        <f>'Corrected and Updated TSF 1'!DC56</f>
        <v>55124.329793276789</v>
      </c>
      <c r="AC56" s="774">
        <f>K56-'Corrected and Updated TSF 1'!CJ56</f>
        <v>0</v>
      </c>
      <c r="AD56" s="774">
        <f>L56-SUM('Corrected and Updated TSF 1'!CK56:CL56)</f>
        <v>0</v>
      </c>
      <c r="AE56" s="1173">
        <f t="shared" si="6"/>
        <v>3134510.1846697927</v>
      </c>
      <c r="AF56" s="1174">
        <f>SUM(FORM!$V$19:$W$22)+SUM(FORM!$V$25:$W$28)+SUM(FORM!$V$31:$W$34)</f>
        <v>0</v>
      </c>
      <c r="AG56" s="1173">
        <f t="shared" si="7"/>
        <v>3134510.1846697927</v>
      </c>
      <c r="AH56" s="1173"/>
      <c r="AI56" s="714"/>
      <c r="AJ56" s="714"/>
      <c r="AK56" s="714"/>
      <c r="AL56" s="714"/>
      <c r="AM56" s="714"/>
      <c r="AN56" s="714"/>
      <c r="AO56" s="714"/>
      <c r="AP56" s="714"/>
      <c r="AQ56" s="760"/>
      <c r="AR56" s="760"/>
      <c r="AS56" s="760"/>
      <c r="AT56" s="760"/>
      <c r="AU56" s="760"/>
      <c r="AV56" s="760"/>
      <c r="AW56" s="760"/>
    </row>
    <row r="57" spans="1:49" s="119" customFormat="1" ht="12.75" hidden="1" customHeight="1">
      <c r="A57" s="767" t="str">
        <f t="shared" si="0"/>
        <v>5C</v>
      </c>
      <c r="B57" s="768" t="str">
        <f>'Corrected and Updated TSF 1'!ER57</f>
        <v>SOLD</v>
      </c>
      <c r="C57" s="757" t="str">
        <f>'Corrected and Updated TSF 1'!E57</f>
        <v>5th Floor</v>
      </c>
      <c r="D57" s="642" t="str">
        <f>'Corrected and Updated TSF 1'!M57</f>
        <v>End</v>
      </c>
      <c r="E57" s="642" t="str">
        <f>'Corrected and Updated TSF 1'!G57</f>
        <v>5C</v>
      </c>
      <c r="F57" s="758" t="str">
        <f>'Corrected and Updated TSF 1'!I57</f>
        <v>Studio Unit</v>
      </c>
      <c r="G57" s="769">
        <f>'Corrected and Updated TSF 1'!J57</f>
        <v>22</v>
      </c>
      <c r="H57" s="769">
        <f>'Corrected and Updated TSF 1'!CI57</f>
        <v>3134510.1846697927</v>
      </c>
      <c r="I57" s="770"/>
      <c r="J57" s="770">
        <f t="shared" si="1"/>
        <v>3134510.1846697927</v>
      </c>
      <c r="K57" s="769">
        <f>'Corrected and Updated TSF 1'!CJ57</f>
        <v>0</v>
      </c>
      <c r="L57" s="769">
        <f>SUM('Corrected and Updated TSF 1'!CK57:CL57)</f>
        <v>430995.15039209649</v>
      </c>
      <c r="M57" s="769">
        <f t="shared" si="2"/>
        <v>3565505.3350618891</v>
      </c>
      <c r="N57" s="771">
        <f>'Corrected and Updated TSF 1'!CN57</f>
        <v>0.125</v>
      </c>
      <c r="O57" s="769">
        <f>'Corrected and Updated TSF 1'!CO57</f>
        <v>445688.16688273614</v>
      </c>
      <c r="P57" s="769">
        <f>'Corrected and Updated TSF 1'!CP57</f>
        <v>30000</v>
      </c>
      <c r="Q57" s="769">
        <f>'Corrected and Updated TSF 1'!CQ57</f>
        <v>415688.16688273614</v>
      </c>
      <c r="R57" s="425">
        <f>'Corrected and Updated TSF 1'!CR57</f>
        <v>1</v>
      </c>
      <c r="S57" s="769">
        <f>'Corrected and Updated TSF 1'!CS57</f>
        <v>415688.16688273614</v>
      </c>
      <c r="T57" s="769">
        <f>'Corrected and Updated TSF 1'!CU57</f>
        <v>3119817.168179153</v>
      </c>
      <c r="U57" s="769">
        <f>'Corrected and Updated TSF 1'!CV57</f>
        <v>24187.90929814789</v>
      </c>
      <c r="V57" s="772">
        <f>'Corrected and Updated TSF 1'!CW57</f>
        <v>28041.798706501839</v>
      </c>
      <c r="W57" s="773">
        <f>'Corrected and Updated TSF 1'!CX57</f>
        <v>36223.722683743574</v>
      </c>
      <c r="X57" s="773">
        <f>'Corrected and Updated TSF 1'!CY57</f>
        <v>61776.119156706467</v>
      </c>
      <c r="Y57" s="1130">
        <f>'Corrected and Updated TSF 1'!CZ57</f>
        <v>253432.66495463048</v>
      </c>
      <c r="Z57" s="1130">
        <f>'Corrected and Updated TSF 1'!DA57</f>
        <v>100282.07098115752</v>
      </c>
      <c r="AA57" s="1130">
        <f>'Corrected and Updated TSF 1'!DB57</f>
        <v>72432.319555203707</v>
      </c>
      <c r="AB57" s="1130">
        <f>'Corrected and Updated TSF 1'!DC57</f>
        <v>55124.329793276789</v>
      </c>
      <c r="AC57" s="774">
        <f>K57-'Corrected and Updated TSF 1'!CJ57</f>
        <v>0</v>
      </c>
      <c r="AD57" s="774">
        <f>L57-SUM('Corrected and Updated TSF 1'!CK57:CL57)</f>
        <v>0</v>
      </c>
      <c r="AE57" s="1173">
        <f t="shared" si="6"/>
        <v>3134510.1846697927</v>
      </c>
      <c r="AF57" s="1174">
        <f>SUM(FORM!$V$19:$W$22)+SUM(FORM!$V$25:$W$28)+SUM(FORM!$V$31:$W$34)</f>
        <v>0</v>
      </c>
      <c r="AG57" s="1173">
        <f t="shared" si="7"/>
        <v>3134510.1846697927</v>
      </c>
      <c r="AH57" s="1173"/>
      <c r="AI57" s="714"/>
      <c r="AJ57" s="714"/>
      <c r="AK57" s="714"/>
      <c r="AL57" s="714"/>
      <c r="AM57" s="714"/>
      <c r="AN57" s="714"/>
      <c r="AO57" s="714"/>
      <c r="AP57" s="714"/>
      <c r="AQ57" s="552"/>
      <c r="AR57" s="552"/>
      <c r="AS57" s="552"/>
      <c r="AT57" s="552"/>
    </row>
    <row r="58" spans="1:49" s="119" customFormat="1" ht="12.75" hidden="1" customHeight="1">
      <c r="A58" s="767" t="str">
        <f t="shared" si="0"/>
        <v>5D</v>
      </c>
      <c r="B58" s="768" t="str">
        <f>'Corrected and Updated TSF 1'!ER58</f>
        <v>SOLD</v>
      </c>
      <c r="C58" s="757" t="str">
        <f>'Corrected and Updated TSF 1'!E58</f>
        <v>5th Floor</v>
      </c>
      <c r="D58" s="642" t="str">
        <f>'Corrected and Updated TSF 1'!M58</f>
        <v>End</v>
      </c>
      <c r="E58" s="642" t="str">
        <f>'Corrected and Updated TSF 1'!G58</f>
        <v>5D</v>
      </c>
      <c r="F58" s="758" t="str">
        <f>'Corrected and Updated TSF 1'!I58</f>
        <v>Studio Unit</v>
      </c>
      <c r="G58" s="769">
        <f>'Corrected and Updated TSF 1'!J58</f>
        <v>22</v>
      </c>
      <c r="H58" s="769">
        <f>'Corrected and Updated TSF 1'!CI58</f>
        <v>3134510.1846697927</v>
      </c>
      <c r="I58" s="770"/>
      <c r="J58" s="770">
        <f t="shared" si="1"/>
        <v>3134510.1846697927</v>
      </c>
      <c r="K58" s="769">
        <f>'Corrected and Updated TSF 1'!CJ58</f>
        <v>0</v>
      </c>
      <c r="L58" s="769">
        <f>SUM('Corrected and Updated TSF 1'!CK58:CL58)</f>
        <v>430995.15039209649</v>
      </c>
      <c r="M58" s="769">
        <f t="shared" si="2"/>
        <v>3565505.3350618891</v>
      </c>
      <c r="N58" s="771">
        <f>'Corrected and Updated TSF 1'!CN58</f>
        <v>0.125</v>
      </c>
      <c r="O58" s="769">
        <f>'Corrected and Updated TSF 1'!CO58</f>
        <v>445688.16688273614</v>
      </c>
      <c r="P58" s="769">
        <f>'Corrected and Updated TSF 1'!CP58</f>
        <v>30000</v>
      </c>
      <c r="Q58" s="769">
        <f>'Corrected and Updated TSF 1'!CQ58</f>
        <v>415688.16688273614</v>
      </c>
      <c r="R58" s="425">
        <f>'Corrected and Updated TSF 1'!CR58</f>
        <v>1</v>
      </c>
      <c r="S58" s="769">
        <f>'Corrected and Updated TSF 1'!CS58</f>
        <v>415688.16688273614</v>
      </c>
      <c r="T58" s="769">
        <f>'Corrected and Updated TSF 1'!CU58</f>
        <v>3119817.168179153</v>
      </c>
      <c r="U58" s="769">
        <f>'Corrected and Updated TSF 1'!CV58</f>
        <v>24187.90929814789</v>
      </c>
      <c r="V58" s="772">
        <f>'Corrected and Updated TSF 1'!CW58</f>
        <v>28041.798706501839</v>
      </c>
      <c r="W58" s="773">
        <f>'Corrected and Updated TSF 1'!CX58</f>
        <v>36223.722683743574</v>
      </c>
      <c r="X58" s="773">
        <f>'Corrected and Updated TSF 1'!CY58</f>
        <v>61776.119156706467</v>
      </c>
      <c r="Y58" s="1130">
        <f>'Corrected and Updated TSF 1'!CZ58</f>
        <v>253432.66495463048</v>
      </c>
      <c r="Z58" s="1130">
        <f>'Corrected and Updated TSF 1'!DA58</f>
        <v>100282.07098115752</v>
      </c>
      <c r="AA58" s="1130">
        <f>'Corrected and Updated TSF 1'!DB58</f>
        <v>72432.319555203707</v>
      </c>
      <c r="AB58" s="1130">
        <f>'Corrected and Updated TSF 1'!DC58</f>
        <v>55124.329793276789</v>
      </c>
      <c r="AC58" s="774">
        <f>K58-'Corrected and Updated TSF 1'!CJ58</f>
        <v>0</v>
      </c>
      <c r="AD58" s="774">
        <f>L58-SUM('Corrected and Updated TSF 1'!CK58:CL58)</f>
        <v>0</v>
      </c>
      <c r="AE58" s="1173">
        <f t="shared" si="6"/>
        <v>3134510.1846697927</v>
      </c>
      <c r="AF58" s="1174">
        <f>SUM(FORM!$V$19:$W$22)+SUM(FORM!$V$25:$W$28)+SUM(FORM!$V$31:$W$34)</f>
        <v>0</v>
      </c>
      <c r="AG58" s="1173">
        <f t="shared" si="7"/>
        <v>3134510.1846697927</v>
      </c>
      <c r="AH58" s="1173"/>
      <c r="AI58" s="714"/>
      <c r="AJ58" s="714"/>
      <c r="AK58" s="714"/>
      <c r="AL58" s="714"/>
      <c r="AM58" s="714"/>
      <c r="AN58" s="714"/>
      <c r="AO58" s="714"/>
      <c r="AP58" s="714"/>
      <c r="AQ58" s="552"/>
      <c r="AR58" s="552"/>
      <c r="AS58" s="552"/>
      <c r="AT58" s="552"/>
    </row>
    <row r="59" spans="1:49" s="119" customFormat="1" ht="12.75" hidden="1" customHeight="1">
      <c r="A59" s="767" t="str">
        <f t="shared" si="0"/>
        <v>5E</v>
      </c>
      <c r="B59" s="768" t="str">
        <f>'Corrected and Updated TSF 1'!ER59</f>
        <v>SOLD</v>
      </c>
      <c r="C59" s="757" t="str">
        <f>'Corrected and Updated TSF 1'!E59</f>
        <v>5th Floor</v>
      </c>
      <c r="D59" s="642" t="str">
        <f>'Corrected and Updated TSF 1'!M59</f>
        <v>End</v>
      </c>
      <c r="E59" s="642" t="str">
        <f>'Corrected and Updated TSF 1'!G59</f>
        <v>5E</v>
      </c>
      <c r="F59" s="758" t="str">
        <f>'Corrected and Updated TSF 1'!I59</f>
        <v>Studio Unit</v>
      </c>
      <c r="G59" s="769">
        <f>'Corrected and Updated TSF 1'!J59</f>
        <v>22</v>
      </c>
      <c r="H59" s="769">
        <f>'Corrected and Updated TSF 1'!CI59</f>
        <v>3134510.1846697927</v>
      </c>
      <c r="I59" s="770"/>
      <c r="J59" s="770">
        <f t="shared" si="1"/>
        <v>3134510.1846697927</v>
      </c>
      <c r="K59" s="769">
        <f>'Corrected and Updated TSF 1'!CJ59</f>
        <v>0</v>
      </c>
      <c r="L59" s="769">
        <f>SUM('Corrected and Updated TSF 1'!CK59:CL59)</f>
        <v>430995.15039209649</v>
      </c>
      <c r="M59" s="769">
        <f t="shared" si="2"/>
        <v>3565505.3350618891</v>
      </c>
      <c r="N59" s="771">
        <f>'Corrected and Updated TSF 1'!CN59</f>
        <v>0.125</v>
      </c>
      <c r="O59" s="769">
        <f>'Corrected and Updated TSF 1'!CO59</f>
        <v>445688.16688273614</v>
      </c>
      <c r="P59" s="769">
        <f>'Corrected and Updated TSF 1'!CP59</f>
        <v>30000</v>
      </c>
      <c r="Q59" s="769">
        <f>'Corrected and Updated TSF 1'!CQ59</f>
        <v>415688.16688273614</v>
      </c>
      <c r="R59" s="425">
        <f>'Corrected and Updated TSF 1'!CR59</f>
        <v>1</v>
      </c>
      <c r="S59" s="769">
        <f>'Corrected and Updated TSF 1'!CS59</f>
        <v>415688.16688273614</v>
      </c>
      <c r="T59" s="769">
        <f>'Corrected and Updated TSF 1'!CU59</f>
        <v>3119817.168179153</v>
      </c>
      <c r="U59" s="769">
        <f>'Corrected and Updated TSF 1'!CV59</f>
        <v>24187.90929814789</v>
      </c>
      <c r="V59" s="772">
        <f>'Corrected and Updated TSF 1'!CW59</f>
        <v>28041.798706501839</v>
      </c>
      <c r="W59" s="773">
        <f>'Corrected and Updated TSF 1'!CX59</f>
        <v>36223.722683743574</v>
      </c>
      <c r="X59" s="773">
        <f>'Corrected and Updated TSF 1'!CY59</f>
        <v>61776.119156706467</v>
      </c>
      <c r="Y59" s="1130">
        <f>'Corrected and Updated TSF 1'!CZ59</f>
        <v>253432.66495463048</v>
      </c>
      <c r="Z59" s="1130">
        <f>'Corrected and Updated TSF 1'!DA59</f>
        <v>100282.07098115752</v>
      </c>
      <c r="AA59" s="1130">
        <f>'Corrected and Updated TSF 1'!DB59</f>
        <v>72432.319555203707</v>
      </c>
      <c r="AB59" s="1130">
        <f>'Corrected and Updated TSF 1'!DC59</f>
        <v>55124.329793276789</v>
      </c>
      <c r="AC59" s="774">
        <f>K59-'Corrected and Updated TSF 1'!CJ59</f>
        <v>0</v>
      </c>
      <c r="AD59" s="774">
        <f>L59-SUM('Corrected and Updated TSF 1'!CK59:CL59)</f>
        <v>0</v>
      </c>
      <c r="AE59" s="1173">
        <f t="shared" si="6"/>
        <v>3134510.1846697927</v>
      </c>
      <c r="AF59" s="1174">
        <f>SUM(FORM!$V$19:$W$22)+SUM(FORM!$V$25:$W$28)+SUM(FORM!$V$31:$W$34)</f>
        <v>0</v>
      </c>
      <c r="AG59" s="1173">
        <f t="shared" si="7"/>
        <v>3134510.1846697927</v>
      </c>
      <c r="AH59" s="1173"/>
      <c r="AI59" s="714"/>
      <c r="AJ59" s="714"/>
      <c r="AK59" s="714"/>
      <c r="AL59" s="714"/>
      <c r="AM59" s="714"/>
      <c r="AN59" s="714"/>
      <c r="AO59" s="714"/>
      <c r="AP59" s="714"/>
      <c r="AQ59" s="552"/>
      <c r="AR59" s="552"/>
      <c r="AS59" s="552"/>
      <c r="AT59" s="552"/>
    </row>
    <row r="60" spans="1:49" s="119" customFormat="1" ht="12.75" hidden="1" customHeight="1">
      <c r="A60" s="767" t="str">
        <f t="shared" si="0"/>
        <v>5F</v>
      </c>
      <c r="B60" s="768" t="str">
        <f>'Corrected and Updated TSF 1'!ER60</f>
        <v>SOLD</v>
      </c>
      <c r="C60" s="757" t="str">
        <f>'Corrected and Updated TSF 1'!E60</f>
        <v>5th Floor</v>
      </c>
      <c r="D60" s="642" t="str">
        <f>'Corrected and Updated TSF 1'!M60</f>
        <v>Inner</v>
      </c>
      <c r="E60" s="642" t="str">
        <f>'Corrected and Updated TSF 1'!G60</f>
        <v>5F</v>
      </c>
      <c r="F60" s="758" t="str">
        <f>'Corrected and Updated TSF 1'!I60</f>
        <v>Studio Unit</v>
      </c>
      <c r="G60" s="769">
        <f>'Corrected and Updated TSF 1'!J60</f>
        <v>22</v>
      </c>
      <c r="H60" s="769">
        <f>'Corrected and Updated TSF 1'!CI60</f>
        <v>3102932.0248094299</v>
      </c>
      <c r="I60" s="770"/>
      <c r="J60" s="770">
        <f t="shared" si="1"/>
        <v>3102932.0248094299</v>
      </c>
      <c r="K60" s="769">
        <f>'Corrected and Updated TSF 1'!CJ60</f>
        <v>0</v>
      </c>
      <c r="L60" s="769">
        <f>SUM('Corrected and Updated TSF 1'!CK60:CL60)</f>
        <v>426653.1534112966</v>
      </c>
      <c r="M60" s="769">
        <f t="shared" si="2"/>
        <v>3529585.1782207265</v>
      </c>
      <c r="N60" s="771">
        <f>'Corrected and Updated TSF 1'!CN60</f>
        <v>0.125</v>
      </c>
      <c r="O60" s="769">
        <f>'Corrected and Updated TSF 1'!CO60</f>
        <v>441198.14727759082</v>
      </c>
      <c r="P60" s="769">
        <f>'Corrected and Updated TSF 1'!CP60</f>
        <v>30000</v>
      </c>
      <c r="Q60" s="769">
        <f>'Corrected and Updated TSF 1'!CQ60</f>
        <v>411198.14727759082</v>
      </c>
      <c r="R60" s="425">
        <f>'Corrected and Updated TSF 1'!CR60</f>
        <v>1</v>
      </c>
      <c r="S60" s="769">
        <f>'Corrected and Updated TSF 1'!CS60</f>
        <v>411198.14727759082</v>
      </c>
      <c r="T60" s="769">
        <f>'Corrected and Updated TSF 1'!CU60</f>
        <v>3088387.0309431357</v>
      </c>
      <c r="U60" s="769">
        <f>'Corrected and Updated TSF 1'!CV60</f>
        <v>23944.231778693495</v>
      </c>
      <c r="V60" s="772">
        <f>'Corrected and Updated TSF 1'!CW60</f>
        <v>27759.295747456799</v>
      </c>
      <c r="W60" s="773">
        <f>'Corrected and Updated TSF 1'!CX60</f>
        <v>35858.792140132915</v>
      </c>
      <c r="X60" s="773">
        <f>'Corrected and Updated TSF 1'!CY60</f>
        <v>61153.764769145651</v>
      </c>
      <c r="Y60" s="1130">
        <f>'Corrected and Updated TSF 1'!CZ60</f>
        <v>250879.4950058086</v>
      </c>
      <c r="Z60" s="1130">
        <f>'Corrected and Updated TSF 1'!DA60</f>
        <v>99271.794069613563</v>
      </c>
      <c r="AA60" s="1130">
        <f>'Corrected and Updated TSF 1'!DB60</f>
        <v>71702.610850744008</v>
      </c>
      <c r="AB60" s="1130">
        <f>'Corrected and Updated TSF 1'!DC60</f>
        <v>54568.987875129271</v>
      </c>
      <c r="AC60" s="774">
        <f>K60-'Corrected and Updated TSF 1'!CJ60</f>
        <v>0</v>
      </c>
      <c r="AD60" s="774">
        <f>L60-SUM('Corrected and Updated TSF 1'!CK60:CL60)</f>
        <v>0</v>
      </c>
      <c r="AE60" s="1173">
        <f t="shared" si="6"/>
        <v>3102932.0248094299</v>
      </c>
      <c r="AF60" s="1174">
        <f>SUM(FORM!$V$19:$W$22)+SUM(FORM!$V$25:$W$28)+SUM(FORM!$V$31:$W$34)</f>
        <v>0</v>
      </c>
      <c r="AG60" s="1173">
        <f t="shared" si="7"/>
        <v>3102932.0248094299</v>
      </c>
      <c r="AH60" s="1173"/>
      <c r="AI60" s="714"/>
      <c r="AJ60" s="714"/>
      <c r="AK60" s="714"/>
      <c r="AL60" s="714"/>
      <c r="AM60" s="714"/>
      <c r="AN60" s="714"/>
      <c r="AO60" s="714"/>
      <c r="AP60" s="714"/>
      <c r="AQ60" s="552"/>
      <c r="AR60" s="552"/>
      <c r="AS60" s="552"/>
      <c r="AT60" s="552"/>
    </row>
    <row r="61" spans="1:49" s="119" customFormat="1" ht="12.75" hidden="1" customHeight="1">
      <c r="A61" s="767" t="str">
        <f t="shared" si="0"/>
        <v>5G</v>
      </c>
      <c r="B61" s="768" t="str">
        <f>'Corrected and Updated TSF 1'!ER61</f>
        <v>SOLD</v>
      </c>
      <c r="C61" s="757" t="str">
        <f>'Corrected and Updated TSF 1'!E61</f>
        <v>5th Floor</v>
      </c>
      <c r="D61" s="642" t="str">
        <f>'Corrected and Updated TSF 1'!M61</f>
        <v>End</v>
      </c>
      <c r="E61" s="642" t="str">
        <f>'Corrected and Updated TSF 1'!G61</f>
        <v>5G</v>
      </c>
      <c r="F61" s="758" t="str">
        <f>'Corrected and Updated TSF 1'!I61</f>
        <v>Studio Unit</v>
      </c>
      <c r="G61" s="769">
        <f>'Corrected and Updated TSF 1'!J61</f>
        <v>22</v>
      </c>
      <c r="H61" s="769">
        <f>'Corrected and Updated TSF 1'!CI61</f>
        <v>3134510.1846697927</v>
      </c>
      <c r="I61" s="770"/>
      <c r="J61" s="770">
        <f t="shared" si="1"/>
        <v>3134510.1846697927</v>
      </c>
      <c r="K61" s="769">
        <f>'Corrected and Updated TSF 1'!CJ61</f>
        <v>0</v>
      </c>
      <c r="L61" s="769">
        <f>SUM('Corrected and Updated TSF 1'!CK61:CL61)</f>
        <v>430995.15039209649</v>
      </c>
      <c r="M61" s="769">
        <f t="shared" si="2"/>
        <v>3565505.3350618891</v>
      </c>
      <c r="N61" s="771">
        <f>'Corrected and Updated TSF 1'!CN61</f>
        <v>0.125</v>
      </c>
      <c r="O61" s="769">
        <f>'Corrected and Updated TSF 1'!CO61</f>
        <v>445688.16688273614</v>
      </c>
      <c r="P61" s="769">
        <f>'Corrected and Updated TSF 1'!CP61</f>
        <v>30000</v>
      </c>
      <c r="Q61" s="769">
        <f>'Corrected and Updated TSF 1'!CQ61</f>
        <v>415688.16688273614</v>
      </c>
      <c r="R61" s="425">
        <f>'Corrected and Updated TSF 1'!CR61</f>
        <v>1</v>
      </c>
      <c r="S61" s="769">
        <f>'Corrected and Updated TSF 1'!CS61</f>
        <v>415688.16688273614</v>
      </c>
      <c r="T61" s="769">
        <f>'Corrected and Updated TSF 1'!CU61</f>
        <v>3119817.168179153</v>
      </c>
      <c r="U61" s="769">
        <f>'Corrected and Updated TSF 1'!CV61</f>
        <v>24187.90929814789</v>
      </c>
      <c r="V61" s="772">
        <f>'Corrected and Updated TSF 1'!CW61</f>
        <v>28041.798706501839</v>
      </c>
      <c r="W61" s="773">
        <f>'Corrected and Updated TSF 1'!CX61</f>
        <v>36223.722683743574</v>
      </c>
      <c r="X61" s="773">
        <f>'Corrected and Updated TSF 1'!CY61</f>
        <v>61776.119156706467</v>
      </c>
      <c r="Y61" s="1130">
        <f>'Corrected and Updated TSF 1'!CZ61</f>
        <v>253432.66495463048</v>
      </c>
      <c r="Z61" s="1130">
        <f>'Corrected and Updated TSF 1'!DA61</f>
        <v>100282.07098115752</v>
      </c>
      <c r="AA61" s="1130">
        <f>'Corrected and Updated TSF 1'!DB61</f>
        <v>72432.319555203707</v>
      </c>
      <c r="AB61" s="1130">
        <f>'Corrected and Updated TSF 1'!DC61</f>
        <v>55124.329793276789</v>
      </c>
      <c r="AC61" s="774">
        <f>K61-'Corrected and Updated TSF 1'!CJ61</f>
        <v>0</v>
      </c>
      <c r="AD61" s="774">
        <f>L61-SUM('Corrected and Updated TSF 1'!CK61:CL61)</f>
        <v>0</v>
      </c>
      <c r="AE61" s="1173">
        <f t="shared" si="6"/>
        <v>3134510.1846697927</v>
      </c>
      <c r="AF61" s="1174">
        <f>SUM(FORM!$V$19:$W$22)+SUM(FORM!$V$25:$W$28)+SUM(FORM!$V$31:$W$34)</f>
        <v>0</v>
      </c>
      <c r="AG61" s="1173">
        <f t="shared" si="7"/>
        <v>3134510.1846697927</v>
      </c>
      <c r="AH61" s="1173"/>
      <c r="AI61" s="714"/>
      <c r="AJ61" s="714"/>
      <c r="AK61" s="714"/>
      <c r="AL61" s="714"/>
      <c r="AM61" s="714"/>
      <c r="AN61" s="714"/>
      <c r="AO61" s="714"/>
      <c r="AP61" s="714"/>
      <c r="AQ61" s="552"/>
      <c r="AR61" s="552"/>
      <c r="AS61" s="552"/>
      <c r="AT61" s="552"/>
    </row>
    <row r="62" spans="1:49" s="119" customFormat="1" ht="12.75" hidden="1" customHeight="1">
      <c r="A62" s="767" t="str">
        <f t="shared" si="0"/>
        <v>5H</v>
      </c>
      <c r="B62" s="768" t="str">
        <f>'Corrected and Updated TSF 1'!ER62</f>
        <v>SOLD</v>
      </c>
      <c r="C62" s="757" t="str">
        <f>'Corrected and Updated TSF 1'!E62</f>
        <v>5th Floor</v>
      </c>
      <c r="D62" s="642" t="str">
        <f>'Corrected and Updated TSF 1'!M62</f>
        <v>Corner</v>
      </c>
      <c r="E62" s="642" t="str">
        <f>'Corrected and Updated TSF 1'!G62</f>
        <v>5H</v>
      </c>
      <c r="F62" s="758" t="str">
        <f>'Corrected and Updated TSF 1'!I62</f>
        <v>Studio Unit</v>
      </c>
      <c r="G62" s="769">
        <f>'Corrected and Updated TSF 1'!J62</f>
        <v>22</v>
      </c>
      <c r="H62" s="769">
        <f>'Corrected and Updated TSF 1'!CI62</f>
        <v>3184585.1522589116</v>
      </c>
      <c r="I62" s="770"/>
      <c r="J62" s="770">
        <f t="shared" si="1"/>
        <v>3184585.1522589116</v>
      </c>
      <c r="K62" s="769">
        <f>'Corrected and Updated TSF 1'!CJ62</f>
        <v>0</v>
      </c>
      <c r="L62" s="769">
        <f>SUM('Corrected and Updated TSF 1'!CK62:CL62)</f>
        <v>437880.45843560033</v>
      </c>
      <c r="M62" s="769">
        <f t="shared" si="2"/>
        <v>3622465.6106945118</v>
      </c>
      <c r="N62" s="771">
        <f>'Corrected and Updated TSF 1'!CN62</f>
        <v>0.125</v>
      </c>
      <c r="O62" s="769">
        <f>'Corrected and Updated TSF 1'!CO62</f>
        <v>452808.20133681397</v>
      </c>
      <c r="P62" s="769">
        <f>'Corrected and Updated TSF 1'!CP62</f>
        <v>30000</v>
      </c>
      <c r="Q62" s="769">
        <f>'Corrected and Updated TSF 1'!CQ62</f>
        <v>422808.20133681397</v>
      </c>
      <c r="R62" s="425">
        <f>'Corrected and Updated TSF 1'!CR62</f>
        <v>1</v>
      </c>
      <c r="S62" s="769">
        <f>'Corrected and Updated TSF 1'!CS62</f>
        <v>422808.20133681397</v>
      </c>
      <c r="T62" s="769">
        <f>'Corrected and Updated TSF 1'!CU62</f>
        <v>3169657.4093576977</v>
      </c>
      <c r="U62" s="769">
        <f>'Corrected and Updated TSF 1'!CV62</f>
        <v>24574.320157515023</v>
      </c>
      <c r="V62" s="772">
        <f>'Corrected and Updated TSF 1'!CW62</f>
        <v>28489.776884475628</v>
      </c>
      <c r="W62" s="773">
        <f>'Corrected and Updated TSF 1'!CX62</f>
        <v>36802.410144456604</v>
      </c>
      <c r="X62" s="773">
        <f>'Corrected and Updated TSF 1'!CY62</f>
        <v>62763.015667581742</v>
      </c>
      <c r="Y62" s="1130">
        <f>'Corrected and Updated TSF 1'!CZ62</f>
        <v>257481.34616348229</v>
      </c>
      <c r="Z62" s="1130">
        <f>'Corrected and Updated TSF 1'!DA62</f>
        <v>101884.11441324168</v>
      </c>
      <c r="AA62" s="1130">
        <f>'Corrected and Updated TSF 1'!DB62</f>
        <v>73589.45283614521</v>
      </c>
      <c r="AB62" s="1130">
        <f>'Corrected and Updated TSF 1'!DC62</f>
        <v>56004.961491738162</v>
      </c>
      <c r="AC62" s="774">
        <f>K62-'Corrected and Updated TSF 1'!CJ62</f>
        <v>0</v>
      </c>
      <c r="AD62" s="774">
        <f>L62-SUM('Corrected and Updated TSF 1'!CK62:CL62)</f>
        <v>0</v>
      </c>
      <c r="AE62" s="1173">
        <f t="shared" si="6"/>
        <v>3184585.1522589116</v>
      </c>
      <c r="AF62" s="1174">
        <f>SUM(FORM!$V$19:$W$22)+SUM(FORM!$V$25:$W$28)+SUM(FORM!$V$31:$W$34)</f>
        <v>0</v>
      </c>
      <c r="AG62" s="1173">
        <f t="shared" si="7"/>
        <v>3184585.1522589116</v>
      </c>
      <c r="AH62" s="1173"/>
      <c r="AI62" s="714"/>
      <c r="AJ62" s="714"/>
      <c r="AK62" s="714"/>
      <c r="AL62" s="714"/>
      <c r="AM62" s="714"/>
      <c r="AN62" s="714"/>
      <c r="AO62" s="714"/>
      <c r="AP62" s="714"/>
      <c r="AQ62" s="760"/>
      <c r="AR62" s="760"/>
      <c r="AS62" s="760"/>
      <c r="AT62" s="760"/>
      <c r="AU62" s="760"/>
      <c r="AV62" s="760"/>
      <c r="AW62" s="760"/>
    </row>
    <row r="63" spans="1:49" s="119" customFormat="1" ht="12.75" hidden="1" customHeight="1">
      <c r="A63" s="767" t="str">
        <f t="shared" si="0"/>
        <v>5I</v>
      </c>
      <c r="B63" s="768" t="str">
        <f>'Corrected and Updated TSF 1'!ER63</f>
        <v>SOLD</v>
      </c>
      <c r="C63" s="757" t="str">
        <f>'Corrected and Updated TSF 1'!E63</f>
        <v>5th Floor</v>
      </c>
      <c r="D63" s="642" t="str">
        <f>'Corrected and Updated TSF 1'!M63</f>
        <v>Inner</v>
      </c>
      <c r="E63" s="642" t="str">
        <f>'Corrected and Updated TSF 1'!G63</f>
        <v>5I</v>
      </c>
      <c r="F63" s="758" t="str">
        <f>'Corrected and Updated TSF 1'!I63</f>
        <v>Studio Unit</v>
      </c>
      <c r="G63" s="769">
        <f>'Corrected and Updated TSF 1'!J63</f>
        <v>22</v>
      </c>
      <c r="H63" s="769">
        <f>'Corrected and Updated TSF 1'!CI63</f>
        <v>3102932.0248094299</v>
      </c>
      <c r="I63" s="770"/>
      <c r="J63" s="770">
        <f t="shared" si="1"/>
        <v>3102932.0248094299</v>
      </c>
      <c r="K63" s="769">
        <f>'Corrected and Updated TSF 1'!CJ63</f>
        <v>0</v>
      </c>
      <c r="L63" s="769">
        <f>SUM('Corrected and Updated TSF 1'!CK63:CL63)</f>
        <v>426653.1534112966</v>
      </c>
      <c r="M63" s="769">
        <f t="shared" si="2"/>
        <v>3529585.1782207265</v>
      </c>
      <c r="N63" s="771">
        <f>'Corrected and Updated TSF 1'!CN63</f>
        <v>0.125</v>
      </c>
      <c r="O63" s="769">
        <f>'Corrected and Updated TSF 1'!CO63</f>
        <v>441198.14727759082</v>
      </c>
      <c r="P63" s="769">
        <f>'Corrected and Updated TSF 1'!CP63</f>
        <v>30000</v>
      </c>
      <c r="Q63" s="769">
        <f>'Corrected and Updated TSF 1'!CQ63</f>
        <v>411198.14727759082</v>
      </c>
      <c r="R63" s="425">
        <f>'Corrected and Updated TSF 1'!CR63</f>
        <v>1</v>
      </c>
      <c r="S63" s="769">
        <f>'Corrected and Updated TSF 1'!CS63</f>
        <v>411198.14727759082</v>
      </c>
      <c r="T63" s="769">
        <f>'Corrected and Updated TSF 1'!CU63</f>
        <v>3088387.0309431357</v>
      </c>
      <c r="U63" s="769">
        <f>'Corrected and Updated TSF 1'!CV63</f>
        <v>23944.231778693495</v>
      </c>
      <c r="V63" s="772">
        <f>'Corrected and Updated TSF 1'!CW63</f>
        <v>27759.295747456799</v>
      </c>
      <c r="W63" s="773">
        <f>'Corrected and Updated TSF 1'!CX63</f>
        <v>35858.792140132915</v>
      </c>
      <c r="X63" s="773">
        <f>'Corrected and Updated TSF 1'!CY63</f>
        <v>61153.764769145651</v>
      </c>
      <c r="Y63" s="1130">
        <f>'Corrected and Updated TSF 1'!CZ63</f>
        <v>250879.4950058086</v>
      </c>
      <c r="Z63" s="1130">
        <f>'Corrected and Updated TSF 1'!DA63</f>
        <v>99271.794069613563</v>
      </c>
      <c r="AA63" s="1130">
        <f>'Corrected and Updated TSF 1'!DB63</f>
        <v>71702.610850744008</v>
      </c>
      <c r="AB63" s="1130">
        <f>'Corrected and Updated TSF 1'!DC63</f>
        <v>54568.987875129271</v>
      </c>
      <c r="AC63" s="774">
        <f>K63-'Corrected and Updated TSF 1'!CJ63</f>
        <v>0</v>
      </c>
      <c r="AD63" s="774">
        <f>L63-SUM('Corrected and Updated TSF 1'!CK63:CL63)</f>
        <v>0</v>
      </c>
      <c r="AE63" s="1173">
        <f t="shared" si="6"/>
        <v>3102932.0248094299</v>
      </c>
      <c r="AF63" s="1174">
        <f>SUM(FORM!$V$19:$W$22)+SUM(FORM!$V$25:$W$28)+SUM(FORM!$V$31:$W$34)</f>
        <v>0</v>
      </c>
      <c r="AG63" s="1173">
        <f t="shared" si="7"/>
        <v>3102932.0248094299</v>
      </c>
      <c r="AH63" s="1173"/>
      <c r="AI63" s="714"/>
      <c r="AJ63" s="714"/>
      <c r="AK63" s="714"/>
      <c r="AL63" s="714"/>
      <c r="AM63" s="714"/>
      <c r="AN63" s="714"/>
      <c r="AO63" s="714"/>
      <c r="AP63" s="714"/>
      <c r="AQ63" s="760"/>
      <c r="AR63" s="760"/>
      <c r="AS63" s="760"/>
      <c r="AT63" s="760"/>
      <c r="AU63" s="760"/>
      <c r="AV63" s="760"/>
      <c r="AW63" s="760"/>
    </row>
    <row r="64" spans="1:49" s="119" customFormat="1" ht="12.75" hidden="1" customHeight="1">
      <c r="A64" s="767" t="str">
        <f t="shared" si="0"/>
        <v>5J</v>
      </c>
      <c r="B64" s="768" t="str">
        <f>'Corrected and Updated TSF 1'!ER64</f>
        <v>SOLD</v>
      </c>
      <c r="C64" s="757" t="str">
        <f>'Corrected and Updated TSF 1'!E64</f>
        <v>5th Floor</v>
      </c>
      <c r="D64" s="642" t="str">
        <f>'Corrected and Updated TSF 1'!M64</f>
        <v>Inner</v>
      </c>
      <c r="E64" s="642" t="str">
        <f>'Corrected and Updated TSF 1'!G64</f>
        <v>5J</v>
      </c>
      <c r="F64" s="758" t="str">
        <f>'Corrected and Updated TSF 1'!I64</f>
        <v>Studio Unit</v>
      </c>
      <c r="G64" s="769">
        <f>'Corrected and Updated TSF 1'!J64</f>
        <v>22</v>
      </c>
      <c r="H64" s="769">
        <f>'Corrected and Updated TSF 1'!CI64</f>
        <v>3102932.0248094299</v>
      </c>
      <c r="I64" s="770"/>
      <c r="J64" s="770">
        <f t="shared" si="1"/>
        <v>3102932.0248094299</v>
      </c>
      <c r="K64" s="769">
        <f>'Corrected and Updated TSF 1'!CJ64</f>
        <v>0</v>
      </c>
      <c r="L64" s="769">
        <f>SUM('Corrected and Updated TSF 1'!CK64:CL64)</f>
        <v>426653.1534112966</v>
      </c>
      <c r="M64" s="769">
        <f t="shared" si="2"/>
        <v>3529585.1782207265</v>
      </c>
      <c r="N64" s="771">
        <f>'Corrected and Updated TSF 1'!CN64</f>
        <v>0.125</v>
      </c>
      <c r="O64" s="769">
        <f>'Corrected and Updated TSF 1'!CO64</f>
        <v>441198.14727759082</v>
      </c>
      <c r="P64" s="769">
        <f>'Corrected and Updated TSF 1'!CP64</f>
        <v>30000</v>
      </c>
      <c r="Q64" s="769">
        <f>'Corrected and Updated TSF 1'!CQ64</f>
        <v>411198.14727759082</v>
      </c>
      <c r="R64" s="425">
        <f>'Corrected and Updated TSF 1'!CR64</f>
        <v>1</v>
      </c>
      <c r="S64" s="769">
        <f>'Corrected and Updated TSF 1'!CS64</f>
        <v>411198.14727759082</v>
      </c>
      <c r="T64" s="769">
        <f>'Corrected and Updated TSF 1'!CU64</f>
        <v>3088387.0309431357</v>
      </c>
      <c r="U64" s="769">
        <f>'Corrected and Updated TSF 1'!CV64</f>
        <v>23944.231778693495</v>
      </c>
      <c r="V64" s="772">
        <f>'Corrected and Updated TSF 1'!CW64</f>
        <v>27759.295747456799</v>
      </c>
      <c r="W64" s="773">
        <f>'Corrected and Updated TSF 1'!CX64</f>
        <v>35858.792140132915</v>
      </c>
      <c r="X64" s="773">
        <f>'Corrected and Updated TSF 1'!CY64</f>
        <v>61153.764769145651</v>
      </c>
      <c r="Y64" s="1130">
        <f>'Corrected and Updated TSF 1'!CZ64</f>
        <v>250879.4950058086</v>
      </c>
      <c r="Z64" s="1130">
        <f>'Corrected and Updated TSF 1'!DA64</f>
        <v>99271.794069613563</v>
      </c>
      <c r="AA64" s="1130">
        <f>'Corrected and Updated TSF 1'!DB64</f>
        <v>71702.610850744008</v>
      </c>
      <c r="AB64" s="1130">
        <f>'Corrected and Updated TSF 1'!DC64</f>
        <v>54568.987875129271</v>
      </c>
      <c r="AC64" s="774">
        <f>K64-'Corrected and Updated TSF 1'!CJ64</f>
        <v>0</v>
      </c>
      <c r="AD64" s="774">
        <f>L64-SUM('Corrected and Updated TSF 1'!CK64:CL64)</f>
        <v>0</v>
      </c>
      <c r="AE64" s="1173">
        <f t="shared" si="6"/>
        <v>3102932.0248094299</v>
      </c>
      <c r="AF64" s="1174">
        <f>SUM(FORM!$V$19:$W$22)+SUM(FORM!$V$25:$W$28)+SUM(FORM!$V$31:$W$34)</f>
        <v>0</v>
      </c>
      <c r="AG64" s="1173">
        <f t="shared" si="7"/>
        <v>3102932.0248094299</v>
      </c>
      <c r="AH64" s="1173"/>
      <c r="AI64" s="714"/>
      <c r="AJ64" s="714"/>
      <c r="AK64" s="714"/>
      <c r="AL64" s="714"/>
      <c r="AM64" s="714"/>
      <c r="AN64" s="714"/>
      <c r="AO64" s="714"/>
      <c r="AP64" s="714"/>
      <c r="AQ64" s="552"/>
      <c r="AR64" s="552"/>
      <c r="AS64" s="552"/>
      <c r="AT64" s="552"/>
    </row>
    <row r="65" spans="1:49" s="119" customFormat="1" ht="12.75" hidden="1" customHeight="1">
      <c r="A65" s="767" t="str">
        <f t="shared" si="0"/>
        <v>5K</v>
      </c>
      <c r="B65" s="768" t="str">
        <f>'Corrected and Updated TSF 1'!ER65</f>
        <v>SOLD</v>
      </c>
      <c r="C65" s="757" t="str">
        <f>'Corrected and Updated TSF 1'!E65</f>
        <v>5th Floor</v>
      </c>
      <c r="D65" s="642" t="str">
        <f>'Corrected and Updated TSF 1'!M65</f>
        <v>Inner</v>
      </c>
      <c r="E65" s="642" t="str">
        <f>'Corrected and Updated TSF 1'!G65</f>
        <v>5K</v>
      </c>
      <c r="F65" s="758" t="str">
        <f>'Corrected and Updated TSF 1'!I65</f>
        <v>Studio Unit</v>
      </c>
      <c r="G65" s="769">
        <f>'Corrected and Updated TSF 1'!J65</f>
        <v>22</v>
      </c>
      <c r="H65" s="769">
        <f>'Corrected and Updated TSF 1'!CI65</f>
        <v>3102932.0248094299</v>
      </c>
      <c r="I65" s="770"/>
      <c r="J65" s="770">
        <f t="shared" si="1"/>
        <v>3102932.0248094299</v>
      </c>
      <c r="K65" s="769">
        <f>'Corrected and Updated TSF 1'!CJ65</f>
        <v>0</v>
      </c>
      <c r="L65" s="769">
        <f>SUM('Corrected and Updated TSF 1'!CK65:CL65)</f>
        <v>426653.1534112966</v>
      </c>
      <c r="M65" s="769">
        <f t="shared" si="2"/>
        <v>3529585.1782207265</v>
      </c>
      <c r="N65" s="771">
        <f>'Corrected and Updated TSF 1'!CN65</f>
        <v>0.125</v>
      </c>
      <c r="O65" s="769">
        <f>'Corrected and Updated TSF 1'!CO65</f>
        <v>441198.14727759082</v>
      </c>
      <c r="P65" s="769">
        <f>'Corrected and Updated TSF 1'!CP65</f>
        <v>30000</v>
      </c>
      <c r="Q65" s="769">
        <f>'Corrected and Updated TSF 1'!CQ65</f>
        <v>411198.14727759082</v>
      </c>
      <c r="R65" s="425">
        <f>'Corrected and Updated TSF 1'!CR65</f>
        <v>1</v>
      </c>
      <c r="S65" s="769">
        <f>'Corrected and Updated TSF 1'!CS65</f>
        <v>411198.14727759082</v>
      </c>
      <c r="T65" s="769">
        <f>'Corrected and Updated TSF 1'!CU65</f>
        <v>3088387.0309431357</v>
      </c>
      <c r="U65" s="769">
        <f>'Corrected and Updated TSF 1'!CV65</f>
        <v>23944.231778693495</v>
      </c>
      <c r="V65" s="772">
        <f>'Corrected and Updated TSF 1'!CW65</f>
        <v>27759.295747456799</v>
      </c>
      <c r="W65" s="773">
        <f>'Corrected and Updated TSF 1'!CX65</f>
        <v>35858.792140132915</v>
      </c>
      <c r="X65" s="773">
        <f>'Corrected and Updated TSF 1'!CY65</f>
        <v>61153.764769145651</v>
      </c>
      <c r="Y65" s="1130">
        <f>'Corrected and Updated TSF 1'!CZ65</f>
        <v>250879.4950058086</v>
      </c>
      <c r="Z65" s="1130">
        <f>'Corrected and Updated TSF 1'!DA65</f>
        <v>99271.794069613563</v>
      </c>
      <c r="AA65" s="1130">
        <f>'Corrected and Updated TSF 1'!DB65</f>
        <v>71702.610850744008</v>
      </c>
      <c r="AB65" s="1130">
        <f>'Corrected and Updated TSF 1'!DC65</f>
        <v>54568.987875129271</v>
      </c>
      <c r="AC65" s="774">
        <f>K65-'Corrected and Updated TSF 1'!CJ65</f>
        <v>0</v>
      </c>
      <c r="AD65" s="774">
        <f>L65-SUM('Corrected and Updated TSF 1'!CK65:CL65)</f>
        <v>0</v>
      </c>
      <c r="AE65" s="1173">
        <f t="shared" si="6"/>
        <v>3102932.0248094299</v>
      </c>
      <c r="AF65" s="1174">
        <f>SUM(FORM!$V$19:$W$22)+SUM(FORM!$V$25:$W$28)+SUM(FORM!$V$31:$W$34)</f>
        <v>0</v>
      </c>
      <c r="AG65" s="1173">
        <f t="shared" si="7"/>
        <v>3102932.0248094299</v>
      </c>
      <c r="AH65" s="1173"/>
      <c r="AI65" s="714"/>
      <c r="AJ65" s="714"/>
      <c r="AK65" s="714"/>
      <c r="AL65" s="714"/>
      <c r="AM65" s="714"/>
      <c r="AN65" s="714"/>
      <c r="AO65" s="714"/>
      <c r="AP65" s="714"/>
      <c r="AQ65" s="760"/>
      <c r="AR65" s="760"/>
      <c r="AS65" s="760"/>
      <c r="AT65" s="760"/>
      <c r="AU65" s="760"/>
      <c r="AV65" s="760"/>
      <c r="AW65" s="760"/>
    </row>
    <row r="66" spans="1:49" s="119" customFormat="1" ht="12.75" hidden="1" customHeight="1">
      <c r="A66" s="767" t="str">
        <f t="shared" si="0"/>
        <v>5L</v>
      </c>
      <c r="B66" s="768" t="str">
        <f>'Corrected and Updated TSF 1'!ER66</f>
        <v>SOLD</v>
      </c>
      <c r="C66" s="757" t="str">
        <f>'Corrected and Updated TSF 1'!E66</f>
        <v>5th Floor</v>
      </c>
      <c r="D66" s="642" t="str">
        <f>'Corrected and Updated TSF 1'!M66</f>
        <v>Inner</v>
      </c>
      <c r="E66" s="642" t="str">
        <f>'Corrected and Updated TSF 1'!G66</f>
        <v>5L</v>
      </c>
      <c r="F66" s="758" t="str">
        <f>'Corrected and Updated TSF 1'!I66</f>
        <v>Studio Unit</v>
      </c>
      <c r="G66" s="769">
        <f>'Corrected and Updated TSF 1'!J66</f>
        <v>22</v>
      </c>
      <c r="H66" s="769">
        <f>'Corrected and Updated TSF 1'!CI66</f>
        <v>3102932.0248094299</v>
      </c>
      <c r="I66" s="770"/>
      <c r="J66" s="770">
        <f t="shared" si="1"/>
        <v>3102932.0248094299</v>
      </c>
      <c r="K66" s="769">
        <f>'Corrected and Updated TSF 1'!CJ66</f>
        <v>0</v>
      </c>
      <c r="L66" s="769">
        <f>SUM('Corrected and Updated TSF 1'!CK66:CL66)</f>
        <v>426653.1534112966</v>
      </c>
      <c r="M66" s="769">
        <f t="shared" si="2"/>
        <v>3529585.1782207265</v>
      </c>
      <c r="N66" s="771">
        <f>'Corrected and Updated TSF 1'!CN66</f>
        <v>0.125</v>
      </c>
      <c r="O66" s="769">
        <f>'Corrected and Updated TSF 1'!CO66</f>
        <v>441198.14727759082</v>
      </c>
      <c r="P66" s="769">
        <f>'Corrected and Updated TSF 1'!CP66</f>
        <v>30000</v>
      </c>
      <c r="Q66" s="769">
        <f>'Corrected and Updated TSF 1'!CQ66</f>
        <v>411198.14727759082</v>
      </c>
      <c r="R66" s="425">
        <f>'Corrected and Updated TSF 1'!CR66</f>
        <v>1</v>
      </c>
      <c r="S66" s="769">
        <f>'Corrected and Updated TSF 1'!CS66</f>
        <v>411198.14727759082</v>
      </c>
      <c r="T66" s="769">
        <f>'Corrected and Updated TSF 1'!CU66</f>
        <v>3088387.0309431357</v>
      </c>
      <c r="U66" s="769">
        <f>'Corrected and Updated TSF 1'!CV66</f>
        <v>23944.231778693495</v>
      </c>
      <c r="V66" s="772">
        <f>'Corrected and Updated TSF 1'!CW66</f>
        <v>27759.295747456799</v>
      </c>
      <c r="W66" s="773">
        <f>'Corrected and Updated TSF 1'!CX66</f>
        <v>35858.792140132915</v>
      </c>
      <c r="X66" s="773">
        <f>'Corrected and Updated TSF 1'!CY66</f>
        <v>61153.764769145651</v>
      </c>
      <c r="Y66" s="1130">
        <f>'Corrected and Updated TSF 1'!CZ66</f>
        <v>250879.4950058086</v>
      </c>
      <c r="Z66" s="1130">
        <f>'Corrected and Updated TSF 1'!DA66</f>
        <v>99271.794069613563</v>
      </c>
      <c r="AA66" s="1130">
        <f>'Corrected and Updated TSF 1'!DB66</f>
        <v>71702.610850744008</v>
      </c>
      <c r="AB66" s="1130">
        <f>'Corrected and Updated TSF 1'!DC66</f>
        <v>54568.987875129271</v>
      </c>
      <c r="AC66" s="774">
        <f>K66-'Corrected and Updated TSF 1'!CJ66</f>
        <v>0</v>
      </c>
      <c r="AD66" s="774">
        <f>L66-SUM('Corrected and Updated TSF 1'!CK66:CL66)</f>
        <v>0</v>
      </c>
      <c r="AE66" s="1173">
        <f t="shared" si="6"/>
        <v>3102932.0248094299</v>
      </c>
      <c r="AF66" s="1174">
        <f>SUM(FORM!$V$19:$W$22)+SUM(FORM!$V$25:$W$28)+SUM(FORM!$V$31:$W$34)</f>
        <v>0</v>
      </c>
      <c r="AG66" s="1173">
        <f t="shared" si="7"/>
        <v>3102932.0248094299</v>
      </c>
      <c r="AH66" s="1173"/>
      <c r="AI66" s="714"/>
      <c r="AJ66" s="714"/>
      <c r="AK66" s="714"/>
      <c r="AL66" s="714"/>
      <c r="AM66" s="714"/>
      <c r="AN66" s="714"/>
      <c r="AO66" s="714"/>
      <c r="AP66" s="714"/>
      <c r="AQ66" s="760"/>
      <c r="AR66" s="760"/>
      <c r="AS66" s="760"/>
      <c r="AT66" s="760"/>
      <c r="AU66" s="760"/>
      <c r="AV66" s="760"/>
      <c r="AW66" s="760"/>
    </row>
    <row r="67" spans="1:49" s="119" customFormat="1" ht="12.75" hidden="1" customHeight="1">
      <c r="A67" s="767" t="str">
        <f t="shared" si="0"/>
        <v>5M</v>
      </c>
      <c r="B67" s="768" t="str">
        <f>'Corrected and Updated TSF 1'!ER67</f>
        <v>SOLD</v>
      </c>
      <c r="C67" s="757" t="str">
        <f>'Corrected and Updated TSF 1'!E67</f>
        <v>5th Floor</v>
      </c>
      <c r="D67" s="642" t="str">
        <f>'Corrected and Updated TSF 1'!M67</f>
        <v>Inner</v>
      </c>
      <c r="E67" s="642" t="str">
        <f>'Corrected and Updated TSF 1'!G67</f>
        <v>5M</v>
      </c>
      <c r="F67" s="758" t="str">
        <f>'Corrected and Updated TSF 1'!I67</f>
        <v>Studio Unit</v>
      </c>
      <c r="G67" s="769">
        <f>'Corrected and Updated TSF 1'!J67</f>
        <v>22</v>
      </c>
      <c r="H67" s="769">
        <f>'Corrected and Updated TSF 1'!CI67</f>
        <v>3140481.7655751552</v>
      </c>
      <c r="I67" s="770"/>
      <c r="J67" s="770">
        <f t="shared" si="1"/>
        <v>3140481.7655751552</v>
      </c>
      <c r="K67" s="769">
        <f>'Corrected and Updated TSF 1'!CJ67</f>
        <v>0</v>
      </c>
      <c r="L67" s="769">
        <f>SUM('Corrected and Updated TSF 1'!CK67:CL67)</f>
        <v>431816.2427665838</v>
      </c>
      <c r="M67" s="769">
        <f t="shared" si="2"/>
        <v>3572298.008341739</v>
      </c>
      <c r="N67" s="771">
        <f>'Corrected and Updated TSF 1'!CN67</f>
        <v>0.125</v>
      </c>
      <c r="O67" s="769">
        <f>'Corrected and Updated TSF 1'!CO67</f>
        <v>446537.25104271743</v>
      </c>
      <c r="P67" s="769">
        <f>'Corrected and Updated TSF 1'!CP67</f>
        <v>30000</v>
      </c>
      <c r="Q67" s="769">
        <f>'Corrected and Updated TSF 1'!CQ67</f>
        <v>416537.25104271743</v>
      </c>
      <c r="R67" s="425">
        <f>'Corrected and Updated TSF 1'!CR67</f>
        <v>1</v>
      </c>
      <c r="S67" s="769">
        <f>'Corrected and Updated TSF 1'!CS67</f>
        <v>416537.25104271743</v>
      </c>
      <c r="T67" s="769">
        <f>'Corrected and Updated TSF 1'!CU67</f>
        <v>3125760.7572990218</v>
      </c>
      <c r="U67" s="769">
        <f>'Corrected and Updated TSF 1'!CV67</f>
        <v>24233.989881331789</v>
      </c>
      <c r="V67" s="772">
        <f>'Corrected and Updated TSF 1'!CW67</f>
        <v>28095.221365814527</v>
      </c>
      <c r="W67" s="773">
        <f>'Corrected and Updated TSF 1'!CX67</f>
        <v>36292.732793124407</v>
      </c>
      <c r="X67" s="773">
        <f>'Corrected and Updated TSF 1'!CY67</f>
        <v>61893.809344911242</v>
      </c>
      <c r="Y67" s="1130">
        <f>'Corrected and Updated TSF 1'!CZ67</f>
        <v>253915.48159062039</v>
      </c>
      <c r="Z67" s="1130">
        <f>'Corrected and Updated TSF 1'!DA67</f>
        <v>100473.11917208385</v>
      </c>
      <c r="AA67" s="1130">
        <f>'Corrected and Updated TSF 1'!DB67</f>
        <v>72570.310957657086</v>
      </c>
      <c r="AB67" s="1130">
        <f>'Corrected and Updated TSF 1'!DC67</f>
        <v>55229.347603339877</v>
      </c>
      <c r="AC67" s="774">
        <f>K67-'Corrected and Updated TSF 1'!CJ67</f>
        <v>0</v>
      </c>
      <c r="AD67" s="774">
        <f>L67-SUM('Corrected and Updated TSF 1'!CK67:CL67)</f>
        <v>0</v>
      </c>
      <c r="AE67" s="1173">
        <f t="shared" si="6"/>
        <v>3140481.7655751552</v>
      </c>
      <c r="AF67" s="1174">
        <f>SUM(FORM!$V$19:$W$22)+SUM(FORM!$V$25:$W$28)+SUM(FORM!$V$31:$W$34)</f>
        <v>0</v>
      </c>
      <c r="AG67" s="1173">
        <f t="shared" si="7"/>
        <v>3140481.7655751552</v>
      </c>
      <c r="AH67" s="1173"/>
      <c r="AI67" s="714"/>
      <c r="AJ67" s="714"/>
      <c r="AK67" s="714"/>
      <c r="AL67" s="714"/>
      <c r="AM67" s="714"/>
      <c r="AN67" s="714"/>
      <c r="AO67" s="714"/>
      <c r="AP67" s="714"/>
      <c r="AQ67" s="552"/>
      <c r="AR67" s="552"/>
      <c r="AS67" s="552"/>
      <c r="AT67" s="552"/>
    </row>
    <row r="68" spans="1:49" s="119" customFormat="1" ht="12.75" hidden="1" customHeight="1">
      <c r="A68" s="767" t="str">
        <f t="shared" si="0"/>
        <v>5N</v>
      </c>
      <c r="B68" s="768" t="str">
        <f>'Corrected and Updated TSF 1'!ER68</f>
        <v>SOLD</v>
      </c>
      <c r="C68" s="757" t="str">
        <f>'Corrected and Updated TSF 1'!E68</f>
        <v>5th Floor</v>
      </c>
      <c r="D68" s="642" t="str">
        <f>'Corrected and Updated TSF 1'!M68</f>
        <v>Inner</v>
      </c>
      <c r="E68" s="642" t="str">
        <f>'Corrected and Updated TSF 1'!G68</f>
        <v>5N</v>
      </c>
      <c r="F68" s="758" t="str">
        <f>'Corrected and Updated TSF 1'!I68</f>
        <v>Studio Unit</v>
      </c>
      <c r="G68" s="769">
        <f>'Corrected and Updated TSF 1'!J68</f>
        <v>22</v>
      </c>
      <c r="H68" s="769">
        <f>'Corrected and Updated TSF 1'!CI68</f>
        <v>3102932.0248094299</v>
      </c>
      <c r="I68" s="770"/>
      <c r="J68" s="770">
        <f t="shared" si="1"/>
        <v>3102932.0248094299</v>
      </c>
      <c r="K68" s="769">
        <f>'Corrected and Updated TSF 1'!CJ68</f>
        <v>0</v>
      </c>
      <c r="L68" s="769">
        <f>SUM('Corrected and Updated TSF 1'!CK68:CL68)</f>
        <v>426653.1534112966</v>
      </c>
      <c r="M68" s="769">
        <f t="shared" si="2"/>
        <v>3529585.1782207265</v>
      </c>
      <c r="N68" s="771">
        <f>'Corrected and Updated TSF 1'!CN68</f>
        <v>0.125</v>
      </c>
      <c r="O68" s="769">
        <f>'Corrected and Updated TSF 1'!CO68</f>
        <v>441198.14727759082</v>
      </c>
      <c r="P68" s="769">
        <f>'Corrected and Updated TSF 1'!CP68</f>
        <v>30000</v>
      </c>
      <c r="Q68" s="769">
        <f>'Corrected and Updated TSF 1'!CQ68</f>
        <v>411198.14727759082</v>
      </c>
      <c r="R68" s="425">
        <f>'Corrected and Updated TSF 1'!CR68</f>
        <v>1</v>
      </c>
      <c r="S68" s="769">
        <f>'Corrected and Updated TSF 1'!CS68</f>
        <v>411198.14727759082</v>
      </c>
      <c r="T68" s="769">
        <f>'Corrected and Updated TSF 1'!CU68</f>
        <v>3088387.0309431357</v>
      </c>
      <c r="U68" s="769">
        <f>'Corrected and Updated TSF 1'!CV68</f>
        <v>23944.231778693495</v>
      </c>
      <c r="V68" s="772">
        <f>'Corrected and Updated TSF 1'!CW68</f>
        <v>27759.295747456799</v>
      </c>
      <c r="W68" s="773">
        <f>'Corrected and Updated TSF 1'!CX68</f>
        <v>35858.792140132915</v>
      </c>
      <c r="X68" s="773">
        <f>'Corrected and Updated TSF 1'!CY68</f>
        <v>61153.764769145651</v>
      </c>
      <c r="Y68" s="1130">
        <f>'Corrected and Updated TSF 1'!CZ68</f>
        <v>250879.4950058086</v>
      </c>
      <c r="Z68" s="1130">
        <f>'Corrected and Updated TSF 1'!DA68</f>
        <v>99271.794069613563</v>
      </c>
      <c r="AA68" s="1130">
        <f>'Corrected and Updated TSF 1'!DB68</f>
        <v>71702.610850744008</v>
      </c>
      <c r="AB68" s="1130">
        <f>'Corrected and Updated TSF 1'!DC68</f>
        <v>54568.987875129271</v>
      </c>
      <c r="AC68" s="774">
        <f>K68-'Corrected and Updated TSF 1'!CJ68</f>
        <v>0</v>
      </c>
      <c r="AD68" s="774">
        <f>L68-SUM('Corrected and Updated TSF 1'!CK68:CL68)</f>
        <v>0</v>
      </c>
      <c r="AE68" s="1173">
        <f t="shared" si="6"/>
        <v>3102932.0248094299</v>
      </c>
      <c r="AF68" s="1174">
        <f>SUM(FORM!$V$19:$W$22)+SUM(FORM!$V$25:$W$28)+SUM(FORM!$V$31:$W$34)</f>
        <v>0</v>
      </c>
      <c r="AG68" s="1173">
        <f t="shared" si="7"/>
        <v>3102932.0248094299</v>
      </c>
      <c r="AH68" s="1173"/>
      <c r="AI68" s="714"/>
      <c r="AJ68" s="714"/>
      <c r="AK68" s="714"/>
      <c r="AL68" s="714"/>
      <c r="AM68" s="714"/>
      <c r="AN68" s="714"/>
      <c r="AO68" s="714"/>
      <c r="AP68" s="714"/>
      <c r="AQ68" s="552"/>
      <c r="AR68" s="552"/>
      <c r="AS68" s="552"/>
      <c r="AT68" s="552"/>
    </row>
    <row r="69" spans="1:49" s="119" customFormat="1" ht="12.75" customHeight="1">
      <c r="A69" s="767" t="str">
        <f t="shared" si="0"/>
        <v>5O</v>
      </c>
      <c r="B69" s="768" t="str">
        <f>'Corrected and Updated TSF 1'!ER69</f>
        <v>UNSOLD</v>
      </c>
      <c r="C69" s="757" t="str">
        <f>'Corrected and Updated TSF 1'!E69</f>
        <v>5th Floor</v>
      </c>
      <c r="D69" s="642" t="str">
        <f>'Corrected and Updated TSF 1'!M69</f>
        <v>Inner</v>
      </c>
      <c r="E69" s="642" t="str">
        <f>'Corrected and Updated TSF 1'!G69</f>
        <v>5O</v>
      </c>
      <c r="F69" s="758" t="str">
        <f>'Corrected and Updated TSF 1'!I69</f>
        <v>Studio Unit</v>
      </c>
      <c r="G69" s="769">
        <f>'Corrected and Updated TSF 1'!J69</f>
        <v>22</v>
      </c>
      <c r="H69" s="769">
        <f>'Corrected and Updated TSF 1'!CI69</f>
        <v>3137132.3618492372</v>
      </c>
      <c r="I69" s="770"/>
      <c r="J69" s="770">
        <f t="shared" si="1"/>
        <v>3137132.3618492372</v>
      </c>
      <c r="K69" s="769">
        <f>'Corrected and Updated TSF 1'!CJ69</f>
        <v>0</v>
      </c>
      <c r="L69" s="769">
        <f>SUM('Corrected and Updated TSF 1'!CK69:CL69)</f>
        <v>431355.69975427014</v>
      </c>
      <c r="M69" s="769">
        <f t="shared" si="2"/>
        <v>3568488.0616035075</v>
      </c>
      <c r="N69" s="771">
        <f>'Corrected and Updated TSF 1'!CN69</f>
        <v>0.125</v>
      </c>
      <c r="O69" s="769">
        <f>'Corrected and Updated TSF 1'!CO69</f>
        <v>446061.00770043844</v>
      </c>
      <c r="P69" s="769">
        <f>'Corrected and Updated TSF 1'!CP69</f>
        <v>30000</v>
      </c>
      <c r="Q69" s="769">
        <f>'Corrected and Updated TSF 1'!CQ69</f>
        <v>416061.00770043844</v>
      </c>
      <c r="R69" s="425">
        <f>'Corrected and Updated TSF 1'!CR69</f>
        <v>1</v>
      </c>
      <c r="S69" s="769">
        <f>'Corrected and Updated TSF 1'!CS69</f>
        <v>416061.00770043844</v>
      </c>
      <c r="T69" s="769">
        <f>'Corrected and Updated TSF 1'!CU69</f>
        <v>3122427.0539030689</v>
      </c>
      <c r="U69" s="769">
        <f>'Corrected and Updated TSF 1'!CV69</f>
        <v>24208.143714386279</v>
      </c>
      <c r="V69" s="772">
        <f>'Corrected and Updated TSF 1'!CW69</f>
        <v>28065.257097225334</v>
      </c>
      <c r="W69" s="773">
        <f>'Corrected and Updated TSF 1'!CX69</f>
        <v>36254.025669977404</v>
      </c>
      <c r="X69" s="773">
        <f>'Corrected and Updated TSF 1'!CY69</f>
        <v>61827.798022093346</v>
      </c>
      <c r="Y69" s="1130">
        <f>'Corrected and Updated TSF 1'!CZ69</f>
        <v>253644.67426754325</v>
      </c>
      <c r="Z69" s="1130">
        <f>'Corrected and Updated TSF 1'!DA69</f>
        <v>100365.96203352044</v>
      </c>
      <c r="AA69" s="1130">
        <f>'Corrected and Updated TSF 1'!DB69</f>
        <v>72492.912874160145</v>
      </c>
      <c r="AB69" s="1130">
        <f>'Corrected and Updated TSF 1'!DC69</f>
        <v>55170.444098574975</v>
      </c>
      <c r="AC69" s="774">
        <f>K69-'Corrected and Updated TSF 1'!CJ69</f>
        <v>0</v>
      </c>
      <c r="AD69" s="774">
        <f>L69-SUM('Corrected and Updated TSF 1'!CK69:CL69)</f>
        <v>0</v>
      </c>
      <c r="AE69" s="1173">
        <f t="shared" si="6"/>
        <v>3137132.3618492372</v>
      </c>
      <c r="AF69" s="1174">
        <f>SUM(FORM!$V$19:$W$22)+SUM(FORM!$V$25:$W$28)+SUM(FORM!$V$31:$W$34)</f>
        <v>0</v>
      </c>
      <c r="AG69" s="1173">
        <f t="shared" si="7"/>
        <v>3137132.3618492372</v>
      </c>
      <c r="AH69" s="1173"/>
      <c r="AI69" s="714"/>
      <c r="AJ69" s="714"/>
      <c r="AK69" s="714"/>
      <c r="AL69" s="714"/>
      <c r="AM69" s="714"/>
      <c r="AN69" s="714"/>
      <c r="AO69" s="714"/>
      <c r="AP69" s="714"/>
      <c r="AQ69" s="760"/>
      <c r="AR69" s="760"/>
      <c r="AS69" s="760"/>
      <c r="AT69" s="760"/>
      <c r="AU69" s="760"/>
      <c r="AV69" s="760"/>
      <c r="AW69" s="760"/>
    </row>
    <row r="70" spans="1:49" s="119" customFormat="1" ht="12.75" hidden="1" customHeight="1">
      <c r="A70" s="767" t="str">
        <f t="shared" si="0"/>
        <v>5P</v>
      </c>
      <c r="B70" s="768" t="str">
        <f>'Corrected and Updated TSF 1'!ER70</f>
        <v>SOLD</v>
      </c>
      <c r="C70" s="757" t="str">
        <f>'Corrected and Updated TSF 1'!E70</f>
        <v>5th Floor</v>
      </c>
      <c r="D70" s="642" t="str">
        <f>'Corrected and Updated TSF 1'!M70</f>
        <v>Inner</v>
      </c>
      <c r="E70" s="642" t="str">
        <f>'Corrected and Updated TSF 1'!G70</f>
        <v>5P</v>
      </c>
      <c r="F70" s="758" t="str">
        <f>'Corrected and Updated TSF 1'!I70</f>
        <v>Studio Unit</v>
      </c>
      <c r="G70" s="769">
        <f>'Corrected and Updated TSF 1'!J70</f>
        <v>22</v>
      </c>
      <c r="H70" s="769">
        <f>'Corrected and Updated TSF 1'!CI70</f>
        <v>3102932.0248094299</v>
      </c>
      <c r="I70" s="770"/>
      <c r="J70" s="770">
        <f t="shared" si="1"/>
        <v>3102932.0248094299</v>
      </c>
      <c r="K70" s="769">
        <f>'Corrected and Updated TSF 1'!CJ70</f>
        <v>0</v>
      </c>
      <c r="L70" s="769">
        <f>SUM('Corrected and Updated TSF 1'!CK70:CL70)</f>
        <v>426653.1534112966</v>
      </c>
      <c r="M70" s="769">
        <f t="shared" si="2"/>
        <v>3529585.1782207265</v>
      </c>
      <c r="N70" s="771">
        <f>'Corrected and Updated TSF 1'!CN70</f>
        <v>0.125</v>
      </c>
      <c r="O70" s="769">
        <f>'Corrected and Updated TSF 1'!CO70</f>
        <v>441198.14727759082</v>
      </c>
      <c r="P70" s="769">
        <f>'Corrected and Updated TSF 1'!CP70</f>
        <v>30000</v>
      </c>
      <c r="Q70" s="769">
        <f>'Corrected and Updated TSF 1'!CQ70</f>
        <v>411198.14727759082</v>
      </c>
      <c r="R70" s="425">
        <f>'Corrected and Updated TSF 1'!CR70</f>
        <v>1</v>
      </c>
      <c r="S70" s="769">
        <f>'Corrected and Updated TSF 1'!CS70</f>
        <v>411198.14727759082</v>
      </c>
      <c r="T70" s="769">
        <f>'Corrected and Updated TSF 1'!CU70</f>
        <v>3088387.0309431357</v>
      </c>
      <c r="U70" s="769">
        <f>'Corrected and Updated TSF 1'!CV70</f>
        <v>23944.231778693495</v>
      </c>
      <c r="V70" s="772">
        <f>'Corrected and Updated TSF 1'!CW70</f>
        <v>27759.295747456799</v>
      </c>
      <c r="W70" s="773">
        <f>'Corrected and Updated TSF 1'!CX70</f>
        <v>35858.792140132915</v>
      </c>
      <c r="X70" s="773">
        <f>'Corrected and Updated TSF 1'!CY70</f>
        <v>61153.764769145651</v>
      </c>
      <c r="Y70" s="1130">
        <f>'Corrected and Updated TSF 1'!CZ70</f>
        <v>250879.4950058086</v>
      </c>
      <c r="Z70" s="1130">
        <f>'Corrected and Updated TSF 1'!DA70</f>
        <v>99271.794069613563</v>
      </c>
      <c r="AA70" s="1130">
        <f>'Corrected and Updated TSF 1'!DB70</f>
        <v>71702.610850744008</v>
      </c>
      <c r="AB70" s="1130">
        <f>'Corrected and Updated TSF 1'!DC70</f>
        <v>54568.987875129271</v>
      </c>
      <c r="AC70" s="774">
        <f>K70-'Corrected and Updated TSF 1'!CJ70</f>
        <v>0</v>
      </c>
      <c r="AD70" s="774">
        <f>L70-SUM('Corrected and Updated TSF 1'!CK70:CL70)</f>
        <v>0</v>
      </c>
      <c r="AE70" s="1173">
        <f t="shared" si="6"/>
        <v>3102932.0248094299</v>
      </c>
      <c r="AF70" s="1174">
        <f>SUM(FORM!$V$19:$W$22)+SUM(FORM!$V$25:$W$28)+SUM(FORM!$V$31:$W$34)</f>
        <v>0</v>
      </c>
      <c r="AG70" s="1173">
        <f t="shared" si="7"/>
        <v>3102932.0248094299</v>
      </c>
      <c r="AH70" s="1173"/>
      <c r="AI70" s="714"/>
      <c r="AJ70" s="714"/>
      <c r="AK70" s="714"/>
      <c r="AL70" s="714"/>
      <c r="AM70" s="714"/>
      <c r="AN70" s="714"/>
      <c r="AO70" s="714"/>
      <c r="AP70" s="714"/>
      <c r="AQ70" s="760"/>
      <c r="AR70" s="760"/>
      <c r="AS70" s="760"/>
      <c r="AT70" s="760"/>
      <c r="AU70" s="760"/>
      <c r="AV70" s="760"/>
      <c r="AW70" s="760"/>
    </row>
    <row r="71" spans="1:49" s="119" customFormat="1" ht="12.75" hidden="1" customHeight="1">
      <c r="A71" s="767" t="str">
        <f t="shared" si="0"/>
        <v>5Q</v>
      </c>
      <c r="B71" s="768" t="str">
        <f>'Corrected and Updated TSF 1'!ER71</f>
        <v>SOLD</v>
      </c>
      <c r="C71" s="757" t="str">
        <f>'Corrected and Updated TSF 1'!E71</f>
        <v>5th Floor</v>
      </c>
      <c r="D71" s="642" t="str">
        <f>'Corrected and Updated TSF 1'!M71</f>
        <v>Inner</v>
      </c>
      <c r="E71" s="642" t="str">
        <f>'Corrected and Updated TSF 1'!G71</f>
        <v>5Q</v>
      </c>
      <c r="F71" s="758" t="str">
        <f>'Corrected and Updated TSF 1'!I71</f>
        <v>Studio Unit</v>
      </c>
      <c r="G71" s="769">
        <f>'Corrected and Updated TSF 1'!J71</f>
        <v>22</v>
      </c>
      <c r="H71" s="769">
        <f>'Corrected and Updated TSF 1'!CI71</f>
        <v>3102932.0248094299</v>
      </c>
      <c r="I71" s="770"/>
      <c r="J71" s="770">
        <f t="shared" si="1"/>
        <v>3102932.0248094299</v>
      </c>
      <c r="K71" s="769">
        <f>'Corrected and Updated TSF 1'!CJ71</f>
        <v>0</v>
      </c>
      <c r="L71" s="769">
        <f>SUM('Corrected and Updated TSF 1'!CK71:CL71)</f>
        <v>426653.1534112966</v>
      </c>
      <c r="M71" s="769">
        <f t="shared" si="2"/>
        <v>3529585.1782207265</v>
      </c>
      <c r="N71" s="771">
        <f>'Corrected and Updated TSF 1'!CN71</f>
        <v>0.125</v>
      </c>
      <c r="O71" s="769">
        <f>'Corrected and Updated TSF 1'!CO71</f>
        <v>441198.14727759082</v>
      </c>
      <c r="P71" s="769">
        <f>'Corrected and Updated TSF 1'!CP71</f>
        <v>30000</v>
      </c>
      <c r="Q71" s="769">
        <f>'Corrected and Updated TSF 1'!CQ71</f>
        <v>411198.14727759082</v>
      </c>
      <c r="R71" s="425">
        <f>'Corrected and Updated TSF 1'!CR71</f>
        <v>1</v>
      </c>
      <c r="S71" s="769">
        <f>'Corrected and Updated TSF 1'!CS71</f>
        <v>411198.14727759082</v>
      </c>
      <c r="T71" s="769">
        <f>'Corrected and Updated TSF 1'!CU71</f>
        <v>3088387.0309431357</v>
      </c>
      <c r="U71" s="769">
        <f>'Corrected and Updated TSF 1'!CV71</f>
        <v>23944.231778693495</v>
      </c>
      <c r="V71" s="772">
        <f>'Corrected and Updated TSF 1'!CW71</f>
        <v>27759.295747456799</v>
      </c>
      <c r="W71" s="773">
        <f>'Corrected and Updated TSF 1'!CX71</f>
        <v>35858.792140132915</v>
      </c>
      <c r="X71" s="773">
        <f>'Corrected and Updated TSF 1'!CY71</f>
        <v>61153.764769145651</v>
      </c>
      <c r="Y71" s="1130">
        <f>'Corrected and Updated TSF 1'!CZ71</f>
        <v>250879.4950058086</v>
      </c>
      <c r="Z71" s="1130">
        <f>'Corrected and Updated TSF 1'!DA71</f>
        <v>99271.794069613563</v>
      </c>
      <c r="AA71" s="1130">
        <f>'Corrected and Updated TSF 1'!DB71</f>
        <v>71702.610850744008</v>
      </c>
      <c r="AB71" s="1130">
        <f>'Corrected and Updated TSF 1'!DC71</f>
        <v>54568.987875129271</v>
      </c>
      <c r="AC71" s="774">
        <f>K71-'Corrected and Updated TSF 1'!CJ71</f>
        <v>0</v>
      </c>
      <c r="AD71" s="774">
        <f>L71-SUM('Corrected and Updated TSF 1'!CK71:CL71)</f>
        <v>0</v>
      </c>
      <c r="AE71" s="1173">
        <f t="shared" si="6"/>
        <v>3102932.0248094299</v>
      </c>
      <c r="AF71" s="1174">
        <f>SUM(FORM!$V$19:$W$22)+SUM(FORM!$V$25:$W$28)+SUM(FORM!$V$31:$W$34)</f>
        <v>0</v>
      </c>
      <c r="AG71" s="1173">
        <f t="shared" si="7"/>
        <v>3102932.0248094299</v>
      </c>
      <c r="AH71" s="1173"/>
      <c r="AI71" s="714"/>
      <c r="AJ71" s="714"/>
      <c r="AK71" s="714"/>
      <c r="AL71" s="714"/>
      <c r="AM71" s="714"/>
      <c r="AN71" s="714"/>
      <c r="AO71" s="714"/>
      <c r="AP71" s="714"/>
      <c r="AQ71" s="760"/>
      <c r="AR71" s="760"/>
      <c r="AS71" s="760"/>
      <c r="AT71" s="760"/>
      <c r="AU71" s="760"/>
      <c r="AV71" s="760"/>
      <c r="AW71" s="760"/>
    </row>
    <row r="72" spans="1:49" s="119" customFormat="1" ht="12.75" hidden="1" customHeight="1">
      <c r="A72" s="767" t="str">
        <f t="shared" ref="A72:A135" si="8">E72</f>
        <v>5R</v>
      </c>
      <c r="B72" s="768" t="str">
        <f>'Corrected and Updated TSF 1'!ER72</f>
        <v>SOLD</v>
      </c>
      <c r="C72" s="757" t="str">
        <f>'Corrected and Updated TSF 1'!E72</f>
        <v>5th Floor</v>
      </c>
      <c r="D72" s="642" t="str">
        <f>'Corrected and Updated TSF 1'!M72</f>
        <v>Corner</v>
      </c>
      <c r="E72" s="642" t="str">
        <f>'Corrected and Updated TSF 1'!G72</f>
        <v>5R</v>
      </c>
      <c r="F72" s="758" t="str">
        <f>'Corrected and Updated TSF 1'!I72</f>
        <v>Studio Unit</v>
      </c>
      <c r="G72" s="769">
        <f>'Corrected and Updated TSF 1'!J72</f>
        <v>22</v>
      </c>
      <c r="H72" s="769">
        <f>'Corrected and Updated TSF 1'!CI72</f>
        <v>3184585.1522589116</v>
      </c>
      <c r="I72" s="770"/>
      <c r="J72" s="770">
        <f t="shared" ref="J72:J135" si="9">H72-I72</f>
        <v>3184585.1522589116</v>
      </c>
      <c r="K72" s="769">
        <f>'Corrected and Updated TSF 1'!CJ72</f>
        <v>0</v>
      </c>
      <c r="L72" s="769">
        <f>SUM('Corrected and Updated TSF 1'!CK72:CL72)</f>
        <v>437880.45843560033</v>
      </c>
      <c r="M72" s="769">
        <f t="shared" ref="M72:M135" si="10">SUM(J72:L72)</f>
        <v>3622465.6106945118</v>
      </c>
      <c r="N72" s="771">
        <f>'Corrected and Updated TSF 1'!CN72</f>
        <v>0.125</v>
      </c>
      <c r="O72" s="769">
        <f>'Corrected and Updated TSF 1'!CO72</f>
        <v>452808.20133681397</v>
      </c>
      <c r="P72" s="769">
        <f>'Corrected and Updated TSF 1'!CP72</f>
        <v>30000</v>
      </c>
      <c r="Q72" s="769">
        <f>'Corrected and Updated TSF 1'!CQ72</f>
        <v>422808.20133681397</v>
      </c>
      <c r="R72" s="425">
        <f>'Corrected and Updated TSF 1'!CR72</f>
        <v>1</v>
      </c>
      <c r="S72" s="769">
        <f>'Corrected and Updated TSF 1'!CS72</f>
        <v>422808.20133681397</v>
      </c>
      <c r="T72" s="769">
        <f>'Corrected and Updated TSF 1'!CU72</f>
        <v>3169657.4093576977</v>
      </c>
      <c r="U72" s="769">
        <f>'Corrected and Updated TSF 1'!CV72</f>
        <v>24574.320157515023</v>
      </c>
      <c r="V72" s="772">
        <f>'Corrected and Updated TSF 1'!CW72</f>
        <v>28489.776884475628</v>
      </c>
      <c r="W72" s="773">
        <f>'Corrected and Updated TSF 1'!CX72</f>
        <v>36802.410144456604</v>
      </c>
      <c r="X72" s="773">
        <f>'Corrected and Updated TSF 1'!CY72</f>
        <v>62763.015667581742</v>
      </c>
      <c r="Y72" s="1130">
        <f>'Corrected and Updated TSF 1'!CZ72</f>
        <v>257481.34616348229</v>
      </c>
      <c r="Z72" s="1130">
        <f>'Corrected and Updated TSF 1'!DA72</f>
        <v>101884.11441324168</v>
      </c>
      <c r="AA72" s="1130">
        <f>'Corrected and Updated TSF 1'!DB72</f>
        <v>73589.45283614521</v>
      </c>
      <c r="AB72" s="1130">
        <f>'Corrected and Updated TSF 1'!DC72</f>
        <v>56004.961491738162</v>
      </c>
      <c r="AC72" s="774">
        <f>K72-'Corrected and Updated TSF 1'!CJ72</f>
        <v>0</v>
      </c>
      <c r="AD72" s="774">
        <f>L72-SUM('Corrected and Updated TSF 1'!CK72:CL72)</f>
        <v>0</v>
      </c>
      <c r="AE72" s="1173">
        <f t="shared" si="6"/>
        <v>3184585.1522589116</v>
      </c>
      <c r="AF72" s="1174">
        <f>SUM(FORM!$V$19:$W$22)+SUM(FORM!$V$25:$W$28)+SUM(FORM!$V$31:$W$34)</f>
        <v>0</v>
      </c>
      <c r="AG72" s="1173">
        <f t="shared" si="7"/>
        <v>3184585.1522589116</v>
      </c>
      <c r="AH72" s="1173"/>
      <c r="AI72" s="714"/>
      <c r="AJ72" s="714"/>
      <c r="AK72" s="714"/>
      <c r="AL72" s="714"/>
      <c r="AM72" s="714"/>
      <c r="AN72" s="714"/>
      <c r="AO72" s="714"/>
      <c r="AP72" s="714"/>
      <c r="AQ72" s="760"/>
      <c r="AR72" s="760"/>
      <c r="AS72" s="760"/>
      <c r="AT72" s="760"/>
      <c r="AU72" s="760"/>
      <c r="AV72" s="760"/>
      <c r="AW72" s="760"/>
    </row>
    <row r="73" spans="1:49" s="119" customFormat="1" ht="12.75" customHeight="1">
      <c r="A73" s="767" t="str">
        <f t="shared" si="8"/>
        <v>6A</v>
      </c>
      <c r="B73" s="768" t="str">
        <f>'Corrected and Updated TSF 1'!ER73</f>
        <v>UNSOLD</v>
      </c>
      <c r="C73" s="757" t="str">
        <f>'Corrected and Updated TSF 1'!E73</f>
        <v>6th Floor</v>
      </c>
      <c r="D73" s="642" t="str">
        <f>'Corrected and Updated TSF 1'!M73</f>
        <v>Corner</v>
      </c>
      <c r="E73" s="642" t="str">
        <f>'Corrected and Updated TSF 1'!G73</f>
        <v>6A</v>
      </c>
      <c r="F73" s="758" t="str">
        <f>'Corrected and Updated TSF 1'!I73</f>
        <v>Studio Unit</v>
      </c>
      <c r="G73" s="769">
        <f>'Corrected and Updated TSF 1'!J73</f>
        <v>22</v>
      </c>
      <c r="H73" s="769">
        <f>'Corrected and Updated TSF 1'!CI73</f>
        <v>3247492.907353594</v>
      </c>
      <c r="I73" s="770"/>
      <c r="J73" s="770">
        <f t="shared" si="9"/>
        <v>3247492.907353594</v>
      </c>
      <c r="K73" s="769">
        <f>'Corrected and Updated TSF 1'!CJ73</f>
        <v>0</v>
      </c>
      <c r="L73" s="769">
        <f>SUM('Corrected and Updated TSF 1'!CK73:CL73)</f>
        <v>446530.27476111916</v>
      </c>
      <c r="M73" s="769">
        <f t="shared" si="10"/>
        <v>3694023.1821147129</v>
      </c>
      <c r="N73" s="771">
        <f>'Corrected and Updated TSF 1'!CN73</f>
        <v>0.125</v>
      </c>
      <c r="O73" s="769">
        <f>'Corrected and Updated TSF 1'!CO73</f>
        <v>461752.89776433917</v>
      </c>
      <c r="P73" s="769">
        <f>'Corrected and Updated TSF 1'!CP73</f>
        <v>30000</v>
      </c>
      <c r="Q73" s="769">
        <f>'Corrected and Updated TSF 1'!CQ73</f>
        <v>431752.89776433917</v>
      </c>
      <c r="R73" s="425">
        <f>'Corrected and Updated TSF 1'!CR73</f>
        <v>1</v>
      </c>
      <c r="S73" s="769">
        <f>'Corrected and Updated TSF 1'!CS73</f>
        <v>431752.89776433917</v>
      </c>
      <c r="T73" s="769">
        <f>'Corrected and Updated TSF 1'!CU73</f>
        <v>3232270.2843503742</v>
      </c>
      <c r="U73" s="769">
        <f>'Corrected and Updated TSF 1'!CV73</f>
        <v>25059.757110893624</v>
      </c>
      <c r="V73" s="772">
        <f>'Corrected and Updated TSF 1'!CW73</f>
        <v>29052.559106103294</v>
      </c>
      <c r="W73" s="773">
        <f>'Corrected and Updated TSF 1'!CX73</f>
        <v>37529.39871394715</v>
      </c>
      <c r="X73" s="773">
        <f>'Corrected and Updated TSF 1'!CY73</f>
        <v>64002.825636493806</v>
      </c>
      <c r="Y73" s="1130">
        <f>'Corrected and Updated TSF 1'!CZ73</f>
        <v>262567.58901505498</v>
      </c>
      <c r="Z73" s="1130">
        <f>'Corrected and Updated TSF 1'!DA73</f>
        <v>103896.71593309758</v>
      </c>
      <c r="AA73" s="1130">
        <f>'Corrected and Updated TSF 1'!DB73</f>
        <v>75043.126409070144</v>
      </c>
      <c r="AB73" s="1130">
        <f>'Corrected and Updated TSF 1'!DC73</f>
        <v>57111.274004408879</v>
      </c>
      <c r="AC73" s="774">
        <f>K73-'Corrected and Updated TSF 1'!CJ73</f>
        <v>0</v>
      </c>
      <c r="AD73" s="774">
        <f>L73-SUM('Corrected and Updated TSF 1'!CK73:CL73)</f>
        <v>0</v>
      </c>
      <c r="AE73" s="1173">
        <f t="shared" si="6"/>
        <v>3247492.907353594</v>
      </c>
      <c r="AF73" s="1174">
        <f>SUM(FORM!$V$19:$W$22)+SUM(FORM!$V$25:$W$28)+SUM(FORM!$V$31:$W$34)</f>
        <v>0</v>
      </c>
      <c r="AG73" s="1173">
        <f t="shared" si="7"/>
        <v>3247492.907353594</v>
      </c>
      <c r="AH73" s="1173"/>
      <c r="AI73" s="714"/>
      <c r="AJ73" s="714"/>
      <c r="AK73" s="714"/>
      <c r="AL73" s="714"/>
      <c r="AM73" s="714"/>
      <c r="AN73" s="714"/>
      <c r="AO73" s="714"/>
      <c r="AP73" s="714"/>
      <c r="AQ73" s="760"/>
      <c r="AR73" s="760"/>
      <c r="AS73" s="760"/>
      <c r="AT73" s="760"/>
      <c r="AU73" s="760"/>
      <c r="AV73" s="760"/>
      <c r="AW73" s="760"/>
    </row>
    <row r="74" spans="1:49" s="119" customFormat="1" ht="12.75" hidden="1" customHeight="1">
      <c r="A74" s="767" t="str">
        <f t="shared" si="8"/>
        <v>6B</v>
      </c>
      <c r="B74" s="768" t="str">
        <f>'Corrected and Updated TSF 1'!ER74</f>
        <v>SOLD</v>
      </c>
      <c r="C74" s="757" t="str">
        <f>'Corrected and Updated TSF 1'!E74</f>
        <v>6th Floor</v>
      </c>
      <c r="D74" s="642" t="str">
        <f>'Corrected and Updated TSF 1'!M74</f>
        <v>End</v>
      </c>
      <c r="E74" s="642" t="str">
        <f>'Corrected and Updated TSF 1'!G74</f>
        <v>6B</v>
      </c>
      <c r="F74" s="758" t="str">
        <f>'Corrected and Updated TSF 1'!I74</f>
        <v>Studio Unit</v>
      </c>
      <c r="G74" s="769">
        <f>'Corrected and Updated TSF 1'!J74</f>
        <v>22</v>
      </c>
      <c r="H74" s="769">
        <f>'Corrected and Updated TSF 1'!CI74</f>
        <v>3163217.6027246681</v>
      </c>
      <c r="I74" s="770"/>
      <c r="J74" s="770">
        <f t="shared" si="9"/>
        <v>3163217.6027246681</v>
      </c>
      <c r="K74" s="769">
        <f>'Corrected and Updated TSF 1'!CJ74</f>
        <v>0</v>
      </c>
      <c r="L74" s="769">
        <f>SUM('Corrected and Updated TSF 1'!CK74:CL74)</f>
        <v>434942.42037464184</v>
      </c>
      <c r="M74" s="769">
        <f t="shared" si="10"/>
        <v>3598160.0230993098</v>
      </c>
      <c r="N74" s="771">
        <f>'Corrected and Updated TSF 1'!CN74</f>
        <v>0.125</v>
      </c>
      <c r="O74" s="769">
        <f>'Corrected and Updated TSF 1'!CO74</f>
        <v>449770.00288741372</v>
      </c>
      <c r="P74" s="769">
        <f>'Corrected and Updated TSF 1'!CP74</f>
        <v>30000</v>
      </c>
      <c r="Q74" s="769">
        <f>'Corrected and Updated TSF 1'!CQ74</f>
        <v>419770.00288741372</v>
      </c>
      <c r="R74" s="425">
        <f>'Corrected and Updated TSF 1'!CR74</f>
        <v>1</v>
      </c>
      <c r="S74" s="769">
        <f>'Corrected and Updated TSF 1'!CS74</f>
        <v>419770.00288741372</v>
      </c>
      <c r="T74" s="769">
        <f>'Corrected and Updated TSF 1'!CU74</f>
        <v>3148390.0202118959</v>
      </c>
      <c r="U74" s="769">
        <f>'Corrected and Updated TSF 1'!CV74</f>
        <v>24409.4343158337</v>
      </c>
      <c r="V74" s="772">
        <f>'Corrected and Updated TSF 1'!CW74</f>
        <v>28298.619578360966</v>
      </c>
      <c r="W74" s="773">
        <f>'Corrected and Updated TSF 1'!CX74</f>
        <v>36555.477723389631</v>
      </c>
      <c r="X74" s="773">
        <f>'Corrected and Updated TSF 1'!CY74</f>
        <v>62341.895872670837</v>
      </c>
      <c r="Y74" s="1130">
        <f>'Corrected and Updated TSF 1'!CZ74</f>
        <v>255753.72854446855</v>
      </c>
      <c r="Z74" s="1130">
        <f>'Corrected and Updated TSF 1'!DA74</f>
        <v>101200.50453710655</v>
      </c>
      <c r="AA74" s="1130">
        <f>'Corrected and Updated TSF 1'!DB74</f>
        <v>73095.691104712503</v>
      </c>
      <c r="AB74" s="1130">
        <f>'Corrected and Updated TSF 1'!DC74</f>
        <v>55629.186082501801</v>
      </c>
      <c r="AC74" s="774">
        <f>K74-'Corrected and Updated TSF 1'!CJ74</f>
        <v>0</v>
      </c>
      <c r="AD74" s="774">
        <f>L74-SUM('Corrected and Updated TSF 1'!CK74:CL74)</f>
        <v>0</v>
      </c>
      <c r="AE74" s="1173">
        <f t="shared" si="6"/>
        <v>3163217.6027246681</v>
      </c>
      <c r="AF74" s="1174">
        <f>SUM(FORM!$V$19:$W$22)+SUM(FORM!$V$25:$W$28)+SUM(FORM!$V$31:$W$34)</f>
        <v>0</v>
      </c>
      <c r="AG74" s="1173">
        <f t="shared" si="7"/>
        <v>3163217.6027246681</v>
      </c>
      <c r="AH74" s="1173"/>
      <c r="AI74" s="714"/>
      <c r="AJ74" s="714"/>
      <c r="AK74" s="714"/>
      <c r="AL74" s="714"/>
      <c r="AM74" s="714"/>
      <c r="AN74" s="714"/>
      <c r="AO74" s="714"/>
      <c r="AP74" s="714"/>
      <c r="AQ74" s="760"/>
      <c r="AR74" s="760"/>
      <c r="AS74" s="760"/>
      <c r="AT74" s="760"/>
      <c r="AU74" s="760"/>
      <c r="AV74" s="760"/>
      <c r="AW74" s="760"/>
    </row>
    <row r="75" spans="1:49" s="119" customFormat="1" ht="12.75" hidden="1" customHeight="1">
      <c r="A75" s="767" t="str">
        <f t="shared" si="8"/>
        <v>6C</v>
      </c>
      <c r="B75" s="768" t="str">
        <f>'Corrected and Updated TSF 1'!ER75</f>
        <v>SOLD</v>
      </c>
      <c r="C75" s="757" t="str">
        <f>'Corrected and Updated TSF 1'!E75</f>
        <v>6th Floor</v>
      </c>
      <c r="D75" s="642" t="str">
        <f>'Corrected and Updated TSF 1'!M75</f>
        <v>End</v>
      </c>
      <c r="E75" s="642" t="str">
        <f>'Corrected and Updated TSF 1'!G75</f>
        <v>6C</v>
      </c>
      <c r="F75" s="758" t="str">
        <f>'Corrected and Updated TSF 1'!I75</f>
        <v>Studio Unit</v>
      </c>
      <c r="G75" s="769">
        <f>'Corrected and Updated TSF 1'!J75</f>
        <v>22</v>
      </c>
      <c r="H75" s="769">
        <f>'Corrected and Updated TSF 1'!CI75</f>
        <v>3163217.6027246681</v>
      </c>
      <c r="I75" s="770"/>
      <c r="J75" s="770">
        <f t="shared" si="9"/>
        <v>3163217.6027246681</v>
      </c>
      <c r="K75" s="769">
        <f>'Corrected and Updated TSF 1'!CJ75</f>
        <v>0</v>
      </c>
      <c r="L75" s="769">
        <f>SUM('Corrected and Updated TSF 1'!CK75:CL75)</f>
        <v>434942.42037464184</v>
      </c>
      <c r="M75" s="769">
        <f t="shared" si="10"/>
        <v>3598160.0230993098</v>
      </c>
      <c r="N75" s="771">
        <f>'Corrected and Updated TSF 1'!CN75</f>
        <v>0.125</v>
      </c>
      <c r="O75" s="769">
        <f>'Corrected and Updated TSF 1'!CO75</f>
        <v>449770.00288741372</v>
      </c>
      <c r="P75" s="769">
        <f>'Corrected and Updated TSF 1'!CP75</f>
        <v>30000</v>
      </c>
      <c r="Q75" s="769">
        <f>'Corrected and Updated TSF 1'!CQ75</f>
        <v>419770.00288741372</v>
      </c>
      <c r="R75" s="425">
        <f>'Corrected and Updated TSF 1'!CR75</f>
        <v>1</v>
      </c>
      <c r="S75" s="769">
        <f>'Corrected and Updated TSF 1'!CS75</f>
        <v>419770.00288741372</v>
      </c>
      <c r="T75" s="769">
        <f>'Corrected and Updated TSF 1'!CU75</f>
        <v>3148390.0202118959</v>
      </c>
      <c r="U75" s="769">
        <f>'Corrected and Updated TSF 1'!CV75</f>
        <v>24409.4343158337</v>
      </c>
      <c r="V75" s="772">
        <f>'Corrected and Updated TSF 1'!CW75</f>
        <v>28298.619578360966</v>
      </c>
      <c r="W75" s="773">
        <f>'Corrected and Updated TSF 1'!CX75</f>
        <v>36555.477723389631</v>
      </c>
      <c r="X75" s="773">
        <f>'Corrected and Updated TSF 1'!CY75</f>
        <v>62341.895872670837</v>
      </c>
      <c r="Y75" s="1130">
        <f>'Corrected and Updated TSF 1'!CZ75</f>
        <v>255753.72854446855</v>
      </c>
      <c r="Z75" s="1130">
        <f>'Corrected and Updated TSF 1'!DA75</f>
        <v>101200.50453710655</v>
      </c>
      <c r="AA75" s="1130">
        <f>'Corrected and Updated TSF 1'!DB75</f>
        <v>73095.691104712503</v>
      </c>
      <c r="AB75" s="1130">
        <f>'Corrected and Updated TSF 1'!DC75</f>
        <v>55629.186082501801</v>
      </c>
      <c r="AC75" s="774">
        <f>K75-'Corrected and Updated TSF 1'!CJ75</f>
        <v>0</v>
      </c>
      <c r="AD75" s="774">
        <f>L75-SUM('Corrected and Updated TSF 1'!CK75:CL75)</f>
        <v>0</v>
      </c>
      <c r="AE75" s="1173">
        <f t="shared" si="6"/>
        <v>3163217.6027246681</v>
      </c>
      <c r="AF75" s="1174">
        <f>SUM(FORM!$V$19:$W$22)+SUM(FORM!$V$25:$W$28)+SUM(FORM!$V$31:$W$34)</f>
        <v>0</v>
      </c>
      <c r="AG75" s="1173">
        <f t="shared" si="7"/>
        <v>3163217.6027246681</v>
      </c>
      <c r="AH75" s="1173"/>
      <c r="AI75" s="714"/>
      <c r="AJ75" s="714"/>
      <c r="AK75" s="714"/>
      <c r="AL75" s="714"/>
      <c r="AM75" s="714"/>
      <c r="AN75" s="714"/>
      <c r="AO75" s="714"/>
      <c r="AP75" s="714"/>
      <c r="AQ75" s="552"/>
      <c r="AR75" s="552"/>
      <c r="AS75" s="552"/>
      <c r="AT75" s="552"/>
    </row>
    <row r="76" spans="1:49" s="119" customFormat="1" hidden="1">
      <c r="A76" s="767" t="str">
        <f t="shared" si="8"/>
        <v>6D</v>
      </c>
      <c r="B76" s="768" t="str">
        <f>'Corrected and Updated TSF 1'!ER76</f>
        <v>SOLD</v>
      </c>
      <c r="C76" s="757" t="str">
        <f>'Corrected and Updated TSF 1'!E76</f>
        <v>6th Floor</v>
      </c>
      <c r="D76" s="642" t="str">
        <f>'Corrected and Updated TSF 1'!M76</f>
        <v>End</v>
      </c>
      <c r="E76" s="642" t="str">
        <f>'Corrected and Updated TSF 1'!G76</f>
        <v>6D</v>
      </c>
      <c r="F76" s="758" t="str">
        <f>'Corrected and Updated TSF 1'!I76</f>
        <v>Studio Unit</v>
      </c>
      <c r="G76" s="769">
        <f>'Corrected and Updated TSF 1'!J76</f>
        <v>22</v>
      </c>
      <c r="H76" s="769">
        <f>'Corrected and Updated TSF 1'!CI76</f>
        <v>3163217.6027246681</v>
      </c>
      <c r="I76" s="770"/>
      <c r="J76" s="770">
        <f t="shared" si="9"/>
        <v>3163217.6027246681</v>
      </c>
      <c r="K76" s="769">
        <f>'Corrected and Updated TSF 1'!CJ76</f>
        <v>0</v>
      </c>
      <c r="L76" s="769">
        <f>SUM('Corrected and Updated TSF 1'!CK76:CL76)</f>
        <v>434942.42037464184</v>
      </c>
      <c r="M76" s="769">
        <f t="shared" si="10"/>
        <v>3598160.0230993098</v>
      </c>
      <c r="N76" s="771">
        <f>'Corrected and Updated TSF 1'!CN76</f>
        <v>0.125</v>
      </c>
      <c r="O76" s="769">
        <f>'Corrected and Updated TSF 1'!CO76</f>
        <v>449770.00288741372</v>
      </c>
      <c r="P76" s="769">
        <f>'Corrected and Updated TSF 1'!CP76</f>
        <v>30000</v>
      </c>
      <c r="Q76" s="769">
        <f>'Corrected and Updated TSF 1'!CQ76</f>
        <v>419770.00288741372</v>
      </c>
      <c r="R76" s="425">
        <f>'Corrected and Updated TSF 1'!CR76</f>
        <v>1</v>
      </c>
      <c r="S76" s="769">
        <f>'Corrected and Updated TSF 1'!CS76</f>
        <v>419770.00288741372</v>
      </c>
      <c r="T76" s="769">
        <f>'Corrected and Updated TSF 1'!CU76</f>
        <v>3148390.0202118959</v>
      </c>
      <c r="U76" s="769">
        <f>'Corrected and Updated TSF 1'!CV76</f>
        <v>24409.4343158337</v>
      </c>
      <c r="V76" s="772">
        <f>'Corrected and Updated TSF 1'!CW76</f>
        <v>28298.619578360966</v>
      </c>
      <c r="W76" s="773">
        <f>'Corrected and Updated TSF 1'!CX76</f>
        <v>36555.477723389631</v>
      </c>
      <c r="X76" s="773">
        <f>'Corrected and Updated TSF 1'!CY76</f>
        <v>62341.895872670837</v>
      </c>
      <c r="Y76" s="1130">
        <f>'Corrected and Updated TSF 1'!CZ76</f>
        <v>255753.72854446855</v>
      </c>
      <c r="Z76" s="1130">
        <f>'Corrected and Updated TSF 1'!DA76</f>
        <v>101200.50453710655</v>
      </c>
      <c r="AA76" s="1130">
        <f>'Corrected and Updated TSF 1'!DB76</f>
        <v>73095.691104712503</v>
      </c>
      <c r="AB76" s="1130">
        <f>'Corrected and Updated TSF 1'!DC76</f>
        <v>55629.186082501801</v>
      </c>
      <c r="AC76" s="774">
        <f>K76-'Corrected and Updated TSF 1'!CJ76</f>
        <v>0</v>
      </c>
      <c r="AD76" s="774">
        <f>L76-SUM('Corrected and Updated TSF 1'!CK76:CL76)</f>
        <v>0</v>
      </c>
      <c r="AE76" s="1173">
        <f t="shared" si="6"/>
        <v>3163217.6027246681</v>
      </c>
      <c r="AF76" s="1174">
        <f>SUM(FORM!$V$19:$W$22)+SUM(FORM!$V$25:$W$28)+SUM(FORM!$V$31:$W$34)</f>
        <v>0</v>
      </c>
      <c r="AG76" s="1173">
        <f t="shared" si="7"/>
        <v>3163217.6027246681</v>
      </c>
      <c r="AH76" s="1173"/>
      <c r="AI76" s="714"/>
      <c r="AJ76" s="714"/>
      <c r="AK76" s="714"/>
      <c r="AL76" s="714"/>
      <c r="AM76" s="714"/>
      <c r="AN76" s="714"/>
      <c r="AO76" s="714"/>
      <c r="AP76" s="714"/>
      <c r="AQ76" s="552"/>
      <c r="AR76" s="552"/>
      <c r="AS76" s="552"/>
      <c r="AT76" s="552"/>
    </row>
    <row r="77" spans="1:49" s="119" customFormat="1" ht="12.75" hidden="1" customHeight="1">
      <c r="A77" s="767" t="str">
        <f t="shared" si="8"/>
        <v>6E</v>
      </c>
      <c r="B77" s="768" t="str">
        <f>'Corrected and Updated TSF 1'!ER77</f>
        <v>SOLD</v>
      </c>
      <c r="C77" s="757" t="str">
        <f>'Corrected and Updated TSF 1'!E77</f>
        <v>6th Floor</v>
      </c>
      <c r="D77" s="642" t="str">
        <f>'Corrected and Updated TSF 1'!M77</f>
        <v>End</v>
      </c>
      <c r="E77" s="642" t="str">
        <f>'Corrected and Updated TSF 1'!G77</f>
        <v>6E</v>
      </c>
      <c r="F77" s="758" t="str">
        <f>'Corrected and Updated TSF 1'!I77</f>
        <v>Studio Unit</v>
      </c>
      <c r="G77" s="769">
        <f>'Corrected and Updated TSF 1'!J77</f>
        <v>22</v>
      </c>
      <c r="H77" s="769">
        <f>'Corrected and Updated TSF 1'!CI77</f>
        <v>3163217.6027246681</v>
      </c>
      <c r="I77" s="770"/>
      <c r="J77" s="770">
        <f t="shared" si="9"/>
        <v>3163217.6027246681</v>
      </c>
      <c r="K77" s="769">
        <f>'Corrected and Updated TSF 1'!CJ77</f>
        <v>0</v>
      </c>
      <c r="L77" s="769">
        <f>SUM('Corrected and Updated TSF 1'!CK77:CL77)</f>
        <v>434942.42037464184</v>
      </c>
      <c r="M77" s="769">
        <f t="shared" si="10"/>
        <v>3598160.0230993098</v>
      </c>
      <c r="N77" s="771">
        <f>'Corrected and Updated TSF 1'!CN77</f>
        <v>0.125</v>
      </c>
      <c r="O77" s="769">
        <f>'Corrected and Updated TSF 1'!CO77</f>
        <v>449770.00288741372</v>
      </c>
      <c r="P77" s="769">
        <f>'Corrected and Updated TSF 1'!CP77</f>
        <v>30000</v>
      </c>
      <c r="Q77" s="769">
        <f>'Corrected and Updated TSF 1'!CQ77</f>
        <v>419770.00288741372</v>
      </c>
      <c r="R77" s="425">
        <f>'Corrected and Updated TSF 1'!CR77</f>
        <v>1</v>
      </c>
      <c r="S77" s="769">
        <f>'Corrected and Updated TSF 1'!CS77</f>
        <v>419770.00288741372</v>
      </c>
      <c r="T77" s="769">
        <f>'Corrected and Updated TSF 1'!CU77</f>
        <v>3148390.0202118959</v>
      </c>
      <c r="U77" s="769">
        <f>'Corrected and Updated TSF 1'!CV77</f>
        <v>24409.4343158337</v>
      </c>
      <c r="V77" s="772">
        <f>'Corrected and Updated TSF 1'!CW77</f>
        <v>28298.619578360966</v>
      </c>
      <c r="W77" s="773">
        <f>'Corrected and Updated TSF 1'!CX77</f>
        <v>36555.477723389631</v>
      </c>
      <c r="X77" s="773">
        <f>'Corrected and Updated TSF 1'!CY77</f>
        <v>62341.895872670837</v>
      </c>
      <c r="Y77" s="1130">
        <f>'Corrected and Updated TSF 1'!CZ77</f>
        <v>255753.72854446855</v>
      </c>
      <c r="Z77" s="1130">
        <f>'Corrected and Updated TSF 1'!DA77</f>
        <v>101200.50453710655</v>
      </c>
      <c r="AA77" s="1130">
        <f>'Corrected and Updated TSF 1'!DB77</f>
        <v>73095.691104712503</v>
      </c>
      <c r="AB77" s="1130">
        <f>'Corrected and Updated TSF 1'!DC77</f>
        <v>55629.186082501801</v>
      </c>
      <c r="AC77" s="774">
        <f>K77-'Corrected and Updated TSF 1'!CJ77</f>
        <v>0</v>
      </c>
      <c r="AD77" s="774">
        <f>L77-SUM('Corrected and Updated TSF 1'!CK77:CL77)</f>
        <v>0</v>
      </c>
      <c r="AE77" s="1173">
        <f t="shared" ref="AE77:AE140" si="11">H77</f>
        <v>3163217.6027246681</v>
      </c>
      <c r="AF77" s="1174">
        <f>SUM(FORM!$V$19:$W$22)+SUM(FORM!$V$25:$W$28)+SUM(FORM!$V$31:$W$34)</f>
        <v>0</v>
      </c>
      <c r="AG77" s="1173">
        <f t="shared" ref="AG77:AG140" si="12">AE77-AF77</f>
        <v>3163217.6027246681</v>
      </c>
      <c r="AH77" s="1173"/>
      <c r="AI77" s="714"/>
      <c r="AJ77" s="714"/>
      <c r="AK77" s="714"/>
      <c r="AL77" s="714"/>
      <c r="AM77" s="714"/>
      <c r="AN77" s="714"/>
      <c r="AO77" s="714"/>
      <c r="AP77" s="714"/>
      <c r="AQ77" s="552"/>
      <c r="AR77" s="552"/>
      <c r="AS77" s="552"/>
      <c r="AT77" s="552"/>
    </row>
    <row r="78" spans="1:49" s="119" customFormat="1" hidden="1">
      <c r="A78" s="767" t="str">
        <f t="shared" si="8"/>
        <v>6F</v>
      </c>
      <c r="B78" s="768" t="str">
        <f>'Corrected and Updated TSF 1'!ER78</f>
        <v>SOLD</v>
      </c>
      <c r="C78" s="757" t="str">
        <f>'Corrected and Updated TSF 1'!E78</f>
        <v>6th Floor</v>
      </c>
      <c r="D78" s="642" t="str">
        <f>'Corrected and Updated TSF 1'!M78</f>
        <v>Inner</v>
      </c>
      <c r="E78" s="642" t="str">
        <f>'Corrected and Updated TSF 1'!G78</f>
        <v>6F</v>
      </c>
      <c r="F78" s="758" t="str">
        <f>'Corrected and Updated TSF 1'!I78</f>
        <v>Studio Unit</v>
      </c>
      <c r="G78" s="769">
        <f>'Corrected and Updated TSF 1'!J78</f>
        <v>22</v>
      </c>
      <c r="H78" s="769">
        <f>'Corrected and Updated TSF 1'!CI78</f>
        <v>3131639.4428643049</v>
      </c>
      <c r="I78" s="770"/>
      <c r="J78" s="770">
        <f t="shared" si="9"/>
        <v>3131639.4428643049</v>
      </c>
      <c r="K78" s="769">
        <f>'Corrected and Updated TSF 1'!CJ78</f>
        <v>0</v>
      </c>
      <c r="L78" s="769">
        <f>SUM('Corrected and Updated TSF 1'!CK78:CL78)</f>
        <v>430600.42339384189</v>
      </c>
      <c r="M78" s="769">
        <f t="shared" si="10"/>
        <v>3562239.8662581467</v>
      </c>
      <c r="N78" s="771">
        <f>'Corrected and Updated TSF 1'!CN78</f>
        <v>0.125</v>
      </c>
      <c r="O78" s="769">
        <f>'Corrected and Updated TSF 1'!CO78</f>
        <v>445279.98328226834</v>
      </c>
      <c r="P78" s="769">
        <f>'Corrected and Updated TSF 1'!CP78</f>
        <v>30000</v>
      </c>
      <c r="Q78" s="769">
        <f>'Corrected and Updated TSF 1'!CQ78</f>
        <v>415279.98328226834</v>
      </c>
      <c r="R78" s="425">
        <f>'Corrected and Updated TSF 1'!CR78</f>
        <v>1</v>
      </c>
      <c r="S78" s="769">
        <f>'Corrected and Updated TSF 1'!CS78</f>
        <v>415279.98328226834</v>
      </c>
      <c r="T78" s="769">
        <f>'Corrected and Updated TSF 1'!CU78</f>
        <v>3116959.8829758782</v>
      </c>
      <c r="U78" s="769">
        <f>'Corrected and Updated TSF 1'!CV78</f>
        <v>24165.756796379304</v>
      </c>
      <c r="V78" s="772">
        <f>'Corrected and Updated TSF 1'!CW78</f>
        <v>28016.116619315919</v>
      </c>
      <c r="W78" s="773">
        <f>'Corrected and Updated TSF 1'!CX78</f>
        <v>36190.547179778965</v>
      </c>
      <c r="X78" s="773">
        <f>'Corrected and Updated TSF 1'!CY78</f>
        <v>61719.541485110021</v>
      </c>
      <c r="Y78" s="1130">
        <f>'Corrected and Updated TSF 1'!CZ78</f>
        <v>253200.55859564664</v>
      </c>
      <c r="Z78" s="1130">
        <f>'Corrected and Updated TSF 1'!DA78</f>
        <v>100190.22762556261</v>
      </c>
      <c r="AA78" s="1130">
        <f>'Corrected and Updated TSF 1'!DB78</f>
        <v>72365.982400252818</v>
      </c>
      <c r="AB78" s="1130">
        <f>'Corrected and Updated TSF 1'!DC78</f>
        <v>55073.844164354283</v>
      </c>
      <c r="AC78" s="774">
        <f>K78-'Corrected and Updated TSF 1'!CJ78</f>
        <v>0</v>
      </c>
      <c r="AD78" s="774">
        <f>L78-SUM('Corrected and Updated TSF 1'!CK78:CL78)</f>
        <v>0</v>
      </c>
      <c r="AE78" s="1173">
        <f t="shared" si="11"/>
        <v>3131639.4428643049</v>
      </c>
      <c r="AF78" s="1174">
        <f>SUM(FORM!$V$19:$W$22)+SUM(FORM!$V$25:$W$28)+SUM(FORM!$V$31:$W$34)</f>
        <v>0</v>
      </c>
      <c r="AG78" s="1173">
        <f t="shared" si="12"/>
        <v>3131639.4428643049</v>
      </c>
      <c r="AH78" s="1173"/>
      <c r="AI78" s="714"/>
      <c r="AJ78" s="714"/>
      <c r="AK78" s="714"/>
      <c r="AL78" s="714"/>
      <c r="AM78" s="714"/>
      <c r="AN78" s="714"/>
      <c r="AO78" s="714"/>
      <c r="AP78" s="714"/>
      <c r="AQ78" s="552"/>
      <c r="AR78" s="552"/>
      <c r="AS78" s="552"/>
      <c r="AT78" s="552"/>
    </row>
    <row r="79" spans="1:49" s="119" customFormat="1" ht="12.75" hidden="1" customHeight="1">
      <c r="A79" s="767" t="str">
        <f t="shared" si="8"/>
        <v>6G</v>
      </c>
      <c r="B79" s="768" t="str">
        <f>'Corrected and Updated TSF 1'!ER79</f>
        <v>SOLD</v>
      </c>
      <c r="C79" s="757" t="str">
        <f>'Corrected and Updated TSF 1'!E79</f>
        <v>6th Floor</v>
      </c>
      <c r="D79" s="642" t="str">
        <f>'Corrected and Updated TSF 1'!M79</f>
        <v>End</v>
      </c>
      <c r="E79" s="642" t="str">
        <f>'Corrected and Updated TSF 1'!G79</f>
        <v>6G</v>
      </c>
      <c r="F79" s="758" t="str">
        <f>'Corrected and Updated TSF 1'!I79</f>
        <v>Studio Unit</v>
      </c>
      <c r="G79" s="769">
        <f>'Corrected and Updated TSF 1'!J79</f>
        <v>22</v>
      </c>
      <c r="H79" s="769">
        <f>'Corrected and Updated TSF 1'!CI79</f>
        <v>3163217.6027246681</v>
      </c>
      <c r="I79" s="770"/>
      <c r="J79" s="770">
        <f t="shared" si="9"/>
        <v>3163217.6027246681</v>
      </c>
      <c r="K79" s="769">
        <f>'Corrected and Updated TSF 1'!CJ79</f>
        <v>0</v>
      </c>
      <c r="L79" s="769">
        <f>SUM('Corrected and Updated TSF 1'!CK79:CL79)</f>
        <v>434942.42037464184</v>
      </c>
      <c r="M79" s="769">
        <f t="shared" si="10"/>
        <v>3598160.0230993098</v>
      </c>
      <c r="N79" s="771">
        <f>'Corrected and Updated TSF 1'!CN79</f>
        <v>0.125</v>
      </c>
      <c r="O79" s="769">
        <f>'Corrected and Updated TSF 1'!CO79</f>
        <v>449770.00288741372</v>
      </c>
      <c r="P79" s="769">
        <f>'Corrected and Updated TSF 1'!CP79</f>
        <v>30000</v>
      </c>
      <c r="Q79" s="769">
        <f>'Corrected and Updated TSF 1'!CQ79</f>
        <v>419770.00288741372</v>
      </c>
      <c r="R79" s="425">
        <f>'Corrected and Updated TSF 1'!CR79</f>
        <v>1</v>
      </c>
      <c r="S79" s="769">
        <f>'Corrected and Updated TSF 1'!CS79</f>
        <v>419770.00288741372</v>
      </c>
      <c r="T79" s="769">
        <f>'Corrected and Updated TSF 1'!CU79</f>
        <v>3148390.0202118959</v>
      </c>
      <c r="U79" s="769">
        <f>'Corrected and Updated TSF 1'!CV79</f>
        <v>24409.4343158337</v>
      </c>
      <c r="V79" s="772">
        <f>'Corrected and Updated TSF 1'!CW79</f>
        <v>28298.619578360966</v>
      </c>
      <c r="W79" s="773">
        <f>'Corrected and Updated TSF 1'!CX79</f>
        <v>36555.477723389631</v>
      </c>
      <c r="X79" s="773">
        <f>'Corrected and Updated TSF 1'!CY79</f>
        <v>62341.895872670837</v>
      </c>
      <c r="Y79" s="1130">
        <f>'Corrected and Updated TSF 1'!CZ79</f>
        <v>255753.72854446855</v>
      </c>
      <c r="Z79" s="1130">
        <f>'Corrected and Updated TSF 1'!DA79</f>
        <v>101200.50453710655</v>
      </c>
      <c r="AA79" s="1130">
        <f>'Corrected and Updated TSF 1'!DB79</f>
        <v>73095.691104712503</v>
      </c>
      <c r="AB79" s="1130">
        <f>'Corrected and Updated TSF 1'!DC79</f>
        <v>55629.186082501801</v>
      </c>
      <c r="AC79" s="774">
        <f>K79-'Corrected and Updated TSF 1'!CJ79</f>
        <v>0</v>
      </c>
      <c r="AD79" s="774">
        <f>L79-SUM('Corrected and Updated TSF 1'!CK79:CL79)</f>
        <v>0</v>
      </c>
      <c r="AE79" s="1173">
        <f t="shared" si="11"/>
        <v>3163217.6027246681</v>
      </c>
      <c r="AF79" s="1174">
        <f>SUM(FORM!$V$19:$W$22)+SUM(FORM!$V$25:$W$28)+SUM(FORM!$V$31:$W$34)</f>
        <v>0</v>
      </c>
      <c r="AG79" s="1173">
        <f t="shared" si="12"/>
        <v>3163217.6027246681</v>
      </c>
      <c r="AH79" s="1173"/>
      <c r="AI79" s="714"/>
      <c r="AJ79" s="714"/>
      <c r="AK79" s="714"/>
      <c r="AL79" s="714"/>
      <c r="AM79" s="714"/>
      <c r="AN79" s="714"/>
      <c r="AO79" s="714"/>
      <c r="AP79" s="714"/>
      <c r="AQ79" s="552"/>
      <c r="AR79" s="552"/>
      <c r="AS79" s="552"/>
      <c r="AT79" s="552"/>
    </row>
    <row r="80" spans="1:49" s="119" customFormat="1" ht="12.75" hidden="1" customHeight="1">
      <c r="A80" s="767" t="str">
        <f t="shared" si="8"/>
        <v>6H</v>
      </c>
      <c r="B80" s="768" t="str">
        <f>'Corrected and Updated TSF 1'!ER80</f>
        <v>SOLD</v>
      </c>
      <c r="C80" s="757" t="str">
        <f>'Corrected and Updated TSF 1'!E80</f>
        <v>6th Floor</v>
      </c>
      <c r="D80" s="642" t="str">
        <f>'Corrected and Updated TSF 1'!M80</f>
        <v>Corner</v>
      </c>
      <c r="E80" s="642" t="str">
        <f>'Corrected and Updated TSF 1'!G80</f>
        <v>6H</v>
      </c>
      <c r="F80" s="758" t="str">
        <f>'Corrected and Updated TSF 1'!I80</f>
        <v>Studio Unit</v>
      </c>
      <c r="G80" s="769">
        <f>'Corrected and Updated TSF 1'!J80</f>
        <v>22</v>
      </c>
      <c r="H80" s="769">
        <f>'Corrected and Updated TSF 1'!CI80</f>
        <v>3213292.5703137866</v>
      </c>
      <c r="I80" s="770"/>
      <c r="J80" s="770">
        <f t="shared" si="9"/>
        <v>3213292.5703137866</v>
      </c>
      <c r="K80" s="769">
        <f>'Corrected and Updated TSF 1'!CJ80</f>
        <v>0</v>
      </c>
      <c r="L80" s="769">
        <f>SUM('Corrected and Updated TSF 1'!CK80:CL80)</f>
        <v>441827.72841814562</v>
      </c>
      <c r="M80" s="769">
        <f t="shared" si="10"/>
        <v>3655120.2987319324</v>
      </c>
      <c r="N80" s="771">
        <f>'Corrected and Updated TSF 1'!CN80</f>
        <v>0.125</v>
      </c>
      <c r="O80" s="769">
        <f>'Corrected and Updated TSF 1'!CO80</f>
        <v>456890.03734149155</v>
      </c>
      <c r="P80" s="769">
        <f>'Corrected and Updated TSF 1'!CP80</f>
        <v>30000</v>
      </c>
      <c r="Q80" s="769">
        <f>'Corrected and Updated TSF 1'!CQ80</f>
        <v>426890.03734149155</v>
      </c>
      <c r="R80" s="425">
        <f>'Corrected and Updated TSF 1'!CR80</f>
        <v>1</v>
      </c>
      <c r="S80" s="769">
        <f>'Corrected and Updated TSF 1'!CS80</f>
        <v>426890.03734149155</v>
      </c>
      <c r="T80" s="769">
        <f>'Corrected and Updated TSF 1'!CU80</f>
        <v>3198230.2613904411</v>
      </c>
      <c r="U80" s="769">
        <f>'Corrected and Updated TSF 1'!CV80</f>
        <v>24795.845175200844</v>
      </c>
      <c r="V80" s="772">
        <f>'Corrected and Updated TSF 1'!CW80</f>
        <v>28746.597756334759</v>
      </c>
      <c r="W80" s="773">
        <f>'Corrected and Updated TSF 1'!CX80</f>
        <v>37134.165184102661</v>
      </c>
      <c r="X80" s="773">
        <f>'Corrected and Updated TSF 1'!CY80</f>
        <v>63328.792383546119</v>
      </c>
      <c r="Y80" s="1130">
        <f>'Corrected and Updated TSF 1'!CZ80</f>
        <v>259802.40975332033</v>
      </c>
      <c r="Z80" s="1130">
        <f>'Corrected and Updated TSF 1'!DA80</f>
        <v>102802.54796919072</v>
      </c>
      <c r="AA80" s="1130">
        <f>'Corrected and Updated TSF 1'!DB80</f>
        <v>74252.824385654007</v>
      </c>
      <c r="AB80" s="1130">
        <f>'Corrected and Updated TSF 1'!DC80</f>
        <v>56509.817780963174</v>
      </c>
      <c r="AC80" s="774">
        <f>K80-'Corrected and Updated TSF 1'!CJ80</f>
        <v>0</v>
      </c>
      <c r="AD80" s="774">
        <f>L80-SUM('Corrected and Updated TSF 1'!CK80:CL80)</f>
        <v>0</v>
      </c>
      <c r="AE80" s="1173">
        <f t="shared" si="11"/>
        <v>3213292.5703137866</v>
      </c>
      <c r="AF80" s="1174">
        <f>SUM(FORM!$V$19:$W$22)+SUM(FORM!$V$25:$W$28)+SUM(FORM!$V$31:$W$34)</f>
        <v>0</v>
      </c>
      <c r="AG80" s="1173">
        <f t="shared" si="12"/>
        <v>3213292.5703137866</v>
      </c>
      <c r="AH80" s="1173"/>
      <c r="AI80" s="714"/>
      <c r="AJ80" s="714"/>
      <c r="AK80" s="714"/>
      <c r="AL80" s="714"/>
      <c r="AM80" s="714"/>
      <c r="AN80" s="714"/>
      <c r="AO80" s="714"/>
      <c r="AP80" s="714"/>
      <c r="AQ80" s="760"/>
      <c r="AR80" s="760"/>
      <c r="AS80" s="760"/>
      <c r="AT80" s="760"/>
      <c r="AU80" s="760"/>
      <c r="AV80" s="760"/>
      <c r="AW80" s="760"/>
    </row>
    <row r="81" spans="1:49" s="119" customFormat="1" ht="12.75" hidden="1" customHeight="1">
      <c r="A81" s="767" t="str">
        <f t="shared" si="8"/>
        <v>6I</v>
      </c>
      <c r="B81" s="768" t="str">
        <f>'Corrected and Updated TSF 1'!ER81</f>
        <v>SOLD</v>
      </c>
      <c r="C81" s="757" t="str">
        <f>'Corrected and Updated TSF 1'!E81</f>
        <v>6th Floor</v>
      </c>
      <c r="D81" s="642" t="str">
        <f>'Corrected and Updated TSF 1'!M81</f>
        <v>Inner</v>
      </c>
      <c r="E81" s="642" t="str">
        <f>'Corrected and Updated TSF 1'!G81</f>
        <v>6I</v>
      </c>
      <c r="F81" s="758" t="str">
        <f>'Corrected and Updated TSF 1'!I81</f>
        <v>Studio Unit</v>
      </c>
      <c r="G81" s="769">
        <f>'Corrected and Updated TSF 1'!J81</f>
        <v>22</v>
      </c>
      <c r="H81" s="769">
        <f>'Corrected and Updated TSF 1'!CI81</f>
        <v>3131639.4428643049</v>
      </c>
      <c r="I81" s="770"/>
      <c r="J81" s="770">
        <f t="shared" si="9"/>
        <v>3131639.4428643049</v>
      </c>
      <c r="K81" s="769">
        <f>'Corrected and Updated TSF 1'!CJ81</f>
        <v>0</v>
      </c>
      <c r="L81" s="769">
        <f>SUM('Corrected and Updated TSF 1'!CK81:CL81)</f>
        <v>430600.42339384189</v>
      </c>
      <c r="M81" s="769">
        <f t="shared" si="10"/>
        <v>3562239.8662581467</v>
      </c>
      <c r="N81" s="771">
        <f>'Corrected and Updated TSF 1'!CN81</f>
        <v>0.125</v>
      </c>
      <c r="O81" s="769">
        <f>'Corrected and Updated TSF 1'!CO81</f>
        <v>445279.98328226834</v>
      </c>
      <c r="P81" s="769">
        <f>'Corrected and Updated TSF 1'!CP81</f>
        <v>30000</v>
      </c>
      <c r="Q81" s="769">
        <f>'Corrected and Updated TSF 1'!CQ81</f>
        <v>415279.98328226834</v>
      </c>
      <c r="R81" s="425">
        <f>'Corrected and Updated TSF 1'!CR81</f>
        <v>1</v>
      </c>
      <c r="S81" s="769">
        <f>'Corrected and Updated TSF 1'!CS81</f>
        <v>415279.98328226834</v>
      </c>
      <c r="T81" s="769">
        <f>'Corrected and Updated TSF 1'!CU81</f>
        <v>3116959.8829758782</v>
      </c>
      <c r="U81" s="769">
        <f>'Corrected and Updated TSF 1'!CV81</f>
        <v>24165.756796379304</v>
      </c>
      <c r="V81" s="772">
        <f>'Corrected and Updated TSF 1'!CW81</f>
        <v>28016.116619315919</v>
      </c>
      <c r="W81" s="773">
        <f>'Corrected and Updated TSF 1'!CX81</f>
        <v>36190.547179778965</v>
      </c>
      <c r="X81" s="773">
        <f>'Corrected and Updated TSF 1'!CY81</f>
        <v>61719.541485110021</v>
      </c>
      <c r="Y81" s="1130">
        <f>'Corrected and Updated TSF 1'!CZ81</f>
        <v>253200.55859564664</v>
      </c>
      <c r="Z81" s="1130">
        <f>'Corrected and Updated TSF 1'!DA81</f>
        <v>100190.22762556261</v>
      </c>
      <c r="AA81" s="1130">
        <f>'Corrected and Updated TSF 1'!DB81</f>
        <v>72365.982400252818</v>
      </c>
      <c r="AB81" s="1130">
        <f>'Corrected and Updated TSF 1'!DC81</f>
        <v>55073.844164354283</v>
      </c>
      <c r="AC81" s="774">
        <f>K81-'Corrected and Updated TSF 1'!CJ81</f>
        <v>0</v>
      </c>
      <c r="AD81" s="774">
        <f>L81-SUM('Corrected and Updated TSF 1'!CK81:CL81)</f>
        <v>0</v>
      </c>
      <c r="AE81" s="1173">
        <f t="shared" si="11"/>
        <v>3131639.4428643049</v>
      </c>
      <c r="AF81" s="1174">
        <f>SUM(FORM!$V$19:$W$22)+SUM(FORM!$V$25:$W$28)+SUM(FORM!$V$31:$W$34)</f>
        <v>0</v>
      </c>
      <c r="AG81" s="1173">
        <f t="shared" si="12"/>
        <v>3131639.4428643049</v>
      </c>
      <c r="AH81" s="1173"/>
      <c r="AI81" s="714"/>
      <c r="AJ81" s="714"/>
      <c r="AK81" s="714"/>
      <c r="AL81" s="714"/>
      <c r="AM81" s="714"/>
      <c r="AN81" s="714"/>
      <c r="AO81" s="714"/>
      <c r="AP81" s="714"/>
      <c r="AQ81" s="760"/>
      <c r="AR81" s="760"/>
      <c r="AS81" s="760"/>
      <c r="AT81" s="760"/>
      <c r="AU81" s="760"/>
      <c r="AV81" s="760"/>
      <c r="AW81" s="760"/>
    </row>
    <row r="82" spans="1:49" s="119" customFormat="1" ht="12.75" hidden="1" customHeight="1">
      <c r="A82" s="767" t="str">
        <f t="shared" si="8"/>
        <v>6J</v>
      </c>
      <c r="B82" s="768" t="str">
        <f>'Corrected and Updated TSF 1'!ER82</f>
        <v>SOLD</v>
      </c>
      <c r="C82" s="757" t="str">
        <f>'Corrected and Updated TSF 1'!E82</f>
        <v>6th Floor</v>
      </c>
      <c r="D82" s="642" t="str">
        <f>'Corrected and Updated TSF 1'!M82</f>
        <v>Inner</v>
      </c>
      <c r="E82" s="642" t="str">
        <f>'Corrected and Updated TSF 1'!G82</f>
        <v>6J</v>
      </c>
      <c r="F82" s="758" t="str">
        <f>'Corrected and Updated TSF 1'!I82</f>
        <v>Studio Unit</v>
      </c>
      <c r="G82" s="769">
        <f>'Corrected and Updated TSF 1'!J82</f>
        <v>22</v>
      </c>
      <c r="H82" s="769">
        <f>'Corrected and Updated TSF 1'!CI82</f>
        <v>3131639.4428643049</v>
      </c>
      <c r="I82" s="770"/>
      <c r="J82" s="770">
        <f t="shared" si="9"/>
        <v>3131639.4428643049</v>
      </c>
      <c r="K82" s="769">
        <f>'Corrected and Updated TSF 1'!CJ82</f>
        <v>0</v>
      </c>
      <c r="L82" s="769">
        <f>SUM('Corrected and Updated TSF 1'!CK82:CL82)</f>
        <v>430600.42339384189</v>
      </c>
      <c r="M82" s="769">
        <f t="shared" si="10"/>
        <v>3562239.8662581467</v>
      </c>
      <c r="N82" s="771">
        <f>'Corrected and Updated TSF 1'!CN82</f>
        <v>0.125</v>
      </c>
      <c r="O82" s="769">
        <f>'Corrected and Updated TSF 1'!CO82</f>
        <v>445279.98328226834</v>
      </c>
      <c r="P82" s="769">
        <f>'Corrected and Updated TSF 1'!CP82</f>
        <v>30000</v>
      </c>
      <c r="Q82" s="769">
        <f>'Corrected and Updated TSF 1'!CQ82</f>
        <v>415279.98328226834</v>
      </c>
      <c r="R82" s="425">
        <f>'Corrected and Updated TSF 1'!CR82</f>
        <v>1</v>
      </c>
      <c r="S82" s="769">
        <f>'Corrected and Updated TSF 1'!CS82</f>
        <v>415279.98328226834</v>
      </c>
      <c r="T82" s="769">
        <f>'Corrected and Updated TSF 1'!CU82</f>
        <v>3116959.8829758782</v>
      </c>
      <c r="U82" s="769">
        <f>'Corrected and Updated TSF 1'!CV82</f>
        <v>24165.756796379304</v>
      </c>
      <c r="V82" s="772">
        <f>'Corrected and Updated TSF 1'!CW82</f>
        <v>28016.116619315919</v>
      </c>
      <c r="W82" s="773">
        <f>'Corrected and Updated TSF 1'!CX82</f>
        <v>36190.547179778965</v>
      </c>
      <c r="X82" s="773">
        <f>'Corrected and Updated TSF 1'!CY82</f>
        <v>61719.541485110021</v>
      </c>
      <c r="Y82" s="1130">
        <f>'Corrected and Updated TSF 1'!CZ82</f>
        <v>253200.55859564664</v>
      </c>
      <c r="Z82" s="1130">
        <f>'Corrected and Updated TSF 1'!DA82</f>
        <v>100190.22762556261</v>
      </c>
      <c r="AA82" s="1130">
        <f>'Corrected and Updated TSF 1'!DB82</f>
        <v>72365.982400252818</v>
      </c>
      <c r="AB82" s="1130">
        <f>'Corrected and Updated TSF 1'!DC82</f>
        <v>55073.844164354283</v>
      </c>
      <c r="AC82" s="774">
        <f>K82-'Corrected and Updated TSF 1'!CJ82</f>
        <v>0</v>
      </c>
      <c r="AD82" s="774">
        <f>L82-SUM('Corrected and Updated TSF 1'!CK82:CL82)</f>
        <v>0</v>
      </c>
      <c r="AE82" s="1173">
        <f t="shared" si="11"/>
        <v>3131639.4428643049</v>
      </c>
      <c r="AF82" s="1174">
        <f>SUM(FORM!$V$19:$W$22)+SUM(FORM!$V$25:$W$28)+SUM(FORM!$V$31:$W$34)</f>
        <v>0</v>
      </c>
      <c r="AG82" s="1173">
        <f t="shared" si="12"/>
        <v>3131639.4428643049</v>
      </c>
      <c r="AH82" s="1173"/>
      <c r="AI82" s="714"/>
      <c r="AJ82" s="714"/>
      <c r="AK82" s="714"/>
      <c r="AL82" s="714"/>
      <c r="AM82" s="714"/>
      <c r="AN82" s="714"/>
      <c r="AO82" s="714"/>
      <c r="AP82" s="714"/>
      <c r="AQ82" s="760"/>
      <c r="AR82" s="760"/>
      <c r="AS82" s="760"/>
      <c r="AT82" s="760"/>
      <c r="AU82" s="760"/>
      <c r="AV82" s="760"/>
      <c r="AW82" s="760"/>
    </row>
    <row r="83" spans="1:49" s="119" customFormat="1" ht="12.75" hidden="1" customHeight="1">
      <c r="A83" s="767" t="str">
        <f t="shared" si="8"/>
        <v>6K</v>
      </c>
      <c r="B83" s="768" t="str">
        <f>'Corrected and Updated TSF 1'!ER83</f>
        <v>SOLD</v>
      </c>
      <c r="C83" s="757" t="str">
        <f>'Corrected and Updated TSF 1'!E83</f>
        <v>6th Floor</v>
      </c>
      <c r="D83" s="642" t="str">
        <f>'Corrected and Updated TSF 1'!M83</f>
        <v>Inner</v>
      </c>
      <c r="E83" s="642" t="str">
        <f>'Corrected and Updated TSF 1'!G83</f>
        <v>6K</v>
      </c>
      <c r="F83" s="758" t="str">
        <f>'Corrected and Updated TSF 1'!I83</f>
        <v>Studio Unit</v>
      </c>
      <c r="G83" s="769">
        <f>'Corrected and Updated TSF 1'!J83</f>
        <v>22</v>
      </c>
      <c r="H83" s="769">
        <f>'Corrected and Updated TSF 1'!CI83</f>
        <v>3131639.4428643049</v>
      </c>
      <c r="I83" s="770"/>
      <c r="J83" s="770">
        <f t="shared" si="9"/>
        <v>3131639.4428643049</v>
      </c>
      <c r="K83" s="769">
        <f>'Corrected and Updated TSF 1'!CJ83</f>
        <v>0</v>
      </c>
      <c r="L83" s="769">
        <f>SUM('Corrected and Updated TSF 1'!CK83:CL83)</f>
        <v>430600.42339384189</v>
      </c>
      <c r="M83" s="769">
        <f t="shared" si="10"/>
        <v>3562239.8662581467</v>
      </c>
      <c r="N83" s="771">
        <f>'Corrected and Updated TSF 1'!CN83</f>
        <v>0.125</v>
      </c>
      <c r="O83" s="769">
        <f>'Corrected and Updated TSF 1'!CO83</f>
        <v>445279.98328226834</v>
      </c>
      <c r="P83" s="769">
        <f>'Corrected and Updated TSF 1'!CP83</f>
        <v>30000</v>
      </c>
      <c r="Q83" s="769">
        <f>'Corrected and Updated TSF 1'!CQ83</f>
        <v>415279.98328226834</v>
      </c>
      <c r="R83" s="425">
        <f>'Corrected and Updated TSF 1'!CR83</f>
        <v>1</v>
      </c>
      <c r="S83" s="769">
        <f>'Corrected and Updated TSF 1'!CS83</f>
        <v>415279.98328226834</v>
      </c>
      <c r="T83" s="769">
        <f>'Corrected and Updated TSF 1'!CU83</f>
        <v>3116959.8829758782</v>
      </c>
      <c r="U83" s="769">
        <f>'Corrected and Updated TSF 1'!CV83</f>
        <v>24165.756796379304</v>
      </c>
      <c r="V83" s="772">
        <f>'Corrected and Updated TSF 1'!CW83</f>
        <v>28016.116619315919</v>
      </c>
      <c r="W83" s="773">
        <f>'Corrected and Updated TSF 1'!CX83</f>
        <v>36190.547179778965</v>
      </c>
      <c r="X83" s="773">
        <f>'Corrected and Updated TSF 1'!CY83</f>
        <v>61719.541485110021</v>
      </c>
      <c r="Y83" s="1130">
        <f>'Corrected and Updated TSF 1'!CZ83</f>
        <v>253200.55859564664</v>
      </c>
      <c r="Z83" s="1130">
        <f>'Corrected and Updated TSF 1'!DA83</f>
        <v>100190.22762556261</v>
      </c>
      <c r="AA83" s="1130">
        <f>'Corrected and Updated TSF 1'!DB83</f>
        <v>72365.982400252818</v>
      </c>
      <c r="AB83" s="1130">
        <f>'Corrected and Updated TSF 1'!DC83</f>
        <v>55073.844164354283</v>
      </c>
      <c r="AC83" s="774">
        <f>K83-'Corrected and Updated TSF 1'!CJ83</f>
        <v>0</v>
      </c>
      <c r="AD83" s="774">
        <f>L83-SUM('Corrected and Updated TSF 1'!CK83:CL83)</f>
        <v>0</v>
      </c>
      <c r="AE83" s="1173">
        <f t="shared" si="11"/>
        <v>3131639.4428643049</v>
      </c>
      <c r="AF83" s="1174">
        <f>SUM(FORM!$V$19:$W$22)+SUM(FORM!$V$25:$W$28)+SUM(FORM!$V$31:$W$34)</f>
        <v>0</v>
      </c>
      <c r="AG83" s="1173">
        <f t="shared" si="12"/>
        <v>3131639.4428643049</v>
      </c>
      <c r="AH83" s="1173"/>
      <c r="AI83" s="714"/>
      <c r="AJ83" s="714"/>
      <c r="AK83" s="714"/>
      <c r="AL83" s="714"/>
      <c r="AM83" s="714"/>
      <c r="AN83" s="714"/>
      <c r="AO83" s="714"/>
      <c r="AP83" s="714"/>
      <c r="AQ83" s="760"/>
      <c r="AR83" s="760"/>
      <c r="AS83" s="760"/>
      <c r="AT83" s="760"/>
      <c r="AU83" s="760"/>
      <c r="AV83" s="760"/>
      <c r="AW83" s="760"/>
    </row>
    <row r="84" spans="1:49" s="119" customFormat="1" ht="12.75" hidden="1" customHeight="1">
      <c r="A84" s="767" t="str">
        <f t="shared" si="8"/>
        <v>6L</v>
      </c>
      <c r="B84" s="768" t="str">
        <f>'Corrected and Updated TSF 1'!ER84</f>
        <v>SOLD</v>
      </c>
      <c r="C84" s="757" t="str">
        <f>'Corrected and Updated TSF 1'!E84</f>
        <v>6th Floor</v>
      </c>
      <c r="D84" s="642" t="str">
        <f>'Corrected and Updated TSF 1'!M84</f>
        <v>Inner</v>
      </c>
      <c r="E84" s="642" t="str">
        <f>'Corrected and Updated TSF 1'!G84</f>
        <v>6L</v>
      </c>
      <c r="F84" s="758" t="str">
        <f>'Corrected and Updated TSF 1'!I84</f>
        <v>Studio Unit</v>
      </c>
      <c r="G84" s="769">
        <f>'Corrected and Updated TSF 1'!J84</f>
        <v>22</v>
      </c>
      <c r="H84" s="769">
        <f>'Corrected and Updated TSF 1'!CI84</f>
        <v>3131639.4428643049</v>
      </c>
      <c r="I84" s="770"/>
      <c r="J84" s="770">
        <f t="shared" si="9"/>
        <v>3131639.4428643049</v>
      </c>
      <c r="K84" s="769">
        <f>'Corrected and Updated TSF 1'!CJ84</f>
        <v>0</v>
      </c>
      <c r="L84" s="769">
        <f>SUM('Corrected and Updated TSF 1'!CK84:CL84)</f>
        <v>430600.42339384189</v>
      </c>
      <c r="M84" s="769">
        <f t="shared" si="10"/>
        <v>3562239.8662581467</v>
      </c>
      <c r="N84" s="771">
        <f>'Corrected and Updated TSF 1'!CN84</f>
        <v>0.125</v>
      </c>
      <c r="O84" s="769">
        <f>'Corrected and Updated TSF 1'!CO84</f>
        <v>445279.98328226834</v>
      </c>
      <c r="P84" s="769">
        <f>'Corrected and Updated TSF 1'!CP84</f>
        <v>30000</v>
      </c>
      <c r="Q84" s="769">
        <f>'Corrected and Updated TSF 1'!CQ84</f>
        <v>415279.98328226834</v>
      </c>
      <c r="R84" s="425">
        <f>'Corrected and Updated TSF 1'!CR84</f>
        <v>1</v>
      </c>
      <c r="S84" s="769">
        <f>'Corrected and Updated TSF 1'!CS84</f>
        <v>415279.98328226834</v>
      </c>
      <c r="T84" s="769">
        <f>'Corrected and Updated TSF 1'!CU84</f>
        <v>3116959.8829758782</v>
      </c>
      <c r="U84" s="769">
        <f>'Corrected and Updated TSF 1'!CV84</f>
        <v>24165.756796379304</v>
      </c>
      <c r="V84" s="772">
        <f>'Corrected and Updated TSF 1'!CW84</f>
        <v>28016.116619315919</v>
      </c>
      <c r="W84" s="773">
        <f>'Corrected and Updated TSF 1'!CX84</f>
        <v>36190.547179778965</v>
      </c>
      <c r="X84" s="773">
        <f>'Corrected and Updated TSF 1'!CY84</f>
        <v>61719.541485110021</v>
      </c>
      <c r="Y84" s="1130">
        <f>'Corrected and Updated TSF 1'!CZ84</f>
        <v>253200.55859564664</v>
      </c>
      <c r="Z84" s="1130">
        <f>'Corrected and Updated TSF 1'!DA84</f>
        <v>100190.22762556261</v>
      </c>
      <c r="AA84" s="1130">
        <f>'Corrected and Updated TSF 1'!DB84</f>
        <v>72365.982400252818</v>
      </c>
      <c r="AB84" s="1130">
        <f>'Corrected and Updated TSF 1'!DC84</f>
        <v>55073.844164354283</v>
      </c>
      <c r="AC84" s="774">
        <f>K84-'Corrected and Updated TSF 1'!CJ84</f>
        <v>0</v>
      </c>
      <c r="AD84" s="774">
        <f>L84-SUM('Corrected and Updated TSF 1'!CK84:CL84)</f>
        <v>0</v>
      </c>
      <c r="AE84" s="1173">
        <f t="shared" si="11"/>
        <v>3131639.4428643049</v>
      </c>
      <c r="AF84" s="1174">
        <f>SUM(FORM!$V$19:$W$22)+SUM(FORM!$V$25:$W$28)+SUM(FORM!$V$31:$W$34)</f>
        <v>0</v>
      </c>
      <c r="AG84" s="1173">
        <f t="shared" si="12"/>
        <v>3131639.4428643049</v>
      </c>
      <c r="AH84" s="1173"/>
      <c r="AI84" s="714"/>
      <c r="AJ84" s="714"/>
      <c r="AK84" s="714"/>
      <c r="AL84" s="714"/>
      <c r="AM84" s="714"/>
      <c r="AN84" s="714"/>
      <c r="AO84" s="714"/>
      <c r="AP84" s="714"/>
      <c r="AQ84" s="760"/>
      <c r="AR84" s="760"/>
      <c r="AS84" s="760"/>
      <c r="AT84" s="760"/>
      <c r="AU84" s="760"/>
      <c r="AV84" s="760"/>
      <c r="AW84" s="760"/>
    </row>
    <row r="85" spans="1:49" s="119" customFormat="1" ht="12.75" hidden="1" customHeight="1">
      <c r="A85" s="767" t="str">
        <f t="shared" si="8"/>
        <v>6M</v>
      </c>
      <c r="B85" s="768" t="str">
        <f>'Corrected and Updated TSF 1'!ER85</f>
        <v>SOLD</v>
      </c>
      <c r="C85" s="757" t="str">
        <f>'Corrected and Updated TSF 1'!E85</f>
        <v>6th Floor</v>
      </c>
      <c r="D85" s="642" t="str">
        <f>'Corrected and Updated TSF 1'!M85</f>
        <v>Inner</v>
      </c>
      <c r="E85" s="642" t="str">
        <f>'Corrected and Updated TSF 1'!G85</f>
        <v>6M</v>
      </c>
      <c r="F85" s="758" t="str">
        <f>'Corrected and Updated TSF 1'!I85</f>
        <v>Studio Unit</v>
      </c>
      <c r="G85" s="769">
        <f>'Corrected and Updated TSF 1'!J85</f>
        <v>22</v>
      </c>
      <c r="H85" s="769">
        <f>'Corrected and Updated TSF 1'!CI85</f>
        <v>3131639.4428643049</v>
      </c>
      <c r="I85" s="770"/>
      <c r="J85" s="770">
        <f t="shared" si="9"/>
        <v>3131639.4428643049</v>
      </c>
      <c r="K85" s="769">
        <f>'Corrected and Updated TSF 1'!CJ85</f>
        <v>0</v>
      </c>
      <c r="L85" s="769">
        <f>SUM('Corrected and Updated TSF 1'!CK85:CL85)</f>
        <v>430600.42339384189</v>
      </c>
      <c r="M85" s="769">
        <f t="shared" si="10"/>
        <v>3562239.8662581467</v>
      </c>
      <c r="N85" s="771">
        <f>'Corrected and Updated TSF 1'!CN85</f>
        <v>0.125</v>
      </c>
      <c r="O85" s="769">
        <f>'Corrected and Updated TSF 1'!CO85</f>
        <v>445279.98328226834</v>
      </c>
      <c r="P85" s="769">
        <f>'Corrected and Updated TSF 1'!CP85</f>
        <v>30000</v>
      </c>
      <c r="Q85" s="769">
        <f>'Corrected and Updated TSF 1'!CQ85</f>
        <v>415279.98328226834</v>
      </c>
      <c r="R85" s="425">
        <f>'Corrected and Updated TSF 1'!CR85</f>
        <v>1</v>
      </c>
      <c r="S85" s="769">
        <f>'Corrected and Updated TSF 1'!CS85</f>
        <v>415279.98328226834</v>
      </c>
      <c r="T85" s="769">
        <f>'Corrected and Updated TSF 1'!CU85</f>
        <v>3116959.8829758782</v>
      </c>
      <c r="U85" s="769">
        <f>'Corrected and Updated TSF 1'!CV85</f>
        <v>24165.756796379304</v>
      </c>
      <c r="V85" s="772">
        <f>'Corrected and Updated TSF 1'!CW85</f>
        <v>28016.116619315919</v>
      </c>
      <c r="W85" s="773">
        <f>'Corrected and Updated TSF 1'!CX85</f>
        <v>36190.547179778965</v>
      </c>
      <c r="X85" s="773">
        <f>'Corrected and Updated TSF 1'!CY85</f>
        <v>61719.541485110021</v>
      </c>
      <c r="Y85" s="1130">
        <f>'Corrected and Updated TSF 1'!CZ85</f>
        <v>253200.55859564664</v>
      </c>
      <c r="Z85" s="1130">
        <f>'Corrected and Updated TSF 1'!DA85</f>
        <v>100190.22762556261</v>
      </c>
      <c r="AA85" s="1130">
        <f>'Corrected and Updated TSF 1'!DB85</f>
        <v>72365.982400252818</v>
      </c>
      <c r="AB85" s="1130">
        <f>'Corrected and Updated TSF 1'!DC85</f>
        <v>55073.844164354283</v>
      </c>
      <c r="AC85" s="774">
        <f>K85-'Corrected and Updated TSF 1'!CJ85</f>
        <v>0</v>
      </c>
      <c r="AD85" s="774">
        <f>L85-SUM('Corrected and Updated TSF 1'!CK85:CL85)</f>
        <v>0</v>
      </c>
      <c r="AE85" s="1173">
        <f t="shared" si="11"/>
        <v>3131639.4428643049</v>
      </c>
      <c r="AF85" s="1174">
        <f>SUM(FORM!$V$19:$W$22)+SUM(FORM!$V$25:$W$28)+SUM(FORM!$V$31:$W$34)</f>
        <v>0</v>
      </c>
      <c r="AG85" s="1173">
        <f t="shared" si="12"/>
        <v>3131639.4428643049</v>
      </c>
      <c r="AH85" s="1173"/>
      <c r="AI85" s="714"/>
      <c r="AJ85" s="714"/>
      <c r="AK85" s="714"/>
      <c r="AL85" s="714"/>
      <c r="AM85" s="714"/>
      <c r="AN85" s="714"/>
      <c r="AO85" s="714"/>
      <c r="AP85" s="714"/>
      <c r="AQ85" s="552"/>
      <c r="AR85" s="552"/>
      <c r="AS85" s="552"/>
      <c r="AT85" s="552"/>
    </row>
    <row r="86" spans="1:49" s="119" customFormat="1" ht="12.75" hidden="1" customHeight="1">
      <c r="A86" s="767" t="str">
        <f t="shared" si="8"/>
        <v>6N</v>
      </c>
      <c r="B86" s="768" t="str">
        <f>'Corrected and Updated TSF 1'!ER86</f>
        <v>SOLD</v>
      </c>
      <c r="C86" s="757" t="str">
        <f>'Corrected and Updated TSF 1'!E86</f>
        <v>6th Floor</v>
      </c>
      <c r="D86" s="642" t="str">
        <f>'Corrected and Updated TSF 1'!M86</f>
        <v>Inner</v>
      </c>
      <c r="E86" s="642" t="str">
        <f>'Corrected and Updated TSF 1'!G86</f>
        <v>6N</v>
      </c>
      <c r="F86" s="758" t="str">
        <f>'Corrected and Updated TSF 1'!I86</f>
        <v>Studio Unit</v>
      </c>
      <c r="G86" s="769">
        <f>'Corrected and Updated TSF 1'!J86</f>
        <v>22</v>
      </c>
      <c r="H86" s="769">
        <f>'Corrected and Updated TSF 1'!CI86</f>
        <v>3131639.4428643049</v>
      </c>
      <c r="I86" s="770"/>
      <c r="J86" s="770">
        <f t="shared" si="9"/>
        <v>3131639.4428643049</v>
      </c>
      <c r="K86" s="769">
        <f>'Corrected and Updated TSF 1'!CJ86</f>
        <v>0</v>
      </c>
      <c r="L86" s="769">
        <f>SUM('Corrected and Updated TSF 1'!CK86:CL86)</f>
        <v>430600.42339384189</v>
      </c>
      <c r="M86" s="769">
        <f t="shared" si="10"/>
        <v>3562239.8662581467</v>
      </c>
      <c r="N86" s="771">
        <f>'Corrected and Updated TSF 1'!CN86</f>
        <v>0.125</v>
      </c>
      <c r="O86" s="769">
        <f>'Corrected and Updated TSF 1'!CO86</f>
        <v>445279.98328226834</v>
      </c>
      <c r="P86" s="769">
        <f>'Corrected and Updated TSF 1'!CP86</f>
        <v>30000</v>
      </c>
      <c r="Q86" s="769">
        <f>'Corrected and Updated TSF 1'!CQ86</f>
        <v>415279.98328226834</v>
      </c>
      <c r="R86" s="425">
        <f>'Corrected and Updated TSF 1'!CR86</f>
        <v>1</v>
      </c>
      <c r="S86" s="769">
        <f>'Corrected and Updated TSF 1'!CS86</f>
        <v>415279.98328226834</v>
      </c>
      <c r="T86" s="769">
        <f>'Corrected and Updated TSF 1'!CU86</f>
        <v>3116959.8829758782</v>
      </c>
      <c r="U86" s="769">
        <f>'Corrected and Updated TSF 1'!CV86</f>
        <v>24165.756796379304</v>
      </c>
      <c r="V86" s="772">
        <f>'Corrected and Updated TSF 1'!CW86</f>
        <v>28016.116619315919</v>
      </c>
      <c r="W86" s="773">
        <f>'Corrected and Updated TSF 1'!CX86</f>
        <v>36190.547179778965</v>
      </c>
      <c r="X86" s="773">
        <f>'Corrected and Updated TSF 1'!CY86</f>
        <v>61719.541485110021</v>
      </c>
      <c r="Y86" s="1130">
        <f>'Corrected and Updated TSF 1'!CZ86</f>
        <v>253200.55859564664</v>
      </c>
      <c r="Z86" s="1130">
        <f>'Corrected and Updated TSF 1'!DA86</f>
        <v>100190.22762556261</v>
      </c>
      <c r="AA86" s="1130">
        <f>'Corrected and Updated TSF 1'!DB86</f>
        <v>72365.982400252818</v>
      </c>
      <c r="AB86" s="1130">
        <f>'Corrected and Updated TSF 1'!DC86</f>
        <v>55073.844164354283</v>
      </c>
      <c r="AC86" s="774">
        <f>K86-'Corrected and Updated TSF 1'!CJ86</f>
        <v>0</v>
      </c>
      <c r="AD86" s="774">
        <f>L86-SUM('Corrected and Updated TSF 1'!CK86:CL86)</f>
        <v>0</v>
      </c>
      <c r="AE86" s="1173">
        <f t="shared" si="11"/>
        <v>3131639.4428643049</v>
      </c>
      <c r="AF86" s="1174">
        <f>SUM(FORM!$V$19:$W$22)+SUM(FORM!$V$25:$W$28)+SUM(FORM!$V$31:$W$34)</f>
        <v>0</v>
      </c>
      <c r="AG86" s="1173">
        <f t="shared" si="12"/>
        <v>3131639.4428643049</v>
      </c>
      <c r="AH86" s="1173"/>
      <c r="AI86" s="714"/>
      <c r="AJ86" s="714"/>
      <c r="AK86" s="714"/>
      <c r="AL86" s="714"/>
      <c r="AM86" s="714"/>
      <c r="AN86" s="714"/>
      <c r="AO86" s="714"/>
      <c r="AP86" s="714"/>
      <c r="AQ86" s="760"/>
      <c r="AR86" s="760"/>
      <c r="AS86" s="760"/>
      <c r="AT86" s="760"/>
      <c r="AU86" s="760"/>
      <c r="AV86" s="760"/>
      <c r="AW86" s="760"/>
    </row>
    <row r="87" spans="1:49" s="119" customFormat="1" ht="12.75" hidden="1" customHeight="1">
      <c r="A87" s="767" t="str">
        <f t="shared" si="8"/>
        <v>6O</v>
      </c>
      <c r="B87" s="768" t="str">
        <f>'Corrected and Updated TSF 1'!ER87</f>
        <v>SOLD</v>
      </c>
      <c r="C87" s="757" t="str">
        <f>'Corrected and Updated TSF 1'!E87</f>
        <v>6th Floor</v>
      </c>
      <c r="D87" s="642" t="str">
        <f>'Corrected and Updated TSF 1'!M87</f>
        <v>Inner</v>
      </c>
      <c r="E87" s="642" t="str">
        <f>'Corrected and Updated TSF 1'!G87</f>
        <v>6O</v>
      </c>
      <c r="F87" s="758" t="str">
        <f>'Corrected and Updated TSF 1'!I87</f>
        <v>Studio Unit</v>
      </c>
      <c r="G87" s="769">
        <f>'Corrected and Updated TSF 1'!J87</f>
        <v>22</v>
      </c>
      <c r="H87" s="769">
        <f>'Corrected and Updated TSF 1'!CI87</f>
        <v>3131639.4428643049</v>
      </c>
      <c r="I87" s="770"/>
      <c r="J87" s="770">
        <f t="shared" si="9"/>
        <v>3131639.4428643049</v>
      </c>
      <c r="K87" s="769">
        <f>'Corrected and Updated TSF 1'!CJ87</f>
        <v>0</v>
      </c>
      <c r="L87" s="769">
        <f>SUM('Corrected and Updated TSF 1'!CK87:CL87)</f>
        <v>430600.42339384189</v>
      </c>
      <c r="M87" s="769">
        <f t="shared" si="10"/>
        <v>3562239.8662581467</v>
      </c>
      <c r="N87" s="771">
        <f>'Corrected and Updated TSF 1'!CN87</f>
        <v>0.125</v>
      </c>
      <c r="O87" s="769">
        <f>'Corrected and Updated TSF 1'!CO87</f>
        <v>445279.98328226834</v>
      </c>
      <c r="P87" s="769">
        <f>'Corrected and Updated TSF 1'!CP87</f>
        <v>30000</v>
      </c>
      <c r="Q87" s="769">
        <f>'Corrected and Updated TSF 1'!CQ87</f>
        <v>415279.98328226834</v>
      </c>
      <c r="R87" s="425">
        <f>'Corrected and Updated TSF 1'!CR87</f>
        <v>1</v>
      </c>
      <c r="S87" s="769">
        <f>'Corrected and Updated TSF 1'!CS87</f>
        <v>415279.98328226834</v>
      </c>
      <c r="T87" s="769">
        <f>'Corrected and Updated TSF 1'!CU87</f>
        <v>3116959.8829758782</v>
      </c>
      <c r="U87" s="769">
        <f>'Corrected and Updated TSF 1'!CV87</f>
        <v>24165.756796379304</v>
      </c>
      <c r="V87" s="772">
        <f>'Corrected and Updated TSF 1'!CW87</f>
        <v>28016.116619315919</v>
      </c>
      <c r="W87" s="773">
        <f>'Corrected and Updated TSF 1'!CX87</f>
        <v>36190.547179778965</v>
      </c>
      <c r="X87" s="773">
        <f>'Corrected and Updated TSF 1'!CY87</f>
        <v>61719.541485110021</v>
      </c>
      <c r="Y87" s="1130">
        <f>'Corrected and Updated TSF 1'!CZ87</f>
        <v>253200.55859564664</v>
      </c>
      <c r="Z87" s="1130">
        <f>'Corrected and Updated TSF 1'!DA87</f>
        <v>100190.22762556261</v>
      </c>
      <c r="AA87" s="1130">
        <f>'Corrected and Updated TSF 1'!DB87</f>
        <v>72365.982400252818</v>
      </c>
      <c r="AB87" s="1130">
        <f>'Corrected and Updated TSF 1'!DC87</f>
        <v>55073.844164354283</v>
      </c>
      <c r="AC87" s="774">
        <f>K87-'Corrected and Updated TSF 1'!CJ87</f>
        <v>0</v>
      </c>
      <c r="AD87" s="774">
        <f>L87-SUM('Corrected and Updated TSF 1'!CK87:CL87)</f>
        <v>0</v>
      </c>
      <c r="AE87" s="1173">
        <f t="shared" si="11"/>
        <v>3131639.4428643049</v>
      </c>
      <c r="AF87" s="1174">
        <f>SUM(FORM!$V$19:$W$22)+SUM(FORM!$V$25:$W$28)+SUM(FORM!$V$31:$W$34)</f>
        <v>0</v>
      </c>
      <c r="AG87" s="1173">
        <f t="shared" si="12"/>
        <v>3131639.4428643049</v>
      </c>
      <c r="AH87" s="1173"/>
      <c r="AI87" s="714"/>
      <c r="AJ87" s="714"/>
      <c r="AK87" s="714"/>
      <c r="AL87" s="714"/>
      <c r="AM87" s="714"/>
      <c r="AN87" s="714"/>
      <c r="AO87" s="714"/>
      <c r="AP87" s="714"/>
      <c r="AQ87" s="760"/>
      <c r="AR87" s="760"/>
      <c r="AS87" s="760"/>
      <c r="AT87" s="760"/>
      <c r="AU87" s="760"/>
      <c r="AV87" s="760"/>
      <c r="AW87" s="760"/>
    </row>
    <row r="88" spans="1:49" s="119" customFormat="1" ht="12.75" hidden="1" customHeight="1">
      <c r="A88" s="767" t="str">
        <f t="shared" si="8"/>
        <v>6P</v>
      </c>
      <c r="B88" s="768" t="str">
        <f>'Corrected and Updated TSF 1'!ER88</f>
        <v>SOLD</v>
      </c>
      <c r="C88" s="757" t="str">
        <f>'Corrected and Updated TSF 1'!E88</f>
        <v>6th Floor</v>
      </c>
      <c r="D88" s="642" t="str">
        <f>'Corrected and Updated TSF 1'!M88</f>
        <v>Inner</v>
      </c>
      <c r="E88" s="642" t="str">
        <f>'Corrected and Updated TSF 1'!G88</f>
        <v>6P</v>
      </c>
      <c r="F88" s="758" t="str">
        <f>'Corrected and Updated TSF 1'!I88</f>
        <v>Studio Unit</v>
      </c>
      <c r="G88" s="769">
        <f>'Corrected and Updated TSF 1'!J88</f>
        <v>22</v>
      </c>
      <c r="H88" s="769">
        <f>'Corrected and Updated TSF 1'!CI88</f>
        <v>3131639.4428643049</v>
      </c>
      <c r="I88" s="770"/>
      <c r="J88" s="770">
        <f t="shared" si="9"/>
        <v>3131639.4428643049</v>
      </c>
      <c r="K88" s="769">
        <f>'Corrected and Updated TSF 1'!CJ88</f>
        <v>0</v>
      </c>
      <c r="L88" s="769">
        <f>SUM('Corrected and Updated TSF 1'!CK88:CL88)</f>
        <v>430600.42339384189</v>
      </c>
      <c r="M88" s="769">
        <f t="shared" si="10"/>
        <v>3562239.8662581467</v>
      </c>
      <c r="N88" s="771">
        <f>'Corrected and Updated TSF 1'!CN88</f>
        <v>0.125</v>
      </c>
      <c r="O88" s="769">
        <f>'Corrected and Updated TSF 1'!CO88</f>
        <v>445279.98328226834</v>
      </c>
      <c r="P88" s="769">
        <f>'Corrected and Updated TSF 1'!CP88</f>
        <v>30000</v>
      </c>
      <c r="Q88" s="769">
        <f>'Corrected and Updated TSF 1'!CQ88</f>
        <v>415279.98328226834</v>
      </c>
      <c r="R88" s="425">
        <f>'Corrected and Updated TSF 1'!CR88</f>
        <v>1</v>
      </c>
      <c r="S88" s="769">
        <f>'Corrected and Updated TSF 1'!CS88</f>
        <v>415279.98328226834</v>
      </c>
      <c r="T88" s="769">
        <f>'Corrected and Updated TSF 1'!CU88</f>
        <v>3116959.8829758782</v>
      </c>
      <c r="U88" s="769">
        <f>'Corrected and Updated TSF 1'!CV88</f>
        <v>24165.756796379304</v>
      </c>
      <c r="V88" s="772">
        <f>'Corrected and Updated TSF 1'!CW88</f>
        <v>28016.116619315919</v>
      </c>
      <c r="W88" s="773">
        <f>'Corrected and Updated TSF 1'!CX88</f>
        <v>36190.547179778965</v>
      </c>
      <c r="X88" s="773">
        <f>'Corrected and Updated TSF 1'!CY88</f>
        <v>61719.541485110021</v>
      </c>
      <c r="Y88" s="1130">
        <f>'Corrected and Updated TSF 1'!CZ88</f>
        <v>253200.55859564664</v>
      </c>
      <c r="Z88" s="1130">
        <f>'Corrected and Updated TSF 1'!DA88</f>
        <v>100190.22762556261</v>
      </c>
      <c r="AA88" s="1130">
        <f>'Corrected and Updated TSF 1'!DB88</f>
        <v>72365.982400252818</v>
      </c>
      <c r="AB88" s="1130">
        <f>'Corrected and Updated TSF 1'!DC88</f>
        <v>55073.844164354283</v>
      </c>
      <c r="AC88" s="774">
        <f>K88-'Corrected and Updated TSF 1'!CJ88</f>
        <v>0</v>
      </c>
      <c r="AD88" s="774">
        <f>L88-SUM('Corrected and Updated TSF 1'!CK88:CL88)</f>
        <v>0</v>
      </c>
      <c r="AE88" s="1173">
        <f t="shared" si="11"/>
        <v>3131639.4428643049</v>
      </c>
      <c r="AF88" s="1174">
        <f>SUM(FORM!$V$19:$W$22)+SUM(FORM!$V$25:$W$28)+SUM(FORM!$V$31:$W$34)</f>
        <v>0</v>
      </c>
      <c r="AG88" s="1173">
        <f t="shared" si="12"/>
        <v>3131639.4428643049</v>
      </c>
      <c r="AH88" s="1173"/>
      <c r="AI88" s="714"/>
      <c r="AJ88" s="714"/>
      <c r="AK88" s="714"/>
      <c r="AL88" s="714"/>
      <c r="AM88" s="714"/>
      <c r="AN88" s="714"/>
      <c r="AO88" s="714"/>
      <c r="AP88" s="714"/>
      <c r="AQ88" s="552"/>
      <c r="AR88" s="552"/>
      <c r="AS88" s="552"/>
      <c r="AT88" s="552"/>
    </row>
    <row r="89" spans="1:49" s="119" customFormat="1" ht="12.75" hidden="1" customHeight="1">
      <c r="A89" s="767" t="str">
        <f t="shared" si="8"/>
        <v>6Q</v>
      </c>
      <c r="B89" s="768" t="str">
        <f>'Corrected and Updated TSF 1'!ER89</f>
        <v>SOLD</v>
      </c>
      <c r="C89" s="757" t="str">
        <f>'Corrected and Updated TSF 1'!E89</f>
        <v>6th Floor</v>
      </c>
      <c r="D89" s="642" t="str">
        <f>'Corrected and Updated TSF 1'!M89</f>
        <v>Inner</v>
      </c>
      <c r="E89" s="642" t="str">
        <f>'Corrected and Updated TSF 1'!G89</f>
        <v>6Q</v>
      </c>
      <c r="F89" s="758" t="str">
        <f>'Corrected and Updated TSF 1'!I89</f>
        <v>Studio Unit</v>
      </c>
      <c r="G89" s="769">
        <f>'Corrected and Updated TSF 1'!J89</f>
        <v>22</v>
      </c>
      <c r="H89" s="769">
        <f>'Corrected and Updated TSF 1'!CI89</f>
        <v>3131639.4428643049</v>
      </c>
      <c r="I89" s="770"/>
      <c r="J89" s="770">
        <f t="shared" si="9"/>
        <v>3131639.4428643049</v>
      </c>
      <c r="K89" s="769">
        <f>'Corrected and Updated TSF 1'!CJ89</f>
        <v>0</v>
      </c>
      <c r="L89" s="769">
        <f>SUM('Corrected and Updated TSF 1'!CK89:CL89)</f>
        <v>430600.42339384189</v>
      </c>
      <c r="M89" s="769">
        <f t="shared" si="10"/>
        <v>3562239.8662581467</v>
      </c>
      <c r="N89" s="771">
        <f>'Corrected and Updated TSF 1'!CN89</f>
        <v>0.125</v>
      </c>
      <c r="O89" s="769">
        <f>'Corrected and Updated TSF 1'!CO89</f>
        <v>445279.98328226834</v>
      </c>
      <c r="P89" s="769">
        <f>'Corrected and Updated TSF 1'!CP89</f>
        <v>30000</v>
      </c>
      <c r="Q89" s="769">
        <f>'Corrected and Updated TSF 1'!CQ89</f>
        <v>415279.98328226834</v>
      </c>
      <c r="R89" s="425">
        <f>'Corrected and Updated TSF 1'!CR89</f>
        <v>1</v>
      </c>
      <c r="S89" s="769">
        <f>'Corrected and Updated TSF 1'!CS89</f>
        <v>415279.98328226834</v>
      </c>
      <c r="T89" s="769">
        <f>'Corrected and Updated TSF 1'!CU89</f>
        <v>3116959.8829758782</v>
      </c>
      <c r="U89" s="769">
        <f>'Corrected and Updated TSF 1'!CV89</f>
        <v>24165.756796379304</v>
      </c>
      <c r="V89" s="772">
        <f>'Corrected and Updated TSF 1'!CW89</f>
        <v>28016.116619315919</v>
      </c>
      <c r="W89" s="773">
        <f>'Corrected and Updated TSF 1'!CX89</f>
        <v>36190.547179778965</v>
      </c>
      <c r="X89" s="773">
        <f>'Corrected and Updated TSF 1'!CY89</f>
        <v>61719.541485110021</v>
      </c>
      <c r="Y89" s="1130">
        <f>'Corrected and Updated TSF 1'!CZ89</f>
        <v>253200.55859564664</v>
      </c>
      <c r="Z89" s="1130">
        <f>'Corrected and Updated TSF 1'!DA89</f>
        <v>100190.22762556261</v>
      </c>
      <c r="AA89" s="1130">
        <f>'Corrected and Updated TSF 1'!DB89</f>
        <v>72365.982400252818</v>
      </c>
      <c r="AB89" s="1130">
        <f>'Corrected and Updated TSF 1'!DC89</f>
        <v>55073.844164354283</v>
      </c>
      <c r="AC89" s="774">
        <f>K89-'Corrected and Updated TSF 1'!CJ89</f>
        <v>0</v>
      </c>
      <c r="AD89" s="774">
        <f>L89-SUM('Corrected and Updated TSF 1'!CK89:CL89)</f>
        <v>0</v>
      </c>
      <c r="AE89" s="1173">
        <f t="shared" si="11"/>
        <v>3131639.4428643049</v>
      </c>
      <c r="AF89" s="1174">
        <f>SUM(FORM!$V$19:$W$22)+SUM(FORM!$V$25:$W$28)+SUM(FORM!$V$31:$W$34)</f>
        <v>0</v>
      </c>
      <c r="AG89" s="1173">
        <f t="shared" si="12"/>
        <v>3131639.4428643049</v>
      </c>
      <c r="AH89" s="1173"/>
      <c r="AI89" s="714"/>
      <c r="AJ89" s="714"/>
      <c r="AK89" s="714"/>
      <c r="AL89" s="714"/>
      <c r="AM89" s="714"/>
      <c r="AN89" s="714"/>
      <c r="AO89" s="714"/>
      <c r="AP89" s="714"/>
      <c r="AQ89" s="760"/>
      <c r="AR89" s="760"/>
      <c r="AS89" s="760"/>
      <c r="AT89" s="760"/>
      <c r="AU89" s="760"/>
      <c r="AV89" s="760"/>
      <c r="AW89" s="760"/>
    </row>
    <row r="90" spans="1:49" s="119" customFormat="1" ht="12.75" hidden="1" customHeight="1">
      <c r="A90" s="767" t="str">
        <f t="shared" si="8"/>
        <v>6R</v>
      </c>
      <c r="B90" s="768" t="str">
        <f>'Corrected and Updated TSF 1'!ER90</f>
        <v>SOLD</v>
      </c>
      <c r="C90" s="757" t="str">
        <f>'Corrected and Updated TSF 1'!E90</f>
        <v>6th Floor</v>
      </c>
      <c r="D90" s="642" t="str">
        <f>'Corrected and Updated TSF 1'!M90</f>
        <v>Corner</v>
      </c>
      <c r="E90" s="642" t="str">
        <f>'Corrected and Updated TSF 1'!G90</f>
        <v>6R</v>
      </c>
      <c r="F90" s="758" t="str">
        <f>'Corrected and Updated TSF 1'!I90</f>
        <v>Studio Unit</v>
      </c>
      <c r="G90" s="769">
        <f>'Corrected and Updated TSF 1'!J90</f>
        <v>22</v>
      </c>
      <c r="H90" s="769">
        <f>'Corrected and Updated TSF 1'!CI90</f>
        <v>3213292.5703137866</v>
      </c>
      <c r="I90" s="770"/>
      <c r="J90" s="770">
        <f t="shared" si="9"/>
        <v>3213292.5703137866</v>
      </c>
      <c r="K90" s="769">
        <f>'Corrected and Updated TSF 1'!CJ90</f>
        <v>0</v>
      </c>
      <c r="L90" s="769">
        <f>SUM('Corrected and Updated TSF 1'!CK90:CL90)</f>
        <v>441827.72841814562</v>
      </c>
      <c r="M90" s="769">
        <f t="shared" si="10"/>
        <v>3655120.2987319324</v>
      </c>
      <c r="N90" s="771">
        <f>'Corrected and Updated TSF 1'!CN90</f>
        <v>0.125</v>
      </c>
      <c r="O90" s="769">
        <f>'Corrected and Updated TSF 1'!CO90</f>
        <v>456890.03734149155</v>
      </c>
      <c r="P90" s="769">
        <f>'Corrected and Updated TSF 1'!CP90</f>
        <v>30000</v>
      </c>
      <c r="Q90" s="769">
        <f>'Corrected and Updated TSF 1'!CQ90</f>
        <v>426890.03734149155</v>
      </c>
      <c r="R90" s="425">
        <f>'Corrected and Updated TSF 1'!CR90</f>
        <v>1</v>
      </c>
      <c r="S90" s="769">
        <f>'Corrected and Updated TSF 1'!CS90</f>
        <v>426890.03734149155</v>
      </c>
      <c r="T90" s="769">
        <f>'Corrected and Updated TSF 1'!CU90</f>
        <v>3198230.2613904411</v>
      </c>
      <c r="U90" s="769">
        <f>'Corrected and Updated TSF 1'!CV90</f>
        <v>24795.845175200844</v>
      </c>
      <c r="V90" s="772">
        <f>'Corrected and Updated TSF 1'!CW90</f>
        <v>28746.597756334759</v>
      </c>
      <c r="W90" s="773">
        <f>'Corrected and Updated TSF 1'!CX90</f>
        <v>37134.165184102661</v>
      </c>
      <c r="X90" s="773">
        <f>'Corrected and Updated TSF 1'!CY90</f>
        <v>63328.792383546119</v>
      </c>
      <c r="Y90" s="1130">
        <f>'Corrected and Updated TSF 1'!CZ90</f>
        <v>259802.40975332033</v>
      </c>
      <c r="Z90" s="1130">
        <f>'Corrected and Updated TSF 1'!DA90</f>
        <v>102802.54796919072</v>
      </c>
      <c r="AA90" s="1130">
        <f>'Corrected and Updated TSF 1'!DB90</f>
        <v>74252.824385654007</v>
      </c>
      <c r="AB90" s="1130">
        <f>'Corrected and Updated TSF 1'!DC90</f>
        <v>56509.817780963174</v>
      </c>
      <c r="AC90" s="774">
        <f>K90-'Corrected and Updated TSF 1'!CJ90</f>
        <v>0</v>
      </c>
      <c r="AD90" s="774">
        <f>L90-SUM('Corrected and Updated TSF 1'!CK90:CL90)</f>
        <v>0</v>
      </c>
      <c r="AE90" s="1173">
        <f t="shared" si="11"/>
        <v>3213292.5703137866</v>
      </c>
      <c r="AF90" s="1174">
        <f>SUM(FORM!$V$19:$W$22)+SUM(FORM!$V$25:$W$28)+SUM(FORM!$V$31:$W$34)</f>
        <v>0</v>
      </c>
      <c r="AG90" s="1173">
        <f t="shared" si="12"/>
        <v>3213292.5703137866</v>
      </c>
      <c r="AH90" s="1173"/>
      <c r="AI90" s="714"/>
      <c r="AJ90" s="714"/>
      <c r="AK90" s="714"/>
      <c r="AL90" s="714"/>
      <c r="AM90" s="714"/>
      <c r="AN90" s="714"/>
      <c r="AO90" s="714"/>
      <c r="AP90" s="714"/>
      <c r="AQ90" s="760"/>
      <c r="AR90" s="760"/>
      <c r="AS90" s="760"/>
      <c r="AT90" s="760"/>
      <c r="AU90" s="760"/>
      <c r="AV90" s="760"/>
      <c r="AW90" s="760"/>
    </row>
    <row r="91" spans="1:49" s="119" customFormat="1" ht="12.75" hidden="1" customHeight="1">
      <c r="A91" s="767" t="str">
        <f t="shared" si="8"/>
        <v>7A</v>
      </c>
      <c r="B91" s="768" t="str">
        <f>'Corrected and Updated TSF 1'!ER91</f>
        <v>SOLD</v>
      </c>
      <c r="C91" s="757" t="str">
        <f>'Corrected and Updated TSF 1'!E91</f>
        <v>7th Floor</v>
      </c>
      <c r="D91" s="642" t="str">
        <f>'Corrected and Updated TSF 1'!M91</f>
        <v>Corner</v>
      </c>
      <c r="E91" s="642" t="str">
        <f>'Corrected and Updated TSF 1'!G91</f>
        <v>7A</v>
      </c>
      <c r="F91" s="758" t="str">
        <f>'Corrected and Updated TSF 1'!I91</f>
        <v>Studio Unit</v>
      </c>
      <c r="G91" s="769">
        <f>'Corrected and Updated TSF 1'!J91</f>
        <v>22</v>
      </c>
      <c r="H91" s="769">
        <f>'Corrected and Updated TSF 1'!CI91</f>
        <v>3241999.9883686625</v>
      </c>
      <c r="I91" s="770"/>
      <c r="J91" s="770">
        <f t="shared" si="9"/>
        <v>3241999.9883686625</v>
      </c>
      <c r="K91" s="769">
        <f>'Corrected and Updated TSF 1'!CJ91</f>
        <v>0</v>
      </c>
      <c r="L91" s="769">
        <f>SUM('Corrected and Updated TSF 1'!CK91:CL91)</f>
        <v>445774.99840069108</v>
      </c>
      <c r="M91" s="769">
        <f t="shared" si="10"/>
        <v>3687774.9867693535</v>
      </c>
      <c r="N91" s="771">
        <f>'Corrected and Updated TSF 1'!CN91</f>
        <v>0.125</v>
      </c>
      <c r="O91" s="769">
        <f>'Corrected and Updated TSF 1'!CO91</f>
        <v>460971.87334616919</v>
      </c>
      <c r="P91" s="769">
        <f>'Corrected and Updated TSF 1'!CP91</f>
        <v>30000</v>
      </c>
      <c r="Q91" s="769">
        <f>'Corrected and Updated TSF 1'!CQ91</f>
        <v>430971.87334616919</v>
      </c>
      <c r="R91" s="425">
        <f>'Corrected and Updated TSF 1'!CR91</f>
        <v>1</v>
      </c>
      <c r="S91" s="769">
        <f>'Corrected and Updated TSF 1'!CS91</f>
        <v>430971.87334616919</v>
      </c>
      <c r="T91" s="769">
        <f>'Corrected and Updated TSF 1'!CU91</f>
        <v>3226803.1134231845</v>
      </c>
      <c r="U91" s="769">
        <f>'Corrected and Updated TSF 1'!CV91</f>
        <v>25017.370192886658</v>
      </c>
      <c r="V91" s="772">
        <f>'Corrected and Updated TSF 1'!CW91</f>
        <v>29003.418628193889</v>
      </c>
      <c r="W91" s="773">
        <f>'Corrected and Updated TSF 1'!CX91</f>
        <v>37465.920223748719</v>
      </c>
      <c r="X91" s="773">
        <f>'Corrected and Updated TSF 1'!CY91</f>
        <v>63894.569099510503</v>
      </c>
      <c r="Y91" s="1130">
        <f>'Corrected and Updated TSF 1'!CZ91</f>
        <v>262123.47334315849</v>
      </c>
      <c r="Z91" s="1130">
        <f>'Corrected and Updated TSF 1'!DA91</f>
        <v>103720.98152513978</v>
      </c>
      <c r="AA91" s="1130">
        <f>'Corrected and Updated TSF 1'!DB91</f>
        <v>74916.195935162847</v>
      </c>
      <c r="AB91" s="1130">
        <f>'Corrected and Updated TSF 1'!DC91</f>
        <v>57014.674070188201</v>
      </c>
      <c r="AC91" s="774">
        <f>K91-'Corrected and Updated TSF 1'!CJ91</f>
        <v>0</v>
      </c>
      <c r="AD91" s="774">
        <f>L91-SUM('Corrected and Updated TSF 1'!CK91:CL91)</f>
        <v>0</v>
      </c>
      <c r="AE91" s="1173">
        <f t="shared" si="11"/>
        <v>3241999.9883686625</v>
      </c>
      <c r="AF91" s="1174">
        <f>SUM(FORM!$V$19:$W$22)+SUM(FORM!$V$25:$W$28)+SUM(FORM!$V$31:$W$34)</f>
        <v>0</v>
      </c>
      <c r="AG91" s="1173">
        <f t="shared" si="12"/>
        <v>3241999.9883686625</v>
      </c>
      <c r="AH91" s="1173"/>
      <c r="AI91" s="714"/>
      <c r="AJ91" s="714"/>
      <c r="AK91" s="714"/>
      <c r="AL91" s="714"/>
      <c r="AM91" s="714"/>
      <c r="AN91" s="714"/>
      <c r="AO91" s="714"/>
      <c r="AP91" s="714"/>
      <c r="AQ91" s="760"/>
      <c r="AR91" s="760"/>
      <c r="AS91" s="760"/>
      <c r="AT91" s="760"/>
      <c r="AU91" s="760"/>
      <c r="AV91" s="760"/>
      <c r="AW91" s="760"/>
    </row>
    <row r="92" spans="1:49" s="119" customFormat="1" ht="12.75" hidden="1" customHeight="1">
      <c r="A92" s="767" t="str">
        <f t="shared" si="8"/>
        <v>7B</v>
      </c>
      <c r="B92" s="768" t="str">
        <f>'Corrected and Updated TSF 1'!ER92</f>
        <v>SOLD</v>
      </c>
      <c r="C92" s="757" t="str">
        <f>'Corrected and Updated TSF 1'!E92</f>
        <v>7th Floor</v>
      </c>
      <c r="D92" s="642" t="str">
        <f>'Corrected and Updated TSF 1'!M92</f>
        <v>End</v>
      </c>
      <c r="E92" s="642" t="str">
        <f>'Corrected and Updated TSF 1'!G92</f>
        <v>7B</v>
      </c>
      <c r="F92" s="758" t="str">
        <f>'Corrected and Updated TSF 1'!I92</f>
        <v>Studio Unit</v>
      </c>
      <c r="G92" s="769">
        <f>'Corrected and Updated TSF 1'!J92</f>
        <v>22</v>
      </c>
      <c r="H92" s="769">
        <f>'Corrected and Updated TSF 1'!CI92</f>
        <v>3191925.0207795426</v>
      </c>
      <c r="I92" s="770"/>
      <c r="J92" s="770">
        <f t="shared" si="9"/>
        <v>3191925.0207795426</v>
      </c>
      <c r="K92" s="769">
        <f>'Corrected and Updated TSF 1'!CJ92</f>
        <v>0</v>
      </c>
      <c r="L92" s="769">
        <f>SUM('Corrected and Updated TSF 1'!CK92:CL92)</f>
        <v>438889.69035718712</v>
      </c>
      <c r="M92" s="769">
        <f t="shared" si="10"/>
        <v>3630814.7111367299</v>
      </c>
      <c r="N92" s="771">
        <f>'Corrected and Updated TSF 1'!CN92</f>
        <v>0.125</v>
      </c>
      <c r="O92" s="769">
        <f>'Corrected and Updated TSF 1'!CO92</f>
        <v>453851.83889209118</v>
      </c>
      <c r="P92" s="769">
        <f>'Corrected and Updated TSF 1'!CP92</f>
        <v>30000</v>
      </c>
      <c r="Q92" s="769">
        <f>'Corrected and Updated TSF 1'!CQ92</f>
        <v>423851.83889209118</v>
      </c>
      <c r="R92" s="425">
        <f>'Corrected and Updated TSF 1'!CR92</f>
        <v>1</v>
      </c>
      <c r="S92" s="769">
        <f>'Corrected and Updated TSF 1'!CS92</f>
        <v>423851.83889209118</v>
      </c>
      <c r="T92" s="769">
        <f>'Corrected and Updated TSF 1'!CU92</f>
        <v>3176962.8722446384</v>
      </c>
      <c r="U92" s="769">
        <f>'Corrected and Updated TSF 1'!CV92</f>
        <v>24630.95933351951</v>
      </c>
      <c r="V92" s="772">
        <f>'Corrected and Updated TSF 1'!CW92</f>
        <v>28555.440450220085</v>
      </c>
      <c r="W92" s="773">
        <f>'Corrected and Updated TSF 1'!CX92</f>
        <v>36887.232763035681</v>
      </c>
      <c r="X92" s="773">
        <f>'Corrected and Updated TSF 1'!CY92</f>
        <v>62907.6725886352</v>
      </c>
      <c r="Y92" s="1130">
        <f>'Corrected and Updated TSF 1'!CZ92</f>
        <v>258074.79213430657</v>
      </c>
      <c r="Z92" s="1130">
        <f>'Corrected and Updated TSF 1'!DA92</f>
        <v>102118.93809305556</v>
      </c>
      <c r="AA92" s="1130">
        <f>'Corrected and Updated TSF 1'!DB92</f>
        <v>73759.062654221299</v>
      </c>
      <c r="AB92" s="1130">
        <f>'Corrected and Updated TSF 1'!DC92</f>
        <v>56134.042371726806</v>
      </c>
      <c r="AC92" s="774">
        <f>K92-'Corrected and Updated TSF 1'!CJ92</f>
        <v>0</v>
      </c>
      <c r="AD92" s="774">
        <f>L92-SUM('Corrected and Updated TSF 1'!CK92:CL92)</f>
        <v>0</v>
      </c>
      <c r="AE92" s="1173">
        <f t="shared" si="11"/>
        <v>3191925.0207795426</v>
      </c>
      <c r="AF92" s="1174">
        <f>SUM(FORM!$V$19:$W$22)+SUM(FORM!$V$25:$W$28)+SUM(FORM!$V$31:$W$34)</f>
        <v>0</v>
      </c>
      <c r="AG92" s="1173">
        <f t="shared" si="12"/>
        <v>3191925.0207795426</v>
      </c>
      <c r="AH92" s="1173"/>
      <c r="AI92" s="714"/>
      <c r="AJ92" s="714"/>
      <c r="AK92" s="714"/>
      <c r="AL92" s="714"/>
      <c r="AM92" s="714"/>
      <c r="AN92" s="714"/>
      <c r="AO92" s="714"/>
      <c r="AP92" s="714"/>
      <c r="AQ92" s="552"/>
      <c r="AR92" s="552"/>
      <c r="AS92" s="552"/>
      <c r="AT92" s="552"/>
    </row>
    <row r="93" spans="1:49" s="119" customFormat="1" ht="12.75" hidden="1" customHeight="1">
      <c r="A93" s="767" t="str">
        <f t="shared" si="8"/>
        <v>7C</v>
      </c>
      <c r="B93" s="768" t="str">
        <f>'Corrected and Updated TSF 1'!ER93</f>
        <v>SOLD</v>
      </c>
      <c r="C93" s="757" t="str">
        <f>'Corrected and Updated TSF 1'!E93</f>
        <v>7th Floor</v>
      </c>
      <c r="D93" s="642" t="str">
        <f>'Corrected and Updated TSF 1'!M93</f>
        <v>End</v>
      </c>
      <c r="E93" s="642" t="str">
        <f>'Corrected and Updated TSF 1'!G93</f>
        <v>7C</v>
      </c>
      <c r="F93" s="758" t="str">
        <f>'Corrected and Updated TSF 1'!I93</f>
        <v>Studio Unit</v>
      </c>
      <c r="G93" s="769">
        <f>'Corrected and Updated TSF 1'!J93</f>
        <v>22</v>
      </c>
      <c r="H93" s="769">
        <f>'Corrected and Updated TSF 1'!CI93</f>
        <v>3191925.0207795426</v>
      </c>
      <c r="I93" s="770"/>
      <c r="J93" s="770">
        <f t="shared" si="9"/>
        <v>3191925.0207795426</v>
      </c>
      <c r="K93" s="769">
        <f>'Corrected and Updated TSF 1'!CJ93</f>
        <v>0</v>
      </c>
      <c r="L93" s="769">
        <f>SUM('Corrected and Updated TSF 1'!CK93:CL93)</f>
        <v>438889.69035718712</v>
      </c>
      <c r="M93" s="769">
        <f t="shared" si="10"/>
        <v>3630814.7111367299</v>
      </c>
      <c r="N93" s="771">
        <f>'Corrected and Updated TSF 1'!CN93</f>
        <v>0.125</v>
      </c>
      <c r="O93" s="769">
        <f>'Corrected and Updated TSF 1'!CO93</f>
        <v>453851.83889209118</v>
      </c>
      <c r="P93" s="769">
        <f>'Corrected and Updated TSF 1'!CP93</f>
        <v>30000</v>
      </c>
      <c r="Q93" s="769">
        <f>'Corrected and Updated TSF 1'!CQ93</f>
        <v>423851.83889209118</v>
      </c>
      <c r="R93" s="425">
        <f>'Corrected and Updated TSF 1'!CR93</f>
        <v>1</v>
      </c>
      <c r="S93" s="769">
        <f>'Corrected and Updated TSF 1'!CS93</f>
        <v>423851.83889209118</v>
      </c>
      <c r="T93" s="769">
        <f>'Corrected and Updated TSF 1'!CU93</f>
        <v>3176962.8722446384</v>
      </c>
      <c r="U93" s="769">
        <f>'Corrected and Updated TSF 1'!CV93</f>
        <v>24630.95933351951</v>
      </c>
      <c r="V93" s="772">
        <f>'Corrected and Updated TSF 1'!CW93</f>
        <v>28555.440450220085</v>
      </c>
      <c r="W93" s="773">
        <f>'Corrected and Updated TSF 1'!CX93</f>
        <v>36887.232763035681</v>
      </c>
      <c r="X93" s="773">
        <f>'Corrected and Updated TSF 1'!CY93</f>
        <v>62907.6725886352</v>
      </c>
      <c r="Y93" s="1130">
        <f>'Corrected and Updated TSF 1'!CZ93</f>
        <v>258074.79213430657</v>
      </c>
      <c r="Z93" s="1130">
        <f>'Corrected and Updated TSF 1'!DA93</f>
        <v>102118.93809305556</v>
      </c>
      <c r="AA93" s="1130">
        <f>'Corrected and Updated TSF 1'!DB93</f>
        <v>73759.062654221299</v>
      </c>
      <c r="AB93" s="1130">
        <f>'Corrected and Updated TSF 1'!DC93</f>
        <v>56134.042371726806</v>
      </c>
      <c r="AC93" s="774">
        <f>K93-'Corrected and Updated TSF 1'!CJ93</f>
        <v>0</v>
      </c>
      <c r="AD93" s="774">
        <f>L93-SUM('Corrected and Updated TSF 1'!CK93:CL93)</f>
        <v>0</v>
      </c>
      <c r="AE93" s="1173">
        <f t="shared" si="11"/>
        <v>3191925.0207795426</v>
      </c>
      <c r="AF93" s="1174">
        <f>SUM(FORM!$V$19:$W$22)+SUM(FORM!$V$25:$W$28)+SUM(FORM!$V$31:$W$34)</f>
        <v>0</v>
      </c>
      <c r="AG93" s="1173">
        <f t="shared" si="12"/>
        <v>3191925.0207795426</v>
      </c>
      <c r="AH93" s="1173"/>
      <c r="AI93" s="714"/>
      <c r="AJ93" s="714"/>
      <c r="AK93" s="714"/>
      <c r="AL93" s="714"/>
      <c r="AM93" s="714"/>
      <c r="AN93" s="714"/>
      <c r="AO93" s="714"/>
      <c r="AP93" s="714"/>
      <c r="AQ93" s="552"/>
      <c r="AR93" s="552"/>
      <c r="AS93" s="552"/>
      <c r="AT93" s="552"/>
    </row>
    <row r="94" spans="1:49" s="119" customFormat="1" ht="12.75" hidden="1" customHeight="1">
      <c r="A94" s="767" t="str">
        <f t="shared" si="8"/>
        <v>7D</v>
      </c>
      <c r="B94" s="768" t="str">
        <f>'Corrected and Updated TSF 1'!ER94</f>
        <v>SOLD</v>
      </c>
      <c r="C94" s="757" t="str">
        <f>'Corrected and Updated TSF 1'!E94</f>
        <v>7th Floor</v>
      </c>
      <c r="D94" s="642" t="str">
        <f>'Corrected and Updated TSF 1'!M94</f>
        <v>End</v>
      </c>
      <c r="E94" s="642" t="str">
        <f>'Corrected and Updated TSF 1'!G94</f>
        <v>7D</v>
      </c>
      <c r="F94" s="758" t="str">
        <f>'Corrected and Updated TSF 1'!I94</f>
        <v>Studio Unit</v>
      </c>
      <c r="G94" s="769">
        <f>'Corrected and Updated TSF 1'!J94</f>
        <v>22</v>
      </c>
      <c r="H94" s="769">
        <f>'Corrected and Updated TSF 1'!CI94</f>
        <v>3191925.0207795426</v>
      </c>
      <c r="I94" s="770"/>
      <c r="J94" s="770">
        <f t="shared" si="9"/>
        <v>3191925.0207795426</v>
      </c>
      <c r="K94" s="769">
        <f>'Corrected and Updated TSF 1'!CJ94</f>
        <v>0</v>
      </c>
      <c r="L94" s="769">
        <f>SUM('Corrected and Updated TSF 1'!CK94:CL94)</f>
        <v>438889.69035718712</v>
      </c>
      <c r="M94" s="769">
        <f t="shared" si="10"/>
        <v>3630814.7111367299</v>
      </c>
      <c r="N94" s="771">
        <f>'Corrected and Updated TSF 1'!CN94</f>
        <v>0.125</v>
      </c>
      <c r="O94" s="769">
        <f>'Corrected and Updated TSF 1'!CO94</f>
        <v>453851.83889209118</v>
      </c>
      <c r="P94" s="769">
        <f>'Corrected and Updated TSF 1'!CP94</f>
        <v>30000</v>
      </c>
      <c r="Q94" s="769">
        <f>'Corrected and Updated TSF 1'!CQ94</f>
        <v>423851.83889209118</v>
      </c>
      <c r="R94" s="425">
        <f>'Corrected and Updated TSF 1'!CR94</f>
        <v>1</v>
      </c>
      <c r="S94" s="769">
        <f>'Corrected and Updated TSF 1'!CS94</f>
        <v>423851.83889209118</v>
      </c>
      <c r="T94" s="769">
        <f>'Corrected and Updated TSF 1'!CU94</f>
        <v>3176962.8722446384</v>
      </c>
      <c r="U94" s="769">
        <f>'Corrected and Updated TSF 1'!CV94</f>
        <v>24630.95933351951</v>
      </c>
      <c r="V94" s="772">
        <f>'Corrected and Updated TSF 1'!CW94</f>
        <v>28555.440450220085</v>
      </c>
      <c r="W94" s="773">
        <f>'Corrected and Updated TSF 1'!CX94</f>
        <v>36887.232763035681</v>
      </c>
      <c r="X94" s="773">
        <f>'Corrected and Updated TSF 1'!CY94</f>
        <v>62907.6725886352</v>
      </c>
      <c r="Y94" s="1130">
        <f>'Corrected and Updated TSF 1'!CZ94</f>
        <v>258074.79213430657</v>
      </c>
      <c r="Z94" s="1130">
        <f>'Corrected and Updated TSF 1'!DA94</f>
        <v>102118.93809305556</v>
      </c>
      <c r="AA94" s="1130">
        <f>'Corrected and Updated TSF 1'!DB94</f>
        <v>73759.062654221299</v>
      </c>
      <c r="AB94" s="1130">
        <f>'Corrected and Updated TSF 1'!DC94</f>
        <v>56134.042371726806</v>
      </c>
      <c r="AC94" s="774">
        <f>K94-'Corrected and Updated TSF 1'!CJ94</f>
        <v>0</v>
      </c>
      <c r="AD94" s="774">
        <f>L94-SUM('Corrected and Updated TSF 1'!CK94:CL94)</f>
        <v>0</v>
      </c>
      <c r="AE94" s="1173">
        <f t="shared" si="11"/>
        <v>3191925.0207795426</v>
      </c>
      <c r="AF94" s="1174">
        <f>SUM(FORM!$V$19:$W$22)+SUM(FORM!$V$25:$W$28)+SUM(FORM!$V$31:$W$34)</f>
        <v>0</v>
      </c>
      <c r="AG94" s="1173">
        <f t="shared" si="12"/>
        <v>3191925.0207795426</v>
      </c>
      <c r="AH94" s="1173"/>
      <c r="AI94" s="714"/>
      <c r="AJ94" s="714"/>
      <c r="AK94" s="714"/>
      <c r="AL94" s="714"/>
      <c r="AM94" s="714"/>
      <c r="AN94" s="714"/>
      <c r="AO94" s="714"/>
      <c r="AP94" s="714"/>
      <c r="AQ94" s="552"/>
      <c r="AR94" s="552"/>
      <c r="AS94" s="552"/>
      <c r="AT94" s="552"/>
    </row>
    <row r="95" spans="1:49" s="119" customFormat="1" ht="12.75" hidden="1" customHeight="1">
      <c r="A95" s="767" t="str">
        <f t="shared" si="8"/>
        <v>7E</v>
      </c>
      <c r="B95" s="768" t="str">
        <f>'Corrected and Updated TSF 1'!ER95</f>
        <v>SOLD</v>
      </c>
      <c r="C95" s="757" t="str">
        <f>'Corrected and Updated TSF 1'!E95</f>
        <v>7th Floor</v>
      </c>
      <c r="D95" s="642" t="str">
        <f>'Corrected and Updated TSF 1'!M95</f>
        <v>End</v>
      </c>
      <c r="E95" s="642" t="str">
        <f>'Corrected and Updated TSF 1'!G95</f>
        <v>7E</v>
      </c>
      <c r="F95" s="758" t="str">
        <f>'Corrected and Updated TSF 1'!I95</f>
        <v>Studio Unit</v>
      </c>
      <c r="G95" s="769">
        <f>'Corrected and Updated TSF 1'!J95</f>
        <v>22</v>
      </c>
      <c r="H95" s="769">
        <f>'Corrected and Updated TSF 1'!CI95</f>
        <v>3191925.0207795426</v>
      </c>
      <c r="I95" s="770"/>
      <c r="J95" s="770">
        <f t="shared" si="9"/>
        <v>3191925.0207795426</v>
      </c>
      <c r="K95" s="769">
        <f>'Corrected and Updated TSF 1'!CJ95</f>
        <v>0</v>
      </c>
      <c r="L95" s="769">
        <f>SUM('Corrected and Updated TSF 1'!CK95:CL95)</f>
        <v>438889.69035718712</v>
      </c>
      <c r="M95" s="769">
        <f t="shared" si="10"/>
        <v>3630814.7111367299</v>
      </c>
      <c r="N95" s="771">
        <f>'Corrected and Updated TSF 1'!CN95</f>
        <v>0.125</v>
      </c>
      <c r="O95" s="769">
        <f>'Corrected and Updated TSF 1'!CO95</f>
        <v>453851.83889209118</v>
      </c>
      <c r="P95" s="769">
        <f>'Corrected and Updated TSF 1'!CP95</f>
        <v>30000</v>
      </c>
      <c r="Q95" s="769">
        <f>'Corrected and Updated TSF 1'!CQ95</f>
        <v>423851.83889209118</v>
      </c>
      <c r="R95" s="425">
        <f>'Corrected and Updated TSF 1'!CR95</f>
        <v>1</v>
      </c>
      <c r="S95" s="769">
        <f>'Corrected and Updated TSF 1'!CS95</f>
        <v>423851.83889209118</v>
      </c>
      <c r="T95" s="769">
        <f>'Corrected and Updated TSF 1'!CU95</f>
        <v>3176962.8722446384</v>
      </c>
      <c r="U95" s="769">
        <f>'Corrected and Updated TSF 1'!CV95</f>
        <v>24630.95933351951</v>
      </c>
      <c r="V95" s="772">
        <f>'Corrected and Updated TSF 1'!CW95</f>
        <v>28555.440450220085</v>
      </c>
      <c r="W95" s="773">
        <f>'Corrected and Updated TSF 1'!CX95</f>
        <v>36887.232763035681</v>
      </c>
      <c r="X95" s="773">
        <f>'Corrected and Updated TSF 1'!CY95</f>
        <v>62907.6725886352</v>
      </c>
      <c r="Y95" s="1130">
        <f>'Corrected and Updated TSF 1'!CZ95</f>
        <v>258074.79213430657</v>
      </c>
      <c r="Z95" s="1130">
        <f>'Corrected and Updated TSF 1'!DA95</f>
        <v>102118.93809305556</v>
      </c>
      <c r="AA95" s="1130">
        <f>'Corrected and Updated TSF 1'!DB95</f>
        <v>73759.062654221299</v>
      </c>
      <c r="AB95" s="1130">
        <f>'Corrected and Updated TSF 1'!DC95</f>
        <v>56134.042371726806</v>
      </c>
      <c r="AC95" s="774">
        <f>K95-'Corrected and Updated TSF 1'!CJ95</f>
        <v>0</v>
      </c>
      <c r="AD95" s="774">
        <f>L95-SUM('Corrected and Updated TSF 1'!CK95:CL95)</f>
        <v>0</v>
      </c>
      <c r="AE95" s="1173">
        <f t="shared" si="11"/>
        <v>3191925.0207795426</v>
      </c>
      <c r="AF95" s="1174">
        <f>SUM(FORM!$V$19:$W$22)+SUM(FORM!$V$25:$W$28)+SUM(FORM!$V$31:$W$34)</f>
        <v>0</v>
      </c>
      <c r="AG95" s="1173">
        <f t="shared" si="12"/>
        <v>3191925.0207795426</v>
      </c>
      <c r="AH95" s="1173"/>
      <c r="AI95" s="714"/>
      <c r="AJ95" s="714"/>
      <c r="AK95" s="714"/>
      <c r="AL95" s="714"/>
      <c r="AM95" s="714"/>
      <c r="AN95" s="714"/>
      <c r="AO95" s="714"/>
      <c r="AP95" s="714"/>
      <c r="AQ95" s="552"/>
      <c r="AR95" s="552"/>
      <c r="AS95" s="552"/>
      <c r="AT95" s="552"/>
    </row>
    <row r="96" spans="1:49" s="119" customFormat="1" ht="12.75" hidden="1" customHeight="1">
      <c r="A96" s="767" t="str">
        <f t="shared" si="8"/>
        <v>7F</v>
      </c>
      <c r="B96" s="768" t="str">
        <f>'Corrected and Updated TSF 1'!ER96</f>
        <v>SOLD</v>
      </c>
      <c r="C96" s="757" t="str">
        <f>'Corrected and Updated TSF 1'!E96</f>
        <v>7th Floor</v>
      </c>
      <c r="D96" s="642" t="str">
        <f>'Corrected and Updated TSF 1'!M96</f>
        <v>Inner</v>
      </c>
      <c r="E96" s="642" t="str">
        <f>'Corrected and Updated TSF 1'!G96</f>
        <v>7F</v>
      </c>
      <c r="F96" s="758" t="str">
        <f>'Corrected and Updated TSF 1'!I96</f>
        <v>Studio Unit</v>
      </c>
      <c r="G96" s="769">
        <f>'Corrected and Updated TSF 1'!J96</f>
        <v>22</v>
      </c>
      <c r="H96" s="769">
        <f>'Corrected and Updated TSF 1'!CI96</f>
        <v>3160346.8609191799</v>
      </c>
      <c r="I96" s="770"/>
      <c r="J96" s="770">
        <f t="shared" si="9"/>
        <v>3160346.8609191799</v>
      </c>
      <c r="K96" s="769">
        <f>'Corrected and Updated TSF 1'!CJ96</f>
        <v>0</v>
      </c>
      <c r="L96" s="769">
        <f>SUM('Corrected and Updated TSF 1'!CK96:CL96)</f>
        <v>434547.69337638724</v>
      </c>
      <c r="M96" s="769">
        <f t="shared" si="10"/>
        <v>3594894.5542955669</v>
      </c>
      <c r="N96" s="771">
        <f>'Corrected and Updated TSF 1'!CN96</f>
        <v>0.125</v>
      </c>
      <c r="O96" s="769">
        <f>'Corrected and Updated TSF 1'!CO96</f>
        <v>449361.81928694586</v>
      </c>
      <c r="P96" s="769">
        <f>'Corrected and Updated TSF 1'!CP96</f>
        <v>30000</v>
      </c>
      <c r="Q96" s="769">
        <f>'Corrected and Updated TSF 1'!CQ96</f>
        <v>419361.81928694586</v>
      </c>
      <c r="R96" s="425">
        <f>'Corrected and Updated TSF 1'!CR96</f>
        <v>1</v>
      </c>
      <c r="S96" s="769">
        <f>'Corrected and Updated TSF 1'!CS96</f>
        <v>419361.81928694586</v>
      </c>
      <c r="T96" s="769">
        <f>'Corrected and Updated TSF 1'!CU96</f>
        <v>3145532.7350086211</v>
      </c>
      <c r="U96" s="769">
        <f>'Corrected and Updated TSF 1'!CV96</f>
        <v>24387.281814065114</v>
      </c>
      <c r="V96" s="772">
        <f>'Corrected and Updated TSF 1'!CW96</f>
        <v>28272.937491175042</v>
      </c>
      <c r="W96" s="773">
        <f>'Corrected and Updated TSF 1'!CX96</f>
        <v>36522.302219425015</v>
      </c>
      <c r="X96" s="773">
        <f>'Corrected and Updated TSF 1'!CY96</f>
        <v>62285.318201074391</v>
      </c>
      <c r="Y96" s="1130">
        <f>'Corrected and Updated TSF 1'!CZ96</f>
        <v>255521.62218548471</v>
      </c>
      <c r="Z96" s="1130">
        <f>'Corrected and Updated TSF 1'!DA96</f>
        <v>101108.66118151163</v>
      </c>
      <c r="AA96" s="1130">
        <f>'Corrected and Updated TSF 1'!DB96</f>
        <v>73029.353949761615</v>
      </c>
      <c r="AB96" s="1130">
        <f>'Corrected and Updated TSF 1'!DC96</f>
        <v>55578.700453579295</v>
      </c>
      <c r="AC96" s="774">
        <f>K96-'Corrected and Updated TSF 1'!CJ96</f>
        <v>0</v>
      </c>
      <c r="AD96" s="774">
        <f>L96-SUM('Corrected and Updated TSF 1'!CK96:CL96)</f>
        <v>0</v>
      </c>
      <c r="AE96" s="1173">
        <f t="shared" si="11"/>
        <v>3160346.8609191799</v>
      </c>
      <c r="AF96" s="1174">
        <f>SUM(FORM!$V$19:$W$22)+SUM(FORM!$V$25:$W$28)+SUM(FORM!$V$31:$W$34)</f>
        <v>0</v>
      </c>
      <c r="AG96" s="1173">
        <f t="shared" si="12"/>
        <v>3160346.8609191799</v>
      </c>
      <c r="AH96" s="1173"/>
      <c r="AI96" s="714"/>
      <c r="AJ96" s="714"/>
      <c r="AK96" s="714"/>
      <c r="AL96" s="714"/>
      <c r="AM96" s="714"/>
      <c r="AN96" s="714"/>
      <c r="AO96" s="714"/>
      <c r="AP96" s="714"/>
      <c r="AQ96" s="552"/>
      <c r="AR96" s="552"/>
      <c r="AS96" s="552"/>
      <c r="AT96" s="552"/>
    </row>
    <row r="97" spans="1:49" s="119" customFormat="1" ht="12.75" customHeight="1">
      <c r="A97" s="767" t="str">
        <f t="shared" si="8"/>
        <v>7G</v>
      </c>
      <c r="B97" s="768" t="str">
        <f>'Corrected and Updated TSF 1'!ER97</f>
        <v>UNSOLD</v>
      </c>
      <c r="C97" s="757" t="str">
        <f>'Corrected and Updated TSF 1'!E97</f>
        <v>7th Floor</v>
      </c>
      <c r="D97" s="642" t="str">
        <f>'Corrected and Updated TSF 1'!M97</f>
        <v>End</v>
      </c>
      <c r="E97" s="642" t="str">
        <f>'Corrected and Updated TSF 1'!G97</f>
        <v>7G</v>
      </c>
      <c r="F97" s="758" t="str">
        <f>'Corrected and Updated TSF 1'!I97</f>
        <v>Studio Unit</v>
      </c>
      <c r="G97" s="769">
        <f>'Corrected and Updated TSF 1'!J97</f>
        <v>22</v>
      </c>
      <c r="H97" s="769">
        <f>'Corrected and Updated TSF 1'!CI97</f>
        <v>3231218.15013935</v>
      </c>
      <c r="I97" s="770"/>
      <c r="J97" s="770">
        <f t="shared" si="9"/>
        <v>3231218.15013935</v>
      </c>
      <c r="K97" s="769">
        <f>'Corrected and Updated TSF 1'!CJ97</f>
        <v>0</v>
      </c>
      <c r="L97" s="769">
        <f>SUM('Corrected and Updated TSF 1'!CK97:CL97)</f>
        <v>444292.4956441606</v>
      </c>
      <c r="M97" s="769">
        <f t="shared" si="10"/>
        <v>3675510.6457835105</v>
      </c>
      <c r="N97" s="771">
        <f>'Corrected and Updated TSF 1'!CN97</f>
        <v>0.125</v>
      </c>
      <c r="O97" s="769">
        <f>'Corrected and Updated TSF 1'!CO97</f>
        <v>459438.83072293882</v>
      </c>
      <c r="P97" s="769">
        <f>'Corrected and Updated TSF 1'!CP97</f>
        <v>30000</v>
      </c>
      <c r="Q97" s="769">
        <f>'Corrected and Updated TSF 1'!CQ97</f>
        <v>429438.83072293882</v>
      </c>
      <c r="R97" s="425">
        <f>'Corrected and Updated TSF 1'!CR97</f>
        <v>1</v>
      </c>
      <c r="S97" s="769">
        <f>'Corrected and Updated TSF 1'!CS97</f>
        <v>429438.83072293882</v>
      </c>
      <c r="T97" s="769">
        <f>'Corrected and Updated TSF 1'!CU97</f>
        <v>3216071.8150605718</v>
      </c>
      <c r="U97" s="769">
        <f>'Corrected and Updated TSF 1'!CV97</f>
        <v>24934.170550903233</v>
      </c>
      <c r="V97" s="772">
        <f>'Corrected and Updated TSF 1'!CW97</f>
        <v>28906.962684681203</v>
      </c>
      <c r="W97" s="773">
        <f>'Corrected and Updated TSF 1'!CX97</f>
        <v>37341.320750456296</v>
      </c>
      <c r="X97" s="773">
        <f>'Corrected and Updated TSF 1'!CY97</f>
        <v>63682.076530036669</v>
      </c>
      <c r="Y97" s="1130">
        <f>'Corrected and Updated TSF 1'!CZ97</f>
        <v>261251.73586757833</v>
      </c>
      <c r="Z97" s="1130">
        <f>'Corrected and Updated TSF 1'!DA97</f>
        <v>103376.03925252975</v>
      </c>
      <c r="AA97" s="1130">
        <f>'Corrected and Updated TSF 1'!DB97</f>
        <v>74667.049017141151</v>
      </c>
      <c r="AB97" s="1130">
        <f>'Corrected and Updated TSF 1'!DC97</f>
        <v>56825.061795442001</v>
      </c>
      <c r="AC97" s="774">
        <f>K97-'Corrected and Updated TSF 1'!CJ97</f>
        <v>0</v>
      </c>
      <c r="AD97" s="774">
        <f>L97-SUM('Corrected and Updated TSF 1'!CK97:CL97)</f>
        <v>0</v>
      </c>
      <c r="AE97" s="1173">
        <f t="shared" si="11"/>
        <v>3231218.15013935</v>
      </c>
      <c r="AF97" s="1174">
        <f>SUM(FORM!$V$19:$W$22)+SUM(FORM!$V$25:$W$28)+SUM(FORM!$V$31:$W$34)</f>
        <v>0</v>
      </c>
      <c r="AG97" s="1173">
        <f t="shared" si="12"/>
        <v>3231218.15013935</v>
      </c>
      <c r="AH97" s="1173"/>
      <c r="AI97" s="714"/>
      <c r="AJ97" s="714"/>
      <c r="AK97" s="714"/>
      <c r="AL97" s="714"/>
      <c r="AM97" s="714"/>
      <c r="AN97" s="714"/>
      <c r="AO97" s="714"/>
      <c r="AP97" s="714"/>
      <c r="AQ97" s="552"/>
      <c r="AR97" s="552"/>
      <c r="AS97" s="552"/>
      <c r="AT97" s="552"/>
    </row>
    <row r="98" spans="1:49" s="119" customFormat="1" ht="12.75" hidden="1" customHeight="1">
      <c r="A98" s="767" t="str">
        <f t="shared" si="8"/>
        <v>7H</v>
      </c>
      <c r="B98" s="768" t="str">
        <f>'Corrected and Updated TSF 1'!ER98</f>
        <v>SOLD</v>
      </c>
      <c r="C98" s="757" t="str">
        <f>'Corrected and Updated TSF 1'!E98</f>
        <v>7th Floor</v>
      </c>
      <c r="D98" s="642" t="str">
        <f>'Corrected and Updated TSF 1'!M98</f>
        <v>Corner</v>
      </c>
      <c r="E98" s="642" t="str">
        <f>'Corrected and Updated TSF 1'!G98</f>
        <v>7H</v>
      </c>
      <c r="F98" s="758" t="str">
        <f>'Corrected and Updated TSF 1'!I98</f>
        <v>Studio Unit</v>
      </c>
      <c r="G98" s="769">
        <f>'Corrected and Updated TSF 1'!J98</f>
        <v>22</v>
      </c>
      <c r="H98" s="769">
        <f>'Corrected and Updated TSF 1'!CI98</f>
        <v>3241999.9883686625</v>
      </c>
      <c r="I98" s="770"/>
      <c r="J98" s="770">
        <f t="shared" si="9"/>
        <v>3241999.9883686625</v>
      </c>
      <c r="K98" s="769">
        <f>'Corrected and Updated TSF 1'!CJ98</f>
        <v>0</v>
      </c>
      <c r="L98" s="769">
        <f>SUM('Corrected and Updated TSF 1'!CK98:CL98)</f>
        <v>445774.99840069108</v>
      </c>
      <c r="M98" s="769">
        <f t="shared" si="10"/>
        <v>3687774.9867693535</v>
      </c>
      <c r="N98" s="771">
        <f>'Corrected and Updated TSF 1'!CN98</f>
        <v>0.125</v>
      </c>
      <c r="O98" s="769">
        <f>'Corrected and Updated TSF 1'!CO98</f>
        <v>460971.87334616919</v>
      </c>
      <c r="P98" s="769">
        <f>'Corrected and Updated TSF 1'!CP98</f>
        <v>30000</v>
      </c>
      <c r="Q98" s="769">
        <f>'Corrected and Updated TSF 1'!CQ98</f>
        <v>430971.87334616919</v>
      </c>
      <c r="R98" s="425">
        <f>'Corrected and Updated TSF 1'!CR98</f>
        <v>1</v>
      </c>
      <c r="S98" s="769">
        <f>'Corrected and Updated TSF 1'!CS98</f>
        <v>430971.87334616919</v>
      </c>
      <c r="T98" s="769">
        <f>'Corrected and Updated TSF 1'!CU98</f>
        <v>3226803.1134231845</v>
      </c>
      <c r="U98" s="769">
        <f>'Corrected and Updated TSF 1'!CV98</f>
        <v>25017.370192886658</v>
      </c>
      <c r="V98" s="772">
        <f>'Corrected and Updated TSF 1'!CW98</f>
        <v>29003.418628193889</v>
      </c>
      <c r="W98" s="773">
        <f>'Corrected and Updated TSF 1'!CX98</f>
        <v>37465.920223748719</v>
      </c>
      <c r="X98" s="773">
        <f>'Corrected and Updated TSF 1'!CY98</f>
        <v>63894.569099510503</v>
      </c>
      <c r="Y98" s="1130">
        <f>'Corrected and Updated TSF 1'!CZ98</f>
        <v>262123.47334315849</v>
      </c>
      <c r="Z98" s="1130">
        <f>'Corrected and Updated TSF 1'!DA98</f>
        <v>103720.98152513978</v>
      </c>
      <c r="AA98" s="1130">
        <f>'Corrected and Updated TSF 1'!DB98</f>
        <v>74916.195935162847</v>
      </c>
      <c r="AB98" s="1130">
        <f>'Corrected and Updated TSF 1'!DC98</f>
        <v>57014.674070188201</v>
      </c>
      <c r="AC98" s="774">
        <f>K98-'Corrected and Updated TSF 1'!CJ98</f>
        <v>0</v>
      </c>
      <c r="AD98" s="774">
        <f>L98-SUM('Corrected and Updated TSF 1'!CK98:CL98)</f>
        <v>0</v>
      </c>
      <c r="AE98" s="1173">
        <f t="shared" si="11"/>
        <v>3241999.9883686625</v>
      </c>
      <c r="AF98" s="1174">
        <f>SUM(FORM!$V$19:$W$22)+SUM(FORM!$V$25:$W$28)+SUM(FORM!$V$31:$W$34)</f>
        <v>0</v>
      </c>
      <c r="AG98" s="1173">
        <f t="shared" si="12"/>
        <v>3241999.9883686625</v>
      </c>
      <c r="AH98" s="1173"/>
      <c r="AI98" s="714"/>
      <c r="AJ98" s="714"/>
      <c r="AK98" s="714"/>
      <c r="AL98" s="714"/>
      <c r="AM98" s="714"/>
      <c r="AN98" s="714"/>
      <c r="AO98" s="714"/>
      <c r="AP98" s="714"/>
      <c r="AQ98" s="760"/>
      <c r="AR98" s="760"/>
      <c r="AS98" s="760"/>
      <c r="AT98" s="760"/>
      <c r="AU98" s="760"/>
      <c r="AV98" s="760"/>
      <c r="AW98" s="760"/>
    </row>
    <row r="99" spans="1:49" s="119" customFormat="1" ht="12.75" hidden="1" customHeight="1">
      <c r="A99" s="767" t="str">
        <f t="shared" si="8"/>
        <v>7I</v>
      </c>
      <c r="B99" s="768" t="str">
        <f>'Corrected and Updated TSF 1'!ER99</f>
        <v>SOLD</v>
      </c>
      <c r="C99" s="757" t="str">
        <f>'Corrected and Updated TSF 1'!E99</f>
        <v>7th Floor</v>
      </c>
      <c r="D99" s="642" t="str">
        <f>'Corrected and Updated TSF 1'!M99</f>
        <v>Inner</v>
      </c>
      <c r="E99" s="642" t="str">
        <f>'Corrected and Updated TSF 1'!G99</f>
        <v>7I</v>
      </c>
      <c r="F99" s="758" t="str">
        <f>'Corrected and Updated TSF 1'!I99</f>
        <v>Studio Unit</v>
      </c>
      <c r="G99" s="769">
        <f>'Corrected and Updated TSF 1'!J99</f>
        <v>22</v>
      </c>
      <c r="H99" s="769">
        <f>'Corrected and Updated TSF 1'!CI99</f>
        <v>3160346.8609191799</v>
      </c>
      <c r="I99" s="770"/>
      <c r="J99" s="770">
        <f t="shared" si="9"/>
        <v>3160346.8609191799</v>
      </c>
      <c r="K99" s="769">
        <f>'Corrected and Updated TSF 1'!CJ99</f>
        <v>0</v>
      </c>
      <c r="L99" s="769">
        <f>SUM('Corrected and Updated TSF 1'!CK99:CL99)</f>
        <v>434547.69337638724</v>
      </c>
      <c r="M99" s="769">
        <f t="shared" si="10"/>
        <v>3594894.5542955669</v>
      </c>
      <c r="N99" s="771">
        <f>'Corrected and Updated TSF 1'!CN99</f>
        <v>0.125</v>
      </c>
      <c r="O99" s="769">
        <f>'Corrected and Updated TSF 1'!CO99</f>
        <v>449361.81928694586</v>
      </c>
      <c r="P99" s="769">
        <f>'Corrected and Updated TSF 1'!CP99</f>
        <v>30000</v>
      </c>
      <c r="Q99" s="769">
        <f>'Corrected and Updated TSF 1'!CQ99</f>
        <v>419361.81928694586</v>
      </c>
      <c r="R99" s="425">
        <f>'Corrected and Updated TSF 1'!CR99</f>
        <v>1</v>
      </c>
      <c r="S99" s="769">
        <f>'Corrected and Updated TSF 1'!CS99</f>
        <v>419361.81928694586</v>
      </c>
      <c r="T99" s="769">
        <f>'Corrected and Updated TSF 1'!CU99</f>
        <v>3145532.7350086211</v>
      </c>
      <c r="U99" s="769">
        <f>'Corrected and Updated TSF 1'!CV99</f>
        <v>24387.281814065114</v>
      </c>
      <c r="V99" s="772">
        <f>'Corrected and Updated TSF 1'!CW99</f>
        <v>28272.937491175042</v>
      </c>
      <c r="W99" s="773">
        <f>'Corrected and Updated TSF 1'!CX99</f>
        <v>36522.302219425015</v>
      </c>
      <c r="X99" s="773">
        <f>'Corrected and Updated TSF 1'!CY99</f>
        <v>62285.318201074391</v>
      </c>
      <c r="Y99" s="1130">
        <f>'Corrected and Updated TSF 1'!CZ99</f>
        <v>255521.62218548471</v>
      </c>
      <c r="Z99" s="1130">
        <f>'Corrected and Updated TSF 1'!DA99</f>
        <v>101108.66118151163</v>
      </c>
      <c r="AA99" s="1130">
        <f>'Corrected and Updated TSF 1'!DB99</f>
        <v>73029.353949761615</v>
      </c>
      <c r="AB99" s="1130">
        <f>'Corrected and Updated TSF 1'!DC99</f>
        <v>55578.700453579295</v>
      </c>
      <c r="AC99" s="774">
        <f>K99-'Corrected and Updated TSF 1'!CJ99</f>
        <v>0</v>
      </c>
      <c r="AD99" s="774">
        <f>L99-SUM('Corrected and Updated TSF 1'!CK99:CL99)</f>
        <v>0</v>
      </c>
      <c r="AE99" s="1173">
        <f t="shared" si="11"/>
        <v>3160346.8609191799</v>
      </c>
      <c r="AF99" s="1174">
        <f>SUM(FORM!$V$19:$W$22)+SUM(FORM!$V$25:$W$28)+SUM(FORM!$V$31:$W$34)</f>
        <v>0</v>
      </c>
      <c r="AG99" s="1173">
        <f t="shared" si="12"/>
        <v>3160346.8609191799</v>
      </c>
      <c r="AH99" s="1173"/>
      <c r="AI99" s="714"/>
      <c r="AJ99" s="714"/>
      <c r="AK99" s="714"/>
      <c r="AL99" s="714"/>
      <c r="AM99" s="714"/>
      <c r="AN99" s="714"/>
      <c r="AO99" s="714"/>
      <c r="AP99" s="714"/>
      <c r="AQ99" s="760"/>
      <c r="AR99" s="760"/>
      <c r="AS99" s="760"/>
      <c r="AT99" s="760"/>
      <c r="AU99" s="760"/>
      <c r="AV99" s="760"/>
      <c r="AW99" s="760"/>
    </row>
    <row r="100" spans="1:49" s="119" customFormat="1" ht="12.75" hidden="1" customHeight="1">
      <c r="A100" s="767" t="str">
        <f t="shared" si="8"/>
        <v>7J</v>
      </c>
      <c r="B100" s="768" t="str">
        <f>'Corrected and Updated TSF 1'!ER100</f>
        <v>SOLD</v>
      </c>
      <c r="C100" s="757" t="str">
        <f>'Corrected and Updated TSF 1'!E100</f>
        <v>7th Floor</v>
      </c>
      <c r="D100" s="642" t="str">
        <f>'Corrected and Updated TSF 1'!M100</f>
        <v>Inner</v>
      </c>
      <c r="E100" s="642" t="str">
        <f>'Corrected and Updated TSF 1'!G100</f>
        <v>7J</v>
      </c>
      <c r="F100" s="758" t="str">
        <f>'Corrected and Updated TSF 1'!I100</f>
        <v>Studio Unit</v>
      </c>
      <c r="G100" s="769">
        <f>'Corrected and Updated TSF 1'!J100</f>
        <v>22</v>
      </c>
      <c r="H100" s="769">
        <f>'Corrected and Updated TSF 1'!CI100</f>
        <v>3160346.8609191799</v>
      </c>
      <c r="I100" s="770"/>
      <c r="J100" s="770">
        <f t="shared" si="9"/>
        <v>3160346.8609191799</v>
      </c>
      <c r="K100" s="769">
        <f>'Corrected and Updated TSF 1'!CJ100</f>
        <v>0</v>
      </c>
      <c r="L100" s="769">
        <f>SUM('Corrected and Updated TSF 1'!CK100:CL100)</f>
        <v>434547.69337638724</v>
      </c>
      <c r="M100" s="769">
        <f t="shared" si="10"/>
        <v>3594894.5542955669</v>
      </c>
      <c r="N100" s="771">
        <f>'Corrected and Updated TSF 1'!CN100</f>
        <v>0.125</v>
      </c>
      <c r="O100" s="769">
        <f>'Corrected and Updated TSF 1'!CO100</f>
        <v>449361.81928694586</v>
      </c>
      <c r="P100" s="769">
        <f>'Corrected and Updated TSF 1'!CP100</f>
        <v>30000</v>
      </c>
      <c r="Q100" s="769">
        <f>'Corrected and Updated TSF 1'!CQ100</f>
        <v>419361.81928694586</v>
      </c>
      <c r="R100" s="425">
        <f>'Corrected and Updated TSF 1'!CR100</f>
        <v>1</v>
      </c>
      <c r="S100" s="769">
        <f>'Corrected and Updated TSF 1'!CS100</f>
        <v>419361.81928694586</v>
      </c>
      <c r="T100" s="769">
        <f>'Corrected and Updated TSF 1'!CU100</f>
        <v>3145532.7350086211</v>
      </c>
      <c r="U100" s="769">
        <f>'Corrected and Updated TSF 1'!CV100</f>
        <v>24387.281814065114</v>
      </c>
      <c r="V100" s="772">
        <f>'Corrected and Updated TSF 1'!CW100</f>
        <v>28272.937491175042</v>
      </c>
      <c r="W100" s="773">
        <f>'Corrected and Updated TSF 1'!CX100</f>
        <v>36522.302219425015</v>
      </c>
      <c r="X100" s="773">
        <f>'Corrected and Updated TSF 1'!CY100</f>
        <v>62285.318201074391</v>
      </c>
      <c r="Y100" s="1130">
        <f>'Corrected and Updated TSF 1'!CZ100</f>
        <v>255521.62218548471</v>
      </c>
      <c r="Z100" s="1130">
        <f>'Corrected and Updated TSF 1'!DA100</f>
        <v>101108.66118151163</v>
      </c>
      <c r="AA100" s="1130">
        <f>'Corrected and Updated TSF 1'!DB100</f>
        <v>73029.353949761615</v>
      </c>
      <c r="AB100" s="1130">
        <f>'Corrected and Updated TSF 1'!DC100</f>
        <v>55578.700453579295</v>
      </c>
      <c r="AC100" s="774">
        <f>K100-'Corrected and Updated TSF 1'!CJ100</f>
        <v>0</v>
      </c>
      <c r="AD100" s="774">
        <f>L100-SUM('Corrected and Updated TSF 1'!CK100:CL100)</f>
        <v>0</v>
      </c>
      <c r="AE100" s="1173">
        <f t="shared" si="11"/>
        <v>3160346.8609191799</v>
      </c>
      <c r="AF100" s="1174">
        <f>SUM(FORM!$V$19:$W$22)+SUM(FORM!$V$25:$W$28)+SUM(FORM!$V$31:$W$34)</f>
        <v>0</v>
      </c>
      <c r="AG100" s="1173">
        <f t="shared" si="12"/>
        <v>3160346.8609191799</v>
      </c>
      <c r="AH100" s="1173"/>
      <c r="AI100" s="714"/>
      <c r="AJ100" s="714"/>
      <c r="AK100" s="714"/>
      <c r="AL100" s="714"/>
      <c r="AM100" s="714"/>
      <c r="AN100" s="714"/>
      <c r="AO100" s="714"/>
      <c r="AP100" s="714"/>
      <c r="AQ100" s="552"/>
      <c r="AR100" s="552"/>
      <c r="AS100" s="552"/>
      <c r="AT100" s="552"/>
    </row>
    <row r="101" spans="1:49" s="119" customFormat="1" ht="12.75" hidden="1" customHeight="1">
      <c r="A101" s="767" t="str">
        <f t="shared" si="8"/>
        <v>7K</v>
      </c>
      <c r="B101" s="768" t="str">
        <f>'Corrected and Updated TSF 1'!ER101</f>
        <v>SOLD</v>
      </c>
      <c r="C101" s="757" t="str">
        <f>'Corrected and Updated TSF 1'!E101</f>
        <v>7th Floor</v>
      </c>
      <c r="D101" s="642" t="str">
        <f>'Corrected and Updated TSF 1'!M101</f>
        <v>Inner</v>
      </c>
      <c r="E101" s="642" t="str">
        <f>'Corrected and Updated TSF 1'!G101</f>
        <v>7K</v>
      </c>
      <c r="F101" s="758" t="str">
        <f>'Corrected and Updated TSF 1'!I101</f>
        <v>Studio Unit</v>
      </c>
      <c r="G101" s="769">
        <f>'Corrected and Updated TSF 1'!J101</f>
        <v>22</v>
      </c>
      <c r="H101" s="769">
        <f>'Corrected and Updated TSF 1'!CI101</f>
        <v>3160346.8609191799</v>
      </c>
      <c r="I101" s="770"/>
      <c r="J101" s="770">
        <f t="shared" si="9"/>
        <v>3160346.8609191799</v>
      </c>
      <c r="K101" s="769">
        <f>'Corrected and Updated TSF 1'!CJ101</f>
        <v>0</v>
      </c>
      <c r="L101" s="769">
        <f>SUM('Corrected and Updated TSF 1'!CK101:CL101)</f>
        <v>434547.69337638724</v>
      </c>
      <c r="M101" s="769">
        <f t="shared" si="10"/>
        <v>3594894.5542955669</v>
      </c>
      <c r="N101" s="771">
        <f>'Corrected and Updated TSF 1'!CN101</f>
        <v>0.125</v>
      </c>
      <c r="O101" s="769">
        <f>'Corrected and Updated TSF 1'!CO101</f>
        <v>449361.81928694586</v>
      </c>
      <c r="P101" s="769">
        <f>'Corrected and Updated TSF 1'!CP101</f>
        <v>30000</v>
      </c>
      <c r="Q101" s="769">
        <f>'Corrected and Updated TSF 1'!CQ101</f>
        <v>419361.81928694586</v>
      </c>
      <c r="R101" s="425">
        <f>'Corrected and Updated TSF 1'!CR101</f>
        <v>1</v>
      </c>
      <c r="S101" s="769">
        <f>'Corrected and Updated TSF 1'!CS101</f>
        <v>419361.81928694586</v>
      </c>
      <c r="T101" s="769">
        <f>'Corrected and Updated TSF 1'!CU101</f>
        <v>3145532.7350086211</v>
      </c>
      <c r="U101" s="769">
        <f>'Corrected and Updated TSF 1'!CV101</f>
        <v>24387.281814065114</v>
      </c>
      <c r="V101" s="772">
        <f>'Corrected and Updated TSF 1'!CW101</f>
        <v>28272.937491175042</v>
      </c>
      <c r="W101" s="773">
        <f>'Corrected and Updated TSF 1'!CX101</f>
        <v>36522.302219425015</v>
      </c>
      <c r="X101" s="773">
        <f>'Corrected and Updated TSF 1'!CY101</f>
        <v>62285.318201074391</v>
      </c>
      <c r="Y101" s="1130">
        <f>'Corrected and Updated TSF 1'!CZ101</f>
        <v>255521.62218548471</v>
      </c>
      <c r="Z101" s="1130">
        <f>'Corrected and Updated TSF 1'!DA101</f>
        <v>101108.66118151163</v>
      </c>
      <c r="AA101" s="1130">
        <f>'Corrected and Updated TSF 1'!DB101</f>
        <v>73029.353949761615</v>
      </c>
      <c r="AB101" s="1130">
        <f>'Corrected and Updated TSF 1'!DC101</f>
        <v>55578.700453579295</v>
      </c>
      <c r="AC101" s="774">
        <f>K101-'Corrected and Updated TSF 1'!CJ101</f>
        <v>0</v>
      </c>
      <c r="AD101" s="774">
        <f>L101-SUM('Corrected and Updated TSF 1'!CK101:CL101)</f>
        <v>0</v>
      </c>
      <c r="AE101" s="1173">
        <f t="shared" si="11"/>
        <v>3160346.8609191799</v>
      </c>
      <c r="AF101" s="1174">
        <f>SUM(FORM!$V$19:$W$22)+SUM(FORM!$V$25:$W$28)+SUM(FORM!$V$31:$W$34)</f>
        <v>0</v>
      </c>
      <c r="AG101" s="1173">
        <f t="shared" si="12"/>
        <v>3160346.8609191799</v>
      </c>
      <c r="AH101" s="1173"/>
      <c r="AI101" s="714"/>
      <c r="AJ101" s="714"/>
      <c r="AK101" s="714"/>
      <c r="AL101" s="714"/>
      <c r="AM101" s="714"/>
      <c r="AN101" s="714"/>
      <c r="AO101" s="714"/>
      <c r="AP101" s="714"/>
      <c r="AQ101" s="760"/>
      <c r="AR101" s="760"/>
      <c r="AS101" s="760"/>
      <c r="AT101" s="760"/>
      <c r="AU101" s="760"/>
      <c r="AV101" s="760"/>
      <c r="AW101" s="760"/>
    </row>
    <row r="102" spans="1:49" s="119" customFormat="1" ht="12.75" hidden="1" customHeight="1">
      <c r="A102" s="767" t="str">
        <f t="shared" si="8"/>
        <v>7L</v>
      </c>
      <c r="B102" s="768" t="str">
        <f>'Corrected and Updated TSF 1'!ER102</f>
        <v>SOLD</v>
      </c>
      <c r="C102" s="757" t="str">
        <f>'Corrected and Updated TSF 1'!E102</f>
        <v>7th Floor</v>
      </c>
      <c r="D102" s="642" t="str">
        <f>'Corrected and Updated TSF 1'!M102</f>
        <v>Inner</v>
      </c>
      <c r="E102" s="642" t="str">
        <f>'Corrected and Updated TSF 1'!G102</f>
        <v>7L</v>
      </c>
      <c r="F102" s="758" t="str">
        <f>'Corrected and Updated TSF 1'!I102</f>
        <v>Studio Unit</v>
      </c>
      <c r="G102" s="769">
        <f>'Corrected and Updated TSF 1'!J102</f>
        <v>22</v>
      </c>
      <c r="H102" s="769">
        <f>'Corrected and Updated TSF 1'!CI102</f>
        <v>3160346.8609191799</v>
      </c>
      <c r="I102" s="770"/>
      <c r="J102" s="770">
        <f t="shared" si="9"/>
        <v>3160346.8609191799</v>
      </c>
      <c r="K102" s="769">
        <f>'Corrected and Updated TSF 1'!CJ102</f>
        <v>0</v>
      </c>
      <c r="L102" s="769">
        <f>SUM('Corrected and Updated TSF 1'!CK102:CL102)</f>
        <v>434547.69337638724</v>
      </c>
      <c r="M102" s="769">
        <f t="shared" si="10"/>
        <v>3594894.5542955669</v>
      </c>
      <c r="N102" s="771">
        <f>'Corrected and Updated TSF 1'!CN102</f>
        <v>0.125</v>
      </c>
      <c r="O102" s="769">
        <f>'Corrected and Updated TSF 1'!CO102</f>
        <v>449361.81928694586</v>
      </c>
      <c r="P102" s="769">
        <f>'Corrected and Updated TSF 1'!CP102</f>
        <v>30000</v>
      </c>
      <c r="Q102" s="769">
        <f>'Corrected and Updated TSF 1'!CQ102</f>
        <v>419361.81928694586</v>
      </c>
      <c r="R102" s="425">
        <f>'Corrected and Updated TSF 1'!CR102</f>
        <v>1</v>
      </c>
      <c r="S102" s="769">
        <f>'Corrected and Updated TSF 1'!CS102</f>
        <v>419361.81928694586</v>
      </c>
      <c r="T102" s="769">
        <f>'Corrected and Updated TSF 1'!CU102</f>
        <v>3145532.7350086211</v>
      </c>
      <c r="U102" s="769">
        <f>'Corrected and Updated TSF 1'!CV102</f>
        <v>24387.281814065114</v>
      </c>
      <c r="V102" s="772">
        <f>'Corrected and Updated TSF 1'!CW102</f>
        <v>28272.937491175042</v>
      </c>
      <c r="W102" s="773">
        <f>'Corrected and Updated TSF 1'!CX102</f>
        <v>36522.302219425015</v>
      </c>
      <c r="X102" s="773">
        <f>'Corrected and Updated TSF 1'!CY102</f>
        <v>62285.318201074391</v>
      </c>
      <c r="Y102" s="1130">
        <f>'Corrected and Updated TSF 1'!CZ102</f>
        <v>255521.62218548471</v>
      </c>
      <c r="Z102" s="1130">
        <f>'Corrected and Updated TSF 1'!DA102</f>
        <v>101108.66118151163</v>
      </c>
      <c r="AA102" s="1130">
        <f>'Corrected and Updated TSF 1'!DB102</f>
        <v>73029.353949761615</v>
      </c>
      <c r="AB102" s="1130">
        <f>'Corrected and Updated TSF 1'!DC102</f>
        <v>55578.700453579295</v>
      </c>
      <c r="AC102" s="774">
        <f>K102-'Corrected and Updated TSF 1'!CJ102</f>
        <v>0</v>
      </c>
      <c r="AD102" s="774">
        <f>L102-SUM('Corrected and Updated TSF 1'!CK102:CL102)</f>
        <v>0</v>
      </c>
      <c r="AE102" s="1173">
        <f t="shared" si="11"/>
        <v>3160346.8609191799</v>
      </c>
      <c r="AF102" s="1174">
        <f>SUM(FORM!$V$19:$W$22)+SUM(FORM!$V$25:$W$28)+SUM(FORM!$V$31:$W$34)</f>
        <v>0</v>
      </c>
      <c r="AG102" s="1173">
        <f t="shared" si="12"/>
        <v>3160346.8609191799</v>
      </c>
      <c r="AH102" s="1173"/>
      <c r="AI102" s="714"/>
      <c r="AJ102" s="714"/>
      <c r="AK102" s="714"/>
      <c r="AL102" s="714"/>
      <c r="AM102" s="714"/>
      <c r="AN102" s="714"/>
      <c r="AO102" s="714"/>
      <c r="AP102" s="714"/>
      <c r="AQ102" s="760"/>
      <c r="AR102" s="760"/>
      <c r="AS102" s="760"/>
      <c r="AT102" s="760"/>
      <c r="AU102" s="760"/>
      <c r="AV102" s="760"/>
      <c r="AW102" s="760"/>
    </row>
    <row r="103" spans="1:49" s="119" customFormat="1" ht="12.75" hidden="1" customHeight="1">
      <c r="A103" s="767" t="str">
        <f t="shared" si="8"/>
        <v>7M</v>
      </c>
      <c r="B103" s="768" t="str">
        <f>'Corrected and Updated TSF 1'!ER103</f>
        <v>SOLD</v>
      </c>
      <c r="C103" s="757" t="str">
        <f>'Corrected and Updated TSF 1'!E103</f>
        <v>7th Floor</v>
      </c>
      <c r="D103" s="642" t="str">
        <f>'Corrected and Updated TSF 1'!M103</f>
        <v>Inner</v>
      </c>
      <c r="E103" s="642" t="str">
        <f>'Corrected and Updated TSF 1'!G103</f>
        <v>7M</v>
      </c>
      <c r="F103" s="758" t="str">
        <f>'Corrected and Updated TSF 1'!I103</f>
        <v>Studio Unit</v>
      </c>
      <c r="G103" s="769">
        <f>'Corrected and Updated TSF 1'!J103</f>
        <v>22</v>
      </c>
      <c r="H103" s="769">
        <f>'Corrected and Updated TSF 1'!CI103</f>
        <v>3160346.8609191799</v>
      </c>
      <c r="I103" s="770"/>
      <c r="J103" s="770">
        <f t="shared" si="9"/>
        <v>3160346.8609191799</v>
      </c>
      <c r="K103" s="769">
        <f>'Corrected and Updated TSF 1'!CJ103</f>
        <v>0</v>
      </c>
      <c r="L103" s="769">
        <f>SUM('Corrected and Updated TSF 1'!CK103:CL103)</f>
        <v>434547.69337638724</v>
      </c>
      <c r="M103" s="769">
        <f t="shared" si="10"/>
        <v>3594894.5542955669</v>
      </c>
      <c r="N103" s="771">
        <f>'Corrected and Updated TSF 1'!CN103</f>
        <v>0.125</v>
      </c>
      <c r="O103" s="769">
        <f>'Corrected and Updated TSF 1'!CO103</f>
        <v>449361.81928694586</v>
      </c>
      <c r="P103" s="769">
        <f>'Corrected and Updated TSF 1'!CP103</f>
        <v>30000</v>
      </c>
      <c r="Q103" s="769">
        <f>'Corrected and Updated TSF 1'!CQ103</f>
        <v>419361.81928694586</v>
      </c>
      <c r="R103" s="425">
        <f>'Corrected and Updated TSF 1'!CR103</f>
        <v>1</v>
      </c>
      <c r="S103" s="769">
        <f>'Corrected and Updated TSF 1'!CS103</f>
        <v>419361.81928694586</v>
      </c>
      <c r="T103" s="769">
        <f>'Corrected and Updated TSF 1'!CU103</f>
        <v>3145532.7350086211</v>
      </c>
      <c r="U103" s="769">
        <f>'Corrected and Updated TSF 1'!CV103</f>
        <v>24387.281814065114</v>
      </c>
      <c r="V103" s="772">
        <f>'Corrected and Updated TSF 1'!CW103</f>
        <v>28272.937491175042</v>
      </c>
      <c r="W103" s="773">
        <f>'Corrected and Updated TSF 1'!CX103</f>
        <v>36522.302219425015</v>
      </c>
      <c r="X103" s="773">
        <f>'Corrected and Updated TSF 1'!CY103</f>
        <v>62285.318201074391</v>
      </c>
      <c r="Y103" s="1130">
        <f>'Corrected and Updated TSF 1'!CZ103</f>
        <v>255521.62218548471</v>
      </c>
      <c r="Z103" s="1130">
        <f>'Corrected and Updated TSF 1'!DA103</f>
        <v>101108.66118151163</v>
      </c>
      <c r="AA103" s="1130">
        <f>'Corrected and Updated TSF 1'!DB103</f>
        <v>73029.353949761615</v>
      </c>
      <c r="AB103" s="1130">
        <f>'Corrected and Updated TSF 1'!DC103</f>
        <v>55578.700453579295</v>
      </c>
      <c r="AC103" s="774">
        <f>K103-'Corrected and Updated TSF 1'!CJ103</f>
        <v>0</v>
      </c>
      <c r="AD103" s="774">
        <f>L103-SUM('Corrected and Updated TSF 1'!CK103:CL103)</f>
        <v>0</v>
      </c>
      <c r="AE103" s="1173">
        <f t="shared" si="11"/>
        <v>3160346.8609191799</v>
      </c>
      <c r="AF103" s="1174">
        <f>SUM(FORM!$V$19:$W$22)+SUM(FORM!$V$25:$W$28)+SUM(FORM!$V$31:$W$34)</f>
        <v>0</v>
      </c>
      <c r="AG103" s="1173">
        <f t="shared" si="12"/>
        <v>3160346.8609191799</v>
      </c>
      <c r="AH103" s="1173"/>
      <c r="AI103" s="714"/>
      <c r="AJ103" s="714"/>
      <c r="AK103" s="714"/>
      <c r="AL103" s="714"/>
      <c r="AM103" s="714"/>
      <c r="AN103" s="714"/>
      <c r="AO103" s="714"/>
      <c r="AP103" s="714"/>
      <c r="AQ103" s="760"/>
      <c r="AR103" s="760"/>
      <c r="AS103" s="760"/>
      <c r="AT103" s="760"/>
      <c r="AU103" s="760"/>
      <c r="AV103" s="760"/>
      <c r="AW103" s="760"/>
    </row>
    <row r="104" spans="1:49" s="119" customFormat="1" ht="12.75" hidden="1" customHeight="1">
      <c r="A104" s="767" t="str">
        <f t="shared" si="8"/>
        <v>7N</v>
      </c>
      <c r="B104" s="768" t="str">
        <f>'Corrected and Updated TSF 1'!ER104</f>
        <v>SOLD</v>
      </c>
      <c r="C104" s="757" t="str">
        <f>'Corrected and Updated TSF 1'!E104</f>
        <v>7th Floor</v>
      </c>
      <c r="D104" s="642" t="str">
        <f>'Corrected and Updated TSF 1'!M104</f>
        <v>Inner</v>
      </c>
      <c r="E104" s="642" t="str">
        <f>'Corrected and Updated TSF 1'!G104</f>
        <v>7N</v>
      </c>
      <c r="F104" s="758" t="str">
        <f>'Corrected and Updated TSF 1'!I104</f>
        <v>Studio Unit</v>
      </c>
      <c r="G104" s="769">
        <f>'Corrected and Updated TSF 1'!J104</f>
        <v>22</v>
      </c>
      <c r="H104" s="769">
        <f>'Corrected and Updated TSF 1'!CI104</f>
        <v>3160346.8609191799</v>
      </c>
      <c r="I104" s="770"/>
      <c r="J104" s="770">
        <f t="shared" si="9"/>
        <v>3160346.8609191799</v>
      </c>
      <c r="K104" s="769">
        <f>'Corrected and Updated TSF 1'!CJ104</f>
        <v>0</v>
      </c>
      <c r="L104" s="769">
        <f>SUM('Corrected and Updated TSF 1'!CK104:CL104)</f>
        <v>434547.69337638724</v>
      </c>
      <c r="M104" s="769">
        <f t="shared" si="10"/>
        <v>3594894.5542955669</v>
      </c>
      <c r="N104" s="771">
        <f>'Corrected and Updated TSF 1'!CN104</f>
        <v>0.125</v>
      </c>
      <c r="O104" s="769">
        <f>'Corrected and Updated TSF 1'!CO104</f>
        <v>449361.81928694586</v>
      </c>
      <c r="P104" s="769">
        <f>'Corrected and Updated TSF 1'!CP104</f>
        <v>30000</v>
      </c>
      <c r="Q104" s="769">
        <f>'Corrected and Updated TSF 1'!CQ104</f>
        <v>419361.81928694586</v>
      </c>
      <c r="R104" s="425">
        <f>'Corrected and Updated TSF 1'!CR104</f>
        <v>1</v>
      </c>
      <c r="S104" s="769">
        <f>'Corrected and Updated TSF 1'!CS104</f>
        <v>419361.81928694586</v>
      </c>
      <c r="T104" s="769">
        <f>'Corrected and Updated TSF 1'!CU104</f>
        <v>3145532.7350086211</v>
      </c>
      <c r="U104" s="769">
        <f>'Corrected and Updated TSF 1'!CV104</f>
        <v>24387.281814065114</v>
      </c>
      <c r="V104" s="772">
        <f>'Corrected and Updated TSF 1'!CW104</f>
        <v>28272.937491175042</v>
      </c>
      <c r="W104" s="773">
        <f>'Corrected and Updated TSF 1'!CX104</f>
        <v>36522.302219425015</v>
      </c>
      <c r="X104" s="773">
        <f>'Corrected and Updated TSF 1'!CY104</f>
        <v>62285.318201074391</v>
      </c>
      <c r="Y104" s="1130">
        <f>'Corrected and Updated TSF 1'!CZ104</f>
        <v>255521.62218548471</v>
      </c>
      <c r="Z104" s="1130">
        <f>'Corrected and Updated TSF 1'!DA104</f>
        <v>101108.66118151163</v>
      </c>
      <c r="AA104" s="1130">
        <f>'Corrected and Updated TSF 1'!DB104</f>
        <v>73029.353949761615</v>
      </c>
      <c r="AB104" s="1130">
        <f>'Corrected and Updated TSF 1'!DC104</f>
        <v>55578.700453579295</v>
      </c>
      <c r="AC104" s="774">
        <f>K104-'Corrected and Updated TSF 1'!CJ104</f>
        <v>0</v>
      </c>
      <c r="AD104" s="774">
        <f>L104-SUM('Corrected and Updated TSF 1'!CK104:CL104)</f>
        <v>0</v>
      </c>
      <c r="AE104" s="1173">
        <f t="shared" si="11"/>
        <v>3160346.8609191799</v>
      </c>
      <c r="AF104" s="1174">
        <f>SUM(FORM!$V$19:$W$22)+SUM(FORM!$V$25:$W$28)+SUM(FORM!$V$31:$W$34)</f>
        <v>0</v>
      </c>
      <c r="AG104" s="1173">
        <f t="shared" si="12"/>
        <v>3160346.8609191799</v>
      </c>
      <c r="AH104" s="1173"/>
      <c r="AI104" s="714"/>
      <c r="AJ104" s="714"/>
      <c r="AK104" s="714"/>
      <c r="AL104" s="714"/>
      <c r="AM104" s="714"/>
      <c r="AN104" s="714"/>
      <c r="AO104" s="714"/>
      <c r="AP104" s="714"/>
      <c r="AQ104" s="760"/>
      <c r="AR104" s="760"/>
      <c r="AS104" s="760"/>
      <c r="AT104" s="760"/>
      <c r="AU104" s="760"/>
      <c r="AV104" s="760"/>
      <c r="AW104" s="760"/>
    </row>
    <row r="105" spans="1:49" s="119" customFormat="1" ht="12.75" hidden="1" customHeight="1">
      <c r="A105" s="767" t="str">
        <f t="shared" si="8"/>
        <v>7O</v>
      </c>
      <c r="B105" s="768" t="str">
        <f>'Corrected and Updated TSF 1'!ER105</f>
        <v>SOLD</v>
      </c>
      <c r="C105" s="757" t="str">
        <f>'Corrected and Updated TSF 1'!E105</f>
        <v>7th Floor</v>
      </c>
      <c r="D105" s="642" t="str">
        <f>'Corrected and Updated TSF 1'!M105</f>
        <v>Inner</v>
      </c>
      <c r="E105" s="642" t="str">
        <f>'Corrected and Updated TSF 1'!G105</f>
        <v>7O</v>
      </c>
      <c r="F105" s="758" t="str">
        <f>'Corrected and Updated TSF 1'!I105</f>
        <v>Studio Unit</v>
      </c>
      <c r="G105" s="769">
        <f>'Corrected and Updated TSF 1'!J105</f>
        <v>22</v>
      </c>
      <c r="H105" s="769">
        <f>'Corrected and Updated TSF 1'!CI105</f>
        <v>3160346.8609191799</v>
      </c>
      <c r="I105" s="770"/>
      <c r="J105" s="770">
        <f t="shared" si="9"/>
        <v>3160346.8609191799</v>
      </c>
      <c r="K105" s="769">
        <f>'Corrected and Updated TSF 1'!CJ105</f>
        <v>0</v>
      </c>
      <c r="L105" s="769">
        <f>SUM('Corrected and Updated TSF 1'!CK105:CL105)</f>
        <v>434547.69337638724</v>
      </c>
      <c r="M105" s="769">
        <f t="shared" si="10"/>
        <v>3594894.5542955669</v>
      </c>
      <c r="N105" s="771">
        <f>'Corrected and Updated TSF 1'!CN105</f>
        <v>0.125</v>
      </c>
      <c r="O105" s="769">
        <f>'Corrected and Updated TSF 1'!CO105</f>
        <v>449361.81928694586</v>
      </c>
      <c r="P105" s="769">
        <f>'Corrected and Updated TSF 1'!CP105</f>
        <v>30000</v>
      </c>
      <c r="Q105" s="769">
        <f>'Corrected and Updated TSF 1'!CQ105</f>
        <v>419361.81928694586</v>
      </c>
      <c r="R105" s="425">
        <f>'Corrected and Updated TSF 1'!CR105</f>
        <v>1</v>
      </c>
      <c r="S105" s="769">
        <f>'Corrected and Updated TSF 1'!CS105</f>
        <v>419361.81928694586</v>
      </c>
      <c r="T105" s="769">
        <f>'Corrected and Updated TSF 1'!CU105</f>
        <v>3145532.7350086211</v>
      </c>
      <c r="U105" s="769">
        <f>'Corrected and Updated TSF 1'!CV105</f>
        <v>24387.281814065114</v>
      </c>
      <c r="V105" s="772">
        <f>'Corrected and Updated TSF 1'!CW105</f>
        <v>28272.937491175042</v>
      </c>
      <c r="W105" s="773">
        <f>'Corrected and Updated TSF 1'!CX105</f>
        <v>36522.302219425015</v>
      </c>
      <c r="X105" s="773">
        <f>'Corrected and Updated TSF 1'!CY105</f>
        <v>62285.318201074391</v>
      </c>
      <c r="Y105" s="1130">
        <f>'Corrected and Updated TSF 1'!CZ105</f>
        <v>255521.62218548471</v>
      </c>
      <c r="Z105" s="1130">
        <f>'Corrected and Updated TSF 1'!DA105</f>
        <v>101108.66118151163</v>
      </c>
      <c r="AA105" s="1130">
        <f>'Corrected and Updated TSF 1'!DB105</f>
        <v>73029.353949761615</v>
      </c>
      <c r="AB105" s="1130">
        <f>'Corrected and Updated TSF 1'!DC105</f>
        <v>55578.700453579295</v>
      </c>
      <c r="AC105" s="774">
        <f>K105-'Corrected and Updated TSF 1'!CJ105</f>
        <v>0</v>
      </c>
      <c r="AD105" s="774">
        <f>L105-SUM('Corrected and Updated TSF 1'!CK105:CL105)</f>
        <v>0</v>
      </c>
      <c r="AE105" s="1173">
        <f t="shared" si="11"/>
        <v>3160346.8609191799</v>
      </c>
      <c r="AF105" s="1174">
        <f>SUM(FORM!$V$19:$W$22)+SUM(FORM!$V$25:$W$28)+SUM(FORM!$V$31:$W$34)</f>
        <v>0</v>
      </c>
      <c r="AG105" s="1173">
        <f t="shared" si="12"/>
        <v>3160346.8609191799</v>
      </c>
      <c r="AH105" s="1173"/>
      <c r="AI105" s="714"/>
      <c r="AJ105" s="714"/>
      <c r="AK105" s="714"/>
      <c r="AL105" s="714"/>
      <c r="AM105" s="714"/>
      <c r="AN105" s="714"/>
      <c r="AO105" s="714"/>
      <c r="AP105" s="714"/>
      <c r="AQ105" s="760"/>
      <c r="AR105" s="760"/>
      <c r="AS105" s="760"/>
      <c r="AT105" s="760"/>
      <c r="AU105" s="760"/>
      <c r="AV105" s="760"/>
      <c r="AW105" s="760"/>
    </row>
    <row r="106" spans="1:49" s="119" customFormat="1" ht="12.75" hidden="1" customHeight="1">
      <c r="A106" s="767" t="str">
        <f t="shared" si="8"/>
        <v>7P</v>
      </c>
      <c r="B106" s="768" t="str">
        <f>'Corrected and Updated TSF 1'!ER106</f>
        <v>SOLD</v>
      </c>
      <c r="C106" s="757" t="str">
        <f>'Corrected and Updated TSF 1'!E106</f>
        <v>7th Floor</v>
      </c>
      <c r="D106" s="642" t="str">
        <f>'Corrected and Updated TSF 1'!M106</f>
        <v>Inner</v>
      </c>
      <c r="E106" s="642" t="str">
        <f>'Corrected and Updated TSF 1'!G106</f>
        <v>7P</v>
      </c>
      <c r="F106" s="758" t="str">
        <f>'Corrected and Updated TSF 1'!I106</f>
        <v>Studio Unit</v>
      </c>
      <c r="G106" s="769">
        <f>'Corrected and Updated TSF 1'!J106</f>
        <v>22</v>
      </c>
      <c r="H106" s="769">
        <f>'Corrected and Updated TSF 1'!CI106</f>
        <v>3160346.8609191799</v>
      </c>
      <c r="I106" s="770"/>
      <c r="J106" s="770">
        <f t="shared" si="9"/>
        <v>3160346.8609191799</v>
      </c>
      <c r="K106" s="769">
        <f>'Corrected and Updated TSF 1'!CJ106</f>
        <v>0</v>
      </c>
      <c r="L106" s="769">
        <f>SUM('Corrected and Updated TSF 1'!CK106:CL106)</f>
        <v>434547.69337638724</v>
      </c>
      <c r="M106" s="769">
        <f t="shared" si="10"/>
        <v>3594894.5542955669</v>
      </c>
      <c r="N106" s="771">
        <f>'Corrected and Updated TSF 1'!CN106</f>
        <v>0.125</v>
      </c>
      <c r="O106" s="769">
        <f>'Corrected and Updated TSF 1'!CO106</f>
        <v>449361.81928694586</v>
      </c>
      <c r="P106" s="769">
        <f>'Corrected and Updated TSF 1'!CP106</f>
        <v>30000</v>
      </c>
      <c r="Q106" s="769">
        <f>'Corrected and Updated TSF 1'!CQ106</f>
        <v>419361.81928694586</v>
      </c>
      <c r="R106" s="425">
        <f>'Corrected and Updated TSF 1'!CR106</f>
        <v>1</v>
      </c>
      <c r="S106" s="769">
        <f>'Corrected and Updated TSF 1'!CS106</f>
        <v>419361.81928694586</v>
      </c>
      <c r="T106" s="769">
        <f>'Corrected and Updated TSF 1'!CU106</f>
        <v>3145532.7350086211</v>
      </c>
      <c r="U106" s="769">
        <f>'Corrected and Updated TSF 1'!CV106</f>
        <v>24387.281814065114</v>
      </c>
      <c r="V106" s="772">
        <f>'Corrected and Updated TSF 1'!CW106</f>
        <v>28272.937491175042</v>
      </c>
      <c r="W106" s="773">
        <f>'Corrected and Updated TSF 1'!CX106</f>
        <v>36522.302219425015</v>
      </c>
      <c r="X106" s="773">
        <f>'Corrected and Updated TSF 1'!CY106</f>
        <v>62285.318201074391</v>
      </c>
      <c r="Y106" s="1130">
        <f>'Corrected and Updated TSF 1'!CZ106</f>
        <v>255521.62218548471</v>
      </c>
      <c r="Z106" s="1130">
        <f>'Corrected and Updated TSF 1'!DA106</f>
        <v>101108.66118151163</v>
      </c>
      <c r="AA106" s="1130">
        <f>'Corrected and Updated TSF 1'!DB106</f>
        <v>73029.353949761615</v>
      </c>
      <c r="AB106" s="1130">
        <f>'Corrected and Updated TSF 1'!DC106</f>
        <v>55578.700453579295</v>
      </c>
      <c r="AC106" s="774">
        <f>K106-'Corrected and Updated TSF 1'!CJ106</f>
        <v>0</v>
      </c>
      <c r="AD106" s="774">
        <f>L106-SUM('Corrected and Updated TSF 1'!CK106:CL106)</f>
        <v>0</v>
      </c>
      <c r="AE106" s="1173">
        <f t="shared" si="11"/>
        <v>3160346.8609191799</v>
      </c>
      <c r="AF106" s="1174">
        <f>SUM(FORM!$V$19:$W$22)+SUM(FORM!$V$25:$W$28)+SUM(FORM!$V$31:$W$34)</f>
        <v>0</v>
      </c>
      <c r="AG106" s="1173">
        <f t="shared" si="12"/>
        <v>3160346.8609191799</v>
      </c>
      <c r="AH106" s="1173"/>
      <c r="AI106" s="714"/>
      <c r="AJ106" s="714"/>
      <c r="AK106" s="714"/>
      <c r="AL106" s="714"/>
      <c r="AM106" s="714"/>
      <c r="AN106" s="714"/>
      <c r="AO106" s="714"/>
      <c r="AP106" s="714"/>
      <c r="AQ106" s="552"/>
      <c r="AR106" s="552"/>
      <c r="AS106" s="552"/>
      <c r="AT106" s="552"/>
    </row>
    <row r="107" spans="1:49" s="119" customFormat="1" hidden="1">
      <c r="A107" s="767" t="str">
        <f t="shared" si="8"/>
        <v>7Q</v>
      </c>
      <c r="B107" s="768" t="str">
        <f>'Corrected and Updated TSF 1'!ER107</f>
        <v>SOLD</v>
      </c>
      <c r="C107" s="757" t="str">
        <f>'Corrected and Updated TSF 1'!E107</f>
        <v>7th Floor</v>
      </c>
      <c r="D107" s="642" t="str">
        <f>'Corrected and Updated TSF 1'!M107</f>
        <v>Inner</v>
      </c>
      <c r="E107" s="642" t="str">
        <f>'Corrected and Updated TSF 1'!G107</f>
        <v>7Q</v>
      </c>
      <c r="F107" s="758" t="str">
        <f>'Corrected and Updated TSF 1'!I107</f>
        <v>Studio Unit</v>
      </c>
      <c r="G107" s="769">
        <f>'Corrected and Updated TSF 1'!J107</f>
        <v>22</v>
      </c>
      <c r="H107" s="769">
        <f>'Corrected and Updated TSF 1'!CI107</f>
        <v>3165595.6609191797</v>
      </c>
      <c r="I107" s="770"/>
      <c r="J107" s="770">
        <f t="shared" si="9"/>
        <v>3165595.6609191797</v>
      </c>
      <c r="K107" s="769">
        <f>'Corrected and Updated TSF 1'!CJ107</f>
        <v>0</v>
      </c>
      <c r="L107" s="769">
        <f>SUM('Corrected and Updated TSF 1'!CK107:CL107)</f>
        <v>435269.4033763872</v>
      </c>
      <c r="M107" s="769">
        <f t="shared" si="10"/>
        <v>3600865.0642955666</v>
      </c>
      <c r="N107" s="771">
        <f>'Corrected and Updated TSF 1'!CN107</f>
        <v>0.125</v>
      </c>
      <c r="O107" s="769">
        <f>'Corrected and Updated TSF 1'!CO107</f>
        <v>450108.13303694583</v>
      </c>
      <c r="P107" s="769">
        <f>'Corrected and Updated TSF 1'!CP107</f>
        <v>30000</v>
      </c>
      <c r="Q107" s="769">
        <f>'Corrected and Updated TSF 1'!CQ107</f>
        <v>420108.13303694583</v>
      </c>
      <c r="R107" s="425">
        <f>'Corrected and Updated TSF 1'!CR107</f>
        <v>1</v>
      </c>
      <c r="S107" s="769">
        <f>'Corrected and Updated TSF 1'!CS107</f>
        <v>420108.13303694583</v>
      </c>
      <c r="T107" s="769">
        <f>'Corrected and Updated TSF 1'!CU107</f>
        <v>3150756.9312586207</v>
      </c>
      <c r="U107" s="769">
        <f>'Corrected and Updated TSF 1'!CV107</f>
        <v>24427.784951986003</v>
      </c>
      <c r="V107" s="772">
        <f>'Corrected and Updated TSF 1'!CW107</f>
        <v>28319.894043994853</v>
      </c>
      <c r="W107" s="773">
        <f>'Corrected and Updated TSF 1'!CX107</f>
        <v>36582.959567597725</v>
      </c>
      <c r="X107" s="773">
        <f>'Corrected and Updated TSF 1'!CY107</f>
        <v>62388.763548234383</v>
      </c>
      <c r="Y107" s="1130">
        <f>'Corrected and Updated TSF 1'!CZ107</f>
        <v>255946.0002520546</v>
      </c>
      <c r="Z107" s="1130">
        <f>'Corrected and Updated TSF 1'!DA107</f>
        <v>101276.58551518909</v>
      </c>
      <c r="AA107" s="1130">
        <f>'Corrected and Updated TSF 1'!DB107</f>
        <v>73150.643317631824</v>
      </c>
      <c r="AB107" s="1130">
        <f>'Corrected and Updated TSF 1'!DC107</f>
        <v>55671.007246402623</v>
      </c>
      <c r="AC107" s="774">
        <f>K107-'Corrected and Updated TSF 1'!CJ107</f>
        <v>0</v>
      </c>
      <c r="AD107" s="774">
        <f>L107-SUM('Corrected and Updated TSF 1'!CK107:CL107)</f>
        <v>0</v>
      </c>
      <c r="AE107" s="1173">
        <f t="shared" si="11"/>
        <v>3165595.6609191797</v>
      </c>
      <c r="AF107" s="1174">
        <f>SUM(FORM!$V$19:$W$22)+SUM(FORM!$V$25:$W$28)+SUM(FORM!$V$31:$W$34)</f>
        <v>0</v>
      </c>
      <c r="AG107" s="1173">
        <f t="shared" si="12"/>
        <v>3165595.6609191797</v>
      </c>
      <c r="AH107" s="1173"/>
      <c r="AI107" s="714"/>
      <c r="AJ107" s="714"/>
      <c r="AK107" s="714"/>
      <c r="AL107" s="714"/>
      <c r="AM107" s="714"/>
      <c r="AN107" s="714"/>
      <c r="AO107" s="714"/>
      <c r="AP107" s="714"/>
      <c r="AQ107" s="760"/>
      <c r="AR107" s="760"/>
      <c r="AS107" s="760"/>
      <c r="AT107" s="760"/>
      <c r="AU107" s="760"/>
      <c r="AV107" s="760"/>
      <c r="AW107" s="760"/>
    </row>
    <row r="108" spans="1:49" s="119" customFormat="1" ht="12.75" hidden="1" customHeight="1">
      <c r="A108" s="767" t="str">
        <f t="shared" si="8"/>
        <v>7R</v>
      </c>
      <c r="B108" s="768" t="str">
        <f>'Corrected and Updated TSF 1'!ER108</f>
        <v>SOLD</v>
      </c>
      <c r="C108" s="757" t="str">
        <f>'Corrected and Updated TSF 1'!E108</f>
        <v>7th Floor</v>
      </c>
      <c r="D108" s="642" t="str">
        <f>'Corrected and Updated TSF 1'!M108</f>
        <v>Corner</v>
      </c>
      <c r="E108" s="642" t="str">
        <f>'Corrected and Updated TSF 1'!G108</f>
        <v>7R</v>
      </c>
      <c r="F108" s="758" t="str">
        <f>'Corrected and Updated TSF 1'!I108</f>
        <v>Studio Unit</v>
      </c>
      <c r="G108" s="769">
        <f>'Corrected and Updated TSF 1'!J108</f>
        <v>22</v>
      </c>
      <c r="H108" s="769">
        <f>'Corrected and Updated TSF 1'!CI108</f>
        <v>3241999.9883686625</v>
      </c>
      <c r="I108" s="770"/>
      <c r="J108" s="770">
        <f t="shared" si="9"/>
        <v>3241999.9883686625</v>
      </c>
      <c r="K108" s="769">
        <f>'Corrected and Updated TSF 1'!CJ108</f>
        <v>0</v>
      </c>
      <c r="L108" s="769">
        <f>SUM('Corrected and Updated TSF 1'!CK108:CL108)</f>
        <v>445774.99840069108</v>
      </c>
      <c r="M108" s="769">
        <f t="shared" si="10"/>
        <v>3687774.9867693535</v>
      </c>
      <c r="N108" s="771">
        <f>'Corrected and Updated TSF 1'!CN108</f>
        <v>0.125</v>
      </c>
      <c r="O108" s="769">
        <f>'Corrected and Updated TSF 1'!CO108</f>
        <v>460971.87334616919</v>
      </c>
      <c r="P108" s="769">
        <f>'Corrected and Updated TSF 1'!CP108</f>
        <v>30000</v>
      </c>
      <c r="Q108" s="769">
        <f>'Corrected and Updated TSF 1'!CQ108</f>
        <v>430971.87334616919</v>
      </c>
      <c r="R108" s="425">
        <f>'Corrected and Updated TSF 1'!CR108</f>
        <v>1</v>
      </c>
      <c r="S108" s="769">
        <f>'Corrected and Updated TSF 1'!CS108</f>
        <v>430971.87334616919</v>
      </c>
      <c r="T108" s="769">
        <f>'Corrected and Updated TSF 1'!CU108</f>
        <v>3226803.1134231845</v>
      </c>
      <c r="U108" s="769">
        <f>'Corrected and Updated TSF 1'!CV108</f>
        <v>25017.370192886658</v>
      </c>
      <c r="V108" s="772">
        <f>'Corrected and Updated TSF 1'!CW108</f>
        <v>29003.418628193889</v>
      </c>
      <c r="W108" s="773">
        <f>'Corrected and Updated TSF 1'!CX108</f>
        <v>37465.920223748719</v>
      </c>
      <c r="X108" s="773">
        <f>'Corrected and Updated TSF 1'!CY108</f>
        <v>63894.569099510503</v>
      </c>
      <c r="Y108" s="1130">
        <f>'Corrected and Updated TSF 1'!CZ108</f>
        <v>262123.47334315849</v>
      </c>
      <c r="Z108" s="1130">
        <f>'Corrected and Updated TSF 1'!DA108</f>
        <v>103720.98152513978</v>
      </c>
      <c r="AA108" s="1130">
        <f>'Corrected and Updated TSF 1'!DB108</f>
        <v>74916.195935162847</v>
      </c>
      <c r="AB108" s="1130">
        <f>'Corrected and Updated TSF 1'!DC108</f>
        <v>57014.674070188201</v>
      </c>
      <c r="AC108" s="774">
        <f>K108-'Corrected and Updated TSF 1'!CJ108</f>
        <v>0</v>
      </c>
      <c r="AD108" s="774">
        <f>L108-SUM('Corrected and Updated TSF 1'!CK108:CL108)</f>
        <v>0</v>
      </c>
      <c r="AE108" s="1173">
        <f t="shared" si="11"/>
        <v>3241999.9883686625</v>
      </c>
      <c r="AF108" s="1174">
        <f>SUM(FORM!$V$19:$W$22)+SUM(FORM!$V$25:$W$28)+SUM(FORM!$V$31:$W$34)</f>
        <v>0</v>
      </c>
      <c r="AG108" s="1173">
        <f t="shared" si="12"/>
        <v>3241999.9883686625</v>
      </c>
      <c r="AH108" s="1173"/>
      <c r="AI108" s="714"/>
      <c r="AJ108" s="714"/>
      <c r="AK108" s="714"/>
      <c r="AL108" s="714"/>
      <c r="AM108" s="714"/>
      <c r="AN108" s="714"/>
      <c r="AO108" s="714"/>
      <c r="AP108" s="714"/>
      <c r="AQ108" s="760"/>
      <c r="AR108" s="760"/>
      <c r="AS108" s="760"/>
      <c r="AT108" s="760"/>
      <c r="AU108" s="760"/>
      <c r="AV108" s="760"/>
      <c r="AW108" s="760"/>
    </row>
    <row r="109" spans="1:49" s="119" customFormat="1" ht="12.75" hidden="1" customHeight="1">
      <c r="A109" s="767" t="str">
        <f t="shared" si="8"/>
        <v>8A</v>
      </c>
      <c r="B109" s="768" t="str">
        <f>'Corrected and Updated TSF 1'!ER109</f>
        <v>SOLD</v>
      </c>
      <c r="C109" s="757" t="str">
        <f>'Corrected and Updated TSF 1'!E109</f>
        <v>8th Floor</v>
      </c>
      <c r="D109" s="642" t="str">
        <f>'Corrected and Updated TSF 1'!M109</f>
        <v>Corner</v>
      </c>
      <c r="E109" s="642" t="str">
        <f>'Corrected and Updated TSF 1'!G109</f>
        <v>8A</v>
      </c>
      <c r="F109" s="758" t="str">
        <f>'Corrected and Updated TSF 1'!I109</f>
        <v>Studio Unit</v>
      </c>
      <c r="G109" s="769">
        <f>'Corrected and Updated TSF 1'!J109</f>
        <v>22</v>
      </c>
      <c r="H109" s="769">
        <f>'Corrected and Updated TSF 1'!CI109</f>
        <v>3236997.2598707345</v>
      </c>
      <c r="I109" s="770"/>
      <c r="J109" s="770">
        <f t="shared" si="9"/>
        <v>3236997.2598707345</v>
      </c>
      <c r="K109" s="769">
        <f>'Corrected and Updated TSF 1'!CJ109</f>
        <v>0</v>
      </c>
      <c r="L109" s="769">
        <f>SUM('Corrected and Updated TSF 1'!CK109:CL109)</f>
        <v>445087.123232226</v>
      </c>
      <c r="M109" s="769">
        <f t="shared" si="10"/>
        <v>3682084.3831029604</v>
      </c>
      <c r="N109" s="771">
        <f>'Corrected and Updated TSF 1'!CN109</f>
        <v>0.125</v>
      </c>
      <c r="O109" s="769">
        <f>'Corrected and Updated TSF 1'!CO109</f>
        <v>460260.54788787005</v>
      </c>
      <c r="P109" s="769">
        <f>'Corrected and Updated TSF 1'!CP109</f>
        <v>30000</v>
      </c>
      <c r="Q109" s="769">
        <f>'Corrected and Updated TSF 1'!CQ109</f>
        <v>430260.54788787005</v>
      </c>
      <c r="R109" s="425">
        <f>'Corrected and Updated TSF 1'!CR109</f>
        <v>2</v>
      </c>
      <c r="S109" s="769">
        <f>'Corrected and Updated TSF 1'!CS109</f>
        <v>215130.27394393503</v>
      </c>
      <c r="T109" s="769">
        <f>'Corrected and Updated TSF 1'!CU109</f>
        <v>3221823.8352150903</v>
      </c>
      <c r="U109" s="769">
        <f>'Corrected and Updated TSF 1'!CV109</f>
        <v>24978.765901937801</v>
      </c>
      <c r="V109" s="772">
        <f>'Corrected and Updated TSF 1'!CW109</f>
        <v>28958.663467975144</v>
      </c>
      <c r="W109" s="773">
        <f>'Corrected and Updated TSF 1'!CX109</f>
        <v>37408.106581713902</v>
      </c>
      <c r="X109" s="773">
        <f>'Corrected and Updated TSF 1'!CY109</f>
        <v>63795.973423124386</v>
      </c>
      <c r="Y109" s="1130">
        <f>'Corrected and Updated TSF 1'!CZ109</f>
        <v>261718.99074760807</v>
      </c>
      <c r="Z109" s="1130">
        <f>'Corrected and Updated TSF 1'!DA109</f>
        <v>103560.92973242833</v>
      </c>
      <c r="AA109" s="1130">
        <f>'Corrected and Updated TSF 1'!DB109</f>
        <v>74800.59279213204</v>
      </c>
      <c r="AB109" s="1130">
        <f>'Corrected and Updated TSF 1'!DC109</f>
        <v>56926.69475624794</v>
      </c>
      <c r="AC109" s="774">
        <f>K109-'Corrected and Updated TSF 1'!CJ109</f>
        <v>0</v>
      </c>
      <c r="AD109" s="774">
        <f>L109-SUM('Corrected and Updated TSF 1'!CK109:CL109)</f>
        <v>0</v>
      </c>
      <c r="AE109" s="1173">
        <f t="shared" si="11"/>
        <v>3236997.2598707345</v>
      </c>
      <c r="AF109" s="1174">
        <f>SUM(FORM!$V$19:$W$22)+SUM(FORM!$V$25:$W$28)+SUM(FORM!$V$31:$W$34)</f>
        <v>0</v>
      </c>
      <c r="AG109" s="1173">
        <f t="shared" si="12"/>
        <v>3236997.2598707345</v>
      </c>
      <c r="AH109" s="1173"/>
      <c r="AI109" s="714"/>
      <c r="AJ109" s="714"/>
      <c r="AK109" s="714"/>
      <c r="AL109" s="714"/>
      <c r="AM109" s="714"/>
      <c r="AN109" s="714"/>
      <c r="AO109" s="714"/>
      <c r="AP109" s="714"/>
      <c r="AQ109" s="760"/>
      <c r="AR109" s="760"/>
      <c r="AS109" s="760"/>
      <c r="AT109" s="760"/>
      <c r="AU109" s="760"/>
      <c r="AV109" s="760"/>
      <c r="AW109" s="760"/>
    </row>
    <row r="110" spans="1:49" s="119" customFormat="1" ht="12.75" hidden="1" customHeight="1">
      <c r="A110" s="767" t="str">
        <f t="shared" si="8"/>
        <v>8B</v>
      </c>
      <c r="B110" s="768" t="str">
        <f>'Corrected and Updated TSF 1'!ER110</f>
        <v>SOLD</v>
      </c>
      <c r="C110" s="757" t="str">
        <f>'Corrected and Updated TSF 1'!E110</f>
        <v>8th Floor</v>
      </c>
      <c r="D110" s="642" t="str">
        <f>'Corrected and Updated TSF 1'!M110</f>
        <v>End</v>
      </c>
      <c r="E110" s="642" t="str">
        <f>'Corrected and Updated TSF 1'!G110</f>
        <v>8B</v>
      </c>
      <c r="F110" s="758" t="str">
        <f>'Corrected and Updated TSF 1'!I110</f>
        <v>Studio Unit</v>
      </c>
      <c r="G110" s="769">
        <f>'Corrected and Updated TSF 1'!J110</f>
        <v>22</v>
      </c>
      <c r="H110" s="769">
        <f>'Corrected and Updated TSF 1'!CI110</f>
        <v>3315366.9184155068</v>
      </c>
      <c r="I110" s="770"/>
      <c r="J110" s="770">
        <f t="shared" si="9"/>
        <v>3315366.9184155068</v>
      </c>
      <c r="K110" s="769">
        <f>'Corrected and Updated TSF 1'!CJ110</f>
        <v>0</v>
      </c>
      <c r="L110" s="769">
        <f>SUM('Corrected and Updated TSF 1'!CK110:CL110)</f>
        <v>455862.95128213218</v>
      </c>
      <c r="M110" s="769">
        <f t="shared" si="10"/>
        <v>3771229.8696976388</v>
      </c>
      <c r="N110" s="771">
        <f>'Corrected and Updated TSF 1'!CN110</f>
        <v>0.125</v>
      </c>
      <c r="O110" s="769">
        <f>'Corrected and Updated TSF 1'!CO110</f>
        <v>471403.73371220491</v>
      </c>
      <c r="P110" s="769">
        <f>'Corrected and Updated TSF 1'!CP110</f>
        <v>30000</v>
      </c>
      <c r="Q110" s="769">
        <f>'Corrected and Updated TSF 1'!CQ110</f>
        <v>441403.73371220491</v>
      </c>
      <c r="R110" s="425">
        <f>'Corrected and Updated TSF 1'!CR110</f>
        <v>2</v>
      </c>
      <c r="S110" s="769">
        <f>'Corrected and Updated TSF 1'!CS110</f>
        <v>220701.86685610245</v>
      </c>
      <c r="T110" s="769">
        <f>'Corrected and Updated TSF 1'!CU110</f>
        <v>3299826.1359854345</v>
      </c>
      <c r="U110" s="769">
        <f>'Corrected and Updated TSF 1'!CV110</f>
        <v>25583.516909568512</v>
      </c>
      <c r="V110" s="772">
        <f>'Corrected and Updated TSF 1'!CW110</f>
        <v>29659.770199214337</v>
      </c>
      <c r="W110" s="773">
        <f>'Corrected and Updated TSF 1'!CX110</f>
        <v>38313.779433513737</v>
      </c>
      <c r="X110" s="773">
        <f>'Corrected and Updated TSF 1'!CY110</f>
        <v>65340.512467282031</v>
      </c>
      <c r="Y110" s="1130">
        <f>'Corrected and Updated TSF 1'!CZ110</f>
        <v>268055.36557061045</v>
      </c>
      <c r="Z110" s="1130">
        <f>'Corrected and Updated TSF 1'!DA110</f>
        <v>106068.20238363648</v>
      </c>
      <c r="AA110" s="1130">
        <f>'Corrected and Updated TSF 1'!DB110</f>
        <v>76611.560317109208</v>
      </c>
      <c r="AB110" s="1130">
        <f>'Corrected and Updated TSF 1'!DC110</f>
        <v>58304.924415394395</v>
      </c>
      <c r="AC110" s="774">
        <f>K110-'Corrected and Updated TSF 1'!CJ110</f>
        <v>0</v>
      </c>
      <c r="AD110" s="774">
        <f>L110-SUM('Corrected and Updated TSF 1'!CK110:CL110)</f>
        <v>0</v>
      </c>
      <c r="AE110" s="1173">
        <f t="shared" si="11"/>
        <v>3315366.9184155068</v>
      </c>
      <c r="AF110" s="1174">
        <f>SUM(FORM!$V$19:$W$22)+SUM(FORM!$V$25:$W$28)+SUM(FORM!$V$31:$W$34)</f>
        <v>0</v>
      </c>
      <c r="AG110" s="1173">
        <f t="shared" si="12"/>
        <v>3315366.9184155068</v>
      </c>
      <c r="AH110" s="1173"/>
      <c r="AI110" s="714"/>
      <c r="AJ110" s="714"/>
      <c r="AK110" s="714"/>
      <c r="AL110" s="714"/>
      <c r="AM110" s="714"/>
      <c r="AN110" s="714"/>
      <c r="AO110" s="714"/>
      <c r="AP110" s="714"/>
      <c r="AQ110" s="552"/>
      <c r="AR110" s="552"/>
      <c r="AS110" s="552"/>
      <c r="AT110" s="552"/>
    </row>
    <row r="111" spans="1:49" s="119" customFormat="1" ht="12.75" hidden="1" customHeight="1">
      <c r="A111" s="767" t="str">
        <f t="shared" si="8"/>
        <v>8C</v>
      </c>
      <c r="B111" s="768" t="str">
        <f>'Corrected and Updated TSF 1'!ER111</f>
        <v>SOLD</v>
      </c>
      <c r="C111" s="757" t="str">
        <f>'Corrected and Updated TSF 1'!E111</f>
        <v>8th Floor</v>
      </c>
      <c r="D111" s="642" t="str">
        <f>'Corrected and Updated TSF 1'!M111</f>
        <v>End</v>
      </c>
      <c r="E111" s="642" t="str">
        <f>'Corrected and Updated TSF 1'!G111</f>
        <v>8C</v>
      </c>
      <c r="F111" s="758" t="str">
        <f>'Corrected and Updated TSF 1'!I111</f>
        <v>Studio Unit</v>
      </c>
      <c r="G111" s="769">
        <f>'Corrected and Updated TSF 1'!J111</f>
        <v>22</v>
      </c>
      <c r="H111" s="769">
        <f>'Corrected and Updated TSF 1'!CI111</f>
        <v>3315366.9184155068</v>
      </c>
      <c r="I111" s="770"/>
      <c r="J111" s="770">
        <f t="shared" si="9"/>
        <v>3315366.9184155068</v>
      </c>
      <c r="K111" s="769">
        <f>'Corrected and Updated TSF 1'!CJ111</f>
        <v>0</v>
      </c>
      <c r="L111" s="769">
        <f>SUM('Corrected and Updated TSF 1'!CK111:CL111)</f>
        <v>455862.95128213218</v>
      </c>
      <c r="M111" s="769">
        <f t="shared" si="10"/>
        <v>3771229.8696976388</v>
      </c>
      <c r="N111" s="771">
        <f>'Corrected and Updated TSF 1'!CN111</f>
        <v>0.125</v>
      </c>
      <c r="O111" s="769">
        <f>'Corrected and Updated TSF 1'!CO111</f>
        <v>471403.73371220491</v>
      </c>
      <c r="P111" s="769">
        <f>'Corrected and Updated TSF 1'!CP111</f>
        <v>30000</v>
      </c>
      <c r="Q111" s="769">
        <f>'Corrected and Updated TSF 1'!CQ111</f>
        <v>441403.73371220491</v>
      </c>
      <c r="R111" s="425">
        <f>'Corrected and Updated TSF 1'!CR111</f>
        <v>2</v>
      </c>
      <c r="S111" s="769">
        <f>'Corrected and Updated TSF 1'!CS111</f>
        <v>220701.86685610245</v>
      </c>
      <c r="T111" s="769">
        <f>'Corrected and Updated TSF 1'!CU111</f>
        <v>3299826.1359854345</v>
      </c>
      <c r="U111" s="769">
        <f>'Corrected and Updated TSF 1'!CV111</f>
        <v>25583.516909568512</v>
      </c>
      <c r="V111" s="772">
        <f>'Corrected and Updated TSF 1'!CW111</f>
        <v>29659.770199214337</v>
      </c>
      <c r="W111" s="773">
        <f>'Corrected and Updated TSF 1'!CX111</f>
        <v>38313.779433513737</v>
      </c>
      <c r="X111" s="773">
        <f>'Corrected and Updated TSF 1'!CY111</f>
        <v>65340.512467282031</v>
      </c>
      <c r="Y111" s="1130">
        <f>'Corrected and Updated TSF 1'!CZ111</f>
        <v>268055.36557061045</v>
      </c>
      <c r="Z111" s="1130">
        <f>'Corrected and Updated TSF 1'!DA111</f>
        <v>106068.20238363648</v>
      </c>
      <c r="AA111" s="1130">
        <f>'Corrected and Updated TSF 1'!DB111</f>
        <v>76611.560317109208</v>
      </c>
      <c r="AB111" s="1130">
        <f>'Corrected and Updated TSF 1'!DC111</f>
        <v>58304.924415394395</v>
      </c>
      <c r="AC111" s="774">
        <f>K111-'Corrected and Updated TSF 1'!CJ111</f>
        <v>0</v>
      </c>
      <c r="AD111" s="774">
        <f>L111-SUM('Corrected and Updated TSF 1'!CK111:CL111)</f>
        <v>0</v>
      </c>
      <c r="AE111" s="1173">
        <f t="shared" si="11"/>
        <v>3315366.9184155068</v>
      </c>
      <c r="AF111" s="1174">
        <f>SUM(FORM!$V$19:$W$22)+SUM(FORM!$V$25:$W$28)+SUM(FORM!$V$31:$W$34)</f>
        <v>0</v>
      </c>
      <c r="AG111" s="1173">
        <f t="shared" si="12"/>
        <v>3315366.9184155068</v>
      </c>
      <c r="AH111" s="1173"/>
      <c r="AI111" s="714"/>
      <c r="AJ111" s="714"/>
      <c r="AK111" s="714"/>
      <c r="AL111" s="714"/>
      <c r="AM111" s="714"/>
      <c r="AN111" s="714"/>
      <c r="AO111" s="714"/>
      <c r="AP111" s="714"/>
      <c r="AQ111" s="760"/>
      <c r="AR111" s="760"/>
      <c r="AS111" s="760"/>
      <c r="AT111" s="760"/>
      <c r="AU111" s="760"/>
      <c r="AV111" s="760"/>
      <c r="AW111" s="760"/>
    </row>
    <row r="112" spans="1:49" s="119" customFormat="1" ht="12.75" customHeight="1">
      <c r="A112" s="767" t="str">
        <f t="shared" si="8"/>
        <v>8D</v>
      </c>
      <c r="B112" s="768" t="str">
        <f>'Corrected and Updated TSF 1'!ER112</f>
        <v>UNSOLD</v>
      </c>
      <c r="C112" s="757" t="str">
        <f>'Corrected and Updated TSF 1'!E112</f>
        <v>8th Floor</v>
      </c>
      <c r="D112" s="642" t="str">
        <f>'Corrected and Updated TSF 1'!M112</f>
        <v>End</v>
      </c>
      <c r="E112" s="642" t="str">
        <f>'Corrected and Updated TSF 1'!G112</f>
        <v>8D</v>
      </c>
      <c r="F112" s="758" t="str">
        <f>'Corrected and Updated TSF 1'!I112</f>
        <v>Studio Unit</v>
      </c>
      <c r="G112" s="769">
        <f>'Corrected and Updated TSF 1'!J112</f>
        <v>22</v>
      </c>
      <c r="H112" s="769">
        <f>'Corrected and Updated TSF 1'!CI112</f>
        <v>3366567.2554553142</v>
      </c>
      <c r="I112" s="770"/>
      <c r="J112" s="770">
        <f t="shared" si="9"/>
        <v>3366567.2554553142</v>
      </c>
      <c r="K112" s="769">
        <f>'Corrected and Updated TSF 1'!CJ112</f>
        <v>0</v>
      </c>
      <c r="L112" s="769">
        <f>SUM('Corrected and Updated TSF 1'!CK112:CL112)</f>
        <v>462902.99762510567</v>
      </c>
      <c r="M112" s="769">
        <f t="shared" si="10"/>
        <v>3829470.2530804197</v>
      </c>
      <c r="N112" s="771">
        <f>'Corrected and Updated TSF 1'!CN112</f>
        <v>0.125</v>
      </c>
      <c r="O112" s="769">
        <f>'Corrected and Updated TSF 1'!CO112</f>
        <v>478683.78163505247</v>
      </c>
      <c r="P112" s="769">
        <f>'Corrected and Updated TSF 1'!CP112</f>
        <v>30000</v>
      </c>
      <c r="Q112" s="769">
        <f>'Corrected and Updated TSF 1'!CQ112</f>
        <v>448683.78163505247</v>
      </c>
      <c r="R112" s="425">
        <f>'Corrected and Updated TSF 1'!CR112</f>
        <v>1</v>
      </c>
      <c r="S112" s="769">
        <f>'Corrected and Updated TSF 1'!CS112</f>
        <v>448683.78163505247</v>
      </c>
      <c r="T112" s="769">
        <f>'Corrected and Updated TSF 1'!CU112</f>
        <v>3350786.4714453672</v>
      </c>
      <c r="U112" s="769">
        <f>'Corrected and Updated TSF 1'!CV112</f>
        <v>25978.611847977179</v>
      </c>
      <c r="V112" s="772">
        <f>'Corrected and Updated TSF 1'!CW112</f>
        <v>30117.816101249446</v>
      </c>
      <c r="W112" s="773">
        <f>'Corrected and Updated TSF 1'!CX112</f>
        <v>38905.472138586105</v>
      </c>
      <c r="X112" s="773">
        <f>'Corrected and Updated TSF 1'!CY112</f>
        <v>66349.588187406975</v>
      </c>
      <c r="Y112" s="1130">
        <f>'Corrected and Updated TSF 1'!CZ112</f>
        <v>272195.03559817508</v>
      </c>
      <c r="Z112" s="1130">
        <f>'Corrected and Updated TSF 1'!DA112</f>
        <v>107706.24964805333</v>
      </c>
      <c r="AA112" s="1130">
        <f>'Corrected and Updated TSF 1'!DB112</f>
        <v>77794.698656215332</v>
      </c>
      <c r="AB112" s="1130">
        <f>'Corrected and Updated TSF 1'!DC112</f>
        <v>59205.347160330086</v>
      </c>
      <c r="AC112" s="774">
        <f>K112-'Corrected and Updated TSF 1'!CJ112</f>
        <v>0</v>
      </c>
      <c r="AD112" s="774">
        <f>L112-SUM('Corrected and Updated TSF 1'!CK112:CL112)</f>
        <v>0</v>
      </c>
      <c r="AE112" s="1173">
        <f t="shared" si="11"/>
        <v>3366567.2554553142</v>
      </c>
      <c r="AF112" s="1174">
        <f>SUM(FORM!$V$19:$W$22)+SUM(FORM!$V$25:$W$28)+SUM(FORM!$V$31:$W$34)</f>
        <v>0</v>
      </c>
      <c r="AG112" s="1173">
        <f t="shared" si="12"/>
        <v>3366567.2554553142</v>
      </c>
      <c r="AH112" s="1173"/>
      <c r="AI112" s="714"/>
      <c r="AJ112" s="714"/>
      <c r="AK112" s="714"/>
      <c r="AL112" s="714"/>
      <c r="AM112" s="714"/>
      <c r="AN112" s="714"/>
      <c r="AO112" s="714"/>
      <c r="AP112" s="714"/>
      <c r="AQ112" s="760"/>
      <c r="AR112" s="760"/>
      <c r="AS112" s="760"/>
      <c r="AT112" s="760"/>
      <c r="AU112" s="760"/>
      <c r="AV112" s="760"/>
      <c r="AW112" s="760"/>
    </row>
    <row r="113" spans="1:49" s="119" customFormat="1" ht="12.75" hidden="1" customHeight="1">
      <c r="A113" s="767" t="str">
        <f t="shared" si="8"/>
        <v>8E</v>
      </c>
      <c r="B113" s="768" t="str">
        <f>'Corrected and Updated TSF 1'!ER113</f>
        <v>SOLD</v>
      </c>
      <c r="C113" s="757" t="str">
        <f>'Corrected and Updated TSF 1'!E113</f>
        <v>8th Floor</v>
      </c>
      <c r="D113" s="642" t="str">
        <f>'Corrected and Updated TSF 1'!M113</f>
        <v>End</v>
      </c>
      <c r="E113" s="642" t="str">
        <f>'Corrected and Updated TSF 1'!G113</f>
        <v>8E</v>
      </c>
      <c r="F113" s="758" t="str">
        <f>'Corrected and Updated TSF 1'!I113</f>
        <v>Studio Unit</v>
      </c>
      <c r="G113" s="769">
        <f>'Corrected and Updated TSF 1'!J113</f>
        <v>22</v>
      </c>
      <c r="H113" s="769">
        <f>'Corrected and Updated TSF 1'!CI113</f>
        <v>3315366.9184155068</v>
      </c>
      <c r="I113" s="770"/>
      <c r="J113" s="770">
        <f t="shared" si="9"/>
        <v>3315366.9184155068</v>
      </c>
      <c r="K113" s="769">
        <f>'Corrected and Updated TSF 1'!CJ113</f>
        <v>0</v>
      </c>
      <c r="L113" s="769">
        <f>SUM('Corrected and Updated TSF 1'!CK113:CL113)</f>
        <v>455862.95128213218</v>
      </c>
      <c r="M113" s="769">
        <f t="shared" si="10"/>
        <v>3771229.8696976388</v>
      </c>
      <c r="N113" s="771">
        <f>'Corrected and Updated TSF 1'!CN113</f>
        <v>0.125</v>
      </c>
      <c r="O113" s="769">
        <f>'Corrected and Updated TSF 1'!CO113</f>
        <v>471403.73371220491</v>
      </c>
      <c r="P113" s="769">
        <f>'Corrected and Updated TSF 1'!CP113</f>
        <v>30000</v>
      </c>
      <c r="Q113" s="769">
        <f>'Corrected and Updated TSF 1'!CQ113</f>
        <v>441403.73371220491</v>
      </c>
      <c r="R113" s="425">
        <f>'Corrected and Updated TSF 1'!CR113</f>
        <v>2</v>
      </c>
      <c r="S113" s="769">
        <f>'Corrected and Updated TSF 1'!CS113</f>
        <v>220701.86685610245</v>
      </c>
      <c r="T113" s="769">
        <f>'Corrected and Updated TSF 1'!CU113</f>
        <v>3299826.1359854345</v>
      </c>
      <c r="U113" s="769">
        <f>'Corrected and Updated TSF 1'!CV113</f>
        <v>25583.516909568512</v>
      </c>
      <c r="V113" s="772">
        <f>'Corrected and Updated TSF 1'!CW113</f>
        <v>29659.770199214337</v>
      </c>
      <c r="W113" s="773">
        <f>'Corrected and Updated TSF 1'!CX113</f>
        <v>38313.779433513737</v>
      </c>
      <c r="X113" s="773">
        <f>'Corrected and Updated TSF 1'!CY113</f>
        <v>65340.512467282031</v>
      </c>
      <c r="Y113" s="1130">
        <f>'Corrected and Updated TSF 1'!CZ113</f>
        <v>268055.36557061045</v>
      </c>
      <c r="Z113" s="1130">
        <f>'Corrected and Updated TSF 1'!DA113</f>
        <v>106068.20238363648</v>
      </c>
      <c r="AA113" s="1130">
        <f>'Corrected and Updated TSF 1'!DB113</f>
        <v>76611.560317109208</v>
      </c>
      <c r="AB113" s="1130">
        <f>'Corrected and Updated TSF 1'!DC113</f>
        <v>58304.924415394395</v>
      </c>
      <c r="AC113" s="774">
        <f>K113-'Corrected and Updated TSF 1'!CJ113</f>
        <v>0</v>
      </c>
      <c r="AD113" s="774">
        <f>L113-SUM('Corrected and Updated TSF 1'!CK113:CL113)</f>
        <v>0</v>
      </c>
      <c r="AE113" s="1173">
        <f t="shared" si="11"/>
        <v>3315366.9184155068</v>
      </c>
      <c r="AF113" s="1174">
        <f>SUM(FORM!$V$19:$W$22)+SUM(FORM!$V$25:$W$28)+SUM(FORM!$V$31:$W$34)</f>
        <v>0</v>
      </c>
      <c r="AG113" s="1173">
        <f t="shared" si="12"/>
        <v>3315366.9184155068</v>
      </c>
      <c r="AH113" s="1173"/>
      <c r="AI113" s="714"/>
      <c r="AJ113" s="714"/>
      <c r="AK113" s="714"/>
      <c r="AL113" s="714"/>
      <c r="AM113" s="714"/>
      <c r="AN113" s="714"/>
      <c r="AO113" s="714"/>
      <c r="AP113" s="714"/>
      <c r="AQ113" s="552"/>
      <c r="AR113" s="552"/>
      <c r="AS113" s="552"/>
      <c r="AT113" s="552"/>
    </row>
    <row r="114" spans="1:49" s="119" customFormat="1" ht="12.75" hidden="1" customHeight="1">
      <c r="A114" s="767" t="str">
        <f t="shared" si="8"/>
        <v>8F</v>
      </c>
      <c r="B114" s="768" t="str">
        <f>'Corrected and Updated TSF 1'!ER114</f>
        <v>SOLD</v>
      </c>
      <c r="C114" s="757" t="str">
        <f>'Corrected and Updated TSF 1'!E114</f>
        <v>8th Floor</v>
      </c>
      <c r="D114" s="642" t="str">
        <f>'Corrected and Updated TSF 1'!M114</f>
        <v>Inner</v>
      </c>
      <c r="E114" s="642" t="str">
        <f>'Corrected and Updated TSF 1'!G114</f>
        <v>8F</v>
      </c>
      <c r="F114" s="758" t="str">
        <f>'Corrected and Updated TSF 1'!I114</f>
        <v>Studio Unit</v>
      </c>
      <c r="G114" s="769">
        <f>'Corrected and Updated TSF 1'!J114</f>
        <v>22</v>
      </c>
      <c r="H114" s="769">
        <f>'Corrected and Updated TSF 1'!CI114</f>
        <v>3283788.7585551445</v>
      </c>
      <c r="I114" s="770"/>
      <c r="J114" s="770">
        <f t="shared" si="9"/>
        <v>3283788.7585551445</v>
      </c>
      <c r="K114" s="769">
        <f>'Corrected and Updated TSF 1'!CJ114</f>
        <v>0</v>
      </c>
      <c r="L114" s="769">
        <f>SUM('Corrected and Updated TSF 1'!CK114:CL114)</f>
        <v>451520.95430133236</v>
      </c>
      <c r="M114" s="769">
        <f t="shared" si="10"/>
        <v>3735309.7128564771</v>
      </c>
      <c r="N114" s="771">
        <f>'Corrected and Updated TSF 1'!CN114</f>
        <v>0.125</v>
      </c>
      <c r="O114" s="769">
        <f>'Corrected and Updated TSF 1'!CO114</f>
        <v>466913.71410705964</v>
      </c>
      <c r="P114" s="769">
        <f>'Corrected and Updated TSF 1'!CP114</f>
        <v>30000</v>
      </c>
      <c r="Q114" s="769">
        <f>'Corrected and Updated TSF 1'!CQ114</f>
        <v>436913.71410705964</v>
      </c>
      <c r="R114" s="425">
        <f>'Corrected and Updated TSF 1'!CR114</f>
        <v>2</v>
      </c>
      <c r="S114" s="769">
        <f>'Corrected and Updated TSF 1'!CS114</f>
        <v>218456.85705352982</v>
      </c>
      <c r="T114" s="769">
        <f>'Corrected and Updated TSF 1'!CU114</f>
        <v>3268395.9987494173</v>
      </c>
      <c r="U114" s="769">
        <f>'Corrected and Updated TSF 1'!CV114</f>
        <v>25339.839390114121</v>
      </c>
      <c r="V114" s="772">
        <f>'Corrected and Updated TSF 1'!CW114</f>
        <v>29377.267240169302</v>
      </c>
      <c r="W114" s="773">
        <f>'Corrected and Updated TSF 1'!CX114</f>
        <v>37948.848889903078</v>
      </c>
      <c r="X114" s="773">
        <f>'Corrected and Updated TSF 1'!CY114</f>
        <v>64718.158079721215</v>
      </c>
      <c r="Y114" s="1130">
        <f>'Corrected and Updated TSF 1'!CZ114</f>
        <v>265502.19562178856</v>
      </c>
      <c r="Z114" s="1130">
        <f>'Corrected and Updated TSF 1'!DA114</f>
        <v>105057.92547209254</v>
      </c>
      <c r="AA114" s="1130">
        <f>'Corrected and Updated TSF 1'!DB114</f>
        <v>75881.851612649523</v>
      </c>
      <c r="AB114" s="1130">
        <f>'Corrected and Updated TSF 1'!DC114</f>
        <v>57749.582497246884</v>
      </c>
      <c r="AC114" s="774">
        <f>K114-'Corrected and Updated TSF 1'!CJ114</f>
        <v>0</v>
      </c>
      <c r="AD114" s="774">
        <f>L114-SUM('Corrected and Updated TSF 1'!CK114:CL114)</f>
        <v>0</v>
      </c>
      <c r="AE114" s="1173">
        <f t="shared" si="11"/>
        <v>3283788.7585551445</v>
      </c>
      <c r="AF114" s="1174">
        <f>SUM(FORM!$V$19:$W$22)+SUM(FORM!$V$25:$W$28)+SUM(FORM!$V$31:$W$34)</f>
        <v>0</v>
      </c>
      <c r="AG114" s="1173">
        <f t="shared" si="12"/>
        <v>3283788.7585551445</v>
      </c>
      <c r="AH114" s="1173"/>
      <c r="AI114" s="714"/>
      <c r="AJ114" s="714"/>
      <c r="AK114" s="714"/>
      <c r="AL114" s="714"/>
      <c r="AM114" s="714"/>
      <c r="AN114" s="714"/>
      <c r="AO114" s="714"/>
      <c r="AP114" s="714"/>
      <c r="AQ114" s="552"/>
      <c r="AR114" s="552"/>
      <c r="AS114" s="552"/>
      <c r="AT114" s="552"/>
    </row>
    <row r="115" spans="1:49" s="119" customFormat="1" ht="12.75" hidden="1" customHeight="1">
      <c r="A115" s="767" t="str">
        <f t="shared" si="8"/>
        <v>8G</v>
      </c>
      <c r="B115" s="768" t="str">
        <f>'Corrected and Updated TSF 1'!ER115</f>
        <v>SOLD</v>
      </c>
      <c r="C115" s="757" t="str">
        <f>'Corrected and Updated TSF 1'!E115</f>
        <v>8th Floor</v>
      </c>
      <c r="D115" s="642" t="str">
        <f>'Corrected and Updated TSF 1'!M115</f>
        <v>End</v>
      </c>
      <c r="E115" s="642" t="str">
        <f>'Corrected and Updated TSF 1'!G115</f>
        <v>8G</v>
      </c>
      <c r="F115" s="758" t="str">
        <f>'Corrected and Updated TSF 1'!I115</f>
        <v>Studio Unit</v>
      </c>
      <c r="G115" s="769">
        <f>'Corrected and Updated TSF 1'!J115</f>
        <v>22</v>
      </c>
      <c r="H115" s="769">
        <f>'Corrected and Updated TSF 1'!CI115</f>
        <v>3315366.9184155068</v>
      </c>
      <c r="I115" s="770"/>
      <c r="J115" s="770">
        <f t="shared" si="9"/>
        <v>3315366.9184155068</v>
      </c>
      <c r="K115" s="769">
        <f>'Corrected and Updated TSF 1'!CJ115</f>
        <v>0</v>
      </c>
      <c r="L115" s="769">
        <f>SUM('Corrected and Updated TSF 1'!CK115:CL115)</f>
        <v>455862.95128213218</v>
      </c>
      <c r="M115" s="769">
        <f t="shared" si="10"/>
        <v>3771229.8696976388</v>
      </c>
      <c r="N115" s="771">
        <f>'Corrected and Updated TSF 1'!CN115</f>
        <v>0.125</v>
      </c>
      <c r="O115" s="769">
        <f>'Corrected and Updated TSF 1'!CO115</f>
        <v>471403.73371220491</v>
      </c>
      <c r="P115" s="769">
        <f>'Corrected and Updated TSF 1'!CP115</f>
        <v>30000</v>
      </c>
      <c r="Q115" s="769">
        <f>'Corrected and Updated TSF 1'!CQ115</f>
        <v>441403.73371220491</v>
      </c>
      <c r="R115" s="425">
        <f>'Corrected and Updated TSF 1'!CR115</f>
        <v>2</v>
      </c>
      <c r="S115" s="769">
        <f>'Corrected and Updated TSF 1'!CS115</f>
        <v>220701.86685610245</v>
      </c>
      <c r="T115" s="769">
        <f>'Corrected and Updated TSF 1'!CU115</f>
        <v>3299826.1359854345</v>
      </c>
      <c r="U115" s="769">
        <f>'Corrected and Updated TSF 1'!CV115</f>
        <v>25583.516909568512</v>
      </c>
      <c r="V115" s="772">
        <f>'Corrected and Updated TSF 1'!CW115</f>
        <v>29659.770199214337</v>
      </c>
      <c r="W115" s="773">
        <f>'Corrected and Updated TSF 1'!CX115</f>
        <v>38313.779433513737</v>
      </c>
      <c r="X115" s="773">
        <f>'Corrected and Updated TSF 1'!CY115</f>
        <v>65340.512467282031</v>
      </c>
      <c r="Y115" s="1130">
        <f>'Corrected and Updated TSF 1'!CZ115</f>
        <v>268055.36557061045</v>
      </c>
      <c r="Z115" s="1130">
        <f>'Corrected and Updated TSF 1'!DA115</f>
        <v>106068.20238363648</v>
      </c>
      <c r="AA115" s="1130">
        <f>'Corrected and Updated TSF 1'!DB115</f>
        <v>76611.560317109208</v>
      </c>
      <c r="AB115" s="1130">
        <f>'Corrected and Updated TSF 1'!DC115</f>
        <v>58304.924415394395</v>
      </c>
      <c r="AC115" s="774">
        <f>K115-'Corrected and Updated TSF 1'!CJ115</f>
        <v>0</v>
      </c>
      <c r="AD115" s="774">
        <f>L115-SUM('Corrected and Updated TSF 1'!CK115:CL115)</f>
        <v>0</v>
      </c>
      <c r="AE115" s="1173">
        <f t="shared" si="11"/>
        <v>3315366.9184155068</v>
      </c>
      <c r="AF115" s="1174">
        <f>SUM(FORM!$V$19:$W$22)+SUM(FORM!$V$25:$W$28)+SUM(FORM!$V$31:$W$34)</f>
        <v>0</v>
      </c>
      <c r="AG115" s="1173">
        <f t="shared" si="12"/>
        <v>3315366.9184155068</v>
      </c>
      <c r="AH115" s="1173"/>
      <c r="AI115" s="714"/>
      <c r="AJ115" s="714"/>
      <c r="AK115" s="714"/>
      <c r="AL115" s="714"/>
      <c r="AM115" s="714"/>
      <c r="AN115" s="714"/>
      <c r="AO115" s="714"/>
      <c r="AP115" s="714"/>
      <c r="AQ115" s="552"/>
      <c r="AR115" s="552"/>
      <c r="AS115" s="552"/>
      <c r="AT115" s="552"/>
    </row>
    <row r="116" spans="1:49" s="119" customFormat="1" ht="12.75" hidden="1" customHeight="1">
      <c r="A116" s="767" t="str">
        <f t="shared" si="8"/>
        <v>8H</v>
      </c>
      <c r="B116" s="768" t="str">
        <f>'Corrected and Updated TSF 1'!ER116</f>
        <v>SOLD</v>
      </c>
      <c r="C116" s="757" t="str">
        <f>'Corrected and Updated TSF 1'!E116</f>
        <v>8th Floor</v>
      </c>
      <c r="D116" s="642" t="str">
        <f>'Corrected and Updated TSF 1'!M116</f>
        <v>Corner</v>
      </c>
      <c r="E116" s="642" t="str">
        <f>'Corrected and Updated TSF 1'!G116</f>
        <v>8H</v>
      </c>
      <c r="F116" s="758" t="str">
        <f>'Corrected and Updated TSF 1'!I116</f>
        <v>Studio Unit</v>
      </c>
      <c r="G116" s="769">
        <f>'Corrected and Updated TSF 1'!J116</f>
        <v>22</v>
      </c>
      <c r="H116" s="769">
        <f>'Corrected and Updated TSF 1'!CI116</f>
        <v>3236997.2598707345</v>
      </c>
      <c r="I116" s="770"/>
      <c r="J116" s="770">
        <f t="shared" si="9"/>
        <v>3236997.2598707345</v>
      </c>
      <c r="K116" s="769">
        <f>'Corrected and Updated TSF 1'!CJ116</f>
        <v>0</v>
      </c>
      <c r="L116" s="769">
        <f>SUM('Corrected and Updated TSF 1'!CK116:CL116)</f>
        <v>445087.123232226</v>
      </c>
      <c r="M116" s="769">
        <f t="shared" si="10"/>
        <v>3682084.3831029604</v>
      </c>
      <c r="N116" s="771">
        <f>'Corrected and Updated TSF 1'!CN116</f>
        <v>0.125</v>
      </c>
      <c r="O116" s="769">
        <f>'Corrected and Updated TSF 1'!CO116</f>
        <v>460260.54788787005</v>
      </c>
      <c r="P116" s="769">
        <f>'Corrected and Updated TSF 1'!CP116</f>
        <v>30000</v>
      </c>
      <c r="Q116" s="769">
        <f>'Corrected and Updated TSF 1'!CQ116</f>
        <v>430260.54788787005</v>
      </c>
      <c r="R116" s="425">
        <f>'Corrected and Updated TSF 1'!CR116</f>
        <v>2</v>
      </c>
      <c r="S116" s="769">
        <f>'Corrected and Updated TSF 1'!CS116</f>
        <v>215130.27394393503</v>
      </c>
      <c r="T116" s="769">
        <f>'Corrected and Updated TSF 1'!CU116</f>
        <v>3221823.8352150903</v>
      </c>
      <c r="U116" s="769">
        <f>'Corrected and Updated TSF 1'!CV116</f>
        <v>24978.765901937801</v>
      </c>
      <c r="V116" s="772">
        <f>'Corrected and Updated TSF 1'!CW116</f>
        <v>28958.663467975144</v>
      </c>
      <c r="W116" s="773">
        <f>'Corrected and Updated TSF 1'!CX116</f>
        <v>37408.106581713902</v>
      </c>
      <c r="X116" s="773">
        <f>'Corrected and Updated TSF 1'!CY116</f>
        <v>63795.973423124386</v>
      </c>
      <c r="Y116" s="1130">
        <f>'Corrected and Updated TSF 1'!CZ116</f>
        <v>261718.99074760807</v>
      </c>
      <c r="Z116" s="1130">
        <f>'Corrected and Updated TSF 1'!DA116</f>
        <v>103560.92973242833</v>
      </c>
      <c r="AA116" s="1130">
        <f>'Corrected and Updated TSF 1'!DB116</f>
        <v>74800.59279213204</v>
      </c>
      <c r="AB116" s="1130">
        <f>'Corrected and Updated TSF 1'!DC116</f>
        <v>56926.69475624794</v>
      </c>
      <c r="AC116" s="774">
        <f>K116-'Corrected and Updated TSF 1'!CJ116</f>
        <v>0</v>
      </c>
      <c r="AD116" s="774">
        <f>L116-SUM('Corrected and Updated TSF 1'!CK116:CL116)</f>
        <v>0</v>
      </c>
      <c r="AE116" s="1173">
        <f t="shared" si="11"/>
        <v>3236997.2598707345</v>
      </c>
      <c r="AF116" s="1174">
        <f>SUM(FORM!$V$19:$W$22)+SUM(FORM!$V$25:$W$28)+SUM(FORM!$V$31:$W$34)</f>
        <v>0</v>
      </c>
      <c r="AG116" s="1173">
        <f t="shared" si="12"/>
        <v>3236997.2598707345</v>
      </c>
      <c r="AH116" s="1173"/>
      <c r="AI116" s="714"/>
      <c r="AJ116" s="714"/>
      <c r="AK116" s="714"/>
      <c r="AL116" s="714"/>
      <c r="AM116" s="714"/>
      <c r="AN116" s="714"/>
      <c r="AO116" s="714"/>
      <c r="AP116" s="714"/>
      <c r="AQ116" s="552"/>
      <c r="AR116" s="552"/>
      <c r="AS116" s="552"/>
      <c r="AT116" s="552"/>
    </row>
    <row r="117" spans="1:49" s="119" customFormat="1" ht="12.75" hidden="1" customHeight="1">
      <c r="A117" s="767" t="str">
        <f t="shared" si="8"/>
        <v>8I</v>
      </c>
      <c r="B117" s="768" t="str">
        <f>'Corrected and Updated TSF 1'!ER117</f>
        <v>SOLD</v>
      </c>
      <c r="C117" s="757" t="str">
        <f>'Corrected and Updated TSF 1'!E117</f>
        <v>8th Floor</v>
      </c>
      <c r="D117" s="642" t="str">
        <f>'Corrected and Updated TSF 1'!M117</f>
        <v>Inner</v>
      </c>
      <c r="E117" s="642" t="str">
        <f>'Corrected and Updated TSF 1'!G117</f>
        <v>8I</v>
      </c>
      <c r="F117" s="758" t="str">
        <f>'Corrected and Updated TSF 1'!I117</f>
        <v>Studio Unit</v>
      </c>
      <c r="G117" s="769">
        <f>'Corrected and Updated TSF 1'!J117</f>
        <v>22</v>
      </c>
      <c r="H117" s="769">
        <f>'Corrected and Updated TSF 1'!CI117</f>
        <v>3283788.7585551445</v>
      </c>
      <c r="I117" s="770"/>
      <c r="J117" s="770">
        <f t="shared" si="9"/>
        <v>3283788.7585551445</v>
      </c>
      <c r="K117" s="769">
        <f>'Corrected and Updated TSF 1'!CJ117</f>
        <v>0</v>
      </c>
      <c r="L117" s="769">
        <f>SUM('Corrected and Updated TSF 1'!CK117:CL117)</f>
        <v>451520.95430133236</v>
      </c>
      <c r="M117" s="769">
        <f t="shared" si="10"/>
        <v>3735309.7128564771</v>
      </c>
      <c r="N117" s="771">
        <f>'Corrected and Updated TSF 1'!CN117</f>
        <v>0.125</v>
      </c>
      <c r="O117" s="769">
        <f>'Corrected and Updated TSF 1'!CO117</f>
        <v>466913.71410705964</v>
      </c>
      <c r="P117" s="769">
        <f>'Corrected and Updated TSF 1'!CP117</f>
        <v>30000</v>
      </c>
      <c r="Q117" s="769">
        <f>'Corrected and Updated TSF 1'!CQ117</f>
        <v>436913.71410705964</v>
      </c>
      <c r="R117" s="425">
        <f>'Corrected and Updated TSF 1'!CR117</f>
        <v>2</v>
      </c>
      <c r="S117" s="769">
        <f>'Corrected and Updated TSF 1'!CS117</f>
        <v>218456.85705352982</v>
      </c>
      <c r="T117" s="769">
        <f>'Corrected and Updated TSF 1'!CU117</f>
        <v>3268395.9987494173</v>
      </c>
      <c r="U117" s="769">
        <f>'Corrected and Updated TSF 1'!CV117</f>
        <v>25339.839390114121</v>
      </c>
      <c r="V117" s="772">
        <f>'Corrected and Updated TSF 1'!CW117</f>
        <v>29377.267240169302</v>
      </c>
      <c r="W117" s="773">
        <f>'Corrected and Updated TSF 1'!CX117</f>
        <v>37948.848889903078</v>
      </c>
      <c r="X117" s="773">
        <f>'Corrected and Updated TSF 1'!CY117</f>
        <v>64718.158079721215</v>
      </c>
      <c r="Y117" s="1130">
        <f>'Corrected and Updated TSF 1'!CZ117</f>
        <v>265502.19562178856</v>
      </c>
      <c r="Z117" s="1130">
        <f>'Corrected and Updated TSF 1'!DA117</f>
        <v>105057.92547209254</v>
      </c>
      <c r="AA117" s="1130">
        <f>'Corrected and Updated TSF 1'!DB117</f>
        <v>75881.851612649523</v>
      </c>
      <c r="AB117" s="1130">
        <f>'Corrected and Updated TSF 1'!DC117</f>
        <v>57749.582497246884</v>
      </c>
      <c r="AC117" s="774">
        <f>K117-'Corrected and Updated TSF 1'!CJ117</f>
        <v>0</v>
      </c>
      <c r="AD117" s="774">
        <f>L117-SUM('Corrected and Updated TSF 1'!CK117:CL117)</f>
        <v>0</v>
      </c>
      <c r="AE117" s="1173">
        <f t="shared" si="11"/>
        <v>3283788.7585551445</v>
      </c>
      <c r="AF117" s="1174">
        <f>SUM(FORM!$V$19:$W$22)+SUM(FORM!$V$25:$W$28)+SUM(FORM!$V$31:$W$34)</f>
        <v>0</v>
      </c>
      <c r="AG117" s="1173">
        <f t="shared" si="12"/>
        <v>3283788.7585551445</v>
      </c>
      <c r="AH117" s="1173"/>
      <c r="AI117" s="714"/>
      <c r="AJ117" s="714"/>
      <c r="AK117" s="714"/>
      <c r="AL117" s="714"/>
      <c r="AM117" s="714"/>
      <c r="AN117" s="714"/>
      <c r="AO117" s="714"/>
      <c r="AP117" s="714"/>
      <c r="AQ117" s="760"/>
      <c r="AR117" s="760"/>
      <c r="AS117" s="760"/>
      <c r="AT117" s="760"/>
      <c r="AU117" s="760"/>
      <c r="AV117" s="760"/>
      <c r="AW117" s="760"/>
    </row>
    <row r="118" spans="1:49" s="119" customFormat="1" ht="12.75" hidden="1" customHeight="1">
      <c r="A118" s="767" t="str">
        <f t="shared" si="8"/>
        <v>8J</v>
      </c>
      <c r="B118" s="768" t="str">
        <f>'Corrected and Updated TSF 1'!ER118</f>
        <v>SOLD</v>
      </c>
      <c r="C118" s="757" t="str">
        <f>'Corrected and Updated TSF 1'!E118</f>
        <v>8th Floor</v>
      </c>
      <c r="D118" s="642" t="str">
        <f>'Corrected and Updated TSF 1'!M118</f>
        <v>Inner</v>
      </c>
      <c r="E118" s="642" t="str">
        <f>'Corrected and Updated TSF 1'!G118</f>
        <v>8J</v>
      </c>
      <c r="F118" s="758" t="str">
        <f>'Corrected and Updated TSF 1'!I118</f>
        <v>Studio Unit</v>
      </c>
      <c r="G118" s="769">
        <f>'Corrected and Updated TSF 1'!J118</f>
        <v>22</v>
      </c>
      <c r="H118" s="769">
        <f>'Corrected and Updated TSF 1'!CI118</f>
        <v>3288881.5508751445</v>
      </c>
      <c r="I118" s="770"/>
      <c r="J118" s="770">
        <f t="shared" si="9"/>
        <v>3288881.5508751445</v>
      </c>
      <c r="K118" s="769">
        <f>'Corrected and Updated TSF 1'!CJ118</f>
        <v>0</v>
      </c>
      <c r="L118" s="769">
        <f>SUM('Corrected and Updated TSF 1'!CK118:CL118)</f>
        <v>452221.21324533236</v>
      </c>
      <c r="M118" s="769">
        <f t="shared" si="10"/>
        <v>3741102.7641204768</v>
      </c>
      <c r="N118" s="771">
        <f>'Corrected and Updated TSF 1'!CN118</f>
        <v>0.125</v>
      </c>
      <c r="O118" s="769">
        <f>'Corrected and Updated TSF 1'!CO118</f>
        <v>467637.8455150596</v>
      </c>
      <c r="P118" s="769">
        <f>'Corrected and Updated TSF 1'!CP118</f>
        <v>30000</v>
      </c>
      <c r="Q118" s="769">
        <f>'Corrected and Updated TSF 1'!CQ118</f>
        <v>437637.8455150596</v>
      </c>
      <c r="R118" s="425">
        <f>'Corrected and Updated TSF 1'!CR118</f>
        <v>2</v>
      </c>
      <c r="S118" s="769">
        <f>'Corrected and Updated TSF 1'!CS118</f>
        <v>218818.9227575298</v>
      </c>
      <c r="T118" s="769">
        <f>'Corrected and Updated TSF 1'!CU118</f>
        <v>3273464.918605417</v>
      </c>
      <c r="U118" s="769">
        <f>'Corrected and Updated TSF 1'!CV118</f>
        <v>25379.13867180506</v>
      </c>
      <c r="V118" s="772">
        <f>'Corrected and Updated TSF 1'!CW118</f>
        <v>29422.82812486188</v>
      </c>
      <c r="W118" s="773">
        <f>'Corrected and Updated TSF 1'!CX118</f>
        <v>38007.703347479197</v>
      </c>
      <c r="X118" s="773">
        <f>'Corrected and Updated TSF 1'!CY118</f>
        <v>64818.528768174998</v>
      </c>
      <c r="Y118" s="1130">
        <f>'Corrected and Updated TSF 1'!CZ118</f>
        <v>265913.96009332559</v>
      </c>
      <c r="Z118" s="1130">
        <f>'Corrected and Updated TSF 1'!DA118</f>
        <v>105220.85866765985</v>
      </c>
      <c r="AA118" s="1130">
        <f>'Corrected and Updated TSF 1'!DB118</f>
        <v>75999.535952153237</v>
      </c>
      <c r="AB118" s="1130">
        <f>'Corrected and Updated TSF 1'!DC118</f>
        <v>57839.145697516375</v>
      </c>
      <c r="AC118" s="774">
        <f>K118-'Corrected and Updated TSF 1'!CJ118</f>
        <v>0</v>
      </c>
      <c r="AD118" s="774">
        <f>L118-SUM('Corrected and Updated TSF 1'!CK118:CL118)</f>
        <v>0</v>
      </c>
      <c r="AE118" s="1173">
        <f t="shared" si="11"/>
        <v>3288881.5508751445</v>
      </c>
      <c r="AF118" s="1174">
        <f>SUM(FORM!$V$19:$W$22)+SUM(FORM!$V$25:$W$28)+SUM(FORM!$V$31:$W$34)</f>
        <v>0</v>
      </c>
      <c r="AG118" s="1173">
        <f t="shared" si="12"/>
        <v>3288881.5508751445</v>
      </c>
      <c r="AH118" s="1173"/>
      <c r="AI118" s="714"/>
      <c r="AJ118" s="714"/>
      <c r="AK118" s="714"/>
      <c r="AL118" s="714"/>
      <c r="AM118" s="714"/>
      <c r="AN118" s="714"/>
      <c r="AO118" s="714"/>
      <c r="AP118" s="714"/>
      <c r="AQ118" s="760"/>
      <c r="AR118" s="760"/>
      <c r="AS118" s="760"/>
      <c r="AT118" s="760"/>
      <c r="AU118" s="760"/>
      <c r="AV118" s="760"/>
      <c r="AW118" s="760"/>
    </row>
    <row r="119" spans="1:49" s="119" customFormat="1" ht="12.75" hidden="1" customHeight="1">
      <c r="A119" s="767" t="str">
        <f t="shared" si="8"/>
        <v>8K</v>
      </c>
      <c r="B119" s="768" t="str">
        <f>'Corrected and Updated TSF 1'!ER119</f>
        <v>SOLD</v>
      </c>
      <c r="C119" s="757" t="str">
        <f>'Corrected and Updated TSF 1'!E119</f>
        <v>8th Floor</v>
      </c>
      <c r="D119" s="642" t="str">
        <f>'Corrected and Updated TSF 1'!M119</f>
        <v>Inner</v>
      </c>
      <c r="E119" s="642" t="str">
        <f>'Corrected and Updated TSF 1'!G119</f>
        <v>8K</v>
      </c>
      <c r="F119" s="758" t="str">
        <f>'Corrected and Updated TSF 1'!I119</f>
        <v>Studio Unit</v>
      </c>
      <c r="G119" s="769">
        <f>'Corrected and Updated TSF 1'!J119</f>
        <v>22</v>
      </c>
      <c r="H119" s="769">
        <f>'Corrected and Updated TSF 1'!CI119</f>
        <v>3283788.7585551445</v>
      </c>
      <c r="I119" s="770"/>
      <c r="J119" s="770">
        <f t="shared" si="9"/>
        <v>3283788.7585551445</v>
      </c>
      <c r="K119" s="769">
        <f>'Corrected and Updated TSF 1'!CJ119</f>
        <v>0</v>
      </c>
      <c r="L119" s="769">
        <f>SUM('Corrected and Updated TSF 1'!CK119:CL119)</f>
        <v>451520.95430133236</v>
      </c>
      <c r="M119" s="769">
        <f t="shared" si="10"/>
        <v>3735309.7128564771</v>
      </c>
      <c r="N119" s="771">
        <f>'Corrected and Updated TSF 1'!CN119</f>
        <v>0.125</v>
      </c>
      <c r="O119" s="769">
        <f>'Corrected and Updated TSF 1'!CO119</f>
        <v>466913.71410705964</v>
      </c>
      <c r="P119" s="769">
        <f>'Corrected and Updated TSF 1'!CP119</f>
        <v>30000</v>
      </c>
      <c r="Q119" s="769">
        <f>'Corrected and Updated TSF 1'!CQ119</f>
        <v>436913.71410705964</v>
      </c>
      <c r="R119" s="425">
        <f>'Corrected and Updated TSF 1'!CR119</f>
        <v>2</v>
      </c>
      <c r="S119" s="769">
        <f>'Corrected and Updated TSF 1'!CS119</f>
        <v>218456.85705352982</v>
      </c>
      <c r="T119" s="769">
        <f>'Corrected and Updated TSF 1'!CU119</f>
        <v>3268395.9987494173</v>
      </c>
      <c r="U119" s="769">
        <f>'Corrected and Updated TSF 1'!CV119</f>
        <v>25339.839390114121</v>
      </c>
      <c r="V119" s="772">
        <f>'Corrected and Updated TSF 1'!CW119</f>
        <v>29377.267240169302</v>
      </c>
      <c r="W119" s="773">
        <f>'Corrected and Updated TSF 1'!CX119</f>
        <v>37948.848889903078</v>
      </c>
      <c r="X119" s="773">
        <f>'Corrected and Updated TSF 1'!CY119</f>
        <v>64718.158079721215</v>
      </c>
      <c r="Y119" s="1130">
        <f>'Corrected and Updated TSF 1'!CZ119</f>
        <v>265502.19562178856</v>
      </c>
      <c r="Z119" s="1130">
        <f>'Corrected and Updated TSF 1'!DA119</f>
        <v>105057.92547209254</v>
      </c>
      <c r="AA119" s="1130">
        <f>'Corrected and Updated TSF 1'!DB119</f>
        <v>75881.851612649523</v>
      </c>
      <c r="AB119" s="1130">
        <f>'Corrected and Updated TSF 1'!DC119</f>
        <v>57749.582497246884</v>
      </c>
      <c r="AC119" s="774">
        <f>K119-'Corrected and Updated TSF 1'!CJ119</f>
        <v>0</v>
      </c>
      <c r="AD119" s="774">
        <f>L119-SUM('Corrected and Updated TSF 1'!CK119:CL119)</f>
        <v>0</v>
      </c>
      <c r="AE119" s="1173">
        <f t="shared" si="11"/>
        <v>3283788.7585551445</v>
      </c>
      <c r="AF119" s="1174">
        <f>SUM(FORM!$V$19:$W$22)+SUM(FORM!$V$25:$W$28)+SUM(FORM!$V$31:$W$34)</f>
        <v>0</v>
      </c>
      <c r="AG119" s="1173">
        <f t="shared" si="12"/>
        <v>3283788.7585551445</v>
      </c>
      <c r="AH119" s="1173"/>
      <c r="AI119" s="714"/>
      <c r="AJ119" s="714"/>
      <c r="AK119" s="714"/>
      <c r="AL119" s="714"/>
      <c r="AM119" s="714"/>
      <c r="AN119" s="714"/>
      <c r="AO119" s="714"/>
      <c r="AP119" s="714"/>
      <c r="AQ119" s="760"/>
      <c r="AR119" s="760"/>
      <c r="AS119" s="760"/>
      <c r="AT119" s="760"/>
      <c r="AU119" s="760"/>
      <c r="AV119" s="760"/>
      <c r="AW119" s="760"/>
    </row>
    <row r="120" spans="1:49" s="119" customFormat="1" hidden="1">
      <c r="A120" s="767" t="str">
        <f t="shared" si="8"/>
        <v>8L</v>
      </c>
      <c r="B120" s="768" t="str">
        <f>'Corrected and Updated TSF 1'!ER120</f>
        <v>SOLD</v>
      </c>
      <c r="C120" s="757" t="str">
        <f>'Corrected and Updated TSF 1'!E120</f>
        <v>8th Floor</v>
      </c>
      <c r="D120" s="642" t="str">
        <f>'Corrected and Updated TSF 1'!M120</f>
        <v>Inner</v>
      </c>
      <c r="E120" s="642" t="str">
        <f>'Corrected and Updated TSF 1'!G120</f>
        <v>8L</v>
      </c>
      <c r="F120" s="758" t="str">
        <f>'Corrected and Updated TSF 1'!I120</f>
        <v>Studio Unit</v>
      </c>
      <c r="G120" s="769">
        <f>'Corrected and Updated TSF 1'!J120</f>
        <v>22</v>
      </c>
      <c r="H120" s="769">
        <f>'Corrected and Updated TSF 1'!CI120</f>
        <v>3283788.7585551445</v>
      </c>
      <c r="I120" s="770"/>
      <c r="J120" s="770">
        <f t="shared" si="9"/>
        <v>3283788.7585551445</v>
      </c>
      <c r="K120" s="769">
        <f>'Corrected and Updated TSF 1'!CJ120</f>
        <v>0</v>
      </c>
      <c r="L120" s="769">
        <f>SUM('Corrected and Updated TSF 1'!CK120:CL120)</f>
        <v>451520.95430133236</v>
      </c>
      <c r="M120" s="769">
        <f t="shared" si="10"/>
        <v>3735309.7128564771</v>
      </c>
      <c r="N120" s="771">
        <f>'Corrected and Updated TSF 1'!CN120</f>
        <v>0.125</v>
      </c>
      <c r="O120" s="769">
        <f>'Corrected and Updated TSF 1'!CO120</f>
        <v>466913.71410705964</v>
      </c>
      <c r="P120" s="769">
        <f>'Corrected and Updated TSF 1'!CP120</f>
        <v>30000</v>
      </c>
      <c r="Q120" s="769">
        <f>'Corrected and Updated TSF 1'!CQ120</f>
        <v>436913.71410705964</v>
      </c>
      <c r="R120" s="425">
        <f>'Corrected and Updated TSF 1'!CR120</f>
        <v>2</v>
      </c>
      <c r="S120" s="769">
        <f>'Corrected and Updated TSF 1'!CS120</f>
        <v>218456.85705352982</v>
      </c>
      <c r="T120" s="769">
        <f>'Corrected and Updated TSF 1'!CU120</f>
        <v>3268395.9987494173</v>
      </c>
      <c r="U120" s="769">
        <f>'Corrected and Updated TSF 1'!CV120</f>
        <v>25339.839390114121</v>
      </c>
      <c r="V120" s="772">
        <f>'Corrected and Updated TSF 1'!CW120</f>
        <v>29377.267240169302</v>
      </c>
      <c r="W120" s="773">
        <f>'Corrected and Updated TSF 1'!CX120</f>
        <v>37948.848889903078</v>
      </c>
      <c r="X120" s="773">
        <f>'Corrected and Updated TSF 1'!CY120</f>
        <v>64718.158079721215</v>
      </c>
      <c r="Y120" s="1130">
        <f>'Corrected and Updated TSF 1'!CZ120</f>
        <v>265502.19562178856</v>
      </c>
      <c r="Z120" s="1130">
        <f>'Corrected and Updated TSF 1'!DA120</f>
        <v>105057.92547209254</v>
      </c>
      <c r="AA120" s="1130">
        <f>'Corrected and Updated TSF 1'!DB120</f>
        <v>75881.851612649523</v>
      </c>
      <c r="AB120" s="1130">
        <f>'Corrected and Updated TSF 1'!DC120</f>
        <v>57749.582497246884</v>
      </c>
      <c r="AC120" s="774">
        <f>K120-'Corrected and Updated TSF 1'!CJ120</f>
        <v>0</v>
      </c>
      <c r="AD120" s="774">
        <f>L120-SUM('Corrected and Updated TSF 1'!CK120:CL120)</f>
        <v>0</v>
      </c>
      <c r="AE120" s="1173">
        <f t="shared" si="11"/>
        <v>3283788.7585551445</v>
      </c>
      <c r="AF120" s="1174">
        <f>SUM(FORM!$V$19:$W$22)+SUM(FORM!$V$25:$W$28)+SUM(FORM!$V$31:$W$34)</f>
        <v>0</v>
      </c>
      <c r="AG120" s="1173">
        <f t="shared" si="12"/>
        <v>3283788.7585551445</v>
      </c>
      <c r="AH120" s="1173"/>
      <c r="AI120" s="714"/>
      <c r="AJ120" s="714"/>
      <c r="AK120" s="714"/>
      <c r="AL120" s="714"/>
      <c r="AM120" s="714"/>
      <c r="AN120" s="714"/>
      <c r="AO120" s="714"/>
      <c r="AP120" s="714"/>
      <c r="AQ120" s="760"/>
      <c r="AR120" s="760"/>
      <c r="AS120" s="760"/>
      <c r="AT120" s="760"/>
      <c r="AU120" s="760"/>
      <c r="AV120" s="760"/>
      <c r="AW120" s="760"/>
    </row>
    <row r="121" spans="1:49" s="119" customFormat="1" ht="12.75" hidden="1" customHeight="1">
      <c r="A121" s="767" t="str">
        <f t="shared" si="8"/>
        <v>8M</v>
      </c>
      <c r="B121" s="768" t="str">
        <f>'Corrected and Updated TSF 1'!ER121</f>
        <v>SOLD</v>
      </c>
      <c r="C121" s="757" t="str">
        <f>'Corrected and Updated TSF 1'!E121</f>
        <v>8th Floor</v>
      </c>
      <c r="D121" s="642" t="str">
        <f>'Corrected and Updated TSF 1'!M121</f>
        <v>Inner</v>
      </c>
      <c r="E121" s="642" t="str">
        <f>'Corrected and Updated TSF 1'!G121</f>
        <v>8M</v>
      </c>
      <c r="F121" s="758" t="str">
        <f>'Corrected and Updated TSF 1'!I121</f>
        <v>Studio Unit</v>
      </c>
      <c r="G121" s="769">
        <f>'Corrected and Updated TSF 1'!J121</f>
        <v>22</v>
      </c>
      <c r="H121" s="769">
        <f>'Corrected and Updated TSF 1'!CI121</f>
        <v>3283788.7585551445</v>
      </c>
      <c r="I121" s="770"/>
      <c r="J121" s="770">
        <f t="shared" si="9"/>
        <v>3283788.7585551445</v>
      </c>
      <c r="K121" s="769">
        <f>'Corrected and Updated TSF 1'!CJ121</f>
        <v>0</v>
      </c>
      <c r="L121" s="769">
        <f>SUM('Corrected and Updated TSF 1'!CK121:CL121)</f>
        <v>451520.95430133236</v>
      </c>
      <c r="M121" s="769">
        <f t="shared" si="10"/>
        <v>3735309.7128564771</v>
      </c>
      <c r="N121" s="771">
        <f>'Corrected and Updated TSF 1'!CN121</f>
        <v>0.125</v>
      </c>
      <c r="O121" s="769">
        <f>'Corrected and Updated TSF 1'!CO121</f>
        <v>466913.71410705964</v>
      </c>
      <c r="P121" s="769">
        <f>'Corrected and Updated TSF 1'!CP121</f>
        <v>30000</v>
      </c>
      <c r="Q121" s="769">
        <f>'Corrected and Updated TSF 1'!CQ121</f>
        <v>436913.71410705964</v>
      </c>
      <c r="R121" s="425">
        <f>'Corrected and Updated TSF 1'!CR121</f>
        <v>2</v>
      </c>
      <c r="S121" s="769">
        <f>'Corrected and Updated TSF 1'!CS121</f>
        <v>218456.85705352982</v>
      </c>
      <c r="T121" s="769">
        <f>'Corrected and Updated TSF 1'!CU121</f>
        <v>3268395.9987494173</v>
      </c>
      <c r="U121" s="769">
        <f>'Corrected and Updated TSF 1'!CV121</f>
        <v>25339.839390114121</v>
      </c>
      <c r="V121" s="772">
        <f>'Corrected and Updated TSF 1'!CW121</f>
        <v>29377.267240169302</v>
      </c>
      <c r="W121" s="773">
        <f>'Corrected and Updated TSF 1'!CX121</f>
        <v>37948.848889903078</v>
      </c>
      <c r="X121" s="773">
        <f>'Corrected and Updated TSF 1'!CY121</f>
        <v>64718.158079721215</v>
      </c>
      <c r="Y121" s="1130">
        <f>'Corrected and Updated TSF 1'!CZ121</f>
        <v>265502.19562178856</v>
      </c>
      <c r="Z121" s="1130">
        <f>'Corrected and Updated TSF 1'!DA121</f>
        <v>105057.92547209254</v>
      </c>
      <c r="AA121" s="1130">
        <f>'Corrected and Updated TSF 1'!DB121</f>
        <v>75881.851612649523</v>
      </c>
      <c r="AB121" s="1130">
        <f>'Corrected and Updated TSF 1'!DC121</f>
        <v>57749.582497246884</v>
      </c>
      <c r="AC121" s="774">
        <f>K121-'Corrected and Updated TSF 1'!CJ121</f>
        <v>0</v>
      </c>
      <c r="AD121" s="774">
        <f>L121-SUM('Corrected and Updated TSF 1'!CK121:CL121)</f>
        <v>0</v>
      </c>
      <c r="AE121" s="1173">
        <f t="shared" si="11"/>
        <v>3283788.7585551445</v>
      </c>
      <c r="AF121" s="1174">
        <f>SUM(FORM!$V$19:$W$22)+SUM(FORM!$V$25:$W$28)+SUM(FORM!$V$31:$W$34)</f>
        <v>0</v>
      </c>
      <c r="AG121" s="1173">
        <f t="shared" si="12"/>
        <v>3283788.7585551445</v>
      </c>
      <c r="AH121" s="1173"/>
      <c r="AI121" s="714"/>
      <c r="AJ121" s="714"/>
      <c r="AK121" s="714"/>
      <c r="AL121" s="714"/>
      <c r="AM121" s="714"/>
      <c r="AN121" s="714"/>
      <c r="AO121" s="714"/>
      <c r="AP121" s="714"/>
      <c r="AQ121" s="552"/>
      <c r="AR121" s="552"/>
      <c r="AS121" s="552"/>
      <c r="AT121" s="552"/>
    </row>
    <row r="122" spans="1:49" s="119" customFormat="1" ht="12.75" hidden="1" customHeight="1">
      <c r="A122" s="767" t="str">
        <f t="shared" si="8"/>
        <v>8N</v>
      </c>
      <c r="B122" s="768" t="str">
        <f>'Corrected and Updated TSF 1'!ER122</f>
        <v>SOLD</v>
      </c>
      <c r="C122" s="757" t="str">
        <f>'Corrected and Updated TSF 1'!E122</f>
        <v>8th Floor</v>
      </c>
      <c r="D122" s="642" t="str">
        <f>'Corrected and Updated TSF 1'!M122</f>
        <v>Inner</v>
      </c>
      <c r="E122" s="642" t="str">
        <f>'Corrected and Updated TSF 1'!G122</f>
        <v>8N</v>
      </c>
      <c r="F122" s="758" t="str">
        <f>'Corrected and Updated TSF 1'!I122</f>
        <v>Studio Unit</v>
      </c>
      <c r="G122" s="769">
        <f>'Corrected and Updated TSF 1'!J122</f>
        <v>22</v>
      </c>
      <c r="H122" s="769">
        <f>'Corrected and Updated TSF 1'!CI122</f>
        <v>3283788.7585551445</v>
      </c>
      <c r="I122" s="770"/>
      <c r="J122" s="770">
        <f t="shared" si="9"/>
        <v>3283788.7585551445</v>
      </c>
      <c r="K122" s="769">
        <f>'Corrected and Updated TSF 1'!CJ122</f>
        <v>0</v>
      </c>
      <c r="L122" s="769">
        <f>SUM('Corrected and Updated TSF 1'!CK122:CL122)</f>
        <v>451520.95430133236</v>
      </c>
      <c r="M122" s="769">
        <f t="shared" si="10"/>
        <v>3735309.7128564771</v>
      </c>
      <c r="N122" s="771">
        <f>'Corrected and Updated TSF 1'!CN122</f>
        <v>0.125</v>
      </c>
      <c r="O122" s="769">
        <f>'Corrected and Updated TSF 1'!CO122</f>
        <v>466913.71410705964</v>
      </c>
      <c r="P122" s="769">
        <f>'Corrected and Updated TSF 1'!CP122</f>
        <v>30000</v>
      </c>
      <c r="Q122" s="769">
        <f>'Corrected and Updated TSF 1'!CQ122</f>
        <v>436913.71410705964</v>
      </c>
      <c r="R122" s="425">
        <f>'Corrected and Updated TSF 1'!CR122</f>
        <v>2</v>
      </c>
      <c r="S122" s="769">
        <f>'Corrected and Updated TSF 1'!CS122</f>
        <v>218456.85705352982</v>
      </c>
      <c r="T122" s="769">
        <f>'Corrected and Updated TSF 1'!CU122</f>
        <v>3268395.9987494173</v>
      </c>
      <c r="U122" s="769">
        <f>'Corrected and Updated TSF 1'!CV122</f>
        <v>25339.839390114121</v>
      </c>
      <c r="V122" s="772">
        <f>'Corrected and Updated TSF 1'!CW122</f>
        <v>29377.267240169302</v>
      </c>
      <c r="W122" s="773">
        <f>'Corrected and Updated TSF 1'!CX122</f>
        <v>37948.848889903078</v>
      </c>
      <c r="X122" s="773">
        <f>'Corrected and Updated TSF 1'!CY122</f>
        <v>64718.158079721215</v>
      </c>
      <c r="Y122" s="1130">
        <f>'Corrected and Updated TSF 1'!CZ122</f>
        <v>265502.19562178856</v>
      </c>
      <c r="Z122" s="1130">
        <f>'Corrected and Updated TSF 1'!DA122</f>
        <v>105057.92547209254</v>
      </c>
      <c r="AA122" s="1130">
        <f>'Corrected and Updated TSF 1'!DB122</f>
        <v>75881.851612649523</v>
      </c>
      <c r="AB122" s="1130">
        <f>'Corrected and Updated TSF 1'!DC122</f>
        <v>57749.582497246884</v>
      </c>
      <c r="AC122" s="774">
        <f>K122-'Corrected and Updated TSF 1'!CJ122</f>
        <v>0</v>
      </c>
      <c r="AD122" s="774">
        <f>L122-SUM('Corrected and Updated TSF 1'!CK122:CL122)</f>
        <v>0</v>
      </c>
      <c r="AE122" s="1173">
        <f t="shared" si="11"/>
        <v>3283788.7585551445</v>
      </c>
      <c r="AF122" s="1174">
        <f>SUM(FORM!$V$19:$W$22)+SUM(FORM!$V$25:$W$28)+SUM(FORM!$V$31:$W$34)</f>
        <v>0</v>
      </c>
      <c r="AG122" s="1173">
        <f t="shared" si="12"/>
        <v>3283788.7585551445</v>
      </c>
      <c r="AH122" s="1173"/>
      <c r="AI122" s="714"/>
      <c r="AJ122" s="714"/>
      <c r="AK122" s="714"/>
      <c r="AL122" s="714"/>
      <c r="AM122" s="714"/>
      <c r="AN122" s="714"/>
      <c r="AO122" s="714"/>
      <c r="AP122" s="714"/>
      <c r="AQ122" s="552"/>
      <c r="AR122" s="552"/>
      <c r="AS122" s="552"/>
      <c r="AT122" s="552"/>
    </row>
    <row r="123" spans="1:49" s="119" customFormat="1" ht="12.75" hidden="1" customHeight="1">
      <c r="A123" s="767" t="str">
        <f t="shared" si="8"/>
        <v>8O</v>
      </c>
      <c r="B123" s="768" t="str">
        <f>'Corrected and Updated TSF 1'!ER123</f>
        <v>SOLD</v>
      </c>
      <c r="C123" s="757" t="str">
        <f>'Corrected and Updated TSF 1'!E123</f>
        <v>8th Floor</v>
      </c>
      <c r="D123" s="642" t="str">
        <f>'Corrected and Updated TSF 1'!M123</f>
        <v>Inner</v>
      </c>
      <c r="E123" s="642" t="str">
        <f>'Corrected and Updated TSF 1'!G123</f>
        <v>8O</v>
      </c>
      <c r="F123" s="758" t="str">
        <f>'Corrected and Updated TSF 1'!I123</f>
        <v>Studio Unit</v>
      </c>
      <c r="G123" s="769">
        <f>'Corrected and Updated TSF 1'!J123</f>
        <v>22</v>
      </c>
      <c r="H123" s="769">
        <f>'Corrected and Updated TSF 1'!CI123</f>
        <v>3283788.7585551445</v>
      </c>
      <c r="I123" s="770"/>
      <c r="J123" s="770">
        <f t="shared" si="9"/>
        <v>3283788.7585551445</v>
      </c>
      <c r="K123" s="769">
        <f>'Corrected and Updated TSF 1'!CJ123</f>
        <v>0</v>
      </c>
      <c r="L123" s="769">
        <f>SUM('Corrected and Updated TSF 1'!CK123:CL123)</f>
        <v>451520.95430133236</v>
      </c>
      <c r="M123" s="769">
        <f t="shared" si="10"/>
        <v>3735309.7128564771</v>
      </c>
      <c r="N123" s="771">
        <f>'Corrected and Updated TSF 1'!CN123</f>
        <v>0.125</v>
      </c>
      <c r="O123" s="769">
        <f>'Corrected and Updated TSF 1'!CO123</f>
        <v>466913.71410705964</v>
      </c>
      <c r="P123" s="769">
        <f>'Corrected and Updated TSF 1'!CP123</f>
        <v>30000</v>
      </c>
      <c r="Q123" s="769">
        <f>'Corrected and Updated TSF 1'!CQ123</f>
        <v>436913.71410705964</v>
      </c>
      <c r="R123" s="425">
        <f>'Corrected and Updated TSF 1'!CR123</f>
        <v>2</v>
      </c>
      <c r="S123" s="769">
        <f>'Corrected and Updated TSF 1'!CS123</f>
        <v>218456.85705352982</v>
      </c>
      <c r="T123" s="769">
        <f>'Corrected and Updated TSF 1'!CU123</f>
        <v>3268395.9987494173</v>
      </c>
      <c r="U123" s="769">
        <f>'Corrected and Updated TSF 1'!CV123</f>
        <v>25339.839390114121</v>
      </c>
      <c r="V123" s="772">
        <f>'Corrected and Updated TSF 1'!CW123</f>
        <v>29377.267240169302</v>
      </c>
      <c r="W123" s="773">
        <f>'Corrected and Updated TSF 1'!CX123</f>
        <v>37948.848889903078</v>
      </c>
      <c r="X123" s="773">
        <f>'Corrected and Updated TSF 1'!CY123</f>
        <v>64718.158079721215</v>
      </c>
      <c r="Y123" s="1130">
        <f>'Corrected and Updated TSF 1'!CZ123</f>
        <v>265502.19562178856</v>
      </c>
      <c r="Z123" s="1130">
        <f>'Corrected and Updated TSF 1'!DA123</f>
        <v>105057.92547209254</v>
      </c>
      <c r="AA123" s="1130">
        <f>'Corrected and Updated TSF 1'!DB123</f>
        <v>75881.851612649523</v>
      </c>
      <c r="AB123" s="1130">
        <f>'Corrected and Updated TSF 1'!DC123</f>
        <v>57749.582497246884</v>
      </c>
      <c r="AC123" s="774">
        <f>K123-'Corrected and Updated TSF 1'!CJ123</f>
        <v>0</v>
      </c>
      <c r="AD123" s="774">
        <f>L123-SUM('Corrected and Updated TSF 1'!CK123:CL123)</f>
        <v>0</v>
      </c>
      <c r="AE123" s="1173">
        <f t="shared" si="11"/>
        <v>3283788.7585551445</v>
      </c>
      <c r="AF123" s="1174">
        <f>SUM(FORM!$V$19:$W$22)+SUM(FORM!$V$25:$W$28)+SUM(FORM!$V$31:$W$34)</f>
        <v>0</v>
      </c>
      <c r="AG123" s="1173">
        <f t="shared" si="12"/>
        <v>3283788.7585551445</v>
      </c>
      <c r="AH123" s="1173"/>
      <c r="AI123" s="714"/>
      <c r="AJ123" s="714"/>
      <c r="AK123" s="714"/>
      <c r="AL123" s="714"/>
      <c r="AM123" s="714"/>
      <c r="AN123" s="714"/>
      <c r="AO123" s="714"/>
      <c r="AP123" s="714"/>
      <c r="AQ123" s="760"/>
      <c r="AR123" s="760"/>
      <c r="AS123" s="760"/>
      <c r="AT123" s="760"/>
      <c r="AU123" s="760"/>
      <c r="AV123" s="760"/>
      <c r="AW123" s="760"/>
    </row>
    <row r="124" spans="1:49" s="119" customFormat="1" ht="12.75" hidden="1" customHeight="1">
      <c r="A124" s="767" t="str">
        <f t="shared" si="8"/>
        <v>8P</v>
      </c>
      <c r="B124" s="768" t="str">
        <f>'Corrected and Updated TSF 1'!ER124</f>
        <v>SOLD</v>
      </c>
      <c r="C124" s="757" t="str">
        <f>'Corrected and Updated TSF 1'!E124</f>
        <v>8th Floor</v>
      </c>
      <c r="D124" s="642" t="str">
        <f>'Corrected and Updated TSF 1'!M124</f>
        <v>Inner</v>
      </c>
      <c r="E124" s="642" t="str">
        <f>'Corrected and Updated TSF 1'!G124</f>
        <v>8P</v>
      </c>
      <c r="F124" s="758" t="str">
        <f>'Corrected and Updated TSF 1'!I124</f>
        <v>Studio Unit</v>
      </c>
      <c r="G124" s="769">
        <f>'Corrected and Updated TSF 1'!J124</f>
        <v>22</v>
      </c>
      <c r="H124" s="769">
        <f>'Corrected and Updated TSF 1'!CI124</f>
        <v>3283788.7585551445</v>
      </c>
      <c r="I124" s="770"/>
      <c r="J124" s="770">
        <f t="shared" si="9"/>
        <v>3283788.7585551445</v>
      </c>
      <c r="K124" s="769">
        <f>'Corrected and Updated TSF 1'!CJ124</f>
        <v>0</v>
      </c>
      <c r="L124" s="769">
        <f>SUM('Corrected and Updated TSF 1'!CK124:CL124)</f>
        <v>451520.95430133236</v>
      </c>
      <c r="M124" s="769">
        <f t="shared" si="10"/>
        <v>3735309.7128564771</v>
      </c>
      <c r="N124" s="771">
        <f>'Corrected and Updated TSF 1'!CN124</f>
        <v>0.125</v>
      </c>
      <c r="O124" s="769">
        <f>'Corrected and Updated TSF 1'!CO124</f>
        <v>466913.71410705964</v>
      </c>
      <c r="P124" s="769">
        <f>'Corrected and Updated TSF 1'!CP124</f>
        <v>30000</v>
      </c>
      <c r="Q124" s="769">
        <f>'Corrected and Updated TSF 1'!CQ124</f>
        <v>436913.71410705964</v>
      </c>
      <c r="R124" s="425">
        <f>'Corrected and Updated TSF 1'!CR124</f>
        <v>2</v>
      </c>
      <c r="S124" s="769">
        <f>'Corrected and Updated TSF 1'!CS124</f>
        <v>218456.85705352982</v>
      </c>
      <c r="T124" s="769">
        <f>'Corrected and Updated TSF 1'!CU124</f>
        <v>3268395.9987494173</v>
      </c>
      <c r="U124" s="769">
        <f>'Corrected and Updated TSF 1'!CV124</f>
        <v>25339.839390114121</v>
      </c>
      <c r="V124" s="772">
        <f>'Corrected and Updated TSF 1'!CW124</f>
        <v>29377.267240169302</v>
      </c>
      <c r="W124" s="773">
        <f>'Corrected and Updated TSF 1'!CX124</f>
        <v>37948.848889903078</v>
      </c>
      <c r="X124" s="773">
        <f>'Corrected and Updated TSF 1'!CY124</f>
        <v>64718.158079721215</v>
      </c>
      <c r="Y124" s="1130">
        <f>'Corrected and Updated TSF 1'!CZ124</f>
        <v>265502.19562178856</v>
      </c>
      <c r="Z124" s="1130">
        <f>'Corrected and Updated TSF 1'!DA124</f>
        <v>105057.92547209254</v>
      </c>
      <c r="AA124" s="1130">
        <f>'Corrected and Updated TSF 1'!DB124</f>
        <v>75881.851612649523</v>
      </c>
      <c r="AB124" s="1130">
        <f>'Corrected and Updated TSF 1'!DC124</f>
        <v>57749.582497246884</v>
      </c>
      <c r="AC124" s="774">
        <f>K124-'Corrected and Updated TSF 1'!CJ124</f>
        <v>0</v>
      </c>
      <c r="AD124" s="774">
        <f>L124-SUM('Corrected and Updated TSF 1'!CK124:CL124)</f>
        <v>0</v>
      </c>
      <c r="AE124" s="1173">
        <f t="shared" si="11"/>
        <v>3283788.7585551445</v>
      </c>
      <c r="AF124" s="1174">
        <f>SUM(FORM!$V$19:$W$22)+SUM(FORM!$V$25:$W$28)+SUM(FORM!$V$31:$W$34)</f>
        <v>0</v>
      </c>
      <c r="AG124" s="1173">
        <f t="shared" si="12"/>
        <v>3283788.7585551445</v>
      </c>
      <c r="AH124" s="1173"/>
      <c r="AI124" s="714"/>
      <c r="AJ124" s="714"/>
      <c r="AK124" s="714"/>
      <c r="AL124" s="714"/>
      <c r="AM124" s="714"/>
      <c r="AN124" s="714"/>
      <c r="AO124" s="714"/>
      <c r="AP124" s="714"/>
      <c r="AQ124" s="552"/>
      <c r="AR124" s="552"/>
      <c r="AS124" s="552"/>
      <c r="AT124" s="552"/>
    </row>
    <row r="125" spans="1:49" s="119" customFormat="1" ht="12.75" hidden="1" customHeight="1">
      <c r="A125" s="767" t="str">
        <f t="shared" si="8"/>
        <v>8Q</v>
      </c>
      <c r="B125" s="768" t="str">
        <f>'Corrected and Updated TSF 1'!ER125</f>
        <v>SOLD</v>
      </c>
      <c r="C125" s="757" t="str">
        <f>'Corrected and Updated TSF 1'!E125</f>
        <v>8th Floor</v>
      </c>
      <c r="D125" s="642" t="str">
        <f>'Corrected and Updated TSF 1'!M125</f>
        <v>Inner</v>
      </c>
      <c r="E125" s="642" t="str">
        <f>'Corrected and Updated TSF 1'!G125</f>
        <v>8Q</v>
      </c>
      <c r="F125" s="758" t="str">
        <f>'Corrected and Updated TSF 1'!I125</f>
        <v>Studio Unit</v>
      </c>
      <c r="G125" s="769">
        <f>'Corrected and Updated TSF 1'!J125</f>
        <v>22</v>
      </c>
      <c r="H125" s="769">
        <f>'Corrected and Updated TSF 1'!CI125</f>
        <v>3283788.7585551445</v>
      </c>
      <c r="I125" s="770"/>
      <c r="J125" s="770">
        <f t="shared" si="9"/>
        <v>3283788.7585551445</v>
      </c>
      <c r="K125" s="769">
        <f>'Corrected and Updated TSF 1'!CJ125</f>
        <v>0</v>
      </c>
      <c r="L125" s="769">
        <f>SUM('Corrected and Updated TSF 1'!CK125:CL125)</f>
        <v>451520.95430133236</v>
      </c>
      <c r="M125" s="769">
        <f t="shared" si="10"/>
        <v>3735309.7128564771</v>
      </c>
      <c r="N125" s="771">
        <f>'Corrected and Updated TSF 1'!CN125</f>
        <v>0.125</v>
      </c>
      <c r="O125" s="769">
        <f>'Corrected and Updated TSF 1'!CO125</f>
        <v>466913.71410705964</v>
      </c>
      <c r="P125" s="769">
        <f>'Corrected and Updated TSF 1'!CP125</f>
        <v>30000</v>
      </c>
      <c r="Q125" s="769">
        <f>'Corrected and Updated TSF 1'!CQ125</f>
        <v>436913.71410705964</v>
      </c>
      <c r="R125" s="425">
        <f>'Corrected and Updated TSF 1'!CR125</f>
        <v>2</v>
      </c>
      <c r="S125" s="769">
        <f>'Corrected and Updated TSF 1'!CS125</f>
        <v>218456.85705352982</v>
      </c>
      <c r="T125" s="769">
        <f>'Corrected and Updated TSF 1'!CU125</f>
        <v>3268395.9987494173</v>
      </c>
      <c r="U125" s="769">
        <f>'Corrected and Updated TSF 1'!CV125</f>
        <v>25339.839390114121</v>
      </c>
      <c r="V125" s="772">
        <f>'Corrected and Updated TSF 1'!CW125</f>
        <v>29377.267240169302</v>
      </c>
      <c r="W125" s="773">
        <f>'Corrected and Updated TSF 1'!CX125</f>
        <v>37948.848889903078</v>
      </c>
      <c r="X125" s="773">
        <f>'Corrected and Updated TSF 1'!CY125</f>
        <v>64718.158079721215</v>
      </c>
      <c r="Y125" s="1130">
        <f>'Corrected and Updated TSF 1'!CZ125</f>
        <v>265502.19562178856</v>
      </c>
      <c r="Z125" s="1130">
        <f>'Corrected and Updated TSF 1'!DA125</f>
        <v>105057.92547209254</v>
      </c>
      <c r="AA125" s="1130">
        <f>'Corrected and Updated TSF 1'!DB125</f>
        <v>75881.851612649523</v>
      </c>
      <c r="AB125" s="1130">
        <f>'Corrected and Updated TSF 1'!DC125</f>
        <v>57749.582497246884</v>
      </c>
      <c r="AC125" s="774">
        <f>K125-'Corrected and Updated TSF 1'!CJ125</f>
        <v>0</v>
      </c>
      <c r="AD125" s="774">
        <f>L125-SUM('Corrected and Updated TSF 1'!CK125:CL125)</f>
        <v>0</v>
      </c>
      <c r="AE125" s="1173">
        <f t="shared" si="11"/>
        <v>3283788.7585551445</v>
      </c>
      <c r="AF125" s="1174">
        <f>SUM(FORM!$V$19:$W$22)+SUM(FORM!$V$25:$W$28)+SUM(FORM!$V$31:$W$34)</f>
        <v>0</v>
      </c>
      <c r="AG125" s="1173">
        <f t="shared" si="12"/>
        <v>3283788.7585551445</v>
      </c>
      <c r="AH125" s="1173"/>
      <c r="AI125" s="714"/>
      <c r="AJ125" s="714"/>
      <c r="AK125" s="714"/>
      <c r="AL125" s="714"/>
      <c r="AM125" s="714"/>
      <c r="AN125" s="714"/>
      <c r="AO125" s="714"/>
      <c r="AP125" s="714"/>
      <c r="AQ125" s="760"/>
      <c r="AR125" s="760"/>
      <c r="AS125" s="760"/>
      <c r="AT125" s="760"/>
      <c r="AU125" s="760"/>
      <c r="AV125" s="760"/>
      <c r="AW125" s="760"/>
    </row>
    <row r="126" spans="1:49" s="119" customFormat="1" hidden="1">
      <c r="A126" s="767" t="str">
        <f t="shared" si="8"/>
        <v>8R</v>
      </c>
      <c r="B126" s="768" t="str">
        <f>'Corrected and Updated TSF 1'!ER126</f>
        <v>SOLD</v>
      </c>
      <c r="C126" s="757" t="str">
        <f>'Corrected and Updated TSF 1'!E126</f>
        <v>8th Floor</v>
      </c>
      <c r="D126" s="642" t="str">
        <f>'Corrected and Updated TSF 1'!M126</f>
        <v>Corner</v>
      </c>
      <c r="E126" s="642" t="str">
        <f>'Corrected and Updated TSF 1'!G126</f>
        <v>8R</v>
      </c>
      <c r="F126" s="758" t="str">
        <f>'Corrected and Updated TSF 1'!I126</f>
        <v>Studio Unit</v>
      </c>
      <c r="G126" s="769">
        <f>'Corrected and Updated TSF 1'!J126</f>
        <v>22</v>
      </c>
      <c r="H126" s="769">
        <f>'Corrected and Updated TSF 1'!CI126</f>
        <v>3236997.2598707345</v>
      </c>
      <c r="I126" s="770"/>
      <c r="J126" s="770">
        <f t="shared" si="9"/>
        <v>3236997.2598707345</v>
      </c>
      <c r="K126" s="769">
        <f>'Corrected and Updated TSF 1'!CJ126</f>
        <v>0</v>
      </c>
      <c r="L126" s="769">
        <f>SUM('Corrected and Updated TSF 1'!CK126:CL126)</f>
        <v>445087.123232226</v>
      </c>
      <c r="M126" s="769">
        <f t="shared" si="10"/>
        <v>3682084.3831029604</v>
      </c>
      <c r="N126" s="771">
        <f>'Corrected and Updated TSF 1'!CN126</f>
        <v>0.125</v>
      </c>
      <c r="O126" s="769">
        <f>'Corrected and Updated TSF 1'!CO126</f>
        <v>460260.54788787005</v>
      </c>
      <c r="P126" s="769">
        <f>'Corrected and Updated TSF 1'!CP126</f>
        <v>30000</v>
      </c>
      <c r="Q126" s="769">
        <f>'Corrected and Updated TSF 1'!CQ126</f>
        <v>430260.54788787005</v>
      </c>
      <c r="R126" s="425">
        <f>'Corrected and Updated TSF 1'!CR126</f>
        <v>2</v>
      </c>
      <c r="S126" s="769">
        <f>'Corrected and Updated TSF 1'!CS126</f>
        <v>215130.27394393503</v>
      </c>
      <c r="T126" s="769">
        <f>'Corrected and Updated TSF 1'!CU126</f>
        <v>3221823.8352150903</v>
      </c>
      <c r="U126" s="769">
        <f>'Corrected and Updated TSF 1'!CV126</f>
        <v>24978.765901937801</v>
      </c>
      <c r="V126" s="772">
        <f>'Corrected and Updated TSF 1'!CW126</f>
        <v>28958.663467975144</v>
      </c>
      <c r="W126" s="773">
        <f>'Corrected and Updated TSF 1'!CX126</f>
        <v>37408.106581713902</v>
      </c>
      <c r="X126" s="773">
        <f>'Corrected and Updated TSF 1'!CY126</f>
        <v>63795.973423124386</v>
      </c>
      <c r="Y126" s="1130">
        <f>'Corrected and Updated TSF 1'!CZ126</f>
        <v>261718.99074760807</v>
      </c>
      <c r="Z126" s="1130">
        <f>'Corrected and Updated TSF 1'!DA126</f>
        <v>103560.92973242833</v>
      </c>
      <c r="AA126" s="1130">
        <f>'Corrected and Updated TSF 1'!DB126</f>
        <v>74800.59279213204</v>
      </c>
      <c r="AB126" s="1130">
        <f>'Corrected and Updated TSF 1'!DC126</f>
        <v>56926.69475624794</v>
      </c>
      <c r="AC126" s="774">
        <f>K126-'Corrected and Updated TSF 1'!CJ126</f>
        <v>0</v>
      </c>
      <c r="AD126" s="774">
        <f>L126-SUM('Corrected and Updated TSF 1'!CK126:CL126)</f>
        <v>0</v>
      </c>
      <c r="AE126" s="1173">
        <f t="shared" si="11"/>
        <v>3236997.2598707345</v>
      </c>
      <c r="AF126" s="1174">
        <f>SUM(FORM!$V$19:$W$22)+SUM(FORM!$V$25:$W$28)+SUM(FORM!$V$31:$W$34)</f>
        <v>0</v>
      </c>
      <c r="AG126" s="1173">
        <f t="shared" si="12"/>
        <v>3236997.2598707345</v>
      </c>
      <c r="AH126" s="1173"/>
      <c r="AI126" s="714"/>
      <c r="AJ126" s="714"/>
      <c r="AK126" s="714"/>
      <c r="AL126" s="714"/>
      <c r="AM126" s="714"/>
      <c r="AN126" s="714"/>
      <c r="AO126" s="714"/>
      <c r="AP126" s="714"/>
      <c r="AQ126" s="552"/>
      <c r="AR126" s="552"/>
      <c r="AS126" s="552"/>
      <c r="AT126" s="552"/>
    </row>
    <row r="127" spans="1:49" s="119" customFormat="1" ht="12.75" hidden="1" customHeight="1">
      <c r="A127" s="767" t="str">
        <f t="shared" si="8"/>
        <v>9A</v>
      </c>
      <c r="B127" s="768" t="str">
        <f>'Corrected and Updated TSF 1'!ER127</f>
        <v>SOLD</v>
      </c>
      <c r="C127" s="757" t="str">
        <f>'Corrected and Updated TSF 1'!E127</f>
        <v>9th Floor</v>
      </c>
      <c r="D127" s="642" t="str">
        <f>'Corrected and Updated TSF 1'!M127</f>
        <v>Corner</v>
      </c>
      <c r="E127" s="642" t="str">
        <f>'Corrected and Updated TSF 1'!G127</f>
        <v>9A</v>
      </c>
      <c r="F127" s="758" t="str">
        <f>'Corrected and Updated TSF 1'!I127</f>
        <v>Studio Unit</v>
      </c>
      <c r="G127" s="769">
        <f>'Corrected and Updated TSF 1'!J127</f>
        <v>22</v>
      </c>
      <c r="H127" s="769">
        <f>'Corrected and Updated TSF 1'!CI127</f>
        <v>3299414.8244784134</v>
      </c>
      <c r="I127" s="770"/>
      <c r="J127" s="770">
        <f t="shared" si="9"/>
        <v>3299414.8244784134</v>
      </c>
      <c r="K127" s="769">
        <f>'Corrected and Updated TSF 1'!CJ127</f>
        <v>0</v>
      </c>
      <c r="L127" s="769">
        <f>SUM('Corrected and Updated TSF 1'!CK127:CL127)</f>
        <v>453669.53836578189</v>
      </c>
      <c r="M127" s="769">
        <f t="shared" si="10"/>
        <v>3753084.3628441952</v>
      </c>
      <c r="N127" s="771">
        <f>'Corrected and Updated TSF 1'!CN127</f>
        <v>0.125</v>
      </c>
      <c r="O127" s="769">
        <f>'Corrected and Updated TSF 1'!CO127</f>
        <v>469135.5453555244</v>
      </c>
      <c r="P127" s="769">
        <f>'Corrected and Updated TSF 1'!CP127</f>
        <v>30000</v>
      </c>
      <c r="Q127" s="769">
        <f>'Corrected and Updated TSF 1'!CQ127</f>
        <v>439135.5453555244</v>
      </c>
      <c r="R127" s="425">
        <f>'Corrected and Updated TSF 1'!CR127</f>
        <v>2</v>
      </c>
      <c r="S127" s="769">
        <f>'Corrected and Updated TSF 1'!CS127</f>
        <v>219567.7726777622</v>
      </c>
      <c r="T127" s="769">
        <f>'Corrected and Updated TSF 1'!CU127</f>
        <v>3283948.8174886708</v>
      </c>
      <c r="U127" s="769">
        <f>'Corrected and Updated TSF 1'!CV127</f>
        <v>25460.420228258285</v>
      </c>
      <c r="V127" s="772">
        <f>'Corrected and Updated TSF 1'!CW127</f>
        <v>29517.060371912146</v>
      </c>
      <c r="W127" s="773">
        <f>'Corrected and Updated TSF 1'!CX127</f>
        <v>38129.430303040841</v>
      </c>
      <c r="X127" s="773">
        <f>'Corrected and Updated TSF 1'!CY127</f>
        <v>65026.12253143925</v>
      </c>
      <c r="Y127" s="1130">
        <f>'Corrected and Updated TSF 1'!CZ127</f>
        <v>266765.60052283469</v>
      </c>
      <c r="Z127" s="1130">
        <f>'Corrected and Updated TSF 1'!DA127</f>
        <v>105557.84863703788</v>
      </c>
      <c r="AA127" s="1130">
        <f>'Corrected and Updated TSF 1'!DB127</f>
        <v>76242.939034180468</v>
      </c>
      <c r="AB127" s="1130">
        <f>'Corrected and Updated TSF 1'!DC127</f>
        <v>58024.386648638247</v>
      </c>
      <c r="AC127" s="774">
        <f>K127-'Corrected and Updated TSF 1'!CJ127</f>
        <v>0</v>
      </c>
      <c r="AD127" s="774">
        <f>L127-SUM('Corrected and Updated TSF 1'!CK127:CL127)</f>
        <v>0</v>
      </c>
      <c r="AE127" s="1173">
        <f t="shared" si="11"/>
        <v>3299414.8244784134</v>
      </c>
      <c r="AF127" s="1174">
        <f>SUM(FORM!$V$19:$W$22)+SUM(FORM!$V$25:$W$28)+SUM(FORM!$V$31:$W$34)</f>
        <v>0</v>
      </c>
      <c r="AG127" s="1173">
        <f t="shared" si="12"/>
        <v>3299414.8244784134</v>
      </c>
      <c r="AH127" s="1173"/>
      <c r="AI127" s="714"/>
      <c r="AJ127" s="714"/>
      <c r="AK127" s="714"/>
      <c r="AL127" s="714"/>
      <c r="AM127" s="714"/>
      <c r="AN127" s="714"/>
      <c r="AO127" s="714"/>
      <c r="AP127" s="714"/>
      <c r="AQ127" s="552"/>
      <c r="AR127" s="552"/>
      <c r="AS127" s="552"/>
      <c r="AT127" s="552"/>
    </row>
    <row r="128" spans="1:49" s="119" customFormat="1" ht="12.75" hidden="1" customHeight="1">
      <c r="A128" s="767" t="str">
        <f t="shared" si="8"/>
        <v>9B</v>
      </c>
      <c r="B128" s="768" t="str">
        <f>'Corrected and Updated TSF 1'!ER128</f>
        <v>SOLD</v>
      </c>
      <c r="C128" s="757" t="str">
        <f>'Corrected and Updated TSF 1'!E128</f>
        <v>9th Floor</v>
      </c>
      <c r="D128" s="642" t="str">
        <f>'Corrected and Updated TSF 1'!M128</f>
        <v>End</v>
      </c>
      <c r="E128" s="642" t="str">
        <f>'Corrected and Updated TSF 1'!G128</f>
        <v>9B</v>
      </c>
      <c r="F128" s="758" t="str">
        <f>'Corrected and Updated TSF 1'!I128</f>
        <v>Studio Unit</v>
      </c>
      <c r="G128" s="769">
        <f>'Corrected and Updated TSF 1'!J128</f>
        <v>22</v>
      </c>
      <c r="H128" s="769">
        <f>'Corrected and Updated TSF 1'!CI128</f>
        <v>3249339.856889294</v>
      </c>
      <c r="I128" s="770"/>
      <c r="J128" s="770">
        <f t="shared" si="9"/>
        <v>3249339.856889294</v>
      </c>
      <c r="K128" s="769">
        <f>'Corrected and Updated TSF 1'!CJ128</f>
        <v>0</v>
      </c>
      <c r="L128" s="769">
        <f>SUM('Corrected and Updated TSF 1'!CK128:CL128)</f>
        <v>446784.23032227787</v>
      </c>
      <c r="M128" s="769">
        <f t="shared" si="10"/>
        <v>3696124.0872115716</v>
      </c>
      <c r="N128" s="771">
        <f>'Corrected and Updated TSF 1'!CN128</f>
        <v>0.125</v>
      </c>
      <c r="O128" s="769">
        <f>'Corrected and Updated TSF 1'!CO128</f>
        <v>462015.51090144651</v>
      </c>
      <c r="P128" s="769">
        <f>'Corrected and Updated TSF 1'!CP128</f>
        <v>30000</v>
      </c>
      <c r="Q128" s="769">
        <f>'Corrected and Updated TSF 1'!CQ128</f>
        <v>432015.51090144651</v>
      </c>
      <c r="R128" s="425">
        <f>'Corrected and Updated TSF 1'!CR128</f>
        <v>2</v>
      </c>
      <c r="S128" s="769">
        <f>'Corrected and Updated TSF 1'!CS128</f>
        <v>216007.75545072326</v>
      </c>
      <c r="T128" s="769">
        <f>'Corrected and Updated TSF 1'!CU128</f>
        <v>3234108.5763101256</v>
      </c>
      <c r="U128" s="769">
        <f>'Corrected and Updated TSF 1'!CV128</f>
        <v>25074.009368891144</v>
      </c>
      <c r="V128" s="772">
        <f>'Corrected and Updated TSF 1'!CW128</f>
        <v>29069.082193938346</v>
      </c>
      <c r="W128" s="773">
        <f>'Corrected and Updated TSF 1'!CX128</f>
        <v>37550.742842327803</v>
      </c>
      <c r="X128" s="773">
        <f>'Corrected and Updated TSF 1'!CY128</f>
        <v>64039.226020563969</v>
      </c>
      <c r="Y128" s="1130">
        <f>'Corrected and Updated TSF 1'!CZ128</f>
        <v>262716.91931398289</v>
      </c>
      <c r="Z128" s="1130">
        <f>'Corrected and Updated TSF 1'!DA128</f>
        <v>103955.80520495369</v>
      </c>
      <c r="AA128" s="1130">
        <f>'Corrected and Updated TSF 1'!DB128</f>
        <v>75085.80575323895</v>
      </c>
      <c r="AB128" s="1130">
        <f>'Corrected and Updated TSF 1'!DC128</f>
        <v>57143.754950176859</v>
      </c>
      <c r="AC128" s="774">
        <f>K128-'Corrected and Updated TSF 1'!CJ128</f>
        <v>0</v>
      </c>
      <c r="AD128" s="774">
        <f>L128-SUM('Corrected and Updated TSF 1'!CK128:CL128)</f>
        <v>0</v>
      </c>
      <c r="AE128" s="1173">
        <f t="shared" si="11"/>
        <v>3249339.856889294</v>
      </c>
      <c r="AF128" s="1174">
        <f>SUM(FORM!$V$19:$W$22)+SUM(FORM!$V$25:$W$28)+SUM(FORM!$V$31:$W$34)</f>
        <v>0</v>
      </c>
      <c r="AG128" s="1173">
        <f t="shared" si="12"/>
        <v>3249339.856889294</v>
      </c>
      <c r="AH128" s="1173"/>
      <c r="AI128" s="714"/>
      <c r="AJ128" s="714"/>
      <c r="AK128" s="714"/>
      <c r="AL128" s="714"/>
      <c r="AM128" s="714"/>
      <c r="AN128" s="714"/>
      <c r="AO128" s="714"/>
      <c r="AP128" s="714"/>
      <c r="AQ128" s="552"/>
      <c r="AR128" s="552"/>
      <c r="AS128" s="552"/>
      <c r="AT128" s="552"/>
    </row>
    <row r="129" spans="1:49" s="119" customFormat="1" ht="12.75" hidden="1" customHeight="1">
      <c r="A129" s="767" t="str">
        <f t="shared" si="8"/>
        <v>9C</v>
      </c>
      <c r="B129" s="768" t="str">
        <f>'Corrected and Updated TSF 1'!ER129</f>
        <v>SOLD</v>
      </c>
      <c r="C129" s="757" t="str">
        <f>'Corrected and Updated TSF 1'!E129</f>
        <v>9th Floor</v>
      </c>
      <c r="D129" s="642" t="str">
        <f>'Corrected and Updated TSF 1'!M129</f>
        <v>End</v>
      </c>
      <c r="E129" s="642" t="str">
        <f>'Corrected and Updated TSF 1'!G129</f>
        <v>9C</v>
      </c>
      <c r="F129" s="758" t="str">
        <f>'Corrected and Updated TSF 1'!I129</f>
        <v>Studio Unit</v>
      </c>
      <c r="G129" s="769">
        <f>'Corrected and Updated TSF 1'!J129</f>
        <v>22</v>
      </c>
      <c r="H129" s="769">
        <f>'Corrected and Updated TSF 1'!CI129</f>
        <v>3249339.856889294</v>
      </c>
      <c r="I129" s="770"/>
      <c r="J129" s="770">
        <f t="shared" si="9"/>
        <v>3249339.856889294</v>
      </c>
      <c r="K129" s="769">
        <f>'Corrected and Updated TSF 1'!CJ129</f>
        <v>0</v>
      </c>
      <c r="L129" s="769">
        <f>SUM('Corrected and Updated TSF 1'!CK129:CL129)</f>
        <v>446784.23032227787</v>
      </c>
      <c r="M129" s="769">
        <f t="shared" si="10"/>
        <v>3696124.0872115716</v>
      </c>
      <c r="N129" s="771">
        <f>'Corrected and Updated TSF 1'!CN129</f>
        <v>0.125</v>
      </c>
      <c r="O129" s="769">
        <f>'Corrected and Updated TSF 1'!CO129</f>
        <v>462015.51090144651</v>
      </c>
      <c r="P129" s="769">
        <f>'Corrected and Updated TSF 1'!CP129</f>
        <v>30000</v>
      </c>
      <c r="Q129" s="769">
        <f>'Corrected and Updated TSF 1'!CQ129</f>
        <v>432015.51090144651</v>
      </c>
      <c r="R129" s="425">
        <f>'Corrected and Updated TSF 1'!CR129</f>
        <v>2</v>
      </c>
      <c r="S129" s="769">
        <f>'Corrected and Updated TSF 1'!CS129</f>
        <v>216007.75545072326</v>
      </c>
      <c r="T129" s="769">
        <f>'Corrected and Updated TSF 1'!CU129</f>
        <v>3234108.5763101256</v>
      </c>
      <c r="U129" s="769">
        <f>'Corrected and Updated TSF 1'!CV129</f>
        <v>25074.009368891144</v>
      </c>
      <c r="V129" s="772">
        <f>'Corrected and Updated TSF 1'!CW129</f>
        <v>29069.082193938346</v>
      </c>
      <c r="W129" s="773">
        <f>'Corrected and Updated TSF 1'!CX129</f>
        <v>37550.742842327803</v>
      </c>
      <c r="X129" s="773">
        <f>'Corrected and Updated TSF 1'!CY129</f>
        <v>64039.226020563969</v>
      </c>
      <c r="Y129" s="1130">
        <f>'Corrected and Updated TSF 1'!CZ129</f>
        <v>262716.91931398289</v>
      </c>
      <c r="Z129" s="1130">
        <f>'Corrected and Updated TSF 1'!DA129</f>
        <v>103955.80520495369</v>
      </c>
      <c r="AA129" s="1130">
        <f>'Corrected and Updated TSF 1'!DB129</f>
        <v>75085.80575323895</v>
      </c>
      <c r="AB129" s="1130">
        <f>'Corrected and Updated TSF 1'!DC129</f>
        <v>57143.754950176859</v>
      </c>
      <c r="AC129" s="774">
        <f>K129-'Corrected and Updated TSF 1'!CJ129</f>
        <v>0</v>
      </c>
      <c r="AD129" s="774">
        <f>L129-SUM('Corrected and Updated TSF 1'!CK129:CL129)</f>
        <v>0</v>
      </c>
      <c r="AE129" s="1173">
        <f t="shared" si="11"/>
        <v>3249339.856889294</v>
      </c>
      <c r="AF129" s="1174">
        <f>SUM(FORM!$V$19:$W$22)+SUM(FORM!$V$25:$W$28)+SUM(FORM!$V$31:$W$34)</f>
        <v>0</v>
      </c>
      <c r="AG129" s="1173">
        <f t="shared" si="12"/>
        <v>3249339.856889294</v>
      </c>
      <c r="AH129" s="1173"/>
      <c r="AI129" s="714"/>
      <c r="AJ129" s="714"/>
      <c r="AK129" s="714"/>
      <c r="AL129" s="714"/>
      <c r="AM129" s="714"/>
      <c r="AN129" s="714"/>
      <c r="AO129" s="714"/>
      <c r="AP129" s="714"/>
      <c r="AQ129" s="552"/>
      <c r="AR129" s="552"/>
      <c r="AS129" s="552"/>
      <c r="AT129" s="552"/>
    </row>
    <row r="130" spans="1:49" s="119" customFormat="1" ht="12.75" hidden="1" customHeight="1">
      <c r="A130" s="767" t="str">
        <f t="shared" si="8"/>
        <v>9D</v>
      </c>
      <c r="B130" s="768" t="str">
        <f>'Corrected and Updated TSF 1'!ER130</f>
        <v>SOLD</v>
      </c>
      <c r="C130" s="757" t="str">
        <f>'Corrected and Updated TSF 1'!E130</f>
        <v>9th Floor</v>
      </c>
      <c r="D130" s="642" t="str">
        <f>'Corrected and Updated TSF 1'!M130</f>
        <v>End</v>
      </c>
      <c r="E130" s="642" t="str">
        <f>'Corrected and Updated TSF 1'!G130</f>
        <v>9D</v>
      </c>
      <c r="F130" s="758" t="str">
        <f>'Corrected and Updated TSF 1'!I130</f>
        <v>Studio Unit</v>
      </c>
      <c r="G130" s="769">
        <f>'Corrected and Updated TSF 1'!J130</f>
        <v>22</v>
      </c>
      <c r="H130" s="769">
        <f>'Corrected and Updated TSF 1'!CI130</f>
        <v>3249339.856889294</v>
      </c>
      <c r="I130" s="770"/>
      <c r="J130" s="770">
        <f t="shared" si="9"/>
        <v>3249339.856889294</v>
      </c>
      <c r="K130" s="769">
        <f>'Corrected and Updated TSF 1'!CJ130</f>
        <v>0</v>
      </c>
      <c r="L130" s="769">
        <f>SUM('Corrected and Updated TSF 1'!CK130:CL130)</f>
        <v>446784.23032227787</v>
      </c>
      <c r="M130" s="769">
        <f t="shared" si="10"/>
        <v>3696124.0872115716</v>
      </c>
      <c r="N130" s="771">
        <f>'Corrected and Updated TSF 1'!CN130</f>
        <v>0.125</v>
      </c>
      <c r="O130" s="769">
        <f>'Corrected and Updated TSF 1'!CO130</f>
        <v>462015.51090144651</v>
      </c>
      <c r="P130" s="769">
        <f>'Corrected and Updated TSF 1'!CP130</f>
        <v>30000</v>
      </c>
      <c r="Q130" s="769">
        <f>'Corrected and Updated TSF 1'!CQ130</f>
        <v>432015.51090144651</v>
      </c>
      <c r="R130" s="425">
        <f>'Corrected and Updated TSF 1'!CR130</f>
        <v>2</v>
      </c>
      <c r="S130" s="769">
        <f>'Corrected and Updated TSF 1'!CS130</f>
        <v>216007.75545072326</v>
      </c>
      <c r="T130" s="769">
        <f>'Corrected and Updated TSF 1'!CU130</f>
        <v>3234108.5763101256</v>
      </c>
      <c r="U130" s="769">
        <f>'Corrected and Updated TSF 1'!CV130</f>
        <v>25074.009368891144</v>
      </c>
      <c r="V130" s="772">
        <f>'Corrected and Updated TSF 1'!CW130</f>
        <v>29069.082193938346</v>
      </c>
      <c r="W130" s="773">
        <f>'Corrected and Updated TSF 1'!CX130</f>
        <v>37550.742842327803</v>
      </c>
      <c r="X130" s="773">
        <f>'Corrected and Updated TSF 1'!CY130</f>
        <v>64039.226020563969</v>
      </c>
      <c r="Y130" s="1130">
        <f>'Corrected and Updated TSF 1'!CZ130</f>
        <v>262716.91931398289</v>
      </c>
      <c r="Z130" s="1130">
        <f>'Corrected and Updated TSF 1'!DA130</f>
        <v>103955.80520495369</v>
      </c>
      <c r="AA130" s="1130">
        <f>'Corrected and Updated TSF 1'!DB130</f>
        <v>75085.80575323895</v>
      </c>
      <c r="AB130" s="1130">
        <f>'Corrected and Updated TSF 1'!DC130</f>
        <v>57143.754950176859</v>
      </c>
      <c r="AC130" s="774">
        <f>K130-'Corrected and Updated TSF 1'!CJ130</f>
        <v>0</v>
      </c>
      <c r="AD130" s="774">
        <f>L130-SUM('Corrected and Updated TSF 1'!CK130:CL130)</f>
        <v>0</v>
      </c>
      <c r="AE130" s="1173">
        <f t="shared" si="11"/>
        <v>3249339.856889294</v>
      </c>
      <c r="AF130" s="1174">
        <f>SUM(FORM!$V$19:$W$22)+SUM(FORM!$V$25:$W$28)+SUM(FORM!$V$31:$W$34)</f>
        <v>0</v>
      </c>
      <c r="AG130" s="1173">
        <f t="shared" si="12"/>
        <v>3249339.856889294</v>
      </c>
      <c r="AH130" s="1173"/>
      <c r="AI130" s="714"/>
      <c r="AJ130" s="714"/>
      <c r="AK130" s="714"/>
      <c r="AL130" s="714"/>
      <c r="AM130" s="714"/>
      <c r="AN130" s="714"/>
      <c r="AO130" s="714"/>
      <c r="AP130" s="714"/>
      <c r="AQ130" s="552"/>
      <c r="AR130" s="552"/>
      <c r="AS130" s="552"/>
      <c r="AT130" s="552"/>
    </row>
    <row r="131" spans="1:49" s="119" customFormat="1" ht="12.75" customHeight="1">
      <c r="A131" s="767" t="str">
        <f t="shared" si="8"/>
        <v>9E</v>
      </c>
      <c r="B131" s="768" t="str">
        <f>'Corrected and Updated TSF 1'!ER131</f>
        <v>UNSOLD</v>
      </c>
      <c r="C131" s="757" t="str">
        <f>'Corrected and Updated TSF 1'!E131</f>
        <v>9th Floor</v>
      </c>
      <c r="D131" s="642" t="str">
        <f>'Corrected and Updated TSF 1'!M131</f>
        <v>End</v>
      </c>
      <c r="E131" s="642" t="str">
        <f>'Corrected and Updated TSF 1'!G131</f>
        <v>9E</v>
      </c>
      <c r="F131" s="758" t="str">
        <f>'Corrected and Updated TSF 1'!I131</f>
        <v>Studio Unit</v>
      </c>
      <c r="G131" s="769">
        <f>'Corrected and Updated TSF 1'!J131</f>
        <v>22</v>
      </c>
      <c r="H131" s="769">
        <f>'Corrected and Updated TSF 1'!CI131</f>
        <v>3288632.9862491013</v>
      </c>
      <c r="I131" s="770"/>
      <c r="J131" s="770">
        <f t="shared" si="9"/>
        <v>3288632.9862491013</v>
      </c>
      <c r="K131" s="769">
        <f>'Corrected and Updated TSF 1'!CJ131</f>
        <v>0</v>
      </c>
      <c r="L131" s="769">
        <f>SUM('Corrected and Updated TSF 1'!CK131:CL131)</f>
        <v>452187.03560925141</v>
      </c>
      <c r="M131" s="769">
        <f t="shared" si="10"/>
        <v>3740820.0218583527</v>
      </c>
      <c r="N131" s="771">
        <f>'Corrected and Updated TSF 1'!CN131</f>
        <v>0.125</v>
      </c>
      <c r="O131" s="769">
        <f>'Corrected and Updated TSF 1'!CO131</f>
        <v>467602.50273229409</v>
      </c>
      <c r="P131" s="769">
        <f>'Corrected and Updated TSF 1'!CP131</f>
        <v>30000</v>
      </c>
      <c r="Q131" s="769">
        <f>'Corrected and Updated TSF 1'!CQ131</f>
        <v>437602.50273229409</v>
      </c>
      <c r="R131" s="425">
        <f>'Corrected and Updated TSF 1'!CR131</f>
        <v>1</v>
      </c>
      <c r="S131" s="769">
        <f>'Corrected and Updated TSF 1'!CS131</f>
        <v>437602.50273229409</v>
      </c>
      <c r="T131" s="769">
        <f>'Corrected and Updated TSF 1'!CU131</f>
        <v>3273217.5191260586</v>
      </c>
      <c r="U131" s="769">
        <f>'Corrected and Updated TSF 1'!CV131</f>
        <v>25377.220586274867</v>
      </c>
      <c r="V131" s="772">
        <f>'Corrected and Updated TSF 1'!CW131</f>
        <v>29420.604428399463</v>
      </c>
      <c r="W131" s="773">
        <f>'Corrected and Updated TSF 1'!CX131</f>
        <v>38004.830829748418</v>
      </c>
      <c r="X131" s="773">
        <f>'Corrected and Updated TSF 1'!CY131</f>
        <v>64813.629961965438</v>
      </c>
      <c r="Y131" s="1130">
        <f>'Corrected and Updated TSF 1'!CZ131</f>
        <v>265893.8630472545</v>
      </c>
      <c r="Z131" s="1130">
        <f>'Corrected and Updated TSF 1'!DA131</f>
        <v>105212.90636442785</v>
      </c>
      <c r="AA131" s="1130">
        <f>'Corrected and Updated TSF 1'!DB131</f>
        <v>75993.792116158787</v>
      </c>
      <c r="AB131" s="1130">
        <f>'Corrected and Updated TSF 1'!DC131</f>
        <v>57834.77437389204</v>
      </c>
      <c r="AC131" s="774">
        <f>K131-'Corrected and Updated TSF 1'!CJ131</f>
        <v>0</v>
      </c>
      <c r="AD131" s="774">
        <f>L131-SUM('Corrected and Updated TSF 1'!CK131:CL131)</f>
        <v>0</v>
      </c>
      <c r="AE131" s="1173">
        <f t="shared" si="11"/>
        <v>3288632.9862491013</v>
      </c>
      <c r="AF131" s="1174">
        <f>SUM(FORM!$V$19:$W$22)+SUM(FORM!$V$25:$W$28)+SUM(FORM!$V$31:$W$34)</f>
        <v>0</v>
      </c>
      <c r="AG131" s="1173">
        <f t="shared" si="12"/>
        <v>3288632.9862491013</v>
      </c>
      <c r="AH131" s="1173"/>
      <c r="AI131" s="714"/>
      <c r="AJ131" s="714"/>
      <c r="AK131" s="714"/>
      <c r="AL131" s="714"/>
      <c r="AM131" s="714"/>
      <c r="AN131" s="714"/>
      <c r="AO131" s="714"/>
      <c r="AP131" s="714"/>
      <c r="AQ131" s="552"/>
      <c r="AR131" s="552"/>
      <c r="AS131" s="552"/>
      <c r="AT131" s="552"/>
    </row>
    <row r="132" spans="1:49" s="119" customFormat="1" ht="12.75" hidden="1" customHeight="1">
      <c r="A132" s="767" t="str">
        <f t="shared" si="8"/>
        <v>9F</v>
      </c>
      <c r="B132" s="768" t="str">
        <f>'Corrected and Updated TSF 1'!ER132</f>
        <v>SOLD</v>
      </c>
      <c r="C132" s="757" t="str">
        <f>'Corrected and Updated TSF 1'!E132</f>
        <v>9th Floor</v>
      </c>
      <c r="D132" s="642" t="str">
        <f>'Corrected and Updated TSF 1'!M132</f>
        <v>Inner</v>
      </c>
      <c r="E132" s="642" t="str">
        <f>'Corrected and Updated TSF 1'!G132</f>
        <v>9F</v>
      </c>
      <c r="F132" s="758" t="str">
        <f>'Corrected and Updated TSF 1'!I132</f>
        <v>Studio Unit</v>
      </c>
      <c r="G132" s="769">
        <f>'Corrected and Updated TSF 1'!J132</f>
        <v>22</v>
      </c>
      <c r="H132" s="769">
        <f>'Corrected and Updated TSF 1'!CI132</f>
        <v>3217761.6970289317</v>
      </c>
      <c r="I132" s="770"/>
      <c r="J132" s="770">
        <f t="shared" si="9"/>
        <v>3217761.6970289317</v>
      </c>
      <c r="K132" s="769">
        <f>'Corrected and Updated TSF 1'!CJ132</f>
        <v>0</v>
      </c>
      <c r="L132" s="769">
        <f>SUM('Corrected and Updated TSF 1'!CK132:CL132)</f>
        <v>442442.2333414781</v>
      </c>
      <c r="M132" s="769">
        <f t="shared" si="10"/>
        <v>3660203.93037041</v>
      </c>
      <c r="N132" s="771">
        <f>'Corrected and Updated TSF 1'!CN132</f>
        <v>0.125</v>
      </c>
      <c r="O132" s="769">
        <f>'Corrected and Updated TSF 1'!CO132</f>
        <v>457525.49129630125</v>
      </c>
      <c r="P132" s="769">
        <f>'Corrected and Updated TSF 1'!CP132</f>
        <v>30000</v>
      </c>
      <c r="Q132" s="769">
        <f>'Corrected and Updated TSF 1'!CQ132</f>
        <v>427525.49129630125</v>
      </c>
      <c r="R132" s="425">
        <f>'Corrected and Updated TSF 1'!CR132</f>
        <v>2</v>
      </c>
      <c r="S132" s="769">
        <f>'Corrected and Updated TSF 1'!CS132</f>
        <v>213762.74564815062</v>
      </c>
      <c r="T132" s="769">
        <f>'Corrected and Updated TSF 1'!CU132</f>
        <v>3202678.4390741088</v>
      </c>
      <c r="U132" s="769">
        <f>'Corrected and Updated TSF 1'!CV132</f>
        <v>24830.331849436756</v>
      </c>
      <c r="V132" s="772">
        <f>'Corrected and Updated TSF 1'!CW132</f>
        <v>28786.57923489331</v>
      </c>
      <c r="W132" s="773">
        <f>'Corrected and Updated TSF 1'!CX132</f>
        <v>37185.812298717152</v>
      </c>
      <c r="X132" s="773">
        <f>'Corrected and Updated TSF 1'!CY132</f>
        <v>63416.871633003168</v>
      </c>
      <c r="Y132" s="1130">
        <f>'Corrected and Updated TSF 1'!CZ132</f>
        <v>260163.749365161</v>
      </c>
      <c r="Z132" s="1130">
        <f>'Corrected and Updated TSF 1'!DA132</f>
        <v>102945.52829340976</v>
      </c>
      <c r="AA132" s="1130">
        <f>'Corrected and Updated TSF 1'!DB132</f>
        <v>74356.097048779266</v>
      </c>
      <c r="AB132" s="1130">
        <f>'Corrected and Updated TSF 1'!DC132</f>
        <v>56588.413032029348</v>
      </c>
      <c r="AC132" s="774">
        <f>K132-'Corrected and Updated TSF 1'!CJ132</f>
        <v>0</v>
      </c>
      <c r="AD132" s="774">
        <f>L132-SUM('Corrected and Updated TSF 1'!CK132:CL132)</f>
        <v>0</v>
      </c>
      <c r="AE132" s="1173">
        <f t="shared" si="11"/>
        <v>3217761.6970289317</v>
      </c>
      <c r="AF132" s="1174">
        <f>SUM(FORM!$V$19:$W$22)+SUM(FORM!$V$25:$W$28)+SUM(FORM!$V$31:$W$34)</f>
        <v>0</v>
      </c>
      <c r="AG132" s="1173">
        <f t="shared" si="12"/>
        <v>3217761.6970289317</v>
      </c>
      <c r="AH132" s="1173"/>
      <c r="AI132" s="714"/>
      <c r="AJ132" s="714"/>
      <c r="AK132" s="714"/>
      <c r="AL132" s="714"/>
      <c r="AM132" s="714"/>
      <c r="AN132" s="714"/>
      <c r="AO132" s="714"/>
      <c r="AP132" s="714"/>
      <c r="AQ132" s="552"/>
      <c r="AR132" s="552"/>
      <c r="AS132" s="552"/>
      <c r="AT132" s="552"/>
    </row>
    <row r="133" spans="1:49" s="119" customFormat="1" ht="12.75" hidden="1" customHeight="1">
      <c r="A133" s="767" t="str">
        <f t="shared" si="8"/>
        <v>9G</v>
      </c>
      <c r="B133" s="768" t="str">
        <f>'Corrected and Updated TSF 1'!ER133</f>
        <v>SOLD</v>
      </c>
      <c r="C133" s="757" t="str">
        <f>'Corrected and Updated TSF 1'!E133</f>
        <v>9th Floor</v>
      </c>
      <c r="D133" s="642" t="str">
        <f>'Corrected and Updated TSF 1'!M133</f>
        <v>End</v>
      </c>
      <c r="E133" s="642" t="str">
        <f>'Corrected and Updated TSF 1'!G133</f>
        <v>9G</v>
      </c>
      <c r="F133" s="758" t="str">
        <f>'Corrected and Updated TSF 1'!I133</f>
        <v>Studio Unit</v>
      </c>
      <c r="G133" s="769">
        <f>'Corrected and Updated TSF 1'!J133</f>
        <v>22</v>
      </c>
      <c r="H133" s="769">
        <f>'Corrected and Updated TSF 1'!CI133</f>
        <v>3249339.856889294</v>
      </c>
      <c r="I133" s="770"/>
      <c r="J133" s="770">
        <f t="shared" si="9"/>
        <v>3249339.856889294</v>
      </c>
      <c r="K133" s="769">
        <f>'Corrected and Updated TSF 1'!CJ133</f>
        <v>0</v>
      </c>
      <c r="L133" s="769">
        <f>SUM('Corrected and Updated TSF 1'!CK133:CL133)</f>
        <v>446784.23032227787</v>
      </c>
      <c r="M133" s="769">
        <f t="shared" si="10"/>
        <v>3696124.0872115716</v>
      </c>
      <c r="N133" s="771">
        <f>'Corrected and Updated TSF 1'!CN133</f>
        <v>0.125</v>
      </c>
      <c r="O133" s="769">
        <f>'Corrected and Updated TSF 1'!CO133</f>
        <v>462015.51090144651</v>
      </c>
      <c r="P133" s="769">
        <f>'Corrected and Updated TSF 1'!CP133</f>
        <v>30000</v>
      </c>
      <c r="Q133" s="769">
        <f>'Corrected and Updated TSF 1'!CQ133</f>
        <v>432015.51090144651</v>
      </c>
      <c r="R133" s="425">
        <f>'Corrected and Updated TSF 1'!CR133</f>
        <v>2</v>
      </c>
      <c r="S133" s="769">
        <f>'Corrected and Updated TSF 1'!CS133</f>
        <v>216007.75545072326</v>
      </c>
      <c r="T133" s="769">
        <f>'Corrected and Updated TSF 1'!CU133</f>
        <v>3234108.5763101256</v>
      </c>
      <c r="U133" s="769">
        <f>'Corrected and Updated TSF 1'!CV133</f>
        <v>25074.009368891144</v>
      </c>
      <c r="V133" s="772">
        <f>'Corrected and Updated TSF 1'!CW133</f>
        <v>29069.082193938346</v>
      </c>
      <c r="W133" s="773">
        <f>'Corrected and Updated TSF 1'!CX133</f>
        <v>37550.742842327803</v>
      </c>
      <c r="X133" s="773">
        <f>'Corrected and Updated TSF 1'!CY133</f>
        <v>64039.226020563969</v>
      </c>
      <c r="Y133" s="1130">
        <f>'Corrected and Updated TSF 1'!CZ133</f>
        <v>262716.91931398289</v>
      </c>
      <c r="Z133" s="1130">
        <f>'Corrected and Updated TSF 1'!DA133</f>
        <v>103955.80520495369</v>
      </c>
      <c r="AA133" s="1130">
        <f>'Corrected and Updated TSF 1'!DB133</f>
        <v>75085.80575323895</v>
      </c>
      <c r="AB133" s="1130">
        <f>'Corrected and Updated TSF 1'!DC133</f>
        <v>57143.754950176859</v>
      </c>
      <c r="AC133" s="774">
        <f>K133-'Corrected and Updated TSF 1'!CJ133</f>
        <v>0</v>
      </c>
      <c r="AD133" s="774">
        <f>L133-SUM('Corrected and Updated TSF 1'!CK133:CL133)</f>
        <v>0</v>
      </c>
      <c r="AE133" s="1173">
        <f t="shared" si="11"/>
        <v>3249339.856889294</v>
      </c>
      <c r="AF133" s="1174">
        <f>SUM(FORM!$V$19:$W$22)+SUM(FORM!$V$25:$W$28)+SUM(FORM!$V$31:$W$34)</f>
        <v>0</v>
      </c>
      <c r="AG133" s="1173">
        <f t="shared" si="12"/>
        <v>3249339.856889294</v>
      </c>
      <c r="AH133" s="1173"/>
      <c r="AI133" s="714"/>
      <c r="AJ133" s="714"/>
      <c r="AK133" s="714"/>
      <c r="AL133" s="714"/>
      <c r="AM133" s="714"/>
      <c r="AN133" s="714"/>
      <c r="AO133" s="714"/>
      <c r="AP133" s="714"/>
      <c r="AQ133" s="552"/>
      <c r="AR133" s="552"/>
      <c r="AS133" s="552"/>
      <c r="AT133" s="552"/>
    </row>
    <row r="134" spans="1:49" s="119" customFormat="1" ht="12.75" hidden="1" customHeight="1">
      <c r="A134" s="767" t="str">
        <f t="shared" si="8"/>
        <v>9H</v>
      </c>
      <c r="B134" s="768" t="str">
        <f>'Corrected and Updated TSF 1'!ER134</f>
        <v>SOLD</v>
      </c>
      <c r="C134" s="757" t="str">
        <f>'Corrected and Updated TSF 1'!E134</f>
        <v>9th Floor</v>
      </c>
      <c r="D134" s="642" t="str">
        <f>'Corrected and Updated TSF 1'!M134</f>
        <v>Corner</v>
      </c>
      <c r="E134" s="642" t="str">
        <f>'Corrected and Updated TSF 1'!G134</f>
        <v>9H</v>
      </c>
      <c r="F134" s="758" t="str">
        <f>'Corrected and Updated TSF 1'!I134</f>
        <v>Studio Unit</v>
      </c>
      <c r="G134" s="769">
        <f>'Corrected and Updated TSF 1'!J134</f>
        <v>22</v>
      </c>
      <c r="H134" s="769">
        <f>'Corrected and Updated TSF 1'!CI134</f>
        <v>3299414.8244784134</v>
      </c>
      <c r="I134" s="770"/>
      <c r="J134" s="770">
        <f t="shared" si="9"/>
        <v>3299414.8244784134</v>
      </c>
      <c r="K134" s="769">
        <f>'Corrected and Updated TSF 1'!CJ134</f>
        <v>0</v>
      </c>
      <c r="L134" s="769">
        <f>SUM('Corrected and Updated TSF 1'!CK134:CL134)</f>
        <v>453669.53836578189</v>
      </c>
      <c r="M134" s="769">
        <f t="shared" si="10"/>
        <v>3753084.3628441952</v>
      </c>
      <c r="N134" s="771">
        <f>'Corrected and Updated TSF 1'!CN134</f>
        <v>0.125</v>
      </c>
      <c r="O134" s="769">
        <f>'Corrected and Updated TSF 1'!CO134</f>
        <v>469135.5453555244</v>
      </c>
      <c r="P134" s="769">
        <f>'Corrected and Updated TSF 1'!CP134</f>
        <v>30000</v>
      </c>
      <c r="Q134" s="769">
        <f>'Corrected and Updated TSF 1'!CQ134</f>
        <v>439135.5453555244</v>
      </c>
      <c r="R134" s="425">
        <f>'Corrected and Updated TSF 1'!CR134</f>
        <v>2</v>
      </c>
      <c r="S134" s="769">
        <f>'Corrected and Updated TSF 1'!CS134</f>
        <v>219567.7726777622</v>
      </c>
      <c r="T134" s="769">
        <f>'Corrected and Updated TSF 1'!CU134</f>
        <v>3283948.8174886708</v>
      </c>
      <c r="U134" s="769">
        <f>'Corrected and Updated TSF 1'!CV134</f>
        <v>25460.420228258285</v>
      </c>
      <c r="V134" s="772">
        <f>'Corrected and Updated TSF 1'!CW134</f>
        <v>29517.060371912146</v>
      </c>
      <c r="W134" s="773">
        <f>'Corrected and Updated TSF 1'!CX134</f>
        <v>38129.430303040841</v>
      </c>
      <c r="X134" s="773">
        <f>'Corrected and Updated TSF 1'!CY134</f>
        <v>65026.12253143925</v>
      </c>
      <c r="Y134" s="1130">
        <f>'Corrected and Updated TSF 1'!CZ134</f>
        <v>266765.60052283469</v>
      </c>
      <c r="Z134" s="1130">
        <f>'Corrected and Updated TSF 1'!DA134</f>
        <v>105557.84863703788</v>
      </c>
      <c r="AA134" s="1130">
        <f>'Corrected and Updated TSF 1'!DB134</f>
        <v>76242.939034180468</v>
      </c>
      <c r="AB134" s="1130">
        <f>'Corrected and Updated TSF 1'!DC134</f>
        <v>58024.386648638247</v>
      </c>
      <c r="AC134" s="774">
        <f>K134-'Corrected and Updated TSF 1'!CJ134</f>
        <v>0</v>
      </c>
      <c r="AD134" s="774">
        <f>L134-SUM('Corrected and Updated TSF 1'!CK134:CL134)</f>
        <v>0</v>
      </c>
      <c r="AE134" s="1173">
        <f t="shared" si="11"/>
        <v>3299414.8244784134</v>
      </c>
      <c r="AF134" s="1174">
        <f>SUM(FORM!$V$19:$W$22)+SUM(FORM!$V$25:$W$28)+SUM(FORM!$V$31:$W$34)</f>
        <v>0</v>
      </c>
      <c r="AG134" s="1173">
        <f t="shared" si="12"/>
        <v>3299414.8244784134</v>
      </c>
      <c r="AH134" s="1173"/>
      <c r="AI134" s="714"/>
      <c r="AJ134" s="714"/>
      <c r="AK134" s="714"/>
      <c r="AL134" s="714"/>
      <c r="AM134" s="714"/>
      <c r="AN134" s="714"/>
      <c r="AO134" s="714"/>
      <c r="AP134" s="714"/>
      <c r="AQ134" s="552"/>
      <c r="AR134" s="552"/>
      <c r="AS134" s="552"/>
      <c r="AT134" s="552"/>
    </row>
    <row r="135" spans="1:49" s="119" customFormat="1" ht="12.75" hidden="1" customHeight="1">
      <c r="A135" s="767" t="str">
        <f t="shared" si="8"/>
        <v>9I</v>
      </c>
      <c r="B135" s="768" t="str">
        <f>'Corrected and Updated TSF 1'!ER135</f>
        <v>SOLD</v>
      </c>
      <c r="C135" s="757" t="str">
        <f>'Corrected and Updated TSF 1'!E135</f>
        <v>9th Floor</v>
      </c>
      <c r="D135" s="642" t="str">
        <f>'Corrected and Updated TSF 1'!M135</f>
        <v>Inner</v>
      </c>
      <c r="E135" s="642" t="str">
        <f>'Corrected and Updated TSF 1'!G135</f>
        <v>9I</v>
      </c>
      <c r="F135" s="758" t="str">
        <f>'Corrected and Updated TSF 1'!I135</f>
        <v>Studio Unit</v>
      </c>
      <c r="G135" s="769">
        <f>'Corrected and Updated TSF 1'!J135</f>
        <v>22</v>
      </c>
      <c r="H135" s="769">
        <f>'Corrected and Updated TSF 1'!CI135</f>
        <v>3217761.6970289317</v>
      </c>
      <c r="I135" s="770"/>
      <c r="J135" s="770">
        <f t="shared" si="9"/>
        <v>3217761.6970289317</v>
      </c>
      <c r="K135" s="769">
        <f>'Corrected and Updated TSF 1'!CJ135</f>
        <v>0</v>
      </c>
      <c r="L135" s="769">
        <f>SUM('Corrected and Updated TSF 1'!CK135:CL135)</f>
        <v>442442.2333414781</v>
      </c>
      <c r="M135" s="769">
        <f t="shared" si="10"/>
        <v>3660203.93037041</v>
      </c>
      <c r="N135" s="771">
        <f>'Corrected and Updated TSF 1'!CN135</f>
        <v>0.125</v>
      </c>
      <c r="O135" s="769">
        <f>'Corrected and Updated TSF 1'!CO135</f>
        <v>457525.49129630125</v>
      </c>
      <c r="P135" s="769">
        <f>'Corrected and Updated TSF 1'!CP135</f>
        <v>30000</v>
      </c>
      <c r="Q135" s="769">
        <f>'Corrected and Updated TSF 1'!CQ135</f>
        <v>427525.49129630125</v>
      </c>
      <c r="R135" s="425">
        <f>'Corrected and Updated TSF 1'!CR135</f>
        <v>2</v>
      </c>
      <c r="S135" s="769">
        <f>'Corrected and Updated TSF 1'!CS135</f>
        <v>213762.74564815062</v>
      </c>
      <c r="T135" s="769">
        <f>'Corrected and Updated TSF 1'!CU135</f>
        <v>3202678.4390741088</v>
      </c>
      <c r="U135" s="769">
        <f>'Corrected and Updated TSF 1'!CV135</f>
        <v>24830.331849436756</v>
      </c>
      <c r="V135" s="772">
        <f>'Corrected and Updated TSF 1'!CW135</f>
        <v>28786.57923489331</v>
      </c>
      <c r="W135" s="773">
        <f>'Corrected and Updated TSF 1'!CX135</f>
        <v>37185.812298717152</v>
      </c>
      <c r="X135" s="773">
        <f>'Corrected and Updated TSF 1'!CY135</f>
        <v>63416.871633003168</v>
      </c>
      <c r="Y135" s="1130">
        <f>'Corrected and Updated TSF 1'!CZ135</f>
        <v>260163.749365161</v>
      </c>
      <c r="Z135" s="1130">
        <f>'Corrected and Updated TSF 1'!DA135</f>
        <v>102945.52829340976</v>
      </c>
      <c r="AA135" s="1130">
        <f>'Corrected and Updated TSF 1'!DB135</f>
        <v>74356.097048779266</v>
      </c>
      <c r="AB135" s="1130">
        <f>'Corrected and Updated TSF 1'!DC135</f>
        <v>56588.413032029348</v>
      </c>
      <c r="AC135" s="774">
        <f>K135-'Corrected and Updated TSF 1'!CJ135</f>
        <v>0</v>
      </c>
      <c r="AD135" s="774">
        <f>L135-SUM('Corrected and Updated TSF 1'!CK135:CL135)</f>
        <v>0</v>
      </c>
      <c r="AE135" s="1173">
        <f t="shared" si="11"/>
        <v>3217761.6970289317</v>
      </c>
      <c r="AF135" s="1174">
        <f>SUM(FORM!$V$19:$W$22)+SUM(FORM!$V$25:$W$28)+SUM(FORM!$V$31:$W$34)</f>
        <v>0</v>
      </c>
      <c r="AG135" s="1173">
        <f t="shared" si="12"/>
        <v>3217761.6970289317</v>
      </c>
      <c r="AH135" s="1173"/>
      <c r="AI135" s="714"/>
      <c r="AJ135" s="714"/>
      <c r="AK135" s="714"/>
      <c r="AL135" s="714"/>
      <c r="AM135" s="714"/>
      <c r="AN135" s="714"/>
      <c r="AO135" s="714"/>
      <c r="AP135" s="714"/>
      <c r="AQ135" s="552"/>
      <c r="AR135" s="552"/>
      <c r="AS135" s="552"/>
      <c r="AT135" s="552"/>
    </row>
    <row r="136" spans="1:49" s="119" customFormat="1" ht="12.75" hidden="1" customHeight="1">
      <c r="A136" s="767" t="str">
        <f t="shared" ref="A136:A199" si="13">E136</f>
        <v>9J</v>
      </c>
      <c r="B136" s="768" t="str">
        <f>'Corrected and Updated TSF 1'!ER136</f>
        <v>SOLD</v>
      </c>
      <c r="C136" s="757" t="str">
        <f>'Corrected and Updated TSF 1'!E136</f>
        <v>9th Floor</v>
      </c>
      <c r="D136" s="642" t="str">
        <f>'Corrected and Updated TSF 1'!M136</f>
        <v>Inner</v>
      </c>
      <c r="E136" s="642" t="str">
        <f>'Corrected and Updated TSF 1'!G136</f>
        <v>9J</v>
      </c>
      <c r="F136" s="758" t="str">
        <f>'Corrected and Updated TSF 1'!I136</f>
        <v>Studio Unit</v>
      </c>
      <c r="G136" s="769">
        <f>'Corrected and Updated TSF 1'!J136</f>
        <v>22</v>
      </c>
      <c r="H136" s="769">
        <f>'Corrected and Updated TSF 1'!CI136</f>
        <v>3217761.6970289317</v>
      </c>
      <c r="I136" s="770"/>
      <c r="J136" s="770">
        <f t="shared" ref="J136:J199" si="14">H136-I136</f>
        <v>3217761.6970289317</v>
      </c>
      <c r="K136" s="769">
        <f>'Corrected and Updated TSF 1'!CJ136</f>
        <v>0</v>
      </c>
      <c r="L136" s="769">
        <f>SUM('Corrected and Updated TSF 1'!CK136:CL136)</f>
        <v>442442.2333414781</v>
      </c>
      <c r="M136" s="769">
        <f t="shared" ref="M136:M199" si="15">SUM(J136:L136)</f>
        <v>3660203.93037041</v>
      </c>
      <c r="N136" s="771">
        <f>'Corrected and Updated TSF 1'!CN136</f>
        <v>0.125</v>
      </c>
      <c r="O136" s="769">
        <f>'Corrected and Updated TSF 1'!CO136</f>
        <v>457525.49129630125</v>
      </c>
      <c r="P136" s="769">
        <f>'Corrected and Updated TSF 1'!CP136</f>
        <v>30000</v>
      </c>
      <c r="Q136" s="769">
        <f>'Corrected and Updated TSF 1'!CQ136</f>
        <v>427525.49129630125</v>
      </c>
      <c r="R136" s="425">
        <f>'Corrected and Updated TSF 1'!CR136</f>
        <v>2</v>
      </c>
      <c r="S136" s="769">
        <f>'Corrected and Updated TSF 1'!CS136</f>
        <v>213762.74564815062</v>
      </c>
      <c r="T136" s="769">
        <f>'Corrected and Updated TSF 1'!CU136</f>
        <v>3202678.4390741088</v>
      </c>
      <c r="U136" s="769">
        <f>'Corrected and Updated TSF 1'!CV136</f>
        <v>24830.331849436756</v>
      </c>
      <c r="V136" s="772">
        <f>'Corrected and Updated TSF 1'!CW136</f>
        <v>28786.57923489331</v>
      </c>
      <c r="W136" s="773">
        <f>'Corrected and Updated TSF 1'!CX136</f>
        <v>37185.812298717152</v>
      </c>
      <c r="X136" s="773">
        <f>'Corrected and Updated TSF 1'!CY136</f>
        <v>63416.871633003168</v>
      </c>
      <c r="Y136" s="1130">
        <f>'Corrected and Updated TSF 1'!CZ136</f>
        <v>260163.749365161</v>
      </c>
      <c r="Z136" s="1130">
        <f>'Corrected and Updated TSF 1'!DA136</f>
        <v>102945.52829340976</v>
      </c>
      <c r="AA136" s="1130">
        <f>'Corrected and Updated TSF 1'!DB136</f>
        <v>74356.097048779266</v>
      </c>
      <c r="AB136" s="1130">
        <f>'Corrected and Updated TSF 1'!DC136</f>
        <v>56588.413032029348</v>
      </c>
      <c r="AC136" s="774">
        <f>K136-'Corrected and Updated TSF 1'!CJ136</f>
        <v>0</v>
      </c>
      <c r="AD136" s="774">
        <f>L136-SUM('Corrected and Updated TSF 1'!CK136:CL136)</f>
        <v>0</v>
      </c>
      <c r="AE136" s="1173">
        <f t="shared" si="11"/>
        <v>3217761.6970289317</v>
      </c>
      <c r="AF136" s="1174">
        <f>SUM(FORM!$V$19:$W$22)+SUM(FORM!$V$25:$W$28)+SUM(FORM!$V$31:$W$34)</f>
        <v>0</v>
      </c>
      <c r="AG136" s="1173">
        <f t="shared" si="12"/>
        <v>3217761.6970289317</v>
      </c>
      <c r="AH136" s="1173"/>
      <c r="AI136" s="714"/>
      <c r="AJ136" s="714"/>
      <c r="AK136" s="714"/>
      <c r="AL136" s="714"/>
      <c r="AM136" s="714"/>
      <c r="AN136" s="714"/>
      <c r="AO136" s="714"/>
      <c r="AP136" s="714"/>
      <c r="AQ136" s="552"/>
      <c r="AR136" s="552"/>
      <c r="AS136" s="552"/>
      <c r="AT136" s="552"/>
    </row>
    <row r="137" spans="1:49" s="119" customFormat="1" ht="12.75" hidden="1" customHeight="1">
      <c r="A137" s="767" t="str">
        <f t="shared" si="13"/>
        <v>9K</v>
      </c>
      <c r="B137" s="768" t="str">
        <f>'Corrected and Updated TSF 1'!ER137</f>
        <v>SOLD</v>
      </c>
      <c r="C137" s="757" t="str">
        <f>'Corrected and Updated TSF 1'!E137</f>
        <v>9th Floor</v>
      </c>
      <c r="D137" s="642" t="str">
        <f>'Corrected and Updated TSF 1'!M137</f>
        <v>Inner</v>
      </c>
      <c r="E137" s="642" t="str">
        <f>'Corrected and Updated TSF 1'!G137</f>
        <v>9K</v>
      </c>
      <c r="F137" s="758" t="str">
        <f>'Corrected and Updated TSF 1'!I137</f>
        <v>Studio Unit</v>
      </c>
      <c r="G137" s="769">
        <f>'Corrected and Updated TSF 1'!J137</f>
        <v>22</v>
      </c>
      <c r="H137" s="769">
        <f>'Corrected and Updated TSF 1'!CI137</f>
        <v>3217761.6970289317</v>
      </c>
      <c r="I137" s="770"/>
      <c r="J137" s="770">
        <f t="shared" si="14"/>
        <v>3217761.6970289317</v>
      </c>
      <c r="K137" s="769">
        <f>'Corrected and Updated TSF 1'!CJ137</f>
        <v>0</v>
      </c>
      <c r="L137" s="769">
        <f>SUM('Corrected and Updated TSF 1'!CK137:CL137)</f>
        <v>442442.2333414781</v>
      </c>
      <c r="M137" s="769">
        <f t="shared" si="15"/>
        <v>3660203.93037041</v>
      </c>
      <c r="N137" s="771">
        <f>'Corrected and Updated TSF 1'!CN137</f>
        <v>0.125</v>
      </c>
      <c r="O137" s="769">
        <f>'Corrected and Updated TSF 1'!CO137</f>
        <v>457525.49129630125</v>
      </c>
      <c r="P137" s="769">
        <f>'Corrected and Updated TSF 1'!CP137</f>
        <v>30000</v>
      </c>
      <c r="Q137" s="769">
        <f>'Corrected and Updated TSF 1'!CQ137</f>
        <v>427525.49129630125</v>
      </c>
      <c r="R137" s="425">
        <f>'Corrected and Updated TSF 1'!CR137</f>
        <v>2</v>
      </c>
      <c r="S137" s="769">
        <f>'Corrected and Updated TSF 1'!CS137</f>
        <v>213762.74564815062</v>
      </c>
      <c r="T137" s="769">
        <f>'Corrected and Updated TSF 1'!CU137</f>
        <v>3202678.4390741088</v>
      </c>
      <c r="U137" s="769">
        <f>'Corrected and Updated TSF 1'!CV137</f>
        <v>24830.331849436756</v>
      </c>
      <c r="V137" s="772">
        <f>'Corrected and Updated TSF 1'!CW137</f>
        <v>28786.57923489331</v>
      </c>
      <c r="W137" s="773">
        <f>'Corrected and Updated TSF 1'!CX137</f>
        <v>37185.812298717152</v>
      </c>
      <c r="X137" s="773">
        <f>'Corrected and Updated TSF 1'!CY137</f>
        <v>63416.871633003168</v>
      </c>
      <c r="Y137" s="1130">
        <f>'Corrected and Updated TSF 1'!CZ137</f>
        <v>260163.749365161</v>
      </c>
      <c r="Z137" s="1130">
        <f>'Corrected and Updated TSF 1'!DA137</f>
        <v>102945.52829340976</v>
      </c>
      <c r="AA137" s="1130">
        <f>'Corrected and Updated TSF 1'!DB137</f>
        <v>74356.097048779266</v>
      </c>
      <c r="AB137" s="1130">
        <f>'Corrected and Updated TSF 1'!DC137</f>
        <v>56588.413032029348</v>
      </c>
      <c r="AC137" s="774">
        <f>K137-'Corrected and Updated TSF 1'!CJ137</f>
        <v>0</v>
      </c>
      <c r="AD137" s="774">
        <f>L137-SUM('Corrected and Updated TSF 1'!CK137:CL137)</f>
        <v>0</v>
      </c>
      <c r="AE137" s="1173">
        <f t="shared" si="11"/>
        <v>3217761.6970289317</v>
      </c>
      <c r="AF137" s="1174">
        <f>SUM(FORM!$V$19:$W$22)+SUM(FORM!$V$25:$W$28)+SUM(FORM!$V$31:$W$34)</f>
        <v>0</v>
      </c>
      <c r="AG137" s="1173">
        <f t="shared" si="12"/>
        <v>3217761.6970289317</v>
      </c>
      <c r="AH137" s="1173"/>
      <c r="AI137" s="714"/>
      <c r="AJ137" s="714"/>
      <c r="AK137" s="714"/>
      <c r="AL137" s="714"/>
      <c r="AM137" s="714"/>
      <c r="AN137" s="714"/>
      <c r="AO137" s="714"/>
      <c r="AP137" s="714"/>
      <c r="AQ137" s="552"/>
      <c r="AR137" s="552"/>
      <c r="AS137" s="552"/>
      <c r="AT137" s="552"/>
    </row>
    <row r="138" spans="1:49" s="119" customFormat="1" ht="12.75" hidden="1" customHeight="1">
      <c r="A138" s="767" t="str">
        <f t="shared" si="13"/>
        <v>9L</v>
      </c>
      <c r="B138" s="768" t="str">
        <f>'Corrected and Updated TSF 1'!ER138</f>
        <v>SOLD</v>
      </c>
      <c r="C138" s="757" t="str">
        <f>'Corrected and Updated TSF 1'!E138</f>
        <v>9th Floor</v>
      </c>
      <c r="D138" s="642" t="str">
        <f>'Corrected and Updated TSF 1'!M138</f>
        <v>Inner</v>
      </c>
      <c r="E138" s="642" t="str">
        <f>'Corrected and Updated TSF 1'!G138</f>
        <v>9L</v>
      </c>
      <c r="F138" s="758" t="str">
        <f>'Corrected and Updated TSF 1'!I138</f>
        <v>Studio Unit</v>
      </c>
      <c r="G138" s="769">
        <f>'Corrected and Updated TSF 1'!J138</f>
        <v>22</v>
      </c>
      <c r="H138" s="769">
        <f>'Corrected and Updated TSF 1'!CI138</f>
        <v>3217761.6970289317</v>
      </c>
      <c r="I138" s="770"/>
      <c r="J138" s="770">
        <f t="shared" si="14"/>
        <v>3217761.6970289317</v>
      </c>
      <c r="K138" s="769">
        <f>'Corrected and Updated TSF 1'!CJ138</f>
        <v>0</v>
      </c>
      <c r="L138" s="769">
        <f>SUM('Corrected and Updated TSF 1'!CK138:CL138)</f>
        <v>442442.2333414781</v>
      </c>
      <c r="M138" s="769">
        <f t="shared" si="15"/>
        <v>3660203.93037041</v>
      </c>
      <c r="N138" s="771">
        <f>'Corrected and Updated TSF 1'!CN138</f>
        <v>0.125</v>
      </c>
      <c r="O138" s="769">
        <f>'Corrected and Updated TSF 1'!CO138</f>
        <v>457525.49129630125</v>
      </c>
      <c r="P138" s="769">
        <f>'Corrected and Updated TSF 1'!CP138</f>
        <v>30000</v>
      </c>
      <c r="Q138" s="769">
        <f>'Corrected and Updated TSF 1'!CQ138</f>
        <v>427525.49129630125</v>
      </c>
      <c r="R138" s="425">
        <f>'Corrected and Updated TSF 1'!CR138</f>
        <v>2</v>
      </c>
      <c r="S138" s="769">
        <f>'Corrected and Updated TSF 1'!CS138</f>
        <v>213762.74564815062</v>
      </c>
      <c r="T138" s="769">
        <f>'Corrected and Updated TSF 1'!CU138</f>
        <v>3202678.4390741088</v>
      </c>
      <c r="U138" s="769">
        <f>'Corrected and Updated TSF 1'!CV138</f>
        <v>24830.331849436756</v>
      </c>
      <c r="V138" s="772">
        <f>'Corrected and Updated TSF 1'!CW138</f>
        <v>28786.57923489331</v>
      </c>
      <c r="W138" s="773">
        <f>'Corrected and Updated TSF 1'!CX138</f>
        <v>37185.812298717152</v>
      </c>
      <c r="X138" s="773">
        <f>'Corrected and Updated TSF 1'!CY138</f>
        <v>63416.871633003168</v>
      </c>
      <c r="Y138" s="1130">
        <f>'Corrected and Updated TSF 1'!CZ138</f>
        <v>260163.749365161</v>
      </c>
      <c r="Z138" s="1130">
        <f>'Corrected and Updated TSF 1'!DA138</f>
        <v>102945.52829340976</v>
      </c>
      <c r="AA138" s="1130">
        <f>'Corrected and Updated TSF 1'!DB138</f>
        <v>74356.097048779266</v>
      </c>
      <c r="AB138" s="1130">
        <f>'Corrected and Updated TSF 1'!DC138</f>
        <v>56588.413032029348</v>
      </c>
      <c r="AC138" s="774">
        <f>K138-'Corrected and Updated TSF 1'!CJ138</f>
        <v>0</v>
      </c>
      <c r="AD138" s="774">
        <f>L138-SUM('Corrected and Updated TSF 1'!CK138:CL138)</f>
        <v>0</v>
      </c>
      <c r="AE138" s="1173">
        <f t="shared" si="11"/>
        <v>3217761.6970289317</v>
      </c>
      <c r="AF138" s="1174">
        <f>SUM(FORM!$V$19:$W$22)+SUM(FORM!$V$25:$W$28)+SUM(FORM!$V$31:$W$34)</f>
        <v>0</v>
      </c>
      <c r="AG138" s="1173">
        <f t="shared" si="12"/>
        <v>3217761.6970289317</v>
      </c>
      <c r="AH138" s="1173"/>
      <c r="AI138" s="714"/>
      <c r="AJ138" s="714"/>
      <c r="AK138" s="714"/>
      <c r="AL138" s="714"/>
      <c r="AM138" s="714"/>
      <c r="AN138" s="714"/>
      <c r="AO138" s="714"/>
      <c r="AP138" s="714"/>
      <c r="AQ138" s="552"/>
      <c r="AR138" s="552"/>
      <c r="AS138" s="552"/>
      <c r="AT138" s="552"/>
    </row>
    <row r="139" spans="1:49" s="119" customFormat="1" ht="12.75" hidden="1" customHeight="1">
      <c r="A139" s="767" t="str">
        <f t="shared" si="13"/>
        <v>9M</v>
      </c>
      <c r="B139" s="768" t="str">
        <f>'Corrected and Updated TSF 1'!ER139</f>
        <v>SOLD</v>
      </c>
      <c r="C139" s="757" t="str">
        <f>'Corrected and Updated TSF 1'!E139</f>
        <v>9th Floor</v>
      </c>
      <c r="D139" s="642" t="str">
        <f>'Corrected and Updated TSF 1'!M139</f>
        <v>Inner</v>
      </c>
      <c r="E139" s="642" t="str">
        <f>'Corrected and Updated TSF 1'!G139</f>
        <v>9M</v>
      </c>
      <c r="F139" s="758" t="str">
        <f>'Corrected and Updated TSF 1'!I139</f>
        <v>Studio Unit</v>
      </c>
      <c r="G139" s="769">
        <f>'Corrected and Updated TSF 1'!J139</f>
        <v>22</v>
      </c>
      <c r="H139" s="769">
        <f>'Corrected and Updated TSF 1'!CI139</f>
        <v>3217761.6970289317</v>
      </c>
      <c r="I139" s="770"/>
      <c r="J139" s="770">
        <f t="shared" si="14"/>
        <v>3217761.6970289317</v>
      </c>
      <c r="K139" s="769">
        <f>'Corrected and Updated TSF 1'!CJ139</f>
        <v>0</v>
      </c>
      <c r="L139" s="769">
        <f>SUM('Corrected and Updated TSF 1'!CK139:CL139)</f>
        <v>442442.2333414781</v>
      </c>
      <c r="M139" s="769">
        <f t="shared" si="15"/>
        <v>3660203.93037041</v>
      </c>
      <c r="N139" s="771">
        <f>'Corrected and Updated TSF 1'!CN139</f>
        <v>0.125</v>
      </c>
      <c r="O139" s="769">
        <f>'Corrected and Updated TSF 1'!CO139</f>
        <v>457525.49129630125</v>
      </c>
      <c r="P139" s="769">
        <f>'Corrected and Updated TSF 1'!CP139</f>
        <v>30000</v>
      </c>
      <c r="Q139" s="769">
        <f>'Corrected and Updated TSF 1'!CQ139</f>
        <v>427525.49129630125</v>
      </c>
      <c r="R139" s="425">
        <f>'Corrected and Updated TSF 1'!CR139</f>
        <v>2</v>
      </c>
      <c r="S139" s="769">
        <f>'Corrected and Updated TSF 1'!CS139</f>
        <v>213762.74564815062</v>
      </c>
      <c r="T139" s="769">
        <f>'Corrected and Updated TSF 1'!CU139</f>
        <v>3202678.4390741088</v>
      </c>
      <c r="U139" s="769">
        <f>'Corrected and Updated TSF 1'!CV139</f>
        <v>24830.331849436756</v>
      </c>
      <c r="V139" s="772">
        <f>'Corrected and Updated TSF 1'!CW139</f>
        <v>28786.57923489331</v>
      </c>
      <c r="W139" s="773">
        <f>'Corrected and Updated TSF 1'!CX139</f>
        <v>37185.812298717152</v>
      </c>
      <c r="X139" s="773">
        <f>'Corrected and Updated TSF 1'!CY139</f>
        <v>63416.871633003168</v>
      </c>
      <c r="Y139" s="1130">
        <f>'Corrected and Updated TSF 1'!CZ139</f>
        <v>260163.749365161</v>
      </c>
      <c r="Z139" s="1130">
        <f>'Corrected and Updated TSF 1'!DA139</f>
        <v>102945.52829340976</v>
      </c>
      <c r="AA139" s="1130">
        <f>'Corrected and Updated TSF 1'!DB139</f>
        <v>74356.097048779266</v>
      </c>
      <c r="AB139" s="1130">
        <f>'Corrected and Updated TSF 1'!DC139</f>
        <v>56588.413032029348</v>
      </c>
      <c r="AC139" s="774">
        <f>K139-'Corrected and Updated TSF 1'!CJ139</f>
        <v>0</v>
      </c>
      <c r="AD139" s="774">
        <f>L139-SUM('Corrected and Updated TSF 1'!CK139:CL139)</f>
        <v>0</v>
      </c>
      <c r="AE139" s="1173">
        <f t="shared" si="11"/>
        <v>3217761.6970289317</v>
      </c>
      <c r="AF139" s="1174">
        <f>SUM(FORM!$V$19:$W$22)+SUM(FORM!$V$25:$W$28)+SUM(FORM!$V$31:$W$34)</f>
        <v>0</v>
      </c>
      <c r="AG139" s="1173">
        <f t="shared" si="12"/>
        <v>3217761.6970289317</v>
      </c>
      <c r="AH139" s="1173"/>
      <c r="AI139" s="714"/>
      <c r="AJ139" s="714"/>
      <c r="AK139" s="714"/>
      <c r="AL139" s="714"/>
      <c r="AM139" s="714"/>
      <c r="AN139" s="714"/>
      <c r="AO139" s="714"/>
      <c r="AP139" s="714"/>
      <c r="AQ139" s="552"/>
      <c r="AR139" s="552"/>
      <c r="AS139" s="552"/>
      <c r="AT139" s="552"/>
    </row>
    <row r="140" spans="1:49" s="119" customFormat="1" ht="12.75" hidden="1" customHeight="1">
      <c r="A140" s="767" t="str">
        <f t="shared" si="13"/>
        <v>9N</v>
      </c>
      <c r="B140" s="768" t="str">
        <f>'Corrected and Updated TSF 1'!ER140</f>
        <v>SOLD</v>
      </c>
      <c r="C140" s="757" t="str">
        <f>'Corrected and Updated TSF 1'!E140</f>
        <v>9th Floor</v>
      </c>
      <c r="D140" s="642" t="str">
        <f>'Corrected and Updated TSF 1'!M140</f>
        <v>Inner</v>
      </c>
      <c r="E140" s="642" t="str">
        <f>'Corrected and Updated TSF 1'!G140</f>
        <v>9N</v>
      </c>
      <c r="F140" s="758" t="str">
        <f>'Corrected and Updated TSF 1'!I140</f>
        <v>Studio Unit</v>
      </c>
      <c r="G140" s="769">
        <f>'Corrected and Updated TSF 1'!J140</f>
        <v>22</v>
      </c>
      <c r="H140" s="769">
        <f>'Corrected and Updated TSF 1'!CI140</f>
        <v>3217761.6970289317</v>
      </c>
      <c r="I140" s="770"/>
      <c r="J140" s="770">
        <f t="shared" si="14"/>
        <v>3217761.6970289317</v>
      </c>
      <c r="K140" s="769">
        <f>'Corrected and Updated TSF 1'!CJ140</f>
        <v>0</v>
      </c>
      <c r="L140" s="769">
        <f>SUM('Corrected and Updated TSF 1'!CK140:CL140)</f>
        <v>442442.2333414781</v>
      </c>
      <c r="M140" s="769">
        <f t="shared" si="15"/>
        <v>3660203.93037041</v>
      </c>
      <c r="N140" s="771">
        <f>'Corrected and Updated TSF 1'!CN140</f>
        <v>0.125</v>
      </c>
      <c r="O140" s="769">
        <f>'Corrected and Updated TSF 1'!CO140</f>
        <v>457525.49129630125</v>
      </c>
      <c r="P140" s="769">
        <f>'Corrected and Updated TSF 1'!CP140</f>
        <v>30000</v>
      </c>
      <c r="Q140" s="769">
        <f>'Corrected and Updated TSF 1'!CQ140</f>
        <v>427525.49129630125</v>
      </c>
      <c r="R140" s="425">
        <f>'Corrected and Updated TSF 1'!CR140</f>
        <v>2</v>
      </c>
      <c r="S140" s="769">
        <f>'Corrected and Updated TSF 1'!CS140</f>
        <v>213762.74564815062</v>
      </c>
      <c r="T140" s="769">
        <f>'Corrected and Updated TSF 1'!CU140</f>
        <v>3202678.4390741088</v>
      </c>
      <c r="U140" s="769">
        <f>'Corrected and Updated TSF 1'!CV140</f>
        <v>24830.331849436756</v>
      </c>
      <c r="V140" s="772">
        <f>'Corrected and Updated TSF 1'!CW140</f>
        <v>28786.57923489331</v>
      </c>
      <c r="W140" s="773">
        <f>'Corrected and Updated TSF 1'!CX140</f>
        <v>37185.812298717152</v>
      </c>
      <c r="X140" s="773">
        <f>'Corrected and Updated TSF 1'!CY140</f>
        <v>63416.871633003168</v>
      </c>
      <c r="Y140" s="1130">
        <f>'Corrected and Updated TSF 1'!CZ140</f>
        <v>260163.749365161</v>
      </c>
      <c r="Z140" s="1130">
        <f>'Corrected and Updated TSF 1'!DA140</f>
        <v>102945.52829340976</v>
      </c>
      <c r="AA140" s="1130">
        <f>'Corrected and Updated TSF 1'!DB140</f>
        <v>74356.097048779266</v>
      </c>
      <c r="AB140" s="1130">
        <f>'Corrected and Updated TSF 1'!DC140</f>
        <v>56588.413032029348</v>
      </c>
      <c r="AC140" s="774">
        <f>K140-'Corrected and Updated TSF 1'!CJ140</f>
        <v>0</v>
      </c>
      <c r="AD140" s="774">
        <f>L140-SUM('Corrected and Updated TSF 1'!CK140:CL140)</f>
        <v>0</v>
      </c>
      <c r="AE140" s="1173">
        <f t="shared" si="11"/>
        <v>3217761.6970289317</v>
      </c>
      <c r="AF140" s="1174">
        <f>SUM(FORM!$V$19:$W$22)+SUM(FORM!$V$25:$W$28)+SUM(FORM!$V$31:$W$34)</f>
        <v>0</v>
      </c>
      <c r="AG140" s="1173">
        <f t="shared" si="12"/>
        <v>3217761.6970289317</v>
      </c>
      <c r="AH140" s="1173"/>
      <c r="AI140" s="714"/>
      <c r="AJ140" s="714"/>
      <c r="AK140" s="714"/>
      <c r="AL140" s="714"/>
      <c r="AM140" s="714"/>
      <c r="AN140" s="714"/>
      <c r="AO140" s="714"/>
      <c r="AP140" s="714"/>
      <c r="AQ140" s="552"/>
      <c r="AR140" s="552"/>
      <c r="AS140" s="552"/>
      <c r="AT140" s="552"/>
    </row>
    <row r="141" spans="1:49" s="119" customFormat="1" ht="12.75" hidden="1" customHeight="1">
      <c r="A141" s="767" t="str">
        <f t="shared" si="13"/>
        <v>9O</v>
      </c>
      <c r="B141" s="768" t="str">
        <f>'Corrected and Updated TSF 1'!ER141</f>
        <v>SOLD</v>
      </c>
      <c r="C141" s="757" t="str">
        <f>'Corrected and Updated TSF 1'!E141</f>
        <v>9th Floor</v>
      </c>
      <c r="D141" s="642" t="str">
        <f>'Corrected and Updated TSF 1'!M141</f>
        <v>Inner</v>
      </c>
      <c r="E141" s="642" t="str">
        <f>'Corrected and Updated TSF 1'!G141</f>
        <v>9O</v>
      </c>
      <c r="F141" s="758" t="str">
        <f>'Corrected and Updated TSF 1'!I141</f>
        <v>Studio Unit</v>
      </c>
      <c r="G141" s="769">
        <f>'Corrected and Updated TSF 1'!J141</f>
        <v>22</v>
      </c>
      <c r="H141" s="769">
        <f>'Corrected and Updated TSF 1'!CI141</f>
        <v>3217761.6970289317</v>
      </c>
      <c r="I141" s="770"/>
      <c r="J141" s="770">
        <f t="shared" si="14"/>
        <v>3217761.6970289317</v>
      </c>
      <c r="K141" s="769">
        <f>'Corrected and Updated TSF 1'!CJ141</f>
        <v>0</v>
      </c>
      <c r="L141" s="769">
        <f>SUM('Corrected and Updated TSF 1'!CK141:CL141)</f>
        <v>442442.2333414781</v>
      </c>
      <c r="M141" s="769">
        <f t="shared" si="15"/>
        <v>3660203.93037041</v>
      </c>
      <c r="N141" s="771">
        <f>'Corrected and Updated TSF 1'!CN141</f>
        <v>0.125</v>
      </c>
      <c r="O141" s="769">
        <f>'Corrected and Updated TSF 1'!CO141</f>
        <v>457525.49129630125</v>
      </c>
      <c r="P141" s="769">
        <f>'Corrected and Updated TSF 1'!CP141</f>
        <v>30000</v>
      </c>
      <c r="Q141" s="769">
        <f>'Corrected and Updated TSF 1'!CQ141</f>
        <v>427525.49129630125</v>
      </c>
      <c r="R141" s="425">
        <f>'Corrected and Updated TSF 1'!CR141</f>
        <v>2</v>
      </c>
      <c r="S141" s="769">
        <f>'Corrected and Updated TSF 1'!CS141</f>
        <v>213762.74564815062</v>
      </c>
      <c r="T141" s="769">
        <f>'Corrected and Updated TSF 1'!CU141</f>
        <v>3202678.4390741088</v>
      </c>
      <c r="U141" s="769">
        <f>'Corrected and Updated TSF 1'!CV141</f>
        <v>24830.331849436756</v>
      </c>
      <c r="V141" s="772">
        <f>'Corrected and Updated TSF 1'!CW141</f>
        <v>28786.57923489331</v>
      </c>
      <c r="W141" s="773">
        <f>'Corrected and Updated TSF 1'!CX141</f>
        <v>37185.812298717152</v>
      </c>
      <c r="X141" s="773">
        <f>'Corrected and Updated TSF 1'!CY141</f>
        <v>63416.871633003168</v>
      </c>
      <c r="Y141" s="1130">
        <f>'Corrected and Updated TSF 1'!CZ141</f>
        <v>260163.749365161</v>
      </c>
      <c r="Z141" s="1130">
        <f>'Corrected and Updated TSF 1'!DA141</f>
        <v>102945.52829340976</v>
      </c>
      <c r="AA141" s="1130">
        <f>'Corrected and Updated TSF 1'!DB141</f>
        <v>74356.097048779266</v>
      </c>
      <c r="AB141" s="1130">
        <f>'Corrected and Updated TSF 1'!DC141</f>
        <v>56588.413032029348</v>
      </c>
      <c r="AC141" s="774">
        <f>K141-'Corrected and Updated TSF 1'!CJ141</f>
        <v>0</v>
      </c>
      <c r="AD141" s="774">
        <f>L141-SUM('Corrected and Updated TSF 1'!CK141:CL141)</f>
        <v>0</v>
      </c>
      <c r="AE141" s="1173">
        <f t="shared" ref="AE141:AE204" si="16">H141</f>
        <v>3217761.6970289317</v>
      </c>
      <c r="AF141" s="1174">
        <f>SUM(FORM!$V$19:$W$22)+SUM(FORM!$V$25:$W$28)+SUM(FORM!$V$31:$W$34)</f>
        <v>0</v>
      </c>
      <c r="AG141" s="1173">
        <f t="shared" ref="AG141:AG204" si="17">AE141-AF141</f>
        <v>3217761.6970289317</v>
      </c>
      <c r="AH141" s="1173"/>
      <c r="AI141" s="714"/>
      <c r="AJ141" s="714"/>
      <c r="AK141" s="714"/>
      <c r="AL141" s="714"/>
      <c r="AM141" s="714"/>
      <c r="AN141" s="714"/>
      <c r="AO141" s="714"/>
      <c r="AP141" s="714"/>
      <c r="AQ141" s="552"/>
      <c r="AR141" s="552"/>
      <c r="AS141" s="552"/>
      <c r="AT141" s="552"/>
    </row>
    <row r="142" spans="1:49" s="119" customFormat="1" ht="12.75" hidden="1" customHeight="1">
      <c r="A142" s="767" t="str">
        <f t="shared" si="13"/>
        <v>9P</v>
      </c>
      <c r="B142" s="768" t="str">
        <f>'Corrected and Updated TSF 1'!ER142</f>
        <v>SOLD</v>
      </c>
      <c r="C142" s="757" t="str">
        <f>'Corrected and Updated TSF 1'!E142</f>
        <v>9th Floor</v>
      </c>
      <c r="D142" s="642" t="str">
        <f>'Corrected and Updated TSF 1'!M142</f>
        <v>Inner</v>
      </c>
      <c r="E142" s="642" t="str">
        <f>'Corrected and Updated TSF 1'!G142</f>
        <v>9P</v>
      </c>
      <c r="F142" s="758" t="str">
        <f>'Corrected and Updated TSF 1'!I142</f>
        <v>Studio Unit</v>
      </c>
      <c r="G142" s="769">
        <f>'Corrected and Updated TSF 1'!J142</f>
        <v>22</v>
      </c>
      <c r="H142" s="769">
        <f>'Corrected and Updated TSF 1'!CI142</f>
        <v>3217761.6970289317</v>
      </c>
      <c r="I142" s="770"/>
      <c r="J142" s="770">
        <f t="shared" si="14"/>
        <v>3217761.6970289317</v>
      </c>
      <c r="K142" s="769">
        <f>'Corrected and Updated TSF 1'!CJ142</f>
        <v>0</v>
      </c>
      <c r="L142" s="769">
        <f>SUM('Corrected and Updated TSF 1'!CK142:CL142)</f>
        <v>442442.2333414781</v>
      </c>
      <c r="M142" s="769">
        <f t="shared" si="15"/>
        <v>3660203.93037041</v>
      </c>
      <c r="N142" s="771">
        <f>'Corrected and Updated TSF 1'!CN142</f>
        <v>0.125</v>
      </c>
      <c r="O142" s="769">
        <f>'Corrected and Updated TSF 1'!CO142</f>
        <v>457525.49129630125</v>
      </c>
      <c r="P142" s="769">
        <f>'Corrected and Updated TSF 1'!CP142</f>
        <v>30000</v>
      </c>
      <c r="Q142" s="769">
        <f>'Corrected and Updated TSF 1'!CQ142</f>
        <v>427525.49129630125</v>
      </c>
      <c r="R142" s="425">
        <f>'Corrected and Updated TSF 1'!CR142</f>
        <v>2</v>
      </c>
      <c r="S142" s="769">
        <f>'Corrected and Updated TSF 1'!CS142</f>
        <v>213762.74564815062</v>
      </c>
      <c r="T142" s="769">
        <f>'Corrected and Updated TSF 1'!CU142</f>
        <v>3202678.4390741088</v>
      </c>
      <c r="U142" s="769">
        <f>'Corrected and Updated TSF 1'!CV142</f>
        <v>24830.331849436756</v>
      </c>
      <c r="V142" s="772">
        <f>'Corrected and Updated TSF 1'!CW142</f>
        <v>28786.57923489331</v>
      </c>
      <c r="W142" s="773">
        <f>'Corrected and Updated TSF 1'!CX142</f>
        <v>37185.812298717152</v>
      </c>
      <c r="X142" s="773">
        <f>'Corrected and Updated TSF 1'!CY142</f>
        <v>63416.871633003168</v>
      </c>
      <c r="Y142" s="1130">
        <f>'Corrected and Updated TSF 1'!CZ142</f>
        <v>260163.749365161</v>
      </c>
      <c r="Z142" s="1130">
        <f>'Corrected and Updated TSF 1'!DA142</f>
        <v>102945.52829340976</v>
      </c>
      <c r="AA142" s="1130">
        <f>'Corrected and Updated TSF 1'!DB142</f>
        <v>74356.097048779266</v>
      </c>
      <c r="AB142" s="1130">
        <f>'Corrected and Updated TSF 1'!DC142</f>
        <v>56588.413032029348</v>
      </c>
      <c r="AC142" s="774">
        <f>K142-'Corrected and Updated TSF 1'!CJ142</f>
        <v>0</v>
      </c>
      <c r="AD142" s="774">
        <f>L142-SUM('Corrected and Updated TSF 1'!CK142:CL142)</f>
        <v>0</v>
      </c>
      <c r="AE142" s="1173">
        <f t="shared" si="16"/>
        <v>3217761.6970289317</v>
      </c>
      <c r="AF142" s="1174">
        <f>SUM(FORM!$V$19:$W$22)+SUM(FORM!$V$25:$W$28)+SUM(FORM!$V$31:$W$34)</f>
        <v>0</v>
      </c>
      <c r="AG142" s="1173">
        <f t="shared" si="17"/>
        <v>3217761.6970289317</v>
      </c>
      <c r="AH142" s="1173"/>
      <c r="AI142" s="714"/>
      <c r="AJ142" s="714"/>
      <c r="AK142" s="714"/>
      <c r="AL142" s="714"/>
      <c r="AM142" s="714"/>
      <c r="AN142" s="714"/>
      <c r="AO142" s="714"/>
      <c r="AP142" s="714"/>
      <c r="AQ142" s="760"/>
      <c r="AR142" s="760"/>
      <c r="AS142" s="760"/>
      <c r="AT142" s="760"/>
      <c r="AU142" s="760"/>
      <c r="AV142" s="760"/>
      <c r="AW142" s="760"/>
    </row>
    <row r="143" spans="1:49" s="119" customFormat="1" ht="12.75" hidden="1" customHeight="1">
      <c r="A143" s="767" t="str">
        <f t="shared" si="13"/>
        <v>9Q</v>
      </c>
      <c r="B143" s="768" t="str">
        <f>'Corrected and Updated TSF 1'!ER143</f>
        <v>SOLD</v>
      </c>
      <c r="C143" s="757" t="str">
        <f>'Corrected and Updated TSF 1'!E143</f>
        <v>9th Floor</v>
      </c>
      <c r="D143" s="642" t="str">
        <f>'Corrected and Updated TSF 1'!M143</f>
        <v>Inner</v>
      </c>
      <c r="E143" s="642" t="str">
        <f>'Corrected and Updated TSF 1'!G143</f>
        <v>9Q</v>
      </c>
      <c r="F143" s="758" t="str">
        <f>'Corrected and Updated TSF 1'!I143</f>
        <v>Studio Unit</v>
      </c>
      <c r="G143" s="769">
        <f>'Corrected and Updated TSF 1'!J143</f>
        <v>22</v>
      </c>
      <c r="H143" s="769">
        <f>'Corrected and Updated TSF 1'!CI143</f>
        <v>3217761.6970289317</v>
      </c>
      <c r="I143" s="770"/>
      <c r="J143" s="770">
        <f t="shared" si="14"/>
        <v>3217761.6970289317</v>
      </c>
      <c r="K143" s="769">
        <f>'Corrected and Updated TSF 1'!CJ143</f>
        <v>0</v>
      </c>
      <c r="L143" s="769">
        <f>SUM('Corrected and Updated TSF 1'!CK143:CL143)</f>
        <v>442442.2333414781</v>
      </c>
      <c r="M143" s="769">
        <f t="shared" si="15"/>
        <v>3660203.93037041</v>
      </c>
      <c r="N143" s="771">
        <f>'Corrected and Updated TSF 1'!CN143</f>
        <v>0.125</v>
      </c>
      <c r="O143" s="769">
        <f>'Corrected and Updated TSF 1'!CO143</f>
        <v>457525.49129630125</v>
      </c>
      <c r="P143" s="769">
        <f>'Corrected and Updated TSF 1'!CP143</f>
        <v>30000</v>
      </c>
      <c r="Q143" s="769">
        <f>'Corrected and Updated TSF 1'!CQ143</f>
        <v>427525.49129630125</v>
      </c>
      <c r="R143" s="425">
        <f>'Corrected and Updated TSF 1'!CR143</f>
        <v>2</v>
      </c>
      <c r="S143" s="769">
        <f>'Corrected and Updated TSF 1'!CS143</f>
        <v>213762.74564815062</v>
      </c>
      <c r="T143" s="769">
        <f>'Corrected and Updated TSF 1'!CU143</f>
        <v>3202678.4390741088</v>
      </c>
      <c r="U143" s="769">
        <f>'Corrected and Updated TSF 1'!CV143</f>
        <v>24830.331849436756</v>
      </c>
      <c r="V143" s="772">
        <f>'Corrected and Updated TSF 1'!CW143</f>
        <v>28786.57923489331</v>
      </c>
      <c r="W143" s="773">
        <f>'Corrected and Updated TSF 1'!CX143</f>
        <v>37185.812298717152</v>
      </c>
      <c r="X143" s="773">
        <f>'Corrected and Updated TSF 1'!CY143</f>
        <v>63416.871633003168</v>
      </c>
      <c r="Y143" s="1130">
        <f>'Corrected and Updated TSF 1'!CZ143</f>
        <v>260163.749365161</v>
      </c>
      <c r="Z143" s="1130">
        <f>'Corrected and Updated TSF 1'!DA143</f>
        <v>102945.52829340976</v>
      </c>
      <c r="AA143" s="1130">
        <f>'Corrected and Updated TSF 1'!DB143</f>
        <v>74356.097048779266</v>
      </c>
      <c r="AB143" s="1130">
        <f>'Corrected and Updated TSF 1'!DC143</f>
        <v>56588.413032029348</v>
      </c>
      <c r="AC143" s="774">
        <f>K143-'Corrected and Updated TSF 1'!CJ143</f>
        <v>0</v>
      </c>
      <c r="AD143" s="774">
        <f>L143-SUM('Corrected and Updated TSF 1'!CK143:CL143)</f>
        <v>0</v>
      </c>
      <c r="AE143" s="1173">
        <f t="shared" si="16"/>
        <v>3217761.6970289317</v>
      </c>
      <c r="AF143" s="1174">
        <f>SUM(FORM!$V$19:$W$22)+SUM(FORM!$V$25:$W$28)+SUM(FORM!$V$31:$W$34)</f>
        <v>0</v>
      </c>
      <c r="AG143" s="1173">
        <f t="shared" si="17"/>
        <v>3217761.6970289317</v>
      </c>
      <c r="AH143" s="1173"/>
      <c r="AI143" s="714"/>
      <c r="AJ143" s="714"/>
      <c r="AK143" s="714"/>
      <c r="AL143" s="714"/>
      <c r="AM143" s="714"/>
      <c r="AN143" s="714"/>
      <c r="AO143" s="714"/>
      <c r="AP143" s="714"/>
      <c r="AQ143" s="552"/>
      <c r="AR143" s="552"/>
      <c r="AS143" s="552"/>
      <c r="AT143" s="552"/>
    </row>
    <row r="144" spans="1:49" s="119" customFormat="1" ht="12.75" hidden="1" customHeight="1">
      <c r="A144" s="767" t="str">
        <f t="shared" si="13"/>
        <v>9R</v>
      </c>
      <c r="B144" s="768" t="str">
        <f>'Corrected and Updated TSF 1'!ER144</f>
        <v>SOLD</v>
      </c>
      <c r="C144" s="757" t="str">
        <f>'Corrected and Updated TSF 1'!E144</f>
        <v>9th Floor</v>
      </c>
      <c r="D144" s="642" t="str">
        <f>'Corrected and Updated TSF 1'!M144</f>
        <v>Corner</v>
      </c>
      <c r="E144" s="642" t="str">
        <f>'Corrected and Updated TSF 1'!G144</f>
        <v>9R</v>
      </c>
      <c r="F144" s="758" t="str">
        <f>'Corrected and Updated TSF 1'!I144</f>
        <v>Studio Unit</v>
      </c>
      <c r="G144" s="769">
        <f>'Corrected and Updated TSF 1'!J144</f>
        <v>22</v>
      </c>
      <c r="H144" s="769">
        <f>'Corrected and Updated TSF 1'!CI144</f>
        <v>3299414.8244784134</v>
      </c>
      <c r="I144" s="770"/>
      <c r="J144" s="770">
        <f t="shared" si="14"/>
        <v>3299414.8244784134</v>
      </c>
      <c r="K144" s="769">
        <f>'Corrected and Updated TSF 1'!CJ144</f>
        <v>0</v>
      </c>
      <c r="L144" s="769">
        <f>SUM('Corrected and Updated TSF 1'!CK144:CL144)</f>
        <v>453669.53836578189</v>
      </c>
      <c r="M144" s="769">
        <f t="shared" si="15"/>
        <v>3753084.3628441952</v>
      </c>
      <c r="N144" s="771">
        <f>'Corrected and Updated TSF 1'!CN144</f>
        <v>0.125</v>
      </c>
      <c r="O144" s="769">
        <f>'Corrected and Updated TSF 1'!CO144</f>
        <v>469135.5453555244</v>
      </c>
      <c r="P144" s="769">
        <f>'Corrected and Updated TSF 1'!CP144</f>
        <v>30000</v>
      </c>
      <c r="Q144" s="769">
        <f>'Corrected and Updated TSF 1'!CQ144</f>
        <v>439135.5453555244</v>
      </c>
      <c r="R144" s="425">
        <f>'Corrected and Updated TSF 1'!CR144</f>
        <v>2</v>
      </c>
      <c r="S144" s="769">
        <f>'Corrected and Updated TSF 1'!CS144</f>
        <v>219567.7726777622</v>
      </c>
      <c r="T144" s="769">
        <f>'Corrected and Updated TSF 1'!CU144</f>
        <v>3283948.8174886708</v>
      </c>
      <c r="U144" s="769">
        <f>'Corrected and Updated TSF 1'!CV144</f>
        <v>25460.420228258285</v>
      </c>
      <c r="V144" s="772">
        <f>'Corrected and Updated TSF 1'!CW144</f>
        <v>29517.060371912146</v>
      </c>
      <c r="W144" s="773">
        <f>'Corrected and Updated TSF 1'!CX144</f>
        <v>38129.430303040841</v>
      </c>
      <c r="X144" s="773">
        <f>'Corrected and Updated TSF 1'!CY144</f>
        <v>65026.12253143925</v>
      </c>
      <c r="Y144" s="1130">
        <f>'Corrected and Updated TSF 1'!CZ144</f>
        <v>266765.60052283469</v>
      </c>
      <c r="Z144" s="1130">
        <f>'Corrected and Updated TSF 1'!DA144</f>
        <v>105557.84863703788</v>
      </c>
      <c r="AA144" s="1130">
        <f>'Corrected and Updated TSF 1'!DB144</f>
        <v>76242.939034180468</v>
      </c>
      <c r="AB144" s="1130">
        <f>'Corrected and Updated TSF 1'!DC144</f>
        <v>58024.386648638247</v>
      </c>
      <c r="AC144" s="774">
        <f>K144-'Corrected and Updated TSF 1'!CJ144</f>
        <v>0</v>
      </c>
      <c r="AD144" s="774">
        <f>L144-SUM('Corrected and Updated TSF 1'!CK144:CL144)</f>
        <v>0</v>
      </c>
      <c r="AE144" s="1173">
        <f t="shared" si="16"/>
        <v>3299414.8244784134</v>
      </c>
      <c r="AF144" s="1174">
        <f>SUM(FORM!$V$19:$W$22)+SUM(FORM!$V$25:$W$28)+SUM(FORM!$V$31:$W$34)</f>
        <v>0</v>
      </c>
      <c r="AG144" s="1173">
        <f t="shared" si="17"/>
        <v>3299414.8244784134</v>
      </c>
      <c r="AH144" s="1173"/>
      <c r="AI144" s="714"/>
      <c r="AJ144" s="714"/>
      <c r="AK144" s="714"/>
      <c r="AL144" s="714"/>
      <c r="AM144" s="714"/>
      <c r="AN144" s="714"/>
      <c r="AO144" s="714"/>
      <c r="AP144" s="714"/>
      <c r="AQ144" s="552"/>
      <c r="AR144" s="552"/>
      <c r="AS144" s="552"/>
      <c r="AT144" s="552"/>
    </row>
    <row r="145" spans="1:46" s="119" customFormat="1" ht="12.75" hidden="1" customHeight="1">
      <c r="A145" s="767" t="str">
        <f t="shared" si="13"/>
        <v>10A</v>
      </c>
      <c r="B145" s="768" t="str">
        <f>'Corrected and Updated TSF 1'!ER145</f>
        <v>SOLD</v>
      </c>
      <c r="C145" s="757" t="str">
        <f>'Corrected and Updated TSF 1'!E145</f>
        <v>10th Floor</v>
      </c>
      <c r="D145" s="642" t="str">
        <f>'Corrected and Updated TSF 1'!M145</f>
        <v>Corner</v>
      </c>
      <c r="E145" s="642" t="str">
        <f>'Corrected and Updated TSF 1'!G145</f>
        <v>10A</v>
      </c>
      <c r="F145" s="758" t="str">
        <f>'Corrected and Updated TSF 1'!I145</f>
        <v>Studio Unit</v>
      </c>
      <c r="G145" s="769">
        <f>'Corrected and Updated TSF 1'!J145</f>
        <v>22</v>
      </c>
      <c r="H145" s="769">
        <f>'Corrected and Updated TSF 1'!CI145</f>
        <v>3328122.242533288</v>
      </c>
      <c r="I145" s="770"/>
      <c r="J145" s="770">
        <f t="shared" si="14"/>
        <v>3328122.242533288</v>
      </c>
      <c r="K145" s="769">
        <f>'Corrected and Updated TSF 1'!CJ145</f>
        <v>0</v>
      </c>
      <c r="L145" s="769">
        <f>SUM('Corrected and Updated TSF 1'!CK145:CL145)</f>
        <v>457616.80834832706</v>
      </c>
      <c r="M145" s="769">
        <f t="shared" si="15"/>
        <v>3785739.0508816149</v>
      </c>
      <c r="N145" s="771">
        <f>'Corrected and Updated TSF 1'!CN145</f>
        <v>0.125</v>
      </c>
      <c r="O145" s="769">
        <f>'Corrected and Updated TSF 1'!CO145</f>
        <v>473217.38136020186</v>
      </c>
      <c r="P145" s="769">
        <f>'Corrected and Updated TSF 1'!CP145</f>
        <v>30000</v>
      </c>
      <c r="Q145" s="769">
        <f>'Corrected and Updated TSF 1'!CQ145</f>
        <v>443217.38136020186</v>
      </c>
      <c r="R145" s="425">
        <f>'Corrected and Updated TSF 1'!CR145</f>
        <v>2</v>
      </c>
      <c r="S145" s="769">
        <f>'Corrected and Updated TSF 1'!CS145</f>
        <v>221608.69068010093</v>
      </c>
      <c r="T145" s="769">
        <f>'Corrected and Updated TSF 1'!CU145</f>
        <v>3312521.6695214128</v>
      </c>
      <c r="U145" s="769">
        <f>'Corrected and Updated TSF 1'!CV145</f>
        <v>25681.945245944087</v>
      </c>
      <c r="V145" s="772">
        <f>'Corrected and Updated TSF 1'!CW145</f>
        <v>29773.881243771262</v>
      </c>
      <c r="W145" s="773">
        <f>'Corrected and Updated TSF 1'!CX145</f>
        <v>38461.185342686884</v>
      </c>
      <c r="X145" s="773">
        <f>'Corrected and Updated TSF 1'!CY145</f>
        <v>65591.899247403606</v>
      </c>
      <c r="Y145" s="1130">
        <f>'Corrected and Updated TSF 1'!CZ145</f>
        <v>269086.66411267273</v>
      </c>
      <c r="Z145" s="1130">
        <f>'Corrected and Updated TSF 1'!DA145</f>
        <v>106476.2821929869</v>
      </c>
      <c r="AA145" s="1130">
        <f>'Corrected and Updated TSF 1'!DB145</f>
        <v>76906.310583689265</v>
      </c>
      <c r="AB145" s="1130">
        <f>'Corrected and Updated TSF 1'!DC145</f>
        <v>58529.242937863244</v>
      </c>
      <c r="AC145" s="774">
        <f>K145-'Corrected and Updated TSF 1'!CJ145</f>
        <v>0</v>
      </c>
      <c r="AD145" s="774">
        <f>L145-SUM('Corrected and Updated TSF 1'!CK145:CL145)</f>
        <v>0</v>
      </c>
      <c r="AE145" s="1173">
        <f t="shared" si="16"/>
        <v>3328122.242533288</v>
      </c>
      <c r="AF145" s="1174">
        <f>SUM(FORM!$V$19:$W$22)+SUM(FORM!$V$25:$W$28)+SUM(FORM!$V$31:$W$34)</f>
        <v>0</v>
      </c>
      <c r="AG145" s="1173">
        <f t="shared" si="17"/>
        <v>3328122.242533288</v>
      </c>
      <c r="AH145" s="1173"/>
      <c r="AI145" s="714"/>
      <c r="AJ145" s="714"/>
      <c r="AK145" s="714"/>
      <c r="AL145" s="714"/>
      <c r="AM145" s="714"/>
      <c r="AN145" s="714"/>
      <c r="AO145" s="714"/>
      <c r="AP145" s="714"/>
      <c r="AQ145" s="552"/>
      <c r="AR145" s="552"/>
      <c r="AS145" s="552"/>
      <c r="AT145" s="552"/>
    </row>
    <row r="146" spans="1:46" s="119" customFormat="1" ht="12.75" customHeight="1">
      <c r="A146" s="767" t="str">
        <f t="shared" si="13"/>
        <v>10B</v>
      </c>
      <c r="B146" s="768" t="str">
        <f>'Corrected and Updated TSF 1'!ER146</f>
        <v>UNSOLD</v>
      </c>
      <c r="C146" s="757" t="str">
        <f>'Corrected and Updated TSF 1'!E146</f>
        <v>10th Floor</v>
      </c>
      <c r="D146" s="642" t="str">
        <f>'Corrected and Updated TSF 1'!M146</f>
        <v>End</v>
      </c>
      <c r="E146" s="642" t="str">
        <f>'Corrected and Updated TSF 1'!G146</f>
        <v>10B</v>
      </c>
      <c r="F146" s="758" t="str">
        <f>'Corrected and Updated TSF 1'!I146</f>
        <v>Studio Unit</v>
      </c>
      <c r="G146" s="769">
        <f>'Corrected and Updated TSF 1'!J146</f>
        <v>22</v>
      </c>
      <c r="H146" s="769">
        <f>'Corrected and Updated TSF 1'!CI146</f>
        <v>3312247.6119839773</v>
      </c>
      <c r="I146" s="770"/>
      <c r="J146" s="770">
        <f t="shared" si="14"/>
        <v>3312247.6119839773</v>
      </c>
      <c r="K146" s="769">
        <f>'Corrected and Updated TSF 1'!CJ146</f>
        <v>0</v>
      </c>
      <c r="L146" s="769">
        <f>SUM('Corrected and Updated TSF 1'!CK146:CL146)</f>
        <v>455434.04664779687</v>
      </c>
      <c r="M146" s="769">
        <f t="shared" si="15"/>
        <v>3767681.6586317741</v>
      </c>
      <c r="N146" s="771">
        <f>'Corrected and Updated TSF 1'!CN146</f>
        <v>0.125</v>
      </c>
      <c r="O146" s="769">
        <f>'Corrected and Updated TSF 1'!CO146</f>
        <v>470960.20732897171</v>
      </c>
      <c r="P146" s="769">
        <f>'Corrected and Updated TSF 1'!CP146</f>
        <v>30000</v>
      </c>
      <c r="Q146" s="769">
        <f>'Corrected and Updated TSF 1'!CQ146</f>
        <v>440960.20732897171</v>
      </c>
      <c r="R146" s="425">
        <f>'Corrected and Updated TSF 1'!CR146</f>
        <v>1</v>
      </c>
      <c r="S146" s="769">
        <f>'Corrected and Updated TSF 1'!CS146</f>
        <v>440960.20732897171</v>
      </c>
      <c r="T146" s="769">
        <f>'Corrected and Updated TSF 1'!CU146</f>
        <v>3296721.4513028022</v>
      </c>
      <c r="U146" s="769">
        <f>'Corrected and Updated TSF 1'!CV146</f>
        <v>25559.446322269741</v>
      </c>
      <c r="V146" s="772">
        <f>'Corrected and Updated TSF 1'!CW146</f>
        <v>29631.864415566011</v>
      </c>
      <c r="W146" s="773">
        <f>'Corrected and Updated TSF 1'!CX146</f>
        <v>38277.731411818357</v>
      </c>
      <c r="X146" s="773">
        <f>'Corrected and Updated TSF 1'!CY146</f>
        <v>65279.035989476048</v>
      </c>
      <c r="Y146" s="1130">
        <f>'Corrected and Updated TSF 1'!CZ146</f>
        <v>267803.16216555558</v>
      </c>
      <c r="Z146" s="1130">
        <f>'Corrected and Updated TSF 1'!DA146</f>
        <v>105968.4067248096</v>
      </c>
      <c r="AA146" s="1130">
        <f>'Corrected and Updated TSF 1'!DB146</f>
        <v>76539.479326163899</v>
      </c>
      <c r="AB146" s="1130">
        <f>'Corrected and Updated TSF 1'!DC146</f>
        <v>58250.067462847575</v>
      </c>
      <c r="AC146" s="774">
        <f>K146-'Corrected and Updated TSF 1'!CJ146</f>
        <v>0</v>
      </c>
      <c r="AD146" s="774">
        <f>L146-SUM('Corrected and Updated TSF 1'!CK146:CL146)</f>
        <v>0</v>
      </c>
      <c r="AE146" s="1173">
        <f t="shared" si="16"/>
        <v>3312247.6119839773</v>
      </c>
      <c r="AF146" s="1174">
        <f>SUM(FORM!$V$19:$W$22)+SUM(FORM!$V$25:$W$28)+SUM(FORM!$V$31:$W$34)</f>
        <v>0</v>
      </c>
      <c r="AG146" s="1173">
        <f t="shared" si="17"/>
        <v>3312247.6119839773</v>
      </c>
      <c r="AH146" s="1173"/>
      <c r="AI146" s="714"/>
      <c r="AJ146" s="714"/>
      <c r="AK146" s="714"/>
      <c r="AL146" s="714"/>
      <c r="AM146" s="714"/>
      <c r="AN146" s="714"/>
      <c r="AO146" s="714"/>
      <c r="AP146" s="714"/>
      <c r="AQ146" s="552"/>
      <c r="AR146" s="552"/>
      <c r="AS146" s="552"/>
      <c r="AT146" s="552"/>
    </row>
    <row r="147" spans="1:46" s="119" customFormat="1" ht="12.75" hidden="1" customHeight="1">
      <c r="A147" s="767" t="str">
        <f t="shared" si="13"/>
        <v>10C</v>
      </c>
      <c r="B147" s="768" t="str">
        <f>'Corrected and Updated TSF 1'!ER147</f>
        <v>SOLD</v>
      </c>
      <c r="C147" s="757" t="str">
        <f>'Corrected and Updated TSF 1'!E147</f>
        <v>10th Floor</v>
      </c>
      <c r="D147" s="642" t="str">
        <f>'Corrected and Updated TSF 1'!M147</f>
        <v>End</v>
      </c>
      <c r="E147" s="642" t="str">
        <f>'Corrected and Updated TSF 1'!G147</f>
        <v>10C</v>
      </c>
      <c r="F147" s="758" t="str">
        <f>'Corrected and Updated TSF 1'!I147</f>
        <v>Studio Unit</v>
      </c>
      <c r="G147" s="769">
        <f>'Corrected and Updated TSF 1'!J147</f>
        <v>22</v>
      </c>
      <c r="H147" s="769">
        <f>'Corrected and Updated TSF 1'!CI147</f>
        <v>3278047.2749441699</v>
      </c>
      <c r="I147" s="770"/>
      <c r="J147" s="770">
        <f t="shared" si="14"/>
        <v>3278047.2749441699</v>
      </c>
      <c r="K147" s="769">
        <f>'Corrected and Updated TSF 1'!CJ147</f>
        <v>0</v>
      </c>
      <c r="L147" s="769">
        <f>SUM('Corrected and Updated TSF 1'!CK147:CL147)</f>
        <v>450731.50030482339</v>
      </c>
      <c r="M147" s="769">
        <f t="shared" si="15"/>
        <v>3728778.7752489932</v>
      </c>
      <c r="N147" s="771">
        <f>'Corrected and Updated TSF 1'!CN147</f>
        <v>0.125</v>
      </c>
      <c r="O147" s="769">
        <f>'Corrected and Updated TSF 1'!CO147</f>
        <v>466097.34690612415</v>
      </c>
      <c r="P147" s="769">
        <f>'Corrected and Updated TSF 1'!CP147</f>
        <v>30000</v>
      </c>
      <c r="Q147" s="769">
        <f>'Corrected and Updated TSF 1'!CQ147</f>
        <v>436097.34690612415</v>
      </c>
      <c r="R147" s="425">
        <f>'Corrected and Updated TSF 1'!CR147</f>
        <v>2</v>
      </c>
      <c r="S147" s="769">
        <f>'Corrected and Updated TSF 1'!CS147</f>
        <v>218048.67345306207</v>
      </c>
      <c r="T147" s="769">
        <f>'Corrected and Updated TSF 1'!CU147</f>
        <v>3262681.428342869</v>
      </c>
      <c r="U147" s="769">
        <f>'Corrected and Updated TSF 1'!CV147</f>
        <v>25295.534386576957</v>
      </c>
      <c r="V147" s="772">
        <f>'Corrected and Updated TSF 1'!CW147</f>
        <v>29325.903065797476</v>
      </c>
      <c r="W147" s="773">
        <f>'Corrected and Updated TSF 1'!CX147</f>
        <v>37882.497881973868</v>
      </c>
      <c r="X147" s="773">
        <f>'Corrected and Updated TSF 1'!CY147</f>
        <v>64605.002736528353</v>
      </c>
      <c r="Y147" s="1130">
        <f>'Corrected and Updated TSF 1'!CZ147</f>
        <v>265037.98290382099</v>
      </c>
      <c r="Z147" s="1130">
        <f>'Corrected and Updated TSF 1'!DA147</f>
        <v>104874.23876090274</v>
      </c>
      <c r="AA147" s="1130">
        <f>'Corrected and Updated TSF 1'!DB147</f>
        <v>75749.177302747776</v>
      </c>
      <c r="AB147" s="1130">
        <f>'Corrected and Updated TSF 1'!DC147</f>
        <v>57648.611239401886</v>
      </c>
      <c r="AC147" s="774">
        <f>K147-'Corrected and Updated TSF 1'!CJ147</f>
        <v>0</v>
      </c>
      <c r="AD147" s="774">
        <f>L147-SUM('Corrected and Updated TSF 1'!CK147:CL147)</f>
        <v>0</v>
      </c>
      <c r="AE147" s="1173">
        <f t="shared" si="16"/>
        <v>3278047.2749441699</v>
      </c>
      <c r="AF147" s="1174">
        <f>SUM(FORM!$V$19:$W$22)+SUM(FORM!$V$25:$W$28)+SUM(FORM!$V$31:$W$34)</f>
        <v>0</v>
      </c>
      <c r="AG147" s="1173">
        <f t="shared" si="17"/>
        <v>3278047.2749441699</v>
      </c>
      <c r="AH147" s="1173"/>
      <c r="AI147" s="714"/>
      <c r="AJ147" s="714"/>
      <c r="AK147" s="714"/>
      <c r="AL147" s="714"/>
      <c r="AM147" s="714"/>
      <c r="AN147" s="714"/>
      <c r="AO147" s="714"/>
      <c r="AP147" s="714"/>
      <c r="AQ147" s="552"/>
      <c r="AR147" s="552"/>
      <c r="AS147" s="552"/>
      <c r="AT147" s="552"/>
    </row>
    <row r="148" spans="1:46" s="119" customFormat="1" hidden="1">
      <c r="A148" s="767" t="str">
        <f t="shared" si="13"/>
        <v>10D</v>
      </c>
      <c r="B148" s="768" t="str">
        <f>'Corrected and Updated TSF 1'!ER148</f>
        <v>SOLD</v>
      </c>
      <c r="C148" s="757" t="str">
        <f>'Corrected and Updated TSF 1'!E148</f>
        <v>10th Floor</v>
      </c>
      <c r="D148" s="642" t="str">
        <f>'Corrected and Updated TSF 1'!M148</f>
        <v>End</v>
      </c>
      <c r="E148" s="642" t="str">
        <f>'Corrected and Updated TSF 1'!G148</f>
        <v>10D</v>
      </c>
      <c r="F148" s="758" t="str">
        <f>'Corrected and Updated TSF 1'!I148</f>
        <v>Studio Unit</v>
      </c>
      <c r="G148" s="769">
        <f>'Corrected and Updated TSF 1'!J148</f>
        <v>22</v>
      </c>
      <c r="H148" s="769">
        <f>'Corrected and Updated TSF 1'!CI148</f>
        <v>3278047.2749441699</v>
      </c>
      <c r="I148" s="770"/>
      <c r="J148" s="770">
        <f t="shared" si="14"/>
        <v>3278047.2749441699</v>
      </c>
      <c r="K148" s="769">
        <f>'Corrected and Updated TSF 1'!CJ148</f>
        <v>0</v>
      </c>
      <c r="L148" s="769">
        <f>SUM('Corrected and Updated TSF 1'!CK148:CL148)</f>
        <v>450731.50030482339</v>
      </c>
      <c r="M148" s="769">
        <f t="shared" si="15"/>
        <v>3728778.7752489932</v>
      </c>
      <c r="N148" s="771">
        <f>'Corrected and Updated TSF 1'!CN148</f>
        <v>0.125</v>
      </c>
      <c r="O148" s="769">
        <f>'Corrected and Updated TSF 1'!CO148</f>
        <v>466097.34690612415</v>
      </c>
      <c r="P148" s="769">
        <f>'Corrected and Updated TSF 1'!CP148</f>
        <v>30000</v>
      </c>
      <c r="Q148" s="769">
        <f>'Corrected and Updated TSF 1'!CQ148</f>
        <v>436097.34690612415</v>
      </c>
      <c r="R148" s="425">
        <f>'Corrected and Updated TSF 1'!CR148</f>
        <v>2</v>
      </c>
      <c r="S148" s="769">
        <f>'Corrected and Updated TSF 1'!CS148</f>
        <v>218048.67345306207</v>
      </c>
      <c r="T148" s="769">
        <f>'Corrected and Updated TSF 1'!CU148</f>
        <v>3262681.428342869</v>
      </c>
      <c r="U148" s="769">
        <f>'Corrected and Updated TSF 1'!CV148</f>
        <v>25295.534386576957</v>
      </c>
      <c r="V148" s="772">
        <f>'Corrected and Updated TSF 1'!CW148</f>
        <v>29325.903065797476</v>
      </c>
      <c r="W148" s="773">
        <f>'Corrected and Updated TSF 1'!CX148</f>
        <v>37882.497881973868</v>
      </c>
      <c r="X148" s="773">
        <f>'Corrected and Updated TSF 1'!CY148</f>
        <v>64605.002736528353</v>
      </c>
      <c r="Y148" s="1130">
        <f>'Corrected and Updated TSF 1'!CZ148</f>
        <v>265037.98290382099</v>
      </c>
      <c r="Z148" s="1130">
        <f>'Corrected and Updated TSF 1'!DA148</f>
        <v>104874.23876090274</v>
      </c>
      <c r="AA148" s="1130">
        <f>'Corrected and Updated TSF 1'!DB148</f>
        <v>75749.177302747776</v>
      </c>
      <c r="AB148" s="1130">
        <f>'Corrected and Updated TSF 1'!DC148</f>
        <v>57648.611239401886</v>
      </c>
      <c r="AC148" s="774">
        <f>K148-'Corrected and Updated TSF 1'!CJ148</f>
        <v>0</v>
      </c>
      <c r="AD148" s="774">
        <f>L148-SUM('Corrected and Updated TSF 1'!CK148:CL148)</f>
        <v>0</v>
      </c>
      <c r="AE148" s="1173">
        <f t="shared" si="16"/>
        <v>3278047.2749441699</v>
      </c>
      <c r="AF148" s="1174">
        <f>SUM(FORM!$V$19:$W$22)+SUM(FORM!$V$25:$W$28)+SUM(FORM!$V$31:$W$34)</f>
        <v>0</v>
      </c>
      <c r="AG148" s="1173">
        <f t="shared" si="17"/>
        <v>3278047.2749441699</v>
      </c>
      <c r="AH148" s="1173"/>
      <c r="AI148" s="714"/>
      <c r="AJ148" s="714"/>
      <c r="AK148" s="714"/>
      <c r="AL148" s="714"/>
      <c r="AM148" s="714"/>
      <c r="AN148" s="714"/>
      <c r="AO148" s="714"/>
      <c r="AP148" s="714"/>
      <c r="AQ148" s="552"/>
      <c r="AR148" s="552"/>
      <c r="AS148" s="552"/>
      <c r="AT148" s="552"/>
    </row>
    <row r="149" spans="1:46" s="119" customFormat="1" ht="12.75" customHeight="1">
      <c r="A149" s="767" t="str">
        <f t="shared" si="13"/>
        <v>10E</v>
      </c>
      <c r="B149" s="768" t="str">
        <f>'Corrected and Updated TSF 1'!ER149</f>
        <v>UNSOLD</v>
      </c>
      <c r="C149" s="757" t="str">
        <f>'Corrected and Updated TSF 1'!E149</f>
        <v>10th Floor</v>
      </c>
      <c r="D149" s="642" t="str">
        <f>'Corrected and Updated TSF 1'!M149</f>
        <v>End</v>
      </c>
      <c r="E149" s="642" t="str">
        <f>'Corrected and Updated TSF 1'!G149</f>
        <v>10E</v>
      </c>
      <c r="F149" s="758" t="str">
        <f>'Corrected and Updated TSF 1'!I149</f>
        <v>Studio Unit</v>
      </c>
      <c r="G149" s="769">
        <f>'Corrected and Updated TSF 1'!J149</f>
        <v>22</v>
      </c>
      <c r="H149" s="769">
        <f>'Corrected and Updated TSF 1'!CI149</f>
        <v>3312247.6119839773</v>
      </c>
      <c r="I149" s="770"/>
      <c r="J149" s="770">
        <f t="shared" si="14"/>
        <v>3312247.6119839773</v>
      </c>
      <c r="K149" s="769">
        <f>'Corrected and Updated TSF 1'!CJ149</f>
        <v>0</v>
      </c>
      <c r="L149" s="769">
        <f>SUM('Corrected and Updated TSF 1'!CK149:CL149)</f>
        <v>455434.04664779687</v>
      </c>
      <c r="M149" s="769">
        <f t="shared" si="15"/>
        <v>3767681.6586317741</v>
      </c>
      <c r="N149" s="771">
        <f>'Corrected and Updated TSF 1'!CN149</f>
        <v>0.125</v>
      </c>
      <c r="O149" s="769">
        <f>'Corrected and Updated TSF 1'!CO149</f>
        <v>470960.20732897171</v>
      </c>
      <c r="P149" s="769">
        <f>'Corrected and Updated TSF 1'!CP149</f>
        <v>30000</v>
      </c>
      <c r="Q149" s="769">
        <f>'Corrected and Updated TSF 1'!CQ149</f>
        <v>440960.20732897171</v>
      </c>
      <c r="R149" s="425">
        <f>'Corrected and Updated TSF 1'!CR149</f>
        <v>1</v>
      </c>
      <c r="S149" s="769">
        <f>'Corrected and Updated TSF 1'!CS149</f>
        <v>440960.20732897171</v>
      </c>
      <c r="T149" s="769">
        <f>'Corrected and Updated TSF 1'!CU149</f>
        <v>3296721.4513028022</v>
      </c>
      <c r="U149" s="769">
        <f>'Corrected and Updated TSF 1'!CV149</f>
        <v>25559.446322269741</v>
      </c>
      <c r="V149" s="772">
        <f>'Corrected and Updated TSF 1'!CW149</f>
        <v>29631.864415566011</v>
      </c>
      <c r="W149" s="773">
        <f>'Corrected and Updated TSF 1'!CX149</f>
        <v>38277.731411818357</v>
      </c>
      <c r="X149" s="773">
        <f>'Corrected and Updated TSF 1'!CY149</f>
        <v>65279.035989476048</v>
      </c>
      <c r="Y149" s="1130">
        <f>'Corrected and Updated TSF 1'!CZ149</f>
        <v>267803.16216555558</v>
      </c>
      <c r="Z149" s="1130">
        <f>'Corrected and Updated TSF 1'!DA149</f>
        <v>105968.4067248096</v>
      </c>
      <c r="AA149" s="1130">
        <f>'Corrected and Updated TSF 1'!DB149</f>
        <v>76539.479326163899</v>
      </c>
      <c r="AB149" s="1130">
        <f>'Corrected and Updated TSF 1'!DC149</f>
        <v>58250.067462847575</v>
      </c>
      <c r="AC149" s="774">
        <f>K149-'Corrected and Updated TSF 1'!CJ149</f>
        <v>0</v>
      </c>
      <c r="AD149" s="774">
        <f>L149-SUM('Corrected and Updated TSF 1'!CK149:CL149)</f>
        <v>0</v>
      </c>
      <c r="AE149" s="1173">
        <f t="shared" si="16"/>
        <v>3312247.6119839773</v>
      </c>
      <c r="AF149" s="1174">
        <f>SUM(FORM!$V$19:$W$22)+SUM(FORM!$V$25:$W$28)+SUM(FORM!$V$31:$W$34)</f>
        <v>0</v>
      </c>
      <c r="AG149" s="1173">
        <f t="shared" si="17"/>
        <v>3312247.6119839773</v>
      </c>
      <c r="AH149" s="1173"/>
      <c r="AI149" s="714"/>
      <c r="AJ149" s="714"/>
      <c r="AK149" s="714"/>
      <c r="AL149" s="714"/>
      <c r="AM149" s="714"/>
      <c r="AN149" s="714"/>
      <c r="AO149" s="714"/>
      <c r="AP149" s="714"/>
      <c r="AQ149" s="552"/>
      <c r="AR149" s="552"/>
      <c r="AS149" s="552"/>
      <c r="AT149" s="552"/>
    </row>
    <row r="150" spans="1:46" ht="12.75" customHeight="1">
      <c r="A150" s="767" t="str">
        <f t="shared" si="13"/>
        <v>10F</v>
      </c>
      <c r="B150" s="768" t="str">
        <f>'Corrected and Updated TSF 1'!ER150</f>
        <v>UNSOLD</v>
      </c>
      <c r="C150" s="757" t="str">
        <f>'Corrected and Updated TSF 1'!E150</f>
        <v>10th Floor</v>
      </c>
      <c r="D150" s="642" t="str">
        <f>'Corrected and Updated TSF 1'!M150</f>
        <v>Inner</v>
      </c>
      <c r="E150" s="642" t="str">
        <f>'Corrected and Updated TSF 1'!G150</f>
        <v>10F</v>
      </c>
      <c r="F150" s="758" t="str">
        <f>'Corrected and Updated TSF 1'!I150</f>
        <v>Studio Unit</v>
      </c>
      <c r="G150" s="769">
        <f>'Corrected and Updated TSF 1'!J150</f>
        <v>22</v>
      </c>
      <c r="H150" s="769">
        <f>'Corrected and Updated TSF 1'!CI150</f>
        <v>3293721.4444436133</v>
      </c>
      <c r="I150" s="770"/>
      <c r="J150" s="770">
        <f t="shared" si="14"/>
        <v>3293721.4444436133</v>
      </c>
      <c r="K150" s="769">
        <f>'Corrected and Updated TSF 1'!CJ150</f>
        <v>0</v>
      </c>
      <c r="L150" s="769">
        <f>SUM('Corrected and Updated TSF 1'!CK150:CL150)</f>
        <v>452886.69861099683</v>
      </c>
      <c r="M150" s="769">
        <f t="shared" si="15"/>
        <v>3746608.1430546101</v>
      </c>
      <c r="N150" s="771">
        <f>'Corrected and Updated TSF 1'!CN150</f>
        <v>0.125</v>
      </c>
      <c r="O150" s="769">
        <f>'Corrected and Updated TSF 1'!CO150</f>
        <v>468326.01788182626</v>
      </c>
      <c r="P150" s="769">
        <f>'Corrected and Updated TSF 1'!CP150</f>
        <v>30000</v>
      </c>
      <c r="Q150" s="769">
        <f>'Corrected and Updated TSF 1'!CQ150</f>
        <v>438326.01788182626</v>
      </c>
      <c r="R150" s="425">
        <f>'Corrected and Updated TSF 1'!CR150</f>
        <v>1</v>
      </c>
      <c r="S150" s="769">
        <f>'Corrected and Updated TSF 1'!CS150</f>
        <v>438326.01788182626</v>
      </c>
      <c r="T150" s="769">
        <f>'Corrected and Updated TSF 1'!CU150</f>
        <v>3278282.1251727836</v>
      </c>
      <c r="U150" s="769">
        <f>'Corrected and Updated TSF 1'!CV150</f>
        <v>25416.486423048413</v>
      </c>
      <c r="V150" s="772">
        <f>'Corrected and Updated TSF 1'!CW150</f>
        <v>29466.126539354729</v>
      </c>
      <c r="W150" s="773">
        <f>'Corrected and Updated TSF 1'!CX150</f>
        <v>38063.635200341087</v>
      </c>
      <c r="X150" s="773">
        <f>'Corrected and Updated TSF 1'!CY150</f>
        <v>64913.915231825296</v>
      </c>
      <c r="Y150" s="1130">
        <f>'Corrected and Updated TSF 1'!CZ150</f>
        <v>266305.2770943527</v>
      </c>
      <c r="Z150" s="1130">
        <f>'Corrected and Updated TSF 1'!DA150</f>
        <v>105375.7008987517</v>
      </c>
      <c r="AA150" s="1130">
        <f>'Corrected and Updated TSF 1'!DB150</f>
        <v>76111.376302610239</v>
      </c>
      <c r="AB150" s="1130">
        <f>'Corrected and Updated TSF 1'!DC150</f>
        <v>57924.261353077956</v>
      </c>
      <c r="AC150" s="774">
        <f>K150-'Corrected and Updated TSF 1'!CJ150</f>
        <v>0</v>
      </c>
      <c r="AD150" s="774">
        <f>L150-SUM('Corrected and Updated TSF 1'!CK150:CL150)</f>
        <v>0</v>
      </c>
      <c r="AE150" s="1173">
        <f t="shared" si="16"/>
        <v>3293721.4444436133</v>
      </c>
      <c r="AF150" s="1174">
        <f>SUM(FORM!$V$19:$W$22)+SUM(FORM!$V$25:$W$28)+SUM(FORM!$V$31:$W$34)</f>
        <v>0</v>
      </c>
      <c r="AG150" s="1173">
        <f t="shared" si="17"/>
        <v>3293721.4444436133</v>
      </c>
      <c r="AH150" s="1173"/>
    </row>
    <row r="151" spans="1:46" ht="12.75" customHeight="1">
      <c r="A151" s="767" t="str">
        <f t="shared" si="13"/>
        <v>10G</v>
      </c>
      <c r="B151" s="768" t="str">
        <f>'Corrected and Updated TSF 1'!ER151</f>
        <v>UNSOLD</v>
      </c>
      <c r="C151" s="757" t="str">
        <f>'Corrected and Updated TSF 1'!E151</f>
        <v>10th Floor</v>
      </c>
      <c r="D151" s="642" t="str">
        <f>'Corrected and Updated TSF 1'!M151</f>
        <v>End</v>
      </c>
      <c r="E151" s="642" t="str">
        <f>'Corrected and Updated TSF 1'!G151</f>
        <v>10G</v>
      </c>
      <c r="F151" s="758" t="str">
        <f>'Corrected and Updated TSF 1'!I151</f>
        <v>Studio Unit</v>
      </c>
      <c r="G151" s="769">
        <f>'Corrected and Updated TSF 1'!J151</f>
        <v>22</v>
      </c>
      <c r="H151" s="769">
        <f>'Corrected and Updated TSF 1'!CI151</f>
        <v>3325299.604303977</v>
      </c>
      <c r="I151" s="770"/>
      <c r="J151" s="770">
        <f t="shared" si="14"/>
        <v>3325299.604303977</v>
      </c>
      <c r="K151" s="769">
        <f>'Corrected and Updated TSF 1'!CJ151</f>
        <v>0</v>
      </c>
      <c r="L151" s="769">
        <f>SUM('Corrected and Updated TSF 1'!CK151:CL151)</f>
        <v>457228.69559179683</v>
      </c>
      <c r="M151" s="769">
        <f t="shared" si="15"/>
        <v>3782528.2998957736</v>
      </c>
      <c r="N151" s="771">
        <f>'Corrected and Updated TSF 1'!CN151</f>
        <v>0.125</v>
      </c>
      <c r="O151" s="769">
        <f>'Corrected and Updated TSF 1'!CO151</f>
        <v>472816.03748697171</v>
      </c>
      <c r="P151" s="769">
        <f>'Corrected and Updated TSF 1'!CP151</f>
        <v>30000</v>
      </c>
      <c r="Q151" s="769">
        <f>'Corrected and Updated TSF 1'!CQ151</f>
        <v>442816.03748697171</v>
      </c>
      <c r="R151" s="425">
        <f>'Corrected and Updated TSF 1'!CR151</f>
        <v>1</v>
      </c>
      <c r="S151" s="769">
        <f>'Corrected and Updated TSF 1'!CS151</f>
        <v>442816.03748697171</v>
      </c>
      <c r="T151" s="769">
        <f>'Corrected and Updated TSF 1'!CU151</f>
        <v>3309712.2624088018</v>
      </c>
      <c r="U151" s="769">
        <f>'Corrected and Updated TSF 1'!CV151</f>
        <v>25660.163942502815</v>
      </c>
      <c r="V151" s="772">
        <f>'Corrected and Updated TSF 1'!CW151</f>
        <v>29748.629498399776</v>
      </c>
      <c r="W151" s="773">
        <f>'Corrected and Updated TSF 1'!CX151</f>
        <v>38428.56574395176</v>
      </c>
      <c r="X151" s="773">
        <f>'Corrected and Updated TSF 1'!CY151</f>
        <v>65536.269619386119</v>
      </c>
      <c r="Y151" s="1130">
        <f>'Corrected and Updated TSF 1'!CZ151</f>
        <v>268858.4470431747</v>
      </c>
      <c r="Z151" s="1130">
        <f>'Corrected and Updated TSF 1'!DA151</f>
        <v>106385.97781029569</v>
      </c>
      <c r="AA151" s="1130">
        <f>'Corrected and Updated TSF 1'!DB151</f>
        <v>76841.085007069953</v>
      </c>
      <c r="AB151" s="1130">
        <f>'Corrected and Updated TSF 1'!DC151</f>
        <v>58479.603271225496</v>
      </c>
      <c r="AC151" s="774">
        <f>K151-'Corrected and Updated TSF 1'!CJ151</f>
        <v>0</v>
      </c>
      <c r="AD151" s="774">
        <f>L151-SUM('Corrected and Updated TSF 1'!CK151:CL151)</f>
        <v>0</v>
      </c>
      <c r="AE151" s="1173">
        <f t="shared" si="16"/>
        <v>3325299.604303977</v>
      </c>
      <c r="AF151" s="1174">
        <f>SUM(FORM!$V$19:$W$22)+SUM(FORM!$V$25:$W$28)+SUM(FORM!$V$31:$W$34)</f>
        <v>0</v>
      </c>
      <c r="AG151" s="1173">
        <f t="shared" si="17"/>
        <v>3325299.604303977</v>
      </c>
      <c r="AH151" s="1173"/>
    </row>
    <row r="152" spans="1:46" s="119" customFormat="1" ht="12.75" hidden="1" customHeight="1">
      <c r="A152" s="767" t="str">
        <f t="shared" si="13"/>
        <v>10H</v>
      </c>
      <c r="B152" s="768" t="str">
        <f>'Corrected and Updated TSF 1'!ER152</f>
        <v>SOLD</v>
      </c>
      <c r="C152" s="757" t="str">
        <f>'Corrected and Updated TSF 1'!E152</f>
        <v>10th Floor</v>
      </c>
      <c r="D152" s="642" t="str">
        <f>'Corrected and Updated TSF 1'!M152</f>
        <v>Corner</v>
      </c>
      <c r="E152" s="642" t="str">
        <f>'Corrected and Updated TSF 1'!G152</f>
        <v>10H</v>
      </c>
      <c r="F152" s="758" t="str">
        <f>'Corrected and Updated TSF 1'!I152</f>
        <v>Studio Unit</v>
      </c>
      <c r="G152" s="769">
        <f>'Corrected and Updated TSF 1'!J152</f>
        <v>22</v>
      </c>
      <c r="H152" s="769">
        <f>'Corrected and Updated TSF 1'!CI152</f>
        <v>3328122.242533288</v>
      </c>
      <c r="I152" s="770"/>
      <c r="J152" s="770">
        <f t="shared" si="14"/>
        <v>3328122.242533288</v>
      </c>
      <c r="K152" s="769">
        <f>'Corrected and Updated TSF 1'!CJ152</f>
        <v>0</v>
      </c>
      <c r="L152" s="769">
        <f>SUM('Corrected and Updated TSF 1'!CK152:CL152)</f>
        <v>457616.80834832706</v>
      </c>
      <c r="M152" s="769">
        <f t="shared" si="15"/>
        <v>3785739.0508816149</v>
      </c>
      <c r="N152" s="771">
        <f>'Corrected and Updated TSF 1'!CN152</f>
        <v>0.125</v>
      </c>
      <c r="O152" s="769">
        <f>'Corrected and Updated TSF 1'!CO152</f>
        <v>473217.38136020186</v>
      </c>
      <c r="P152" s="769">
        <f>'Corrected and Updated TSF 1'!CP152</f>
        <v>30000</v>
      </c>
      <c r="Q152" s="769">
        <f>'Corrected and Updated TSF 1'!CQ152</f>
        <v>443217.38136020186</v>
      </c>
      <c r="R152" s="425">
        <f>'Corrected and Updated TSF 1'!CR152</f>
        <v>2</v>
      </c>
      <c r="S152" s="769">
        <f>'Corrected and Updated TSF 1'!CS152</f>
        <v>221608.69068010093</v>
      </c>
      <c r="T152" s="769">
        <f>'Corrected and Updated TSF 1'!CU152</f>
        <v>3312521.6695214128</v>
      </c>
      <c r="U152" s="769">
        <f>'Corrected and Updated TSF 1'!CV152</f>
        <v>25681.945245944087</v>
      </c>
      <c r="V152" s="772">
        <f>'Corrected and Updated TSF 1'!CW152</f>
        <v>29773.881243771262</v>
      </c>
      <c r="W152" s="773">
        <f>'Corrected and Updated TSF 1'!CX152</f>
        <v>38461.185342686884</v>
      </c>
      <c r="X152" s="773">
        <f>'Corrected and Updated TSF 1'!CY152</f>
        <v>65591.899247403606</v>
      </c>
      <c r="Y152" s="1130">
        <f>'Corrected and Updated TSF 1'!CZ152</f>
        <v>269086.66411267273</v>
      </c>
      <c r="Z152" s="1130">
        <f>'Corrected and Updated TSF 1'!DA152</f>
        <v>106476.2821929869</v>
      </c>
      <c r="AA152" s="1130">
        <f>'Corrected and Updated TSF 1'!DB152</f>
        <v>76906.310583689265</v>
      </c>
      <c r="AB152" s="1130">
        <f>'Corrected and Updated TSF 1'!DC152</f>
        <v>58529.242937863244</v>
      </c>
      <c r="AC152" s="774">
        <f>K152-'Corrected and Updated TSF 1'!CJ152</f>
        <v>0</v>
      </c>
      <c r="AD152" s="774">
        <f>L152-SUM('Corrected and Updated TSF 1'!CK152:CL152)</f>
        <v>0</v>
      </c>
      <c r="AE152" s="1173">
        <f t="shared" si="16"/>
        <v>3328122.242533288</v>
      </c>
      <c r="AF152" s="1174">
        <f>SUM(FORM!$V$19:$W$22)+SUM(FORM!$V$25:$W$28)+SUM(FORM!$V$31:$W$34)</f>
        <v>0</v>
      </c>
      <c r="AG152" s="1173">
        <f t="shared" si="17"/>
        <v>3328122.242533288</v>
      </c>
      <c r="AH152" s="1173"/>
      <c r="AI152" s="714"/>
      <c r="AJ152" s="714"/>
      <c r="AK152" s="714"/>
      <c r="AL152" s="714"/>
      <c r="AM152" s="714"/>
      <c r="AN152" s="714"/>
      <c r="AO152" s="714"/>
      <c r="AP152" s="714"/>
      <c r="AQ152" s="552"/>
      <c r="AR152" s="552"/>
      <c r="AS152" s="552"/>
      <c r="AT152" s="552"/>
    </row>
    <row r="153" spans="1:46" s="119" customFormat="1" hidden="1">
      <c r="A153" s="767" t="str">
        <f t="shared" si="13"/>
        <v>10I</v>
      </c>
      <c r="B153" s="768" t="str">
        <f>'Corrected and Updated TSF 1'!ER153</f>
        <v>SOLD</v>
      </c>
      <c r="C153" s="757" t="str">
        <f>'Corrected and Updated TSF 1'!E153</f>
        <v>10th Floor</v>
      </c>
      <c r="D153" s="642" t="str">
        <f>'Corrected and Updated TSF 1'!M153</f>
        <v>Inner</v>
      </c>
      <c r="E153" s="642" t="str">
        <f>'Corrected and Updated TSF 1'!G153</f>
        <v>10I</v>
      </c>
      <c r="F153" s="758" t="str">
        <f>'Corrected and Updated TSF 1'!I153</f>
        <v>Studio Unit</v>
      </c>
      <c r="G153" s="769">
        <f>'Corrected and Updated TSF 1'!J153</f>
        <v>22</v>
      </c>
      <c r="H153" s="769">
        <f>'Corrected and Updated TSF 1'!CI153</f>
        <v>3246469.1150838062</v>
      </c>
      <c r="I153" s="770"/>
      <c r="J153" s="770">
        <f t="shared" si="14"/>
        <v>3246469.1150838062</v>
      </c>
      <c r="K153" s="769">
        <f>'Corrected and Updated TSF 1'!CJ153</f>
        <v>0</v>
      </c>
      <c r="L153" s="769">
        <f>SUM('Corrected and Updated TSF 1'!CK153:CL153)</f>
        <v>446389.50332402333</v>
      </c>
      <c r="M153" s="769">
        <f t="shared" si="15"/>
        <v>3692858.6184078297</v>
      </c>
      <c r="N153" s="771">
        <f>'Corrected and Updated TSF 1'!CN153</f>
        <v>0.125</v>
      </c>
      <c r="O153" s="769">
        <f>'Corrected and Updated TSF 1'!CO153</f>
        <v>461607.32730097871</v>
      </c>
      <c r="P153" s="769">
        <f>'Corrected and Updated TSF 1'!CP153</f>
        <v>30000</v>
      </c>
      <c r="Q153" s="769">
        <f>'Corrected and Updated TSF 1'!CQ153</f>
        <v>431607.32730097871</v>
      </c>
      <c r="R153" s="425">
        <f>'Corrected and Updated TSF 1'!CR153</f>
        <v>2</v>
      </c>
      <c r="S153" s="769">
        <f>'Corrected and Updated TSF 1'!CS153</f>
        <v>215803.66365048935</v>
      </c>
      <c r="T153" s="769">
        <f>'Corrected and Updated TSF 1'!CU153</f>
        <v>3231251.2911068508</v>
      </c>
      <c r="U153" s="769">
        <f>'Corrected and Updated TSF 1'!CV153</f>
        <v>25051.856867122558</v>
      </c>
      <c r="V153" s="772">
        <f>'Corrected and Updated TSF 1'!CW153</f>
        <v>29043.40010675243</v>
      </c>
      <c r="W153" s="773">
        <f>'Corrected and Updated TSF 1'!CX153</f>
        <v>37517.567338363195</v>
      </c>
      <c r="X153" s="773">
        <f>'Corrected and Updated TSF 1'!CY153</f>
        <v>63982.64834896753</v>
      </c>
      <c r="Y153" s="1130">
        <f>'Corrected and Updated TSF 1'!CZ153</f>
        <v>262484.81295499904</v>
      </c>
      <c r="Z153" s="1130">
        <f>'Corrected and Updated TSF 1'!DA153</f>
        <v>103863.96184935878</v>
      </c>
      <c r="AA153" s="1130">
        <f>'Corrected and Updated TSF 1'!DB153</f>
        <v>75019.468598288062</v>
      </c>
      <c r="AB153" s="1130">
        <f>'Corrected and Updated TSF 1'!DC153</f>
        <v>57093.269321254353</v>
      </c>
      <c r="AC153" s="774">
        <f>K153-'Corrected and Updated TSF 1'!CJ153</f>
        <v>0</v>
      </c>
      <c r="AD153" s="774">
        <f>L153-SUM('Corrected and Updated TSF 1'!CK153:CL153)</f>
        <v>0</v>
      </c>
      <c r="AE153" s="1173">
        <f t="shared" si="16"/>
        <v>3246469.1150838062</v>
      </c>
      <c r="AF153" s="1174">
        <f>SUM(FORM!$V$19:$W$22)+SUM(FORM!$V$25:$W$28)+SUM(FORM!$V$31:$W$34)</f>
        <v>0</v>
      </c>
      <c r="AG153" s="1173">
        <f t="shared" si="17"/>
        <v>3246469.1150838062</v>
      </c>
      <c r="AH153" s="1173"/>
      <c r="AI153" s="714"/>
      <c r="AJ153" s="714"/>
      <c r="AK153" s="714"/>
      <c r="AL153" s="714"/>
      <c r="AM153" s="714"/>
      <c r="AN153" s="714"/>
      <c r="AO153" s="714"/>
      <c r="AP153" s="714"/>
      <c r="AQ153" s="552"/>
      <c r="AR153" s="552"/>
      <c r="AS153" s="552"/>
      <c r="AT153" s="552"/>
    </row>
    <row r="154" spans="1:46" s="760" customFormat="1" ht="12.75" hidden="1" customHeight="1">
      <c r="A154" s="767" t="str">
        <f t="shared" si="13"/>
        <v>10J</v>
      </c>
      <c r="B154" s="768" t="str">
        <f>'Corrected and Updated TSF 1'!ER154</f>
        <v>SOLD</v>
      </c>
      <c r="C154" s="757" t="str">
        <f>'Corrected and Updated TSF 1'!E154</f>
        <v>10th Floor</v>
      </c>
      <c r="D154" s="642" t="str">
        <f>'Corrected and Updated TSF 1'!M154</f>
        <v>Inner</v>
      </c>
      <c r="E154" s="642" t="str">
        <f>'Corrected and Updated TSF 1'!G154</f>
        <v>10J</v>
      </c>
      <c r="F154" s="758" t="str">
        <f>'Corrected and Updated TSF 1'!I154</f>
        <v>Studio Unit</v>
      </c>
      <c r="G154" s="769">
        <f>'Corrected and Updated TSF 1'!J154</f>
        <v>22</v>
      </c>
      <c r="H154" s="769">
        <f>'Corrected and Updated TSF 1'!CI154</f>
        <v>3246469.1150838062</v>
      </c>
      <c r="I154" s="770"/>
      <c r="J154" s="770">
        <f t="shared" si="14"/>
        <v>3246469.1150838062</v>
      </c>
      <c r="K154" s="769">
        <f>'Corrected and Updated TSF 1'!CJ154</f>
        <v>0</v>
      </c>
      <c r="L154" s="769">
        <f>SUM('Corrected and Updated TSF 1'!CK154:CL154)</f>
        <v>446389.50332402333</v>
      </c>
      <c r="M154" s="769">
        <f t="shared" si="15"/>
        <v>3692858.6184078297</v>
      </c>
      <c r="N154" s="771">
        <f>'Corrected and Updated TSF 1'!CN154</f>
        <v>0.125</v>
      </c>
      <c r="O154" s="769">
        <f>'Corrected and Updated TSF 1'!CO154</f>
        <v>461607.32730097871</v>
      </c>
      <c r="P154" s="769">
        <f>'Corrected and Updated TSF 1'!CP154</f>
        <v>30000</v>
      </c>
      <c r="Q154" s="769">
        <f>'Corrected and Updated TSF 1'!CQ154</f>
        <v>431607.32730097871</v>
      </c>
      <c r="R154" s="425">
        <f>'Corrected and Updated TSF 1'!CR154</f>
        <v>2</v>
      </c>
      <c r="S154" s="769">
        <f>'Corrected and Updated TSF 1'!CS154</f>
        <v>215803.66365048935</v>
      </c>
      <c r="T154" s="769">
        <f>'Corrected and Updated TSF 1'!CU154</f>
        <v>3231251.2911068508</v>
      </c>
      <c r="U154" s="769">
        <f>'Corrected and Updated TSF 1'!CV154</f>
        <v>25051.856867122558</v>
      </c>
      <c r="V154" s="772">
        <f>'Corrected and Updated TSF 1'!CW154</f>
        <v>29043.40010675243</v>
      </c>
      <c r="W154" s="773">
        <f>'Corrected and Updated TSF 1'!CX154</f>
        <v>37517.567338363195</v>
      </c>
      <c r="X154" s="773">
        <f>'Corrected and Updated TSF 1'!CY154</f>
        <v>63982.64834896753</v>
      </c>
      <c r="Y154" s="1130">
        <f>'Corrected and Updated TSF 1'!CZ154</f>
        <v>262484.81295499904</v>
      </c>
      <c r="Z154" s="1130">
        <f>'Corrected and Updated TSF 1'!DA154</f>
        <v>103863.96184935878</v>
      </c>
      <c r="AA154" s="1130">
        <f>'Corrected and Updated TSF 1'!DB154</f>
        <v>75019.468598288062</v>
      </c>
      <c r="AB154" s="1130">
        <f>'Corrected and Updated TSF 1'!DC154</f>
        <v>57093.269321254353</v>
      </c>
      <c r="AC154" s="774">
        <f>K154-'Corrected and Updated TSF 1'!CJ154</f>
        <v>0</v>
      </c>
      <c r="AD154" s="774">
        <f>L154-SUM('Corrected and Updated TSF 1'!CK154:CL154)</f>
        <v>0</v>
      </c>
      <c r="AE154" s="1173">
        <f t="shared" si="16"/>
        <v>3246469.1150838062</v>
      </c>
      <c r="AF154" s="1174">
        <f>SUM(FORM!$V$19:$W$22)+SUM(FORM!$V$25:$W$28)+SUM(FORM!$V$31:$W$34)</f>
        <v>0</v>
      </c>
      <c r="AG154" s="1173">
        <f t="shared" si="17"/>
        <v>3246469.1150838062</v>
      </c>
      <c r="AH154" s="1173"/>
      <c r="AI154" s="714"/>
      <c r="AJ154" s="714"/>
      <c r="AK154" s="714"/>
      <c r="AL154" s="714"/>
      <c r="AM154" s="714"/>
      <c r="AN154" s="714"/>
      <c r="AO154" s="714"/>
      <c r="AP154" s="714"/>
    </row>
    <row r="155" spans="1:46" ht="12.75" hidden="1" customHeight="1">
      <c r="A155" s="767" t="str">
        <f t="shared" si="13"/>
        <v>10K</v>
      </c>
      <c r="B155" s="768" t="str">
        <f>'Corrected and Updated TSF 1'!ER155</f>
        <v>SOLD</v>
      </c>
      <c r="C155" s="757" t="str">
        <f>'Corrected and Updated TSF 1'!E155</f>
        <v>10th Floor</v>
      </c>
      <c r="D155" s="642" t="str">
        <f>'Corrected and Updated TSF 1'!M155</f>
        <v>Inner</v>
      </c>
      <c r="E155" s="642" t="str">
        <f>'Corrected and Updated TSF 1'!G155</f>
        <v>10K</v>
      </c>
      <c r="F155" s="758" t="str">
        <f>'Corrected and Updated TSF 1'!I155</f>
        <v>Studio Unit</v>
      </c>
      <c r="G155" s="769">
        <f>'Corrected and Updated TSF 1'!J155</f>
        <v>22</v>
      </c>
      <c r="H155" s="769">
        <f>'Corrected and Updated TSF 1'!CI155</f>
        <v>3246469.1150838062</v>
      </c>
      <c r="I155" s="770"/>
      <c r="J155" s="770">
        <f t="shared" si="14"/>
        <v>3246469.1150838062</v>
      </c>
      <c r="K155" s="769">
        <f>'Corrected and Updated TSF 1'!CJ155</f>
        <v>0</v>
      </c>
      <c r="L155" s="769">
        <f>SUM('Corrected and Updated TSF 1'!CK155:CL155)</f>
        <v>446389.50332402333</v>
      </c>
      <c r="M155" s="769">
        <f t="shared" si="15"/>
        <v>3692858.6184078297</v>
      </c>
      <c r="N155" s="771">
        <f>'Corrected and Updated TSF 1'!CN155</f>
        <v>0.125</v>
      </c>
      <c r="O155" s="769">
        <f>'Corrected and Updated TSF 1'!CO155</f>
        <v>461607.32730097871</v>
      </c>
      <c r="P155" s="769">
        <f>'Corrected and Updated TSF 1'!CP155</f>
        <v>30000</v>
      </c>
      <c r="Q155" s="769">
        <f>'Corrected and Updated TSF 1'!CQ155</f>
        <v>431607.32730097871</v>
      </c>
      <c r="R155" s="425">
        <f>'Corrected and Updated TSF 1'!CR155</f>
        <v>2</v>
      </c>
      <c r="S155" s="769">
        <f>'Corrected and Updated TSF 1'!CS155</f>
        <v>215803.66365048935</v>
      </c>
      <c r="T155" s="769">
        <f>'Corrected and Updated TSF 1'!CU155</f>
        <v>3231251.2911068508</v>
      </c>
      <c r="U155" s="769">
        <f>'Corrected and Updated TSF 1'!CV155</f>
        <v>25051.856867122558</v>
      </c>
      <c r="V155" s="772">
        <f>'Corrected and Updated TSF 1'!CW155</f>
        <v>29043.40010675243</v>
      </c>
      <c r="W155" s="773">
        <f>'Corrected and Updated TSF 1'!CX155</f>
        <v>37517.567338363195</v>
      </c>
      <c r="X155" s="773">
        <f>'Corrected and Updated TSF 1'!CY155</f>
        <v>63982.64834896753</v>
      </c>
      <c r="Y155" s="1130">
        <f>'Corrected and Updated TSF 1'!CZ155</f>
        <v>262484.81295499904</v>
      </c>
      <c r="Z155" s="1130">
        <f>'Corrected and Updated TSF 1'!DA155</f>
        <v>103863.96184935878</v>
      </c>
      <c r="AA155" s="1130">
        <f>'Corrected and Updated TSF 1'!DB155</f>
        <v>75019.468598288062</v>
      </c>
      <c r="AB155" s="1130">
        <f>'Corrected and Updated TSF 1'!DC155</f>
        <v>57093.269321254353</v>
      </c>
      <c r="AC155" s="774">
        <f>K155-'Corrected and Updated TSF 1'!CJ155</f>
        <v>0</v>
      </c>
      <c r="AD155" s="774">
        <f>L155-SUM('Corrected and Updated TSF 1'!CK155:CL155)</f>
        <v>0</v>
      </c>
      <c r="AE155" s="1173">
        <f t="shared" si="16"/>
        <v>3246469.1150838062</v>
      </c>
      <c r="AF155" s="1174">
        <f>SUM(FORM!$V$19:$W$22)+SUM(FORM!$V$25:$W$28)+SUM(FORM!$V$31:$W$34)</f>
        <v>0</v>
      </c>
      <c r="AG155" s="1173">
        <f t="shared" si="17"/>
        <v>3246469.1150838062</v>
      </c>
      <c r="AH155" s="1173"/>
    </row>
    <row r="156" spans="1:46" ht="12.75" hidden="1" customHeight="1">
      <c r="A156" s="767" t="str">
        <f t="shared" si="13"/>
        <v>10L</v>
      </c>
      <c r="B156" s="768" t="str">
        <f>'Corrected and Updated TSF 1'!ER156</f>
        <v>SOLD</v>
      </c>
      <c r="C156" s="757" t="str">
        <f>'Corrected and Updated TSF 1'!E156</f>
        <v>10th Floor</v>
      </c>
      <c r="D156" s="642" t="str">
        <f>'Corrected and Updated TSF 1'!M156</f>
        <v>Inner</v>
      </c>
      <c r="E156" s="642" t="str">
        <f>'Corrected and Updated TSF 1'!G156</f>
        <v>10L</v>
      </c>
      <c r="F156" s="758" t="str">
        <f>'Corrected and Updated TSF 1'!I156</f>
        <v>Studio Unit</v>
      </c>
      <c r="G156" s="769">
        <f>'Corrected and Updated TSF 1'!J156</f>
        <v>22</v>
      </c>
      <c r="H156" s="769">
        <f>'Corrected and Updated TSF 1'!CI156</f>
        <v>3246469.1150838062</v>
      </c>
      <c r="I156" s="770"/>
      <c r="J156" s="770">
        <f t="shared" si="14"/>
        <v>3246469.1150838062</v>
      </c>
      <c r="K156" s="769">
        <f>'Corrected and Updated TSF 1'!CJ156</f>
        <v>0</v>
      </c>
      <c r="L156" s="769">
        <f>SUM('Corrected and Updated TSF 1'!CK156:CL156)</f>
        <v>446389.50332402333</v>
      </c>
      <c r="M156" s="769">
        <f t="shared" si="15"/>
        <v>3692858.6184078297</v>
      </c>
      <c r="N156" s="771">
        <f>'Corrected and Updated TSF 1'!CN156</f>
        <v>0.125</v>
      </c>
      <c r="O156" s="769">
        <f>'Corrected and Updated TSF 1'!CO156</f>
        <v>461607.32730097871</v>
      </c>
      <c r="P156" s="769">
        <f>'Corrected and Updated TSF 1'!CP156</f>
        <v>30000</v>
      </c>
      <c r="Q156" s="769">
        <f>'Corrected and Updated TSF 1'!CQ156</f>
        <v>431607.32730097871</v>
      </c>
      <c r="R156" s="425">
        <f>'Corrected and Updated TSF 1'!CR156</f>
        <v>2</v>
      </c>
      <c r="S156" s="769">
        <f>'Corrected and Updated TSF 1'!CS156</f>
        <v>215803.66365048935</v>
      </c>
      <c r="T156" s="769">
        <f>'Corrected and Updated TSF 1'!CU156</f>
        <v>3231251.2911068508</v>
      </c>
      <c r="U156" s="769">
        <f>'Corrected and Updated TSF 1'!CV156</f>
        <v>25051.856867122558</v>
      </c>
      <c r="V156" s="772">
        <f>'Corrected and Updated TSF 1'!CW156</f>
        <v>29043.40010675243</v>
      </c>
      <c r="W156" s="773">
        <f>'Corrected and Updated TSF 1'!CX156</f>
        <v>37517.567338363195</v>
      </c>
      <c r="X156" s="773">
        <f>'Corrected and Updated TSF 1'!CY156</f>
        <v>63982.64834896753</v>
      </c>
      <c r="Y156" s="1130">
        <f>'Corrected and Updated TSF 1'!CZ156</f>
        <v>262484.81295499904</v>
      </c>
      <c r="Z156" s="1130">
        <f>'Corrected and Updated TSF 1'!DA156</f>
        <v>103863.96184935878</v>
      </c>
      <c r="AA156" s="1130">
        <f>'Corrected and Updated TSF 1'!DB156</f>
        <v>75019.468598288062</v>
      </c>
      <c r="AB156" s="1130">
        <f>'Corrected and Updated TSF 1'!DC156</f>
        <v>57093.269321254353</v>
      </c>
      <c r="AC156" s="774">
        <f>K156-'Corrected and Updated TSF 1'!CJ156</f>
        <v>0</v>
      </c>
      <c r="AD156" s="774">
        <f>L156-SUM('Corrected and Updated TSF 1'!CK156:CL156)</f>
        <v>0</v>
      </c>
      <c r="AE156" s="1173">
        <f t="shared" si="16"/>
        <v>3246469.1150838062</v>
      </c>
      <c r="AF156" s="1174">
        <f>SUM(FORM!$V$19:$W$22)+SUM(FORM!$V$25:$W$28)+SUM(FORM!$V$31:$W$34)</f>
        <v>0</v>
      </c>
      <c r="AG156" s="1173">
        <f t="shared" si="17"/>
        <v>3246469.1150838062</v>
      </c>
      <c r="AH156" s="1173"/>
    </row>
    <row r="157" spans="1:46" ht="12.75" hidden="1" customHeight="1">
      <c r="A157" s="767" t="str">
        <f t="shared" si="13"/>
        <v>10M</v>
      </c>
      <c r="B157" s="768" t="str">
        <f>'Corrected and Updated TSF 1'!ER157</f>
        <v>SOLD</v>
      </c>
      <c r="C157" s="757" t="str">
        <f>'Corrected and Updated TSF 1'!E157</f>
        <v>10th Floor</v>
      </c>
      <c r="D157" s="642" t="str">
        <f>'Corrected and Updated TSF 1'!M157</f>
        <v>Inner</v>
      </c>
      <c r="E157" s="642" t="str">
        <f>'Corrected and Updated TSF 1'!G157</f>
        <v>10M</v>
      </c>
      <c r="F157" s="758" t="str">
        <f>'Corrected and Updated TSF 1'!I157</f>
        <v>Studio Unit</v>
      </c>
      <c r="G157" s="769">
        <f>'Corrected and Updated TSF 1'!J157</f>
        <v>22</v>
      </c>
      <c r="H157" s="769">
        <f>'Corrected and Updated TSF 1'!CI157</f>
        <v>3246469.1150838062</v>
      </c>
      <c r="I157" s="770"/>
      <c r="J157" s="770">
        <f t="shared" si="14"/>
        <v>3246469.1150838062</v>
      </c>
      <c r="K157" s="769">
        <f>'Corrected and Updated TSF 1'!CJ157</f>
        <v>0</v>
      </c>
      <c r="L157" s="769">
        <f>SUM('Corrected and Updated TSF 1'!CK157:CL157)</f>
        <v>446389.50332402333</v>
      </c>
      <c r="M157" s="769">
        <f t="shared" si="15"/>
        <v>3692858.6184078297</v>
      </c>
      <c r="N157" s="771">
        <f>'Corrected and Updated TSF 1'!CN157</f>
        <v>0.125</v>
      </c>
      <c r="O157" s="769">
        <f>'Corrected and Updated TSF 1'!CO157</f>
        <v>461607.32730097871</v>
      </c>
      <c r="P157" s="769">
        <f>'Corrected and Updated TSF 1'!CP157</f>
        <v>30000</v>
      </c>
      <c r="Q157" s="769">
        <f>'Corrected and Updated TSF 1'!CQ157</f>
        <v>431607.32730097871</v>
      </c>
      <c r="R157" s="425">
        <f>'Corrected and Updated TSF 1'!CR157</f>
        <v>2</v>
      </c>
      <c r="S157" s="769">
        <f>'Corrected and Updated TSF 1'!CS157</f>
        <v>215803.66365048935</v>
      </c>
      <c r="T157" s="769">
        <f>'Corrected and Updated TSF 1'!CU157</f>
        <v>3231251.2911068508</v>
      </c>
      <c r="U157" s="769">
        <f>'Corrected and Updated TSF 1'!CV157</f>
        <v>25051.856867122558</v>
      </c>
      <c r="V157" s="772">
        <f>'Corrected and Updated TSF 1'!CW157</f>
        <v>29043.40010675243</v>
      </c>
      <c r="W157" s="773">
        <f>'Corrected and Updated TSF 1'!CX157</f>
        <v>37517.567338363195</v>
      </c>
      <c r="X157" s="773">
        <f>'Corrected and Updated TSF 1'!CY157</f>
        <v>63982.64834896753</v>
      </c>
      <c r="Y157" s="1130">
        <f>'Corrected and Updated TSF 1'!CZ157</f>
        <v>262484.81295499904</v>
      </c>
      <c r="Z157" s="1130">
        <f>'Corrected and Updated TSF 1'!DA157</f>
        <v>103863.96184935878</v>
      </c>
      <c r="AA157" s="1130">
        <f>'Corrected and Updated TSF 1'!DB157</f>
        <v>75019.468598288062</v>
      </c>
      <c r="AB157" s="1130">
        <f>'Corrected and Updated TSF 1'!DC157</f>
        <v>57093.269321254353</v>
      </c>
      <c r="AC157" s="774">
        <f>K157-'Corrected and Updated TSF 1'!CJ157</f>
        <v>0</v>
      </c>
      <c r="AD157" s="774">
        <f>L157-SUM('Corrected and Updated TSF 1'!CK157:CL157)</f>
        <v>0</v>
      </c>
      <c r="AE157" s="1173">
        <f t="shared" si="16"/>
        <v>3246469.1150838062</v>
      </c>
      <c r="AF157" s="1174">
        <f>SUM(FORM!$V$19:$W$22)+SUM(FORM!$V$25:$W$28)+SUM(FORM!$V$31:$W$34)</f>
        <v>0</v>
      </c>
      <c r="AG157" s="1173">
        <f t="shared" si="17"/>
        <v>3246469.1150838062</v>
      </c>
      <c r="AH157" s="1173"/>
    </row>
    <row r="158" spans="1:46" ht="12.75" hidden="1" customHeight="1">
      <c r="A158" s="767" t="str">
        <f t="shared" si="13"/>
        <v>10N</v>
      </c>
      <c r="B158" s="768" t="str">
        <f>'Corrected and Updated TSF 1'!ER158</f>
        <v>SOLD</v>
      </c>
      <c r="C158" s="757" t="str">
        <f>'Corrected and Updated TSF 1'!E158</f>
        <v>10th Floor</v>
      </c>
      <c r="D158" s="642" t="str">
        <f>'Corrected and Updated TSF 1'!M158</f>
        <v>Inner</v>
      </c>
      <c r="E158" s="642" t="str">
        <f>'Corrected and Updated TSF 1'!G158</f>
        <v>10N</v>
      </c>
      <c r="F158" s="758" t="str">
        <f>'Corrected and Updated TSF 1'!I158</f>
        <v>Studio Unit</v>
      </c>
      <c r="G158" s="769">
        <f>'Corrected and Updated TSF 1'!J158</f>
        <v>22</v>
      </c>
      <c r="H158" s="769">
        <f>'Corrected and Updated TSF 1'!CI158</f>
        <v>3246469.1150838062</v>
      </c>
      <c r="I158" s="770"/>
      <c r="J158" s="770">
        <f t="shared" si="14"/>
        <v>3246469.1150838062</v>
      </c>
      <c r="K158" s="769">
        <f>'Corrected and Updated TSF 1'!CJ158</f>
        <v>0</v>
      </c>
      <c r="L158" s="769">
        <f>SUM('Corrected and Updated TSF 1'!CK158:CL158)</f>
        <v>446389.50332402333</v>
      </c>
      <c r="M158" s="769">
        <f t="shared" si="15"/>
        <v>3692858.6184078297</v>
      </c>
      <c r="N158" s="771">
        <f>'Corrected and Updated TSF 1'!CN158</f>
        <v>0.125</v>
      </c>
      <c r="O158" s="769">
        <f>'Corrected and Updated TSF 1'!CO158</f>
        <v>461607.32730097871</v>
      </c>
      <c r="P158" s="769">
        <f>'Corrected and Updated TSF 1'!CP158</f>
        <v>30000</v>
      </c>
      <c r="Q158" s="769">
        <f>'Corrected and Updated TSF 1'!CQ158</f>
        <v>431607.32730097871</v>
      </c>
      <c r="R158" s="425">
        <f>'Corrected and Updated TSF 1'!CR158</f>
        <v>2</v>
      </c>
      <c r="S158" s="769">
        <f>'Corrected and Updated TSF 1'!CS158</f>
        <v>215803.66365048935</v>
      </c>
      <c r="T158" s="769">
        <f>'Corrected and Updated TSF 1'!CU158</f>
        <v>3231251.2911068508</v>
      </c>
      <c r="U158" s="769">
        <f>'Corrected and Updated TSF 1'!CV158</f>
        <v>25051.856867122558</v>
      </c>
      <c r="V158" s="772">
        <f>'Corrected and Updated TSF 1'!CW158</f>
        <v>29043.40010675243</v>
      </c>
      <c r="W158" s="773">
        <f>'Corrected and Updated TSF 1'!CX158</f>
        <v>37517.567338363195</v>
      </c>
      <c r="X158" s="773">
        <f>'Corrected and Updated TSF 1'!CY158</f>
        <v>63982.64834896753</v>
      </c>
      <c r="Y158" s="1130">
        <f>'Corrected and Updated TSF 1'!CZ158</f>
        <v>262484.81295499904</v>
      </c>
      <c r="Z158" s="1130">
        <f>'Corrected and Updated TSF 1'!DA158</f>
        <v>103863.96184935878</v>
      </c>
      <c r="AA158" s="1130">
        <f>'Corrected and Updated TSF 1'!DB158</f>
        <v>75019.468598288062</v>
      </c>
      <c r="AB158" s="1130">
        <f>'Corrected and Updated TSF 1'!DC158</f>
        <v>57093.269321254353</v>
      </c>
      <c r="AC158" s="774">
        <f>K158-'Corrected and Updated TSF 1'!CJ158</f>
        <v>0</v>
      </c>
      <c r="AD158" s="774">
        <f>L158-SUM('Corrected and Updated TSF 1'!CK158:CL158)</f>
        <v>0</v>
      </c>
      <c r="AE158" s="1173">
        <f t="shared" si="16"/>
        <v>3246469.1150838062</v>
      </c>
      <c r="AF158" s="1174">
        <f>SUM(FORM!$V$19:$W$22)+SUM(FORM!$V$25:$W$28)+SUM(FORM!$V$31:$W$34)</f>
        <v>0</v>
      </c>
      <c r="AG158" s="1173">
        <f t="shared" si="17"/>
        <v>3246469.1150838062</v>
      </c>
      <c r="AH158" s="1173"/>
    </row>
    <row r="159" spans="1:46" ht="12.75" hidden="1" customHeight="1">
      <c r="A159" s="767" t="str">
        <f t="shared" si="13"/>
        <v>10O</v>
      </c>
      <c r="B159" s="768" t="str">
        <f>'Corrected and Updated TSF 1'!ER159</f>
        <v>SOLD</v>
      </c>
      <c r="C159" s="757" t="str">
        <f>'Corrected and Updated TSF 1'!E159</f>
        <v>10th Floor</v>
      </c>
      <c r="D159" s="642" t="str">
        <f>'Corrected and Updated TSF 1'!M159</f>
        <v>Inner</v>
      </c>
      <c r="E159" s="642" t="str">
        <f>'Corrected and Updated TSF 1'!G159</f>
        <v>10O</v>
      </c>
      <c r="F159" s="758" t="str">
        <f>'Corrected and Updated TSF 1'!I159</f>
        <v>Studio Unit</v>
      </c>
      <c r="G159" s="769">
        <f>'Corrected and Updated TSF 1'!J159</f>
        <v>22</v>
      </c>
      <c r="H159" s="769">
        <f>'Corrected and Updated TSF 1'!CI159</f>
        <v>3246469.1150838062</v>
      </c>
      <c r="I159" s="770"/>
      <c r="J159" s="770">
        <f t="shared" si="14"/>
        <v>3246469.1150838062</v>
      </c>
      <c r="K159" s="769">
        <f>'Corrected and Updated TSF 1'!CJ159</f>
        <v>0</v>
      </c>
      <c r="L159" s="769">
        <f>SUM('Corrected and Updated TSF 1'!CK159:CL159)</f>
        <v>446389.50332402333</v>
      </c>
      <c r="M159" s="769">
        <f t="shared" si="15"/>
        <v>3692858.6184078297</v>
      </c>
      <c r="N159" s="771">
        <f>'Corrected and Updated TSF 1'!CN159</f>
        <v>0.125</v>
      </c>
      <c r="O159" s="769">
        <f>'Corrected and Updated TSF 1'!CO159</f>
        <v>461607.32730097871</v>
      </c>
      <c r="P159" s="769">
        <f>'Corrected and Updated TSF 1'!CP159</f>
        <v>30000</v>
      </c>
      <c r="Q159" s="769">
        <f>'Corrected and Updated TSF 1'!CQ159</f>
        <v>431607.32730097871</v>
      </c>
      <c r="R159" s="425">
        <f>'Corrected and Updated TSF 1'!CR159</f>
        <v>2</v>
      </c>
      <c r="S159" s="769">
        <f>'Corrected and Updated TSF 1'!CS159</f>
        <v>215803.66365048935</v>
      </c>
      <c r="T159" s="769">
        <f>'Corrected and Updated TSF 1'!CU159</f>
        <v>3231251.2911068508</v>
      </c>
      <c r="U159" s="769">
        <f>'Corrected and Updated TSF 1'!CV159</f>
        <v>25051.856867122558</v>
      </c>
      <c r="V159" s="772">
        <f>'Corrected and Updated TSF 1'!CW159</f>
        <v>29043.40010675243</v>
      </c>
      <c r="W159" s="773">
        <f>'Corrected and Updated TSF 1'!CX159</f>
        <v>37517.567338363195</v>
      </c>
      <c r="X159" s="773">
        <f>'Corrected and Updated TSF 1'!CY159</f>
        <v>63982.64834896753</v>
      </c>
      <c r="Y159" s="1130">
        <f>'Corrected and Updated TSF 1'!CZ159</f>
        <v>262484.81295499904</v>
      </c>
      <c r="Z159" s="1130">
        <f>'Corrected and Updated TSF 1'!DA159</f>
        <v>103863.96184935878</v>
      </c>
      <c r="AA159" s="1130">
        <f>'Corrected and Updated TSF 1'!DB159</f>
        <v>75019.468598288062</v>
      </c>
      <c r="AB159" s="1130">
        <f>'Corrected and Updated TSF 1'!DC159</f>
        <v>57093.269321254353</v>
      </c>
      <c r="AC159" s="774">
        <f>K159-'Corrected and Updated TSF 1'!CJ159</f>
        <v>0</v>
      </c>
      <c r="AD159" s="774">
        <f>L159-SUM('Corrected and Updated TSF 1'!CK159:CL159)</f>
        <v>0</v>
      </c>
      <c r="AE159" s="1173">
        <f t="shared" si="16"/>
        <v>3246469.1150838062</v>
      </c>
      <c r="AF159" s="1174">
        <f>SUM(FORM!$V$19:$W$22)+SUM(FORM!$V$25:$W$28)+SUM(FORM!$V$31:$W$34)</f>
        <v>0</v>
      </c>
      <c r="AG159" s="1173">
        <f t="shared" si="17"/>
        <v>3246469.1150838062</v>
      </c>
      <c r="AH159" s="1173"/>
    </row>
    <row r="160" spans="1:46" ht="12.75" hidden="1" customHeight="1">
      <c r="A160" s="767" t="str">
        <f t="shared" si="13"/>
        <v>10P</v>
      </c>
      <c r="B160" s="768" t="str">
        <f>'Corrected and Updated TSF 1'!ER160</f>
        <v>SOLD</v>
      </c>
      <c r="C160" s="757" t="str">
        <f>'Corrected and Updated TSF 1'!E160</f>
        <v>10th Floor</v>
      </c>
      <c r="D160" s="642" t="str">
        <f>'Corrected and Updated TSF 1'!M160</f>
        <v>Inner</v>
      </c>
      <c r="E160" s="642" t="str">
        <f>'Corrected and Updated TSF 1'!G160</f>
        <v>10P</v>
      </c>
      <c r="F160" s="758" t="str">
        <f>'Corrected and Updated TSF 1'!I160</f>
        <v>Studio Unit</v>
      </c>
      <c r="G160" s="769">
        <f>'Corrected and Updated TSF 1'!J160</f>
        <v>22</v>
      </c>
      <c r="H160" s="769">
        <f>'Corrected and Updated TSF 1'!CI160</f>
        <v>3246469.1150838062</v>
      </c>
      <c r="I160" s="770"/>
      <c r="J160" s="770">
        <f t="shared" si="14"/>
        <v>3246469.1150838062</v>
      </c>
      <c r="K160" s="769">
        <f>'Corrected and Updated TSF 1'!CJ160</f>
        <v>0</v>
      </c>
      <c r="L160" s="769">
        <f>SUM('Corrected and Updated TSF 1'!CK160:CL160)</f>
        <v>446389.50332402333</v>
      </c>
      <c r="M160" s="769">
        <f t="shared" si="15"/>
        <v>3692858.6184078297</v>
      </c>
      <c r="N160" s="771">
        <f>'Corrected and Updated TSF 1'!CN160</f>
        <v>0.125</v>
      </c>
      <c r="O160" s="769">
        <f>'Corrected and Updated TSF 1'!CO160</f>
        <v>461607.32730097871</v>
      </c>
      <c r="P160" s="769">
        <f>'Corrected and Updated TSF 1'!CP160</f>
        <v>30000</v>
      </c>
      <c r="Q160" s="769">
        <f>'Corrected and Updated TSF 1'!CQ160</f>
        <v>431607.32730097871</v>
      </c>
      <c r="R160" s="425">
        <f>'Corrected and Updated TSF 1'!CR160</f>
        <v>2</v>
      </c>
      <c r="S160" s="769">
        <f>'Corrected and Updated TSF 1'!CS160</f>
        <v>215803.66365048935</v>
      </c>
      <c r="T160" s="769">
        <f>'Corrected and Updated TSF 1'!CU160</f>
        <v>3231251.2911068508</v>
      </c>
      <c r="U160" s="769">
        <f>'Corrected and Updated TSF 1'!CV160</f>
        <v>25051.856867122558</v>
      </c>
      <c r="V160" s="772">
        <f>'Corrected and Updated TSF 1'!CW160</f>
        <v>29043.40010675243</v>
      </c>
      <c r="W160" s="773">
        <f>'Corrected and Updated TSF 1'!CX160</f>
        <v>37517.567338363195</v>
      </c>
      <c r="X160" s="773">
        <f>'Corrected and Updated TSF 1'!CY160</f>
        <v>63982.64834896753</v>
      </c>
      <c r="Y160" s="1130">
        <f>'Corrected and Updated TSF 1'!CZ160</f>
        <v>262484.81295499904</v>
      </c>
      <c r="Z160" s="1130">
        <f>'Corrected and Updated TSF 1'!DA160</f>
        <v>103863.96184935878</v>
      </c>
      <c r="AA160" s="1130">
        <f>'Corrected and Updated TSF 1'!DB160</f>
        <v>75019.468598288062</v>
      </c>
      <c r="AB160" s="1130">
        <f>'Corrected and Updated TSF 1'!DC160</f>
        <v>57093.269321254353</v>
      </c>
      <c r="AC160" s="774">
        <f>K160-'Corrected and Updated TSF 1'!CJ160</f>
        <v>0</v>
      </c>
      <c r="AD160" s="774">
        <f>L160-SUM('Corrected and Updated TSF 1'!CK160:CL160)</f>
        <v>0</v>
      </c>
      <c r="AE160" s="1173">
        <f t="shared" si="16"/>
        <v>3246469.1150838062</v>
      </c>
      <c r="AF160" s="1174">
        <f>SUM(FORM!$V$19:$W$22)+SUM(FORM!$V$25:$W$28)+SUM(FORM!$V$31:$W$34)</f>
        <v>0</v>
      </c>
      <c r="AG160" s="1173">
        <f t="shared" si="17"/>
        <v>3246469.1150838062</v>
      </c>
      <c r="AH160" s="1173"/>
    </row>
    <row r="161" spans="1:34" ht="12.75" customHeight="1">
      <c r="A161" s="767" t="str">
        <f t="shared" si="13"/>
        <v>10Q</v>
      </c>
      <c r="B161" s="768" t="str">
        <f>'Corrected and Updated TSF 1'!ER161</f>
        <v>UNSOLD</v>
      </c>
      <c r="C161" s="757" t="str">
        <f>'Corrected and Updated TSF 1'!E161</f>
        <v>10th Floor</v>
      </c>
      <c r="D161" s="642" t="str">
        <f>'Corrected and Updated TSF 1'!M161</f>
        <v>Inner</v>
      </c>
      <c r="E161" s="642" t="str">
        <f>'Corrected and Updated TSF 1'!G161</f>
        <v>10Q</v>
      </c>
      <c r="F161" s="758" t="str">
        <f>'Corrected and Updated TSF 1'!I161</f>
        <v>Studio Unit</v>
      </c>
      <c r="G161" s="769">
        <f>'Corrected and Updated TSF 1'!J161</f>
        <v>22</v>
      </c>
      <c r="H161" s="769">
        <f>'Corrected and Updated TSF 1'!CI161</f>
        <v>3280123.4521236136</v>
      </c>
      <c r="I161" s="770"/>
      <c r="J161" s="770">
        <f t="shared" si="14"/>
        <v>3280123.4521236136</v>
      </c>
      <c r="K161" s="769">
        <f>'Corrected and Updated TSF 1'!CJ161</f>
        <v>0</v>
      </c>
      <c r="L161" s="769">
        <f>SUM('Corrected and Updated TSF 1'!CK161:CL161)</f>
        <v>451016.97466699686</v>
      </c>
      <c r="M161" s="769">
        <f t="shared" si="15"/>
        <v>3731140.4267906104</v>
      </c>
      <c r="N161" s="771">
        <f>'Corrected and Updated TSF 1'!CN161</f>
        <v>0.125</v>
      </c>
      <c r="O161" s="769">
        <f>'Corrected and Updated TSF 1'!CO161</f>
        <v>466392.5533488263</v>
      </c>
      <c r="P161" s="769">
        <f>'Corrected and Updated TSF 1'!CP161</f>
        <v>30000</v>
      </c>
      <c r="Q161" s="769">
        <f>'Corrected and Updated TSF 1'!CQ161</f>
        <v>436392.5533488263</v>
      </c>
      <c r="R161" s="425">
        <f>'Corrected and Updated TSF 1'!CR161</f>
        <v>1</v>
      </c>
      <c r="S161" s="769">
        <f>'Corrected and Updated TSF 1'!CS161</f>
        <v>436392.5533488263</v>
      </c>
      <c r="T161" s="769">
        <f>'Corrected and Updated TSF 1'!CU161</f>
        <v>3264747.8734417842</v>
      </c>
      <c r="U161" s="769">
        <f>'Corrected and Updated TSF 1'!CV161</f>
        <v>25311.555513433996</v>
      </c>
      <c r="V161" s="772">
        <f>'Corrected and Updated TSF 1'!CW161</f>
        <v>29344.476858548169</v>
      </c>
      <c r="W161" s="773">
        <f>'Corrected and Updated TSF 1'!CX161</f>
        <v>37906.491061756249</v>
      </c>
      <c r="X161" s="773">
        <f>'Corrected and Updated TSF 1'!CY161</f>
        <v>64645.92082620471</v>
      </c>
      <c r="Y161" s="1130">
        <f>'Corrected and Updated TSF 1'!CZ161</f>
        <v>265205.84680743114</v>
      </c>
      <c r="Z161" s="1130">
        <f>'Corrected and Updated TSF 1'!DA161</f>
        <v>104940.66168984926</v>
      </c>
      <c r="AA161" s="1130">
        <f>'Corrected and Updated TSF 1'!DB161</f>
        <v>75797.153643564976</v>
      </c>
      <c r="AB161" s="1130">
        <f>'Corrected and Updated TSF 1'!DC161</f>
        <v>57685.123443480428</v>
      </c>
      <c r="AC161" s="774">
        <f>K161-'Corrected and Updated TSF 1'!CJ161</f>
        <v>0</v>
      </c>
      <c r="AD161" s="774">
        <f>L161-SUM('Corrected and Updated TSF 1'!CK161:CL161)</f>
        <v>0</v>
      </c>
      <c r="AE161" s="1173">
        <f t="shared" si="16"/>
        <v>3280123.4521236136</v>
      </c>
      <c r="AF161" s="1174">
        <f>SUM(FORM!$V$19:$W$22)+SUM(FORM!$V$25:$W$28)+SUM(FORM!$V$31:$W$34)</f>
        <v>0</v>
      </c>
      <c r="AG161" s="1173">
        <f t="shared" si="17"/>
        <v>3280123.4521236136</v>
      </c>
      <c r="AH161" s="1173"/>
    </row>
    <row r="162" spans="1:34" ht="12.75" hidden="1" customHeight="1">
      <c r="A162" s="767" t="str">
        <f t="shared" si="13"/>
        <v>10R</v>
      </c>
      <c r="B162" s="768" t="str">
        <f>'Corrected and Updated TSF 1'!ER162</f>
        <v>SOLD</v>
      </c>
      <c r="C162" s="757" t="str">
        <f>'Corrected and Updated TSF 1'!E162</f>
        <v>10th Floor</v>
      </c>
      <c r="D162" s="642" t="str">
        <f>'Corrected and Updated TSF 1'!M162</f>
        <v>Corner</v>
      </c>
      <c r="E162" s="642" t="str">
        <f>'Corrected and Updated TSF 1'!G162</f>
        <v>10R</v>
      </c>
      <c r="F162" s="758" t="str">
        <f>'Corrected and Updated TSF 1'!I162</f>
        <v>Studio Unit</v>
      </c>
      <c r="G162" s="769">
        <f>'Corrected and Updated TSF 1'!J162</f>
        <v>22</v>
      </c>
      <c r="H162" s="769">
        <f>'Corrected and Updated TSF 1'!CI162</f>
        <v>3328122.242533288</v>
      </c>
      <c r="I162" s="770"/>
      <c r="J162" s="770">
        <f t="shared" si="14"/>
        <v>3328122.242533288</v>
      </c>
      <c r="K162" s="769">
        <f>'Corrected and Updated TSF 1'!CJ162</f>
        <v>0</v>
      </c>
      <c r="L162" s="769">
        <f>SUM('Corrected and Updated TSF 1'!CK162:CL162)</f>
        <v>457616.80834832706</v>
      </c>
      <c r="M162" s="769">
        <f t="shared" si="15"/>
        <v>3785739.0508816149</v>
      </c>
      <c r="N162" s="771">
        <f>'Corrected and Updated TSF 1'!CN162</f>
        <v>0.125</v>
      </c>
      <c r="O162" s="769">
        <f>'Corrected and Updated TSF 1'!CO162</f>
        <v>473217.38136020186</v>
      </c>
      <c r="P162" s="769">
        <f>'Corrected and Updated TSF 1'!CP162</f>
        <v>30000</v>
      </c>
      <c r="Q162" s="769">
        <f>'Corrected and Updated TSF 1'!CQ162</f>
        <v>443217.38136020186</v>
      </c>
      <c r="R162" s="425">
        <f>'Corrected and Updated TSF 1'!CR162</f>
        <v>2</v>
      </c>
      <c r="S162" s="769">
        <f>'Corrected and Updated TSF 1'!CS162</f>
        <v>221608.69068010093</v>
      </c>
      <c r="T162" s="769">
        <f>'Corrected and Updated TSF 1'!CU162</f>
        <v>3312521.6695214128</v>
      </c>
      <c r="U162" s="769">
        <f>'Corrected and Updated TSF 1'!CV162</f>
        <v>25681.945245944087</v>
      </c>
      <c r="V162" s="772">
        <f>'Corrected and Updated TSF 1'!CW162</f>
        <v>29773.881243771262</v>
      </c>
      <c r="W162" s="773">
        <f>'Corrected and Updated TSF 1'!CX162</f>
        <v>38461.185342686884</v>
      </c>
      <c r="X162" s="773">
        <f>'Corrected and Updated TSF 1'!CY162</f>
        <v>65591.899247403606</v>
      </c>
      <c r="Y162" s="1130">
        <f>'Corrected and Updated TSF 1'!CZ162</f>
        <v>269086.66411267273</v>
      </c>
      <c r="Z162" s="1130">
        <f>'Corrected and Updated TSF 1'!DA162</f>
        <v>106476.2821929869</v>
      </c>
      <c r="AA162" s="1130">
        <f>'Corrected and Updated TSF 1'!DB162</f>
        <v>76906.310583689265</v>
      </c>
      <c r="AB162" s="1130">
        <f>'Corrected and Updated TSF 1'!DC162</f>
        <v>58529.242937863244</v>
      </c>
      <c r="AC162" s="774">
        <f>K162-'Corrected and Updated TSF 1'!CJ162</f>
        <v>0</v>
      </c>
      <c r="AD162" s="774">
        <f>L162-SUM('Corrected and Updated TSF 1'!CK162:CL162)</f>
        <v>0</v>
      </c>
      <c r="AE162" s="1173">
        <f t="shared" si="16"/>
        <v>3328122.242533288</v>
      </c>
      <c r="AF162" s="1174">
        <f>SUM(FORM!$V$19:$W$22)+SUM(FORM!$V$25:$W$28)+SUM(FORM!$V$31:$W$34)</f>
        <v>0</v>
      </c>
      <c r="AG162" s="1173">
        <f t="shared" si="17"/>
        <v>3328122.242533288</v>
      </c>
      <c r="AH162" s="1173"/>
    </row>
    <row r="163" spans="1:34" ht="12.75" hidden="1" customHeight="1">
      <c r="A163" s="767" t="str">
        <f t="shared" si="13"/>
        <v>11A</v>
      </c>
      <c r="B163" s="768" t="str">
        <f>'Corrected and Updated TSF 1'!ER163</f>
        <v>SOLD</v>
      </c>
      <c r="C163" s="757" t="str">
        <f>'Corrected and Updated TSF 1'!E163</f>
        <v>11th Floor</v>
      </c>
      <c r="D163" s="642" t="str">
        <f>'Corrected and Updated TSF 1'!M163</f>
        <v>Corner</v>
      </c>
      <c r="E163" s="642" t="str">
        <f>'Corrected and Updated TSF 1'!G163</f>
        <v>11A</v>
      </c>
      <c r="F163" s="758" t="str">
        <f>'Corrected and Updated TSF 1'!I163</f>
        <v>Studio Unit</v>
      </c>
      <c r="G163" s="769">
        <f>'Corrected and Updated TSF 1'!J163</f>
        <v>22</v>
      </c>
      <c r="H163" s="769">
        <f>'Corrected and Updated TSF 1'!CI163</f>
        <v>3229234.0719537176</v>
      </c>
      <c r="I163" s="770"/>
      <c r="J163" s="770">
        <f t="shared" si="14"/>
        <v>3229234.0719537176</v>
      </c>
      <c r="K163" s="769">
        <f>'Corrected and Updated TSF 1'!CJ163</f>
        <v>0</v>
      </c>
      <c r="L163" s="769">
        <f>SUM('Corrected and Updated TSF 1'!CK163:CL163)</f>
        <v>444019.68489363615</v>
      </c>
      <c r="M163" s="769">
        <f t="shared" si="15"/>
        <v>3673253.7568473537</v>
      </c>
      <c r="N163" s="771">
        <f>'Corrected and Updated TSF 1'!CN163</f>
        <v>0.125</v>
      </c>
      <c r="O163" s="769">
        <f>'Corrected and Updated TSF 1'!CO163</f>
        <v>459156.71960591921</v>
      </c>
      <c r="P163" s="769">
        <f>'Corrected and Updated TSF 1'!CP163</f>
        <v>30000</v>
      </c>
      <c r="Q163" s="769">
        <f>'Corrected and Updated TSF 1'!CQ163</f>
        <v>429156.71960591921</v>
      </c>
      <c r="R163" s="425">
        <f>'Corrected and Updated TSF 1'!CR163</f>
        <v>2</v>
      </c>
      <c r="S163" s="769">
        <f>'Corrected and Updated TSF 1'!CS163</f>
        <v>214578.3598029596</v>
      </c>
      <c r="T163" s="769">
        <f>'Corrected and Updated TSF 1'!CU163</f>
        <v>3214097.0372414347</v>
      </c>
      <c r="U163" s="769">
        <f>'Corrected and Updated TSF 1'!CV163</f>
        <v>24918.860119490626</v>
      </c>
      <c r="V163" s="772">
        <f>'Corrected and Updated TSF 1'!CW163</f>
        <v>28889.212823356273</v>
      </c>
      <c r="W163" s="773">
        <f>'Corrected and Updated TSF 1'!CX163</f>
        <v>37318.391905518831</v>
      </c>
      <c r="X163" s="773">
        <f>'Corrected and Updated TSF 1'!CY163</f>
        <v>63642.973562366868</v>
      </c>
      <c r="Y163" s="1130">
        <f>'Corrected and Updated TSF 1'!CZ163</f>
        <v>261091.31838847024</v>
      </c>
      <c r="Z163" s="1130">
        <f>'Corrected and Updated TSF 1'!DA163</f>
        <v>103312.56283748511</v>
      </c>
      <c r="AA163" s="1130">
        <f>'Corrected and Updated TSF 1'!DB163</f>
        <v>74621.200901583215</v>
      </c>
      <c r="AB163" s="1130">
        <f>'Corrected and Updated TSF 1'!DC163</f>
        <v>56790.169268764192</v>
      </c>
      <c r="AC163" s="774">
        <f>K163-'Corrected and Updated TSF 1'!CJ163</f>
        <v>0</v>
      </c>
      <c r="AD163" s="774">
        <f>L163-SUM('Corrected and Updated TSF 1'!CK163:CL163)</f>
        <v>0</v>
      </c>
      <c r="AE163" s="1173">
        <f t="shared" si="16"/>
        <v>3229234.0719537176</v>
      </c>
      <c r="AF163" s="1174">
        <f>SUM(FORM!$V$19:$W$22)+SUM(FORM!$V$25:$W$28)+SUM(FORM!$V$31:$W$34)</f>
        <v>0</v>
      </c>
      <c r="AG163" s="1173">
        <f t="shared" si="17"/>
        <v>3229234.0719537176</v>
      </c>
      <c r="AH163" s="1173"/>
    </row>
    <row r="164" spans="1:34" ht="12.75" hidden="1" customHeight="1">
      <c r="A164" s="767" t="str">
        <f t="shared" si="13"/>
        <v>11B</v>
      </c>
      <c r="B164" s="768" t="str">
        <f>'Corrected and Updated TSF 1'!ER164</f>
        <v>SOLD</v>
      </c>
      <c r="C164" s="757" t="str">
        <f>'Corrected and Updated TSF 1'!E164</f>
        <v>11th Floor</v>
      </c>
      <c r="D164" s="642" t="str">
        <f>'Corrected and Updated TSF 1'!M164</f>
        <v>End</v>
      </c>
      <c r="E164" s="642" t="str">
        <f>'Corrected and Updated TSF 1'!G164</f>
        <v>11B</v>
      </c>
      <c r="F164" s="758" t="str">
        <f>'Corrected and Updated TSF 1'!I164</f>
        <v>Studio Unit</v>
      </c>
      <c r="G164" s="769">
        <f>'Corrected and Updated TSF 1'!J164</f>
        <v>22</v>
      </c>
      <c r="H164" s="769">
        <f>'Corrected and Updated TSF 1'!CI164</f>
        <v>3306754.6929990449</v>
      </c>
      <c r="I164" s="770"/>
      <c r="J164" s="770">
        <f t="shared" si="14"/>
        <v>3306754.6929990449</v>
      </c>
      <c r="K164" s="769">
        <f>'Corrected and Updated TSF 1'!CJ164</f>
        <v>0</v>
      </c>
      <c r="L164" s="769">
        <f>SUM('Corrected and Updated TSF 1'!CK164:CL164)</f>
        <v>454678.77028736868</v>
      </c>
      <c r="M164" s="769">
        <f t="shared" si="15"/>
        <v>3761433.4632864138</v>
      </c>
      <c r="N164" s="771">
        <f>'Corrected and Updated TSF 1'!CN164</f>
        <v>0.125</v>
      </c>
      <c r="O164" s="769">
        <f>'Corrected and Updated TSF 1'!CO164</f>
        <v>470179.18291080173</v>
      </c>
      <c r="P164" s="769">
        <f>'Corrected and Updated TSF 1'!CP164</f>
        <v>30000</v>
      </c>
      <c r="Q164" s="769">
        <f>'Corrected and Updated TSF 1'!CQ164</f>
        <v>440179.18291080173</v>
      </c>
      <c r="R164" s="425">
        <f>'Corrected and Updated TSF 1'!CR164</f>
        <v>2</v>
      </c>
      <c r="S164" s="769">
        <f>'Corrected and Updated TSF 1'!CS164</f>
        <v>220089.59145540086</v>
      </c>
      <c r="T164" s="769">
        <f>'Corrected and Updated TSF 1'!CU164</f>
        <v>3291254.280375612</v>
      </c>
      <c r="U164" s="769">
        <f>'Corrected and Updated TSF 1'!CV164</f>
        <v>25517.059404262771</v>
      </c>
      <c r="V164" s="772">
        <f>'Corrected and Updated TSF 1'!CW164</f>
        <v>29582.723937656603</v>
      </c>
      <c r="W164" s="773">
        <f>'Corrected and Updated TSF 1'!CX164</f>
        <v>38214.252921619925</v>
      </c>
      <c r="X164" s="773">
        <f>'Corrected and Updated TSF 1'!CY164</f>
        <v>65170.779452492723</v>
      </c>
      <c r="Y164" s="1130">
        <f>'Corrected and Updated TSF 1'!CZ164</f>
        <v>267359.04649365909</v>
      </c>
      <c r="Z164" s="1130">
        <f>'Corrected and Updated TSF 1'!DA164</f>
        <v>105792.67231685179</v>
      </c>
      <c r="AA164" s="1130">
        <f>'Corrected and Updated TSF 1'!DB164</f>
        <v>76412.548852256587</v>
      </c>
      <c r="AB164" s="1130">
        <f>'Corrected and Updated TSF 1'!DC164</f>
        <v>58153.467528626905</v>
      </c>
      <c r="AC164" s="774">
        <f>K164-'Corrected and Updated TSF 1'!CJ164</f>
        <v>0</v>
      </c>
      <c r="AD164" s="774">
        <f>L164-SUM('Corrected and Updated TSF 1'!CK164:CL164)</f>
        <v>0</v>
      </c>
      <c r="AE164" s="1173">
        <f t="shared" si="16"/>
        <v>3306754.6929990449</v>
      </c>
      <c r="AF164" s="1174">
        <f>SUM(FORM!$V$19:$W$22)+SUM(FORM!$V$25:$W$28)+SUM(FORM!$V$31:$W$34)</f>
        <v>0</v>
      </c>
      <c r="AG164" s="1173">
        <f t="shared" si="17"/>
        <v>3306754.6929990449</v>
      </c>
      <c r="AH164" s="1173"/>
    </row>
    <row r="165" spans="1:34" hidden="1">
      <c r="A165" s="767" t="str">
        <f t="shared" si="13"/>
        <v>11C</v>
      </c>
      <c r="B165" s="768" t="str">
        <f>'Corrected and Updated TSF 1'!ER165</f>
        <v>SOLD</v>
      </c>
      <c r="C165" s="757" t="str">
        <f>'Corrected and Updated TSF 1'!E165</f>
        <v>11th Floor</v>
      </c>
      <c r="D165" s="642" t="str">
        <f>'Corrected and Updated TSF 1'!M165</f>
        <v>End</v>
      </c>
      <c r="E165" s="642" t="str">
        <f>'Corrected and Updated TSF 1'!G165</f>
        <v>11C</v>
      </c>
      <c r="F165" s="758" t="str">
        <f>'Corrected and Updated TSF 1'!I165</f>
        <v>Studio Unit</v>
      </c>
      <c r="G165" s="769">
        <f>'Corrected and Updated TSF 1'!J165</f>
        <v>22</v>
      </c>
      <c r="H165" s="769">
        <f>'Corrected and Updated TSF 1'!CI165</f>
        <v>3306754.6929990449</v>
      </c>
      <c r="I165" s="770"/>
      <c r="J165" s="770">
        <f t="shared" si="14"/>
        <v>3306754.6929990449</v>
      </c>
      <c r="K165" s="769">
        <f>'Corrected and Updated TSF 1'!CJ165</f>
        <v>0</v>
      </c>
      <c r="L165" s="769">
        <f>SUM('Corrected and Updated TSF 1'!CK165:CL165)</f>
        <v>454678.77028736868</v>
      </c>
      <c r="M165" s="769">
        <f t="shared" si="15"/>
        <v>3761433.4632864138</v>
      </c>
      <c r="N165" s="771">
        <f>'Corrected and Updated TSF 1'!CN165</f>
        <v>0.125</v>
      </c>
      <c r="O165" s="769">
        <f>'Corrected and Updated TSF 1'!CO165</f>
        <v>470179.18291080173</v>
      </c>
      <c r="P165" s="769">
        <f>'Corrected and Updated TSF 1'!CP165</f>
        <v>30000</v>
      </c>
      <c r="Q165" s="769">
        <f>'Corrected and Updated TSF 1'!CQ165</f>
        <v>440179.18291080173</v>
      </c>
      <c r="R165" s="425">
        <f>'Corrected and Updated TSF 1'!CR165</f>
        <v>2</v>
      </c>
      <c r="S165" s="769">
        <f>'Corrected and Updated TSF 1'!CS165</f>
        <v>220089.59145540086</v>
      </c>
      <c r="T165" s="769">
        <f>'Corrected and Updated TSF 1'!CU165</f>
        <v>3291254.280375612</v>
      </c>
      <c r="U165" s="769">
        <f>'Corrected and Updated TSF 1'!CV165</f>
        <v>25517.059404262771</v>
      </c>
      <c r="V165" s="772">
        <f>'Corrected and Updated TSF 1'!CW165</f>
        <v>29582.723937656603</v>
      </c>
      <c r="W165" s="773">
        <f>'Corrected and Updated TSF 1'!CX165</f>
        <v>38214.252921619925</v>
      </c>
      <c r="X165" s="773">
        <f>'Corrected and Updated TSF 1'!CY165</f>
        <v>65170.779452492723</v>
      </c>
      <c r="Y165" s="1130">
        <f>'Corrected and Updated TSF 1'!CZ165</f>
        <v>267359.04649365909</v>
      </c>
      <c r="Z165" s="1130">
        <f>'Corrected and Updated TSF 1'!DA165</f>
        <v>105792.67231685179</v>
      </c>
      <c r="AA165" s="1130">
        <f>'Corrected and Updated TSF 1'!DB165</f>
        <v>76412.548852256587</v>
      </c>
      <c r="AB165" s="1130">
        <f>'Corrected and Updated TSF 1'!DC165</f>
        <v>58153.467528626905</v>
      </c>
      <c r="AC165" s="774">
        <f>K165-'Corrected and Updated TSF 1'!CJ165</f>
        <v>0</v>
      </c>
      <c r="AD165" s="774">
        <f>L165-SUM('Corrected and Updated TSF 1'!CK165:CL165)</f>
        <v>0</v>
      </c>
      <c r="AE165" s="1173">
        <f t="shared" si="16"/>
        <v>3306754.6929990449</v>
      </c>
      <c r="AF165" s="1174">
        <f>SUM(FORM!$V$19:$W$22)+SUM(FORM!$V$25:$W$28)+SUM(FORM!$V$31:$W$34)</f>
        <v>0</v>
      </c>
      <c r="AG165" s="1173">
        <f t="shared" si="17"/>
        <v>3306754.6929990449</v>
      </c>
      <c r="AH165" s="1173"/>
    </row>
    <row r="166" spans="1:34" ht="12.75" hidden="1" customHeight="1">
      <c r="A166" s="767" t="str">
        <f t="shared" si="13"/>
        <v>11D</v>
      </c>
      <c r="B166" s="768" t="str">
        <f>'Corrected and Updated TSF 1'!ER166</f>
        <v>SOLD</v>
      </c>
      <c r="C166" s="757" t="str">
        <f>'Corrected and Updated TSF 1'!E166</f>
        <v>11th Floor</v>
      </c>
      <c r="D166" s="642" t="str">
        <f>'Corrected and Updated TSF 1'!M166</f>
        <v>End</v>
      </c>
      <c r="E166" s="642" t="str">
        <f>'Corrected and Updated TSF 1'!G166</f>
        <v>11D</v>
      </c>
      <c r="F166" s="758" t="str">
        <f>'Corrected and Updated TSF 1'!I166</f>
        <v>Studio Unit</v>
      </c>
      <c r="G166" s="769">
        <f>'Corrected and Updated TSF 1'!J166</f>
        <v>22</v>
      </c>
      <c r="H166" s="769">
        <f>'Corrected and Updated TSF 1'!CI166</f>
        <v>3306754.6929990449</v>
      </c>
      <c r="I166" s="770"/>
      <c r="J166" s="770">
        <f t="shared" si="14"/>
        <v>3306754.6929990449</v>
      </c>
      <c r="K166" s="769">
        <f>'Corrected and Updated TSF 1'!CJ166</f>
        <v>0</v>
      </c>
      <c r="L166" s="769">
        <f>SUM('Corrected and Updated TSF 1'!CK166:CL166)</f>
        <v>454678.77028736868</v>
      </c>
      <c r="M166" s="769">
        <f t="shared" si="15"/>
        <v>3761433.4632864138</v>
      </c>
      <c r="N166" s="771">
        <f>'Corrected and Updated TSF 1'!CN166</f>
        <v>0.125</v>
      </c>
      <c r="O166" s="769">
        <f>'Corrected and Updated TSF 1'!CO166</f>
        <v>470179.18291080173</v>
      </c>
      <c r="P166" s="769">
        <f>'Corrected and Updated TSF 1'!CP166</f>
        <v>30000</v>
      </c>
      <c r="Q166" s="769">
        <f>'Corrected and Updated TSF 1'!CQ166</f>
        <v>440179.18291080173</v>
      </c>
      <c r="R166" s="425">
        <f>'Corrected and Updated TSF 1'!CR166</f>
        <v>2</v>
      </c>
      <c r="S166" s="769">
        <f>'Corrected and Updated TSF 1'!CS166</f>
        <v>220089.59145540086</v>
      </c>
      <c r="T166" s="769">
        <f>'Corrected and Updated TSF 1'!CU166</f>
        <v>3291254.280375612</v>
      </c>
      <c r="U166" s="769">
        <f>'Corrected and Updated TSF 1'!CV166</f>
        <v>25517.059404262771</v>
      </c>
      <c r="V166" s="772">
        <f>'Corrected and Updated TSF 1'!CW166</f>
        <v>29582.723937656603</v>
      </c>
      <c r="W166" s="773">
        <f>'Corrected and Updated TSF 1'!CX166</f>
        <v>38214.252921619925</v>
      </c>
      <c r="X166" s="773">
        <f>'Corrected and Updated TSF 1'!CY166</f>
        <v>65170.779452492723</v>
      </c>
      <c r="Y166" s="1130">
        <f>'Corrected and Updated TSF 1'!CZ166</f>
        <v>267359.04649365909</v>
      </c>
      <c r="Z166" s="1130">
        <f>'Corrected and Updated TSF 1'!DA166</f>
        <v>105792.67231685179</v>
      </c>
      <c r="AA166" s="1130">
        <f>'Corrected and Updated TSF 1'!DB166</f>
        <v>76412.548852256587</v>
      </c>
      <c r="AB166" s="1130">
        <f>'Corrected and Updated TSF 1'!DC166</f>
        <v>58153.467528626905</v>
      </c>
      <c r="AC166" s="774">
        <f>K166-'Corrected and Updated TSF 1'!CJ166</f>
        <v>0</v>
      </c>
      <c r="AD166" s="774">
        <f>L166-SUM('Corrected and Updated TSF 1'!CK166:CL166)</f>
        <v>0</v>
      </c>
      <c r="AE166" s="1173">
        <f t="shared" si="16"/>
        <v>3306754.6929990449</v>
      </c>
      <c r="AF166" s="1174">
        <f>SUM(FORM!$V$19:$W$22)+SUM(FORM!$V$25:$W$28)+SUM(FORM!$V$31:$W$34)</f>
        <v>0</v>
      </c>
      <c r="AG166" s="1173">
        <f t="shared" si="17"/>
        <v>3306754.6929990449</v>
      </c>
      <c r="AH166" s="1173"/>
    </row>
    <row r="167" spans="1:34" ht="12.75" customHeight="1">
      <c r="A167" s="767" t="str">
        <f t="shared" si="13"/>
        <v>11E</v>
      </c>
      <c r="B167" s="768" t="str">
        <f>'Corrected and Updated TSF 1'!ER167</f>
        <v>UNSOLD</v>
      </c>
      <c r="C167" s="757" t="str">
        <f>'Corrected and Updated TSF 1'!E167</f>
        <v>11th Floor</v>
      </c>
      <c r="D167" s="642" t="str">
        <f>'Corrected and Updated TSF 1'!M167</f>
        <v>End</v>
      </c>
      <c r="E167" s="642" t="str">
        <f>'Corrected and Updated TSF 1'!G167</f>
        <v>11E</v>
      </c>
      <c r="F167" s="758" t="str">
        <f>'Corrected and Updated TSF 1'!I167</f>
        <v>Studio Unit</v>
      </c>
      <c r="G167" s="769">
        <f>'Corrected and Updated TSF 1'!J167</f>
        <v>22</v>
      </c>
      <c r="H167" s="769">
        <f>'Corrected and Updated TSF 1'!CI167</f>
        <v>3368298.4787571854</v>
      </c>
      <c r="I167" s="770"/>
      <c r="J167" s="770">
        <f t="shared" si="14"/>
        <v>3368298.4787571854</v>
      </c>
      <c r="K167" s="769">
        <f>'Corrected and Updated TSF 1'!CJ167</f>
        <v>0</v>
      </c>
      <c r="L167" s="769">
        <f>SUM('Corrected and Updated TSF 1'!CK167:CL167)</f>
        <v>463141.04082911299</v>
      </c>
      <c r="M167" s="769">
        <f t="shared" si="15"/>
        <v>3831439.5195862986</v>
      </c>
      <c r="N167" s="771">
        <f>'Corrected and Updated TSF 1'!CN167</f>
        <v>0.125</v>
      </c>
      <c r="O167" s="769">
        <f>'Corrected and Updated TSF 1'!CO167</f>
        <v>478929.93994828733</v>
      </c>
      <c r="P167" s="769">
        <f>'Corrected and Updated TSF 1'!CP167</f>
        <v>30000</v>
      </c>
      <c r="Q167" s="769">
        <f>'Corrected and Updated TSF 1'!CQ167</f>
        <v>448929.93994828733</v>
      </c>
      <c r="R167" s="425">
        <f>'Corrected and Updated TSF 1'!CR167</f>
        <v>1</v>
      </c>
      <c r="S167" s="769">
        <f>'Corrected and Updated TSF 1'!CS167</f>
        <v>448929.93994828733</v>
      </c>
      <c r="T167" s="769">
        <f>'Corrected and Updated TSF 1'!CU167</f>
        <v>3352509.5796380113</v>
      </c>
      <c r="U167" s="769">
        <f>'Corrected and Updated TSF 1'!CV167</f>
        <v>25991.971087454309</v>
      </c>
      <c r="V167" s="772">
        <f>'Corrected and Updated TSF 1'!CW167</f>
        <v>30133.303884822308</v>
      </c>
      <c r="W167" s="773">
        <f>'Corrected and Updated TSF 1'!CX167</f>
        <v>38925.478885763812</v>
      </c>
      <c r="X167" s="773">
        <f>'Corrected and Updated TSF 1'!CY167</f>
        <v>66383.707794836024</v>
      </c>
      <c r="Y167" s="1130">
        <f>'Corrected and Updated TSF 1'!CZ167</f>
        <v>272335.00915358751</v>
      </c>
      <c r="Z167" s="1130">
        <f>'Corrected and Updated TSF 1'!DA167</f>
        <v>107761.63650207971</v>
      </c>
      <c r="AA167" s="1130">
        <f>'Corrected and Updated TSF 1'!DB167</f>
        <v>77834.703796423797</v>
      </c>
      <c r="AB167" s="1130">
        <f>'Corrected and Updated TSF 1'!DC167</f>
        <v>59235.792913770259</v>
      </c>
      <c r="AC167" s="774">
        <f>K167-'Corrected and Updated TSF 1'!CJ167</f>
        <v>0</v>
      </c>
      <c r="AD167" s="774">
        <f>L167-SUM('Corrected and Updated TSF 1'!CK167:CL167)</f>
        <v>0</v>
      </c>
      <c r="AE167" s="1173">
        <f t="shared" si="16"/>
        <v>3368298.4787571854</v>
      </c>
      <c r="AF167" s="1174">
        <f>SUM(FORM!$V$19:$W$22)+SUM(FORM!$V$25:$W$28)+SUM(FORM!$V$31:$W$34)</f>
        <v>0</v>
      </c>
      <c r="AG167" s="1173">
        <f t="shared" si="17"/>
        <v>3368298.4787571854</v>
      </c>
      <c r="AH167" s="1173"/>
    </row>
    <row r="168" spans="1:34" ht="12.75" hidden="1" customHeight="1">
      <c r="A168" s="767" t="str">
        <f t="shared" si="13"/>
        <v>11F</v>
      </c>
      <c r="B168" s="768" t="str">
        <f>'Corrected and Updated TSF 1'!ER168</f>
        <v>SOLD</v>
      </c>
      <c r="C168" s="757" t="str">
        <f>'Corrected and Updated TSF 1'!E168</f>
        <v>11th Floor</v>
      </c>
      <c r="D168" s="642" t="str">
        <f>'Corrected and Updated TSF 1'!M168</f>
        <v>Inner</v>
      </c>
      <c r="E168" s="642" t="str">
        <f>'Corrected and Updated TSF 1'!G168</f>
        <v>11F</v>
      </c>
      <c r="F168" s="758" t="str">
        <f>'Corrected and Updated TSF 1'!I168</f>
        <v>Studio Unit</v>
      </c>
      <c r="G168" s="769">
        <f>'Corrected and Updated TSF 1'!J168</f>
        <v>22</v>
      </c>
      <c r="H168" s="769">
        <f>'Corrected and Updated TSF 1'!CI168</f>
        <v>3275176.5331386821</v>
      </c>
      <c r="I168" s="770"/>
      <c r="J168" s="770">
        <f t="shared" si="14"/>
        <v>3275176.5331386821</v>
      </c>
      <c r="K168" s="769">
        <f>'Corrected and Updated TSF 1'!CJ168</f>
        <v>0</v>
      </c>
      <c r="L168" s="769">
        <f>SUM('Corrected and Updated TSF 1'!CK168:CL168)</f>
        <v>450336.77330656879</v>
      </c>
      <c r="M168" s="769">
        <f t="shared" si="15"/>
        <v>3725513.3064452508</v>
      </c>
      <c r="N168" s="771">
        <f>'Corrected and Updated TSF 1'!CN168</f>
        <v>0.125</v>
      </c>
      <c r="O168" s="769">
        <f>'Corrected and Updated TSF 1'!CO168</f>
        <v>465689.1633056564</v>
      </c>
      <c r="P168" s="769">
        <f>'Corrected and Updated TSF 1'!CP168</f>
        <v>30000</v>
      </c>
      <c r="Q168" s="769">
        <f>'Corrected and Updated TSF 1'!CQ168</f>
        <v>435689.1633056564</v>
      </c>
      <c r="R168" s="425">
        <f>'Corrected and Updated TSF 1'!CR168</f>
        <v>2</v>
      </c>
      <c r="S168" s="769">
        <f>'Corrected and Updated TSF 1'!CS168</f>
        <v>217844.5816528282</v>
      </c>
      <c r="T168" s="769">
        <f>'Corrected and Updated TSF 1'!CU168</f>
        <v>3259824.1431395947</v>
      </c>
      <c r="U168" s="769">
        <f>'Corrected and Updated TSF 1'!CV168</f>
        <v>25273.381884808376</v>
      </c>
      <c r="V168" s="772">
        <f>'Corrected and Updated TSF 1'!CW168</f>
        <v>29300.220978611567</v>
      </c>
      <c r="W168" s="773">
        <f>'Corrected and Updated TSF 1'!CX168</f>
        <v>37849.322378009259</v>
      </c>
      <c r="X168" s="773">
        <f>'Corrected and Updated TSF 1'!CY168</f>
        <v>64548.425064931922</v>
      </c>
      <c r="Y168" s="1130">
        <f>'Corrected and Updated TSF 1'!CZ168</f>
        <v>264805.87654483714</v>
      </c>
      <c r="Z168" s="1130">
        <f>'Corrected and Updated TSF 1'!DA168</f>
        <v>104782.39540530783</v>
      </c>
      <c r="AA168" s="1130">
        <f>'Corrected and Updated TSF 1'!DB168</f>
        <v>75682.840147796887</v>
      </c>
      <c r="AB168" s="1130">
        <f>'Corrected and Updated TSF 1'!DC168</f>
        <v>57598.125610479379</v>
      </c>
      <c r="AC168" s="774">
        <f>K168-'Corrected and Updated TSF 1'!CJ168</f>
        <v>0</v>
      </c>
      <c r="AD168" s="774">
        <f>L168-SUM('Corrected and Updated TSF 1'!CK168:CL168)</f>
        <v>0</v>
      </c>
      <c r="AE168" s="1173">
        <f t="shared" si="16"/>
        <v>3275176.5331386821</v>
      </c>
      <c r="AF168" s="1174">
        <f>SUM(FORM!$V$19:$W$22)+SUM(FORM!$V$25:$W$28)+SUM(FORM!$V$31:$W$34)</f>
        <v>0</v>
      </c>
      <c r="AG168" s="1173">
        <f t="shared" si="17"/>
        <v>3275176.5331386821</v>
      </c>
      <c r="AH168" s="1173"/>
    </row>
    <row r="169" spans="1:34" ht="12.75" hidden="1" customHeight="1">
      <c r="A169" s="767" t="str">
        <f t="shared" si="13"/>
        <v>11G</v>
      </c>
      <c r="B169" s="768" t="str">
        <f>'Corrected and Updated TSF 1'!ER169</f>
        <v>SOLD</v>
      </c>
      <c r="C169" s="757" t="str">
        <f>'Corrected and Updated TSF 1'!E169</f>
        <v>11th Floor</v>
      </c>
      <c r="D169" s="642" t="str">
        <f>'Corrected and Updated TSF 1'!M169</f>
        <v>End</v>
      </c>
      <c r="E169" s="642" t="str">
        <f>'Corrected and Updated TSF 1'!G169</f>
        <v>11G</v>
      </c>
      <c r="F169" s="758" t="str">
        <f>'Corrected and Updated TSF 1'!I169</f>
        <v>Studio Unit</v>
      </c>
      <c r="G169" s="769">
        <f>'Corrected and Updated TSF 1'!J169</f>
        <v>22</v>
      </c>
      <c r="H169" s="769">
        <f>'Corrected and Updated TSF 1'!CI169</f>
        <v>3306754.6929990449</v>
      </c>
      <c r="I169" s="770"/>
      <c r="J169" s="770">
        <f t="shared" si="14"/>
        <v>3306754.6929990449</v>
      </c>
      <c r="K169" s="769">
        <f>'Corrected and Updated TSF 1'!CJ169</f>
        <v>0</v>
      </c>
      <c r="L169" s="769">
        <f>SUM('Corrected and Updated TSF 1'!CK169:CL169)</f>
        <v>454678.77028736868</v>
      </c>
      <c r="M169" s="769">
        <f t="shared" si="15"/>
        <v>3761433.4632864138</v>
      </c>
      <c r="N169" s="771">
        <f>'Corrected and Updated TSF 1'!CN169</f>
        <v>0.125</v>
      </c>
      <c r="O169" s="769">
        <f>'Corrected and Updated TSF 1'!CO169</f>
        <v>470179.18291080173</v>
      </c>
      <c r="P169" s="769">
        <f>'Corrected and Updated TSF 1'!CP169</f>
        <v>30000</v>
      </c>
      <c r="Q169" s="769">
        <f>'Corrected and Updated TSF 1'!CQ169</f>
        <v>440179.18291080173</v>
      </c>
      <c r="R169" s="425">
        <f>'Corrected and Updated TSF 1'!CR169</f>
        <v>2</v>
      </c>
      <c r="S169" s="769">
        <f>'Corrected and Updated TSF 1'!CS169</f>
        <v>220089.59145540086</v>
      </c>
      <c r="T169" s="769">
        <f>'Corrected and Updated TSF 1'!CU169</f>
        <v>3291254.280375612</v>
      </c>
      <c r="U169" s="769">
        <f>'Corrected and Updated TSF 1'!CV169</f>
        <v>25517.059404262771</v>
      </c>
      <c r="V169" s="772">
        <f>'Corrected and Updated TSF 1'!CW169</f>
        <v>29582.723937656603</v>
      </c>
      <c r="W169" s="773">
        <f>'Corrected and Updated TSF 1'!CX169</f>
        <v>38214.252921619925</v>
      </c>
      <c r="X169" s="773">
        <f>'Corrected and Updated TSF 1'!CY169</f>
        <v>65170.779452492723</v>
      </c>
      <c r="Y169" s="1130">
        <f>'Corrected and Updated TSF 1'!CZ169</f>
        <v>267359.04649365909</v>
      </c>
      <c r="Z169" s="1130">
        <f>'Corrected and Updated TSF 1'!DA169</f>
        <v>105792.67231685179</v>
      </c>
      <c r="AA169" s="1130">
        <f>'Corrected and Updated TSF 1'!DB169</f>
        <v>76412.548852256587</v>
      </c>
      <c r="AB169" s="1130">
        <f>'Corrected and Updated TSF 1'!DC169</f>
        <v>58153.467528626905</v>
      </c>
      <c r="AC169" s="774">
        <f>K169-'Corrected and Updated TSF 1'!CJ169</f>
        <v>0</v>
      </c>
      <c r="AD169" s="774">
        <f>L169-SUM('Corrected and Updated TSF 1'!CK169:CL169)</f>
        <v>0</v>
      </c>
      <c r="AE169" s="1173">
        <f t="shared" si="16"/>
        <v>3306754.6929990449</v>
      </c>
      <c r="AF169" s="1174">
        <f>SUM(FORM!$V$19:$W$22)+SUM(FORM!$V$25:$W$28)+SUM(FORM!$V$31:$W$34)</f>
        <v>0</v>
      </c>
      <c r="AG169" s="1173">
        <f t="shared" si="17"/>
        <v>3306754.6929990449</v>
      </c>
      <c r="AH169" s="1173"/>
    </row>
    <row r="170" spans="1:34" ht="12.75" hidden="1" customHeight="1">
      <c r="A170" s="767" t="str">
        <f t="shared" si="13"/>
        <v>11H</v>
      </c>
      <c r="B170" s="768" t="str">
        <f>'Corrected and Updated TSF 1'!ER170</f>
        <v>SOLD</v>
      </c>
      <c r="C170" s="757" t="str">
        <f>'Corrected and Updated TSF 1'!E170</f>
        <v>11th Floor</v>
      </c>
      <c r="D170" s="642" t="str">
        <f>'Corrected and Updated TSF 1'!M170</f>
        <v>Corner</v>
      </c>
      <c r="E170" s="642" t="str">
        <f>'Corrected and Updated TSF 1'!G170</f>
        <v>11H</v>
      </c>
      <c r="F170" s="758" t="str">
        <f>'Corrected and Updated TSF 1'!I170</f>
        <v>Studio Unit</v>
      </c>
      <c r="G170" s="769">
        <f>'Corrected and Updated TSF 1'!J170</f>
        <v>22</v>
      </c>
      <c r="H170" s="769">
        <f>'Corrected and Updated TSF 1'!CI170</f>
        <v>3229234.0719537176</v>
      </c>
      <c r="I170" s="770"/>
      <c r="J170" s="770">
        <f t="shared" si="14"/>
        <v>3229234.0719537176</v>
      </c>
      <c r="K170" s="769">
        <f>'Corrected and Updated TSF 1'!CJ170</f>
        <v>0</v>
      </c>
      <c r="L170" s="769">
        <f>SUM('Corrected and Updated TSF 1'!CK170:CL170)</f>
        <v>444019.68489363615</v>
      </c>
      <c r="M170" s="769">
        <f t="shared" si="15"/>
        <v>3673253.7568473537</v>
      </c>
      <c r="N170" s="771">
        <f>'Corrected and Updated TSF 1'!CN170</f>
        <v>0.125</v>
      </c>
      <c r="O170" s="769">
        <f>'Corrected and Updated TSF 1'!CO170</f>
        <v>459156.71960591921</v>
      </c>
      <c r="P170" s="769">
        <f>'Corrected and Updated TSF 1'!CP170</f>
        <v>30000</v>
      </c>
      <c r="Q170" s="769">
        <f>'Corrected and Updated TSF 1'!CQ170</f>
        <v>429156.71960591921</v>
      </c>
      <c r="R170" s="425">
        <f>'Corrected and Updated TSF 1'!CR170</f>
        <v>2</v>
      </c>
      <c r="S170" s="769">
        <f>'Corrected and Updated TSF 1'!CS170</f>
        <v>214578.3598029596</v>
      </c>
      <c r="T170" s="769">
        <f>'Corrected and Updated TSF 1'!CU170</f>
        <v>3214097.0372414347</v>
      </c>
      <c r="U170" s="769">
        <f>'Corrected and Updated TSF 1'!CV170</f>
        <v>24918.860119490626</v>
      </c>
      <c r="V170" s="772">
        <f>'Corrected and Updated TSF 1'!CW170</f>
        <v>28889.212823356273</v>
      </c>
      <c r="W170" s="773">
        <f>'Corrected and Updated TSF 1'!CX170</f>
        <v>37318.391905518831</v>
      </c>
      <c r="X170" s="773">
        <f>'Corrected and Updated TSF 1'!CY170</f>
        <v>63642.973562366868</v>
      </c>
      <c r="Y170" s="1130">
        <f>'Corrected and Updated TSF 1'!CZ170</f>
        <v>261091.31838847024</v>
      </c>
      <c r="Z170" s="1130">
        <f>'Corrected and Updated TSF 1'!DA170</f>
        <v>103312.56283748511</v>
      </c>
      <c r="AA170" s="1130">
        <f>'Corrected and Updated TSF 1'!DB170</f>
        <v>74621.200901583215</v>
      </c>
      <c r="AB170" s="1130">
        <f>'Corrected and Updated TSF 1'!DC170</f>
        <v>56790.169268764192</v>
      </c>
      <c r="AC170" s="774">
        <f>K170-'Corrected and Updated TSF 1'!CJ170</f>
        <v>0</v>
      </c>
      <c r="AD170" s="774">
        <f>L170-SUM('Corrected and Updated TSF 1'!CK170:CL170)</f>
        <v>0</v>
      </c>
      <c r="AE170" s="1173">
        <f t="shared" si="16"/>
        <v>3229234.0719537176</v>
      </c>
      <c r="AF170" s="1174">
        <f>SUM(FORM!$V$19:$W$22)+SUM(FORM!$V$25:$W$28)+SUM(FORM!$V$31:$W$34)</f>
        <v>0</v>
      </c>
      <c r="AG170" s="1173">
        <f t="shared" si="17"/>
        <v>3229234.0719537176</v>
      </c>
      <c r="AH170" s="1173"/>
    </row>
    <row r="171" spans="1:34">
      <c r="A171" s="767" t="str">
        <f t="shared" si="13"/>
        <v>11I</v>
      </c>
      <c r="B171" s="768" t="str">
        <f>'Corrected and Updated TSF 1'!ER171</f>
        <v>UNSOLD</v>
      </c>
      <c r="C171" s="757" t="str">
        <f>'Corrected and Updated TSF 1'!E171</f>
        <v>11th Floor</v>
      </c>
      <c r="D171" s="642" t="str">
        <f>'Corrected and Updated TSF 1'!M171</f>
        <v>Inner</v>
      </c>
      <c r="E171" s="642" t="str">
        <f>'Corrected and Updated TSF 1'!G171</f>
        <v>11I</v>
      </c>
      <c r="F171" s="758" t="str">
        <f>'Corrected and Updated TSF 1'!I171</f>
        <v>Studio Unit</v>
      </c>
      <c r="G171" s="769">
        <f>'Corrected and Updated TSF 1'!J171</f>
        <v>22</v>
      </c>
      <c r="H171" s="769">
        <f>'Corrected and Updated TSF 1'!CI171</f>
        <v>3336720.3188968226</v>
      </c>
      <c r="I171" s="770"/>
      <c r="J171" s="770">
        <f t="shared" si="14"/>
        <v>3336720.3188968226</v>
      </c>
      <c r="K171" s="769">
        <f>'Corrected and Updated TSF 1'!CJ171</f>
        <v>0</v>
      </c>
      <c r="L171" s="769">
        <f>SUM('Corrected and Updated TSF 1'!CK171:CL171)</f>
        <v>458799.0438483131</v>
      </c>
      <c r="M171" s="769">
        <f t="shared" si="15"/>
        <v>3795519.3627451356</v>
      </c>
      <c r="N171" s="771">
        <f>'Corrected and Updated TSF 1'!CN171</f>
        <v>0.125</v>
      </c>
      <c r="O171" s="769">
        <f>'Corrected and Updated TSF 1'!CO171</f>
        <v>474439.920343142</v>
      </c>
      <c r="P171" s="769">
        <f>'Corrected and Updated TSF 1'!CP171</f>
        <v>30000</v>
      </c>
      <c r="Q171" s="769">
        <f>'Corrected and Updated TSF 1'!CQ171</f>
        <v>444439.920343142</v>
      </c>
      <c r="R171" s="425">
        <f>'Corrected and Updated TSF 1'!CR171</f>
        <v>1</v>
      </c>
      <c r="S171" s="769">
        <f>'Corrected and Updated TSF 1'!CS171</f>
        <v>444439.920343142</v>
      </c>
      <c r="T171" s="769">
        <f>'Corrected and Updated TSF 1'!CU171</f>
        <v>3321079.442401994</v>
      </c>
      <c r="U171" s="769">
        <f>'Corrected and Updated TSF 1'!CV171</f>
        <v>25748.293567999914</v>
      </c>
      <c r="V171" s="772">
        <f>'Corrected and Updated TSF 1'!CW171</f>
        <v>29850.800925777265</v>
      </c>
      <c r="W171" s="773">
        <f>'Corrected and Updated TSF 1'!CX171</f>
        <v>38560.548342153146</v>
      </c>
      <c r="X171" s="773">
        <f>'Corrected and Updated TSF 1'!CY171</f>
        <v>65761.353407275208</v>
      </c>
      <c r="Y171" s="1130">
        <f>'Corrected and Updated TSF 1'!CZ171</f>
        <v>269781.83920476562</v>
      </c>
      <c r="Z171" s="1130">
        <f>'Corrected and Updated TSF 1'!DA171</f>
        <v>106751.35959053577</v>
      </c>
      <c r="AA171" s="1130">
        <f>'Corrected and Updated TSF 1'!DB171</f>
        <v>77104.995091964098</v>
      </c>
      <c r="AB171" s="1130">
        <f>'Corrected and Updated TSF 1'!DC171</f>
        <v>58680.450995622741</v>
      </c>
      <c r="AC171" s="774">
        <f>K171-'Corrected and Updated TSF 1'!CJ171</f>
        <v>0</v>
      </c>
      <c r="AD171" s="774">
        <f>L171-SUM('Corrected and Updated TSF 1'!CK171:CL171)</f>
        <v>0</v>
      </c>
      <c r="AE171" s="1173">
        <f t="shared" si="16"/>
        <v>3336720.3188968226</v>
      </c>
      <c r="AF171" s="1174">
        <f>SUM(FORM!$V$19:$W$22)+SUM(FORM!$V$25:$W$28)+SUM(FORM!$V$31:$W$34)</f>
        <v>0</v>
      </c>
      <c r="AG171" s="1173">
        <f t="shared" si="17"/>
        <v>3336720.3188968226</v>
      </c>
      <c r="AH171" s="1173"/>
    </row>
    <row r="172" spans="1:34" ht="12.75" hidden="1" customHeight="1">
      <c r="A172" s="767" t="str">
        <f t="shared" si="13"/>
        <v>11J</v>
      </c>
      <c r="B172" s="768" t="str">
        <f>'Corrected and Updated TSF 1'!ER172</f>
        <v>SOLD</v>
      </c>
      <c r="C172" s="757" t="str">
        <f>'Corrected and Updated TSF 1'!E172</f>
        <v>11th Floor</v>
      </c>
      <c r="D172" s="642" t="str">
        <f>'Corrected and Updated TSF 1'!M172</f>
        <v>Inner</v>
      </c>
      <c r="E172" s="642" t="str">
        <f>'Corrected and Updated TSF 1'!G172</f>
        <v>11J</v>
      </c>
      <c r="F172" s="758" t="str">
        <f>'Corrected and Updated TSF 1'!I172</f>
        <v>Studio Unit</v>
      </c>
      <c r="G172" s="769">
        <f>'Corrected and Updated TSF 1'!J172</f>
        <v>22</v>
      </c>
      <c r="H172" s="769">
        <f>'Corrected and Updated TSF 1'!CI172</f>
        <v>3292178.3895370155</v>
      </c>
      <c r="I172" s="770"/>
      <c r="J172" s="770">
        <f t="shared" si="14"/>
        <v>3292178.3895370155</v>
      </c>
      <c r="K172" s="769">
        <f>'Corrected and Updated TSF 1'!CJ172</f>
        <v>0</v>
      </c>
      <c r="L172" s="769">
        <f>SUM('Corrected and Updated TSF 1'!CK172:CL172)</f>
        <v>452674.5285613396</v>
      </c>
      <c r="M172" s="769">
        <f t="shared" si="15"/>
        <v>3744852.9180983552</v>
      </c>
      <c r="N172" s="771">
        <f>'Corrected and Updated TSF 1'!CN172</f>
        <v>0.125</v>
      </c>
      <c r="O172" s="769">
        <f>'Corrected and Updated TSF 1'!CO172</f>
        <v>468106.6147622944</v>
      </c>
      <c r="P172" s="769">
        <f>'Corrected and Updated TSF 1'!CP172</f>
        <v>30000</v>
      </c>
      <c r="Q172" s="769">
        <f>'Corrected and Updated TSF 1'!CQ172</f>
        <v>438106.6147622944</v>
      </c>
      <c r="R172" s="425">
        <f>'Corrected and Updated TSF 1'!CR172</f>
        <v>2</v>
      </c>
      <c r="S172" s="769">
        <f>'Corrected and Updated TSF 1'!CS172</f>
        <v>219053.3073811472</v>
      </c>
      <c r="T172" s="769">
        <f>'Corrected and Updated TSF 1'!CU172</f>
        <v>3276746.3033360606</v>
      </c>
      <c r="U172" s="769">
        <f>'Corrected and Updated TSF 1'!CV172</f>
        <v>25404.579212695298</v>
      </c>
      <c r="V172" s="772">
        <f>'Corrected and Updated TSF 1'!CW172</f>
        <v>29452.322138496336</v>
      </c>
      <c r="W172" s="773">
        <f>'Corrected and Updated TSF 1'!CX172</f>
        <v>38045.803006559821</v>
      </c>
      <c r="X172" s="773">
        <f>'Corrected and Updated TSF 1'!CY172</f>
        <v>64883.504118713739</v>
      </c>
      <c r="Y172" s="1130">
        <f>'Corrected and Updated TSF 1'!CZ172</f>
        <v>266180.51740492403</v>
      </c>
      <c r="Z172" s="1130">
        <f>'Corrected and Updated TSF 1'!DA172</f>
        <v>105326.33409738413</v>
      </c>
      <c r="AA172" s="1130">
        <f>'Corrected and Updated TSF 1'!DB172</f>
        <v>76075.719361174051</v>
      </c>
      <c r="AB172" s="1130">
        <f>'Corrected and Updated TSF 1'!DC172</f>
        <v>57897.124779084217</v>
      </c>
      <c r="AC172" s="774">
        <f>K172-'Corrected and Updated TSF 1'!CJ172</f>
        <v>0</v>
      </c>
      <c r="AD172" s="774">
        <f>L172-SUM('Corrected and Updated TSF 1'!CK172:CL172)</f>
        <v>0</v>
      </c>
      <c r="AE172" s="1173">
        <f t="shared" si="16"/>
        <v>3292178.3895370155</v>
      </c>
      <c r="AF172" s="1174">
        <f>SUM(FORM!$V$19:$W$22)+SUM(FORM!$V$25:$W$28)+SUM(FORM!$V$31:$W$34)</f>
        <v>0</v>
      </c>
      <c r="AG172" s="1173">
        <f t="shared" si="17"/>
        <v>3292178.3895370155</v>
      </c>
      <c r="AH172" s="1173"/>
    </row>
    <row r="173" spans="1:34" hidden="1">
      <c r="A173" s="767" t="str">
        <f t="shared" si="13"/>
        <v>11K</v>
      </c>
      <c r="B173" s="768" t="str">
        <f>'Corrected and Updated TSF 1'!ER173</f>
        <v>SOLD</v>
      </c>
      <c r="C173" s="757" t="str">
        <f>'Corrected and Updated TSF 1'!E173</f>
        <v>11th Floor</v>
      </c>
      <c r="D173" s="642" t="str">
        <f>'Corrected and Updated TSF 1'!M173</f>
        <v>Inner</v>
      </c>
      <c r="E173" s="642" t="str">
        <f>'Corrected and Updated TSF 1'!G173</f>
        <v>11K</v>
      </c>
      <c r="F173" s="758" t="str">
        <f>'Corrected and Updated TSF 1'!I173</f>
        <v>Studio Unit</v>
      </c>
      <c r="G173" s="769">
        <f>'Corrected and Updated TSF 1'!J173</f>
        <v>22</v>
      </c>
      <c r="H173" s="769">
        <f>'Corrected and Updated TSF 1'!CI173</f>
        <v>3293373.3254586821</v>
      </c>
      <c r="I173" s="770"/>
      <c r="J173" s="770">
        <f t="shared" si="14"/>
        <v>3293373.3254586821</v>
      </c>
      <c r="K173" s="769">
        <f>'Corrected and Updated TSF 1'!CJ173</f>
        <v>0</v>
      </c>
      <c r="L173" s="769">
        <f>SUM('Corrected and Updated TSF 1'!CK173:CL173)</f>
        <v>452838.83225056878</v>
      </c>
      <c r="M173" s="769">
        <f t="shared" si="15"/>
        <v>3746212.1577092512</v>
      </c>
      <c r="N173" s="771">
        <f>'Corrected and Updated TSF 1'!CN173</f>
        <v>0.125</v>
      </c>
      <c r="O173" s="769">
        <f>'Corrected and Updated TSF 1'!CO173</f>
        <v>468276.51971365639</v>
      </c>
      <c r="P173" s="769">
        <f>'Corrected and Updated TSF 1'!CP173</f>
        <v>30000</v>
      </c>
      <c r="Q173" s="769">
        <f>'Corrected and Updated TSF 1'!CQ173</f>
        <v>438276.51971365639</v>
      </c>
      <c r="R173" s="425">
        <f>'Corrected and Updated TSF 1'!CR173</f>
        <v>2</v>
      </c>
      <c r="S173" s="769">
        <f>'Corrected and Updated TSF 1'!CS173</f>
        <v>219138.2598568282</v>
      </c>
      <c r="T173" s="769">
        <f>'Corrected and Updated TSF 1'!CU173</f>
        <v>3277935.6379955946</v>
      </c>
      <c r="U173" s="769">
        <f>'Corrected and Updated TSF 1'!CV173</f>
        <v>25413.80011165161</v>
      </c>
      <c r="V173" s="772">
        <f>'Corrected and Updated TSF 1'!CW173</f>
        <v>29463.012214651273</v>
      </c>
      <c r="W173" s="773">
        <f>'Corrected and Updated TSF 1'!CX173</f>
        <v>38059.612190419874</v>
      </c>
      <c r="X173" s="773">
        <f>'Corrected and Updated TSF 1'!CY173</f>
        <v>64907.054370438091</v>
      </c>
      <c r="Y173" s="1130">
        <f>'Corrected and Updated TSF 1'!CZ173</f>
        <v>266277.13083963521</v>
      </c>
      <c r="Z173" s="1130">
        <f>'Corrected and Updated TSF 1'!DA173</f>
        <v>105364.56356286828</v>
      </c>
      <c r="AA173" s="1130">
        <f>'Corrected and Updated TSF 1'!DB173</f>
        <v>76103.331962641896</v>
      </c>
      <c r="AB173" s="1130">
        <f>'Corrected and Updated TSF 1'!DC173</f>
        <v>57918.139240019766</v>
      </c>
      <c r="AC173" s="774">
        <f>K173-'Corrected and Updated TSF 1'!CJ173</f>
        <v>0</v>
      </c>
      <c r="AD173" s="774">
        <f>L173-SUM('Corrected and Updated TSF 1'!CK173:CL173)</f>
        <v>0</v>
      </c>
      <c r="AE173" s="1173">
        <f t="shared" si="16"/>
        <v>3293373.3254586821</v>
      </c>
      <c r="AF173" s="1174">
        <f>SUM(FORM!$V$19:$W$22)+SUM(FORM!$V$25:$W$28)+SUM(FORM!$V$31:$W$34)</f>
        <v>0</v>
      </c>
      <c r="AG173" s="1173">
        <f t="shared" si="17"/>
        <v>3293373.3254586821</v>
      </c>
      <c r="AH173" s="1173"/>
    </row>
    <row r="174" spans="1:34" ht="12.75" customHeight="1">
      <c r="A174" s="767" t="str">
        <f t="shared" si="13"/>
        <v>11L</v>
      </c>
      <c r="B174" s="768" t="str">
        <f>'Corrected and Updated TSF 1'!ER174</f>
        <v>UNSOLD</v>
      </c>
      <c r="C174" s="757" t="str">
        <f>'Corrected and Updated TSF 1'!E174</f>
        <v>11th Floor</v>
      </c>
      <c r="D174" s="642" t="str">
        <f>'Corrected and Updated TSF 1'!M174</f>
        <v>Inner</v>
      </c>
      <c r="E174" s="642" t="str">
        <f>'Corrected and Updated TSF 1'!G174</f>
        <v>11L</v>
      </c>
      <c r="F174" s="758" t="str">
        <f>'Corrected and Updated TSF 1'!I174</f>
        <v>Studio Unit</v>
      </c>
      <c r="G174" s="769">
        <f>'Corrected and Updated TSF 1'!J174</f>
        <v>22</v>
      </c>
      <c r="H174" s="769">
        <f>'Corrected and Updated TSF 1'!CI174</f>
        <v>3309376.8701784895</v>
      </c>
      <c r="I174" s="770"/>
      <c r="J174" s="770">
        <f t="shared" si="14"/>
        <v>3309376.8701784895</v>
      </c>
      <c r="K174" s="769">
        <f>'Corrected and Updated TSF 1'!CJ174</f>
        <v>0</v>
      </c>
      <c r="L174" s="769">
        <f>SUM('Corrected and Updated TSF 1'!CK174:CL174)</f>
        <v>455039.31964954227</v>
      </c>
      <c r="M174" s="769">
        <f t="shared" si="15"/>
        <v>3764416.1898280317</v>
      </c>
      <c r="N174" s="771">
        <f>'Corrected and Updated TSF 1'!CN174</f>
        <v>0.125</v>
      </c>
      <c r="O174" s="769">
        <f>'Corrected and Updated TSF 1'!CO174</f>
        <v>470552.02372850396</v>
      </c>
      <c r="P174" s="769">
        <f>'Corrected and Updated TSF 1'!CP174</f>
        <v>30000</v>
      </c>
      <c r="Q174" s="769">
        <f>'Corrected and Updated TSF 1'!CQ174</f>
        <v>440552.02372850396</v>
      </c>
      <c r="R174" s="425">
        <f>'Corrected and Updated TSF 1'!CR174</f>
        <v>1</v>
      </c>
      <c r="S174" s="769">
        <f>'Corrected and Updated TSF 1'!CS174</f>
        <v>440552.02372850396</v>
      </c>
      <c r="T174" s="769">
        <f>'Corrected and Updated TSF 1'!CU174</f>
        <v>3293864.1660995279</v>
      </c>
      <c r="U174" s="769">
        <f>'Corrected and Updated TSF 1'!CV174</f>
        <v>25537.293820501156</v>
      </c>
      <c r="V174" s="772">
        <f>'Corrected and Updated TSF 1'!CW174</f>
        <v>29606.182328380102</v>
      </c>
      <c r="W174" s="773">
        <f>'Corrected and Updated TSF 1'!CX174</f>
        <v>38244.555907853748</v>
      </c>
      <c r="X174" s="773">
        <f>'Corrected and Updated TSF 1'!CY174</f>
        <v>65222.458317879617</v>
      </c>
      <c r="Y174" s="1130">
        <f>'Corrected and Updated TSF 1'!CZ174</f>
        <v>267571.05580657179</v>
      </c>
      <c r="Z174" s="1130">
        <f>'Corrected and Updated TSF 1'!DA174</f>
        <v>105876.56336921469</v>
      </c>
      <c r="AA174" s="1130">
        <f>'Corrected and Updated TSF 1'!DB174</f>
        <v>76473.14217121301</v>
      </c>
      <c r="AB174" s="1130">
        <f>'Corrected and Updated TSF 1'!DC174</f>
        <v>58199.581833925076</v>
      </c>
      <c r="AC174" s="774">
        <f>K174-'Corrected and Updated TSF 1'!CJ174</f>
        <v>0</v>
      </c>
      <c r="AD174" s="774">
        <f>L174-SUM('Corrected and Updated TSF 1'!CK174:CL174)</f>
        <v>0</v>
      </c>
      <c r="AE174" s="1173">
        <f t="shared" si="16"/>
        <v>3309376.8701784895</v>
      </c>
      <c r="AF174" s="1174">
        <f>SUM(FORM!$V$19:$W$22)+SUM(FORM!$V$25:$W$28)+SUM(FORM!$V$31:$W$34)</f>
        <v>0</v>
      </c>
      <c r="AG174" s="1173">
        <f t="shared" si="17"/>
        <v>3309376.8701784895</v>
      </c>
      <c r="AH174" s="1173"/>
    </row>
    <row r="175" spans="1:34" hidden="1">
      <c r="A175" s="767" t="str">
        <f t="shared" si="13"/>
        <v>11M</v>
      </c>
      <c r="B175" s="768" t="str">
        <f>'Corrected and Updated TSF 1'!ER175</f>
        <v>SOLD</v>
      </c>
      <c r="C175" s="757" t="str">
        <f>'Corrected and Updated TSF 1'!E175</f>
        <v>11th Floor</v>
      </c>
      <c r="D175" s="642" t="str">
        <f>'Corrected and Updated TSF 1'!M175</f>
        <v>Inner</v>
      </c>
      <c r="E175" s="642" t="str">
        <f>'Corrected and Updated TSF 1'!G175</f>
        <v>11M</v>
      </c>
      <c r="F175" s="758" t="str">
        <f>'Corrected and Updated TSF 1'!I175</f>
        <v>Studio Unit</v>
      </c>
      <c r="G175" s="769">
        <f>'Corrected and Updated TSF 1'!J175</f>
        <v>22</v>
      </c>
      <c r="H175" s="769">
        <f>'Corrected and Updated TSF 1'!CI175</f>
        <v>3275176.5331386821</v>
      </c>
      <c r="I175" s="770"/>
      <c r="J175" s="770">
        <f t="shared" si="14"/>
        <v>3275176.5331386821</v>
      </c>
      <c r="K175" s="769">
        <f>'Corrected and Updated TSF 1'!CJ175</f>
        <v>0</v>
      </c>
      <c r="L175" s="769">
        <f>SUM('Corrected and Updated TSF 1'!CK175:CL175)</f>
        <v>450336.77330656879</v>
      </c>
      <c r="M175" s="769">
        <f t="shared" si="15"/>
        <v>3725513.3064452508</v>
      </c>
      <c r="N175" s="771">
        <f>'Corrected and Updated TSF 1'!CN175</f>
        <v>0.125</v>
      </c>
      <c r="O175" s="769">
        <f>'Corrected and Updated TSF 1'!CO175</f>
        <v>465689.1633056564</v>
      </c>
      <c r="P175" s="769">
        <f>'Corrected and Updated TSF 1'!CP175</f>
        <v>30000</v>
      </c>
      <c r="Q175" s="769">
        <f>'Corrected and Updated TSF 1'!CQ175</f>
        <v>435689.1633056564</v>
      </c>
      <c r="R175" s="425">
        <f>'Corrected and Updated TSF 1'!CR175</f>
        <v>2</v>
      </c>
      <c r="S175" s="769">
        <f>'Corrected and Updated TSF 1'!CS175</f>
        <v>217844.5816528282</v>
      </c>
      <c r="T175" s="769">
        <f>'Corrected and Updated TSF 1'!CU175</f>
        <v>3259824.1431395947</v>
      </c>
      <c r="U175" s="769">
        <f>'Corrected and Updated TSF 1'!CV175</f>
        <v>25273.381884808376</v>
      </c>
      <c r="V175" s="772">
        <f>'Corrected and Updated TSF 1'!CW175</f>
        <v>29300.220978611567</v>
      </c>
      <c r="W175" s="773">
        <f>'Corrected and Updated TSF 1'!CX175</f>
        <v>37849.322378009259</v>
      </c>
      <c r="X175" s="773">
        <f>'Corrected and Updated TSF 1'!CY175</f>
        <v>64548.425064931922</v>
      </c>
      <c r="Y175" s="1130">
        <f>'Corrected and Updated TSF 1'!CZ175</f>
        <v>264805.87654483714</v>
      </c>
      <c r="Z175" s="1130">
        <f>'Corrected and Updated TSF 1'!DA175</f>
        <v>104782.39540530783</v>
      </c>
      <c r="AA175" s="1130">
        <f>'Corrected and Updated TSF 1'!DB175</f>
        <v>75682.840147796887</v>
      </c>
      <c r="AB175" s="1130">
        <f>'Corrected and Updated TSF 1'!DC175</f>
        <v>57598.125610479379</v>
      </c>
      <c r="AC175" s="774">
        <f>K175-'Corrected and Updated TSF 1'!CJ175</f>
        <v>0</v>
      </c>
      <c r="AD175" s="774">
        <f>L175-SUM('Corrected and Updated TSF 1'!CK175:CL175)</f>
        <v>0</v>
      </c>
      <c r="AE175" s="1173">
        <f t="shared" si="16"/>
        <v>3275176.5331386821</v>
      </c>
      <c r="AF175" s="1174">
        <f>SUM(FORM!$V$19:$W$22)+SUM(FORM!$V$25:$W$28)+SUM(FORM!$V$31:$W$34)</f>
        <v>0</v>
      </c>
      <c r="AG175" s="1173">
        <f t="shared" si="17"/>
        <v>3275176.5331386821</v>
      </c>
      <c r="AH175" s="1173"/>
    </row>
    <row r="176" spans="1:34" ht="12.75" hidden="1" customHeight="1">
      <c r="A176" s="767" t="str">
        <f t="shared" si="13"/>
        <v>11N</v>
      </c>
      <c r="B176" s="768" t="str">
        <f>'Corrected and Updated TSF 1'!ER176</f>
        <v>SOLD</v>
      </c>
      <c r="C176" s="757" t="str">
        <f>'Corrected and Updated TSF 1'!E176</f>
        <v>11th Floor</v>
      </c>
      <c r="D176" s="642" t="str">
        <f>'Corrected and Updated TSF 1'!M176</f>
        <v>Inner</v>
      </c>
      <c r="E176" s="642" t="str">
        <f>'Corrected and Updated TSF 1'!G176</f>
        <v>11N</v>
      </c>
      <c r="F176" s="758" t="str">
        <f>'Corrected and Updated TSF 1'!I176</f>
        <v>Studio Unit</v>
      </c>
      <c r="G176" s="769">
        <f>'Corrected and Updated TSF 1'!J176</f>
        <v>22</v>
      </c>
      <c r="H176" s="769">
        <f>'Corrected and Updated TSF 1'!CI176</f>
        <v>3275176.5331386821</v>
      </c>
      <c r="I176" s="770"/>
      <c r="J176" s="770">
        <f t="shared" si="14"/>
        <v>3275176.5331386821</v>
      </c>
      <c r="K176" s="769">
        <f>'Corrected and Updated TSF 1'!CJ176</f>
        <v>0</v>
      </c>
      <c r="L176" s="769">
        <f>SUM('Corrected and Updated TSF 1'!CK176:CL176)</f>
        <v>450336.77330656879</v>
      </c>
      <c r="M176" s="769">
        <f t="shared" si="15"/>
        <v>3725513.3064452508</v>
      </c>
      <c r="N176" s="771">
        <f>'Corrected and Updated TSF 1'!CN176</f>
        <v>0.125</v>
      </c>
      <c r="O176" s="769">
        <f>'Corrected and Updated TSF 1'!CO176</f>
        <v>465689.1633056564</v>
      </c>
      <c r="P176" s="769">
        <f>'Corrected and Updated TSF 1'!CP176</f>
        <v>30000</v>
      </c>
      <c r="Q176" s="769">
        <f>'Corrected and Updated TSF 1'!CQ176</f>
        <v>435689.1633056564</v>
      </c>
      <c r="R176" s="425">
        <f>'Corrected and Updated TSF 1'!CR176</f>
        <v>2</v>
      </c>
      <c r="S176" s="769">
        <f>'Corrected and Updated TSF 1'!CS176</f>
        <v>217844.5816528282</v>
      </c>
      <c r="T176" s="769">
        <f>'Corrected and Updated TSF 1'!CU176</f>
        <v>3259824.1431395947</v>
      </c>
      <c r="U176" s="769">
        <f>'Corrected and Updated TSF 1'!CV176</f>
        <v>25273.381884808376</v>
      </c>
      <c r="V176" s="772">
        <f>'Corrected and Updated TSF 1'!CW176</f>
        <v>29300.220978611567</v>
      </c>
      <c r="W176" s="773">
        <f>'Corrected and Updated TSF 1'!CX176</f>
        <v>37849.322378009259</v>
      </c>
      <c r="X176" s="773">
        <f>'Corrected and Updated TSF 1'!CY176</f>
        <v>64548.425064931922</v>
      </c>
      <c r="Y176" s="1130">
        <f>'Corrected and Updated TSF 1'!CZ176</f>
        <v>264805.87654483714</v>
      </c>
      <c r="Z176" s="1130">
        <f>'Corrected and Updated TSF 1'!DA176</f>
        <v>104782.39540530783</v>
      </c>
      <c r="AA176" s="1130">
        <f>'Corrected and Updated TSF 1'!DB176</f>
        <v>75682.840147796887</v>
      </c>
      <c r="AB176" s="1130">
        <f>'Corrected and Updated TSF 1'!DC176</f>
        <v>57598.125610479379</v>
      </c>
      <c r="AC176" s="774">
        <f>K176-'Corrected and Updated TSF 1'!CJ176</f>
        <v>0</v>
      </c>
      <c r="AD176" s="774">
        <f>L176-SUM('Corrected and Updated TSF 1'!CK176:CL176)</f>
        <v>0</v>
      </c>
      <c r="AE176" s="1173">
        <f t="shared" si="16"/>
        <v>3275176.5331386821</v>
      </c>
      <c r="AF176" s="1174">
        <f>SUM(FORM!$V$19:$W$22)+SUM(FORM!$V$25:$W$28)+SUM(FORM!$V$31:$W$34)</f>
        <v>0</v>
      </c>
      <c r="AG176" s="1173">
        <f t="shared" si="17"/>
        <v>3275176.5331386821</v>
      </c>
      <c r="AH176" s="1173"/>
    </row>
    <row r="177" spans="1:34" ht="12.75" hidden="1" customHeight="1">
      <c r="A177" s="767" t="str">
        <f t="shared" si="13"/>
        <v>11O</v>
      </c>
      <c r="B177" s="768" t="str">
        <f>'Corrected and Updated TSF 1'!ER177</f>
        <v>SOLD</v>
      </c>
      <c r="C177" s="757" t="str">
        <f>'Corrected and Updated TSF 1'!E177</f>
        <v>11th Floor</v>
      </c>
      <c r="D177" s="642" t="str">
        <f>'Corrected and Updated TSF 1'!M177</f>
        <v>Inner</v>
      </c>
      <c r="E177" s="642" t="str">
        <f>'Corrected and Updated TSF 1'!G177</f>
        <v>11O</v>
      </c>
      <c r="F177" s="758" t="str">
        <f>'Corrected and Updated TSF 1'!I177</f>
        <v>Studio Unit</v>
      </c>
      <c r="G177" s="769">
        <f>'Corrected and Updated TSF 1'!J177</f>
        <v>22</v>
      </c>
      <c r="H177" s="769">
        <f>'Corrected and Updated TSF 1'!CI177</f>
        <v>3275176.5331386821</v>
      </c>
      <c r="I177" s="770"/>
      <c r="J177" s="770">
        <f t="shared" si="14"/>
        <v>3275176.5331386821</v>
      </c>
      <c r="K177" s="769">
        <f>'Corrected and Updated TSF 1'!CJ177</f>
        <v>0</v>
      </c>
      <c r="L177" s="769">
        <f>SUM('Corrected and Updated TSF 1'!CK177:CL177)</f>
        <v>450336.77330656879</v>
      </c>
      <c r="M177" s="769">
        <f t="shared" si="15"/>
        <v>3725513.3064452508</v>
      </c>
      <c r="N177" s="771">
        <f>'Corrected and Updated TSF 1'!CN177</f>
        <v>0.125</v>
      </c>
      <c r="O177" s="769">
        <f>'Corrected and Updated TSF 1'!CO177</f>
        <v>465689.1633056564</v>
      </c>
      <c r="P177" s="769">
        <f>'Corrected and Updated TSF 1'!CP177</f>
        <v>30000</v>
      </c>
      <c r="Q177" s="769">
        <f>'Corrected and Updated TSF 1'!CQ177</f>
        <v>435689.1633056564</v>
      </c>
      <c r="R177" s="425">
        <f>'Corrected and Updated TSF 1'!CR177</f>
        <v>2</v>
      </c>
      <c r="S177" s="769">
        <f>'Corrected and Updated TSF 1'!CS177</f>
        <v>217844.5816528282</v>
      </c>
      <c r="T177" s="769">
        <f>'Corrected and Updated TSF 1'!CU177</f>
        <v>3259824.1431395947</v>
      </c>
      <c r="U177" s="769">
        <f>'Corrected and Updated TSF 1'!CV177</f>
        <v>25273.381884808376</v>
      </c>
      <c r="V177" s="772">
        <f>'Corrected and Updated TSF 1'!CW177</f>
        <v>29300.220978611567</v>
      </c>
      <c r="W177" s="773">
        <f>'Corrected and Updated TSF 1'!CX177</f>
        <v>37849.322378009259</v>
      </c>
      <c r="X177" s="773">
        <f>'Corrected and Updated TSF 1'!CY177</f>
        <v>64548.425064931922</v>
      </c>
      <c r="Y177" s="1130">
        <f>'Corrected and Updated TSF 1'!CZ177</f>
        <v>264805.87654483714</v>
      </c>
      <c r="Z177" s="1130">
        <f>'Corrected and Updated TSF 1'!DA177</f>
        <v>104782.39540530783</v>
      </c>
      <c r="AA177" s="1130">
        <f>'Corrected and Updated TSF 1'!DB177</f>
        <v>75682.840147796887</v>
      </c>
      <c r="AB177" s="1130">
        <f>'Corrected and Updated TSF 1'!DC177</f>
        <v>57598.125610479379</v>
      </c>
      <c r="AC177" s="774">
        <f>K177-'Corrected and Updated TSF 1'!CJ177</f>
        <v>0</v>
      </c>
      <c r="AD177" s="774">
        <f>L177-SUM('Corrected and Updated TSF 1'!CK177:CL177)</f>
        <v>0</v>
      </c>
      <c r="AE177" s="1173">
        <f t="shared" si="16"/>
        <v>3275176.5331386821</v>
      </c>
      <c r="AF177" s="1174">
        <f>SUM(FORM!$V$19:$W$22)+SUM(FORM!$V$25:$W$28)+SUM(FORM!$V$31:$W$34)</f>
        <v>0</v>
      </c>
      <c r="AG177" s="1173">
        <f t="shared" si="17"/>
        <v>3275176.5331386821</v>
      </c>
      <c r="AH177" s="1173"/>
    </row>
    <row r="178" spans="1:34" ht="12.75" hidden="1" customHeight="1">
      <c r="A178" s="767" t="str">
        <f t="shared" si="13"/>
        <v>11P</v>
      </c>
      <c r="B178" s="768" t="str">
        <f>'Corrected and Updated TSF 1'!ER178</f>
        <v>SOLD</v>
      </c>
      <c r="C178" s="757" t="str">
        <f>'Corrected and Updated TSF 1'!E178</f>
        <v>11th Floor</v>
      </c>
      <c r="D178" s="642" t="str">
        <f>'Corrected and Updated TSF 1'!M178</f>
        <v>Inner</v>
      </c>
      <c r="E178" s="642" t="str">
        <f>'Corrected and Updated TSF 1'!G178</f>
        <v>11P</v>
      </c>
      <c r="F178" s="758" t="str">
        <f>'Corrected and Updated TSF 1'!I178</f>
        <v>Studio Unit</v>
      </c>
      <c r="G178" s="769">
        <f>'Corrected and Updated TSF 1'!J178</f>
        <v>22</v>
      </c>
      <c r="H178" s="769">
        <f>'Corrected and Updated TSF 1'!CI178</f>
        <v>3275176.5331386821</v>
      </c>
      <c r="I178" s="770"/>
      <c r="J178" s="770">
        <f t="shared" si="14"/>
        <v>3275176.5331386821</v>
      </c>
      <c r="K178" s="769">
        <f>'Corrected and Updated TSF 1'!CJ178</f>
        <v>0</v>
      </c>
      <c r="L178" s="769">
        <f>SUM('Corrected and Updated TSF 1'!CK178:CL178)</f>
        <v>450336.77330656879</v>
      </c>
      <c r="M178" s="769">
        <f t="shared" si="15"/>
        <v>3725513.3064452508</v>
      </c>
      <c r="N178" s="771">
        <f>'Corrected and Updated TSF 1'!CN178</f>
        <v>0.125</v>
      </c>
      <c r="O178" s="769">
        <f>'Corrected and Updated TSF 1'!CO178</f>
        <v>465689.1633056564</v>
      </c>
      <c r="P178" s="769">
        <f>'Corrected and Updated TSF 1'!CP178</f>
        <v>30000</v>
      </c>
      <c r="Q178" s="769">
        <f>'Corrected and Updated TSF 1'!CQ178</f>
        <v>435689.1633056564</v>
      </c>
      <c r="R178" s="425">
        <f>'Corrected and Updated TSF 1'!CR178</f>
        <v>2</v>
      </c>
      <c r="S178" s="769">
        <f>'Corrected and Updated TSF 1'!CS178</f>
        <v>217844.5816528282</v>
      </c>
      <c r="T178" s="769">
        <f>'Corrected and Updated TSF 1'!CU178</f>
        <v>3259824.1431395947</v>
      </c>
      <c r="U178" s="769">
        <f>'Corrected and Updated TSF 1'!CV178</f>
        <v>25273.381884808376</v>
      </c>
      <c r="V178" s="772">
        <f>'Corrected and Updated TSF 1'!CW178</f>
        <v>29300.220978611567</v>
      </c>
      <c r="W178" s="773">
        <f>'Corrected and Updated TSF 1'!CX178</f>
        <v>37849.322378009259</v>
      </c>
      <c r="X178" s="773">
        <f>'Corrected and Updated TSF 1'!CY178</f>
        <v>64548.425064931922</v>
      </c>
      <c r="Y178" s="1130">
        <f>'Corrected and Updated TSF 1'!CZ178</f>
        <v>264805.87654483714</v>
      </c>
      <c r="Z178" s="1130">
        <f>'Corrected and Updated TSF 1'!DA178</f>
        <v>104782.39540530783</v>
      </c>
      <c r="AA178" s="1130">
        <f>'Corrected and Updated TSF 1'!DB178</f>
        <v>75682.840147796887</v>
      </c>
      <c r="AB178" s="1130">
        <f>'Corrected and Updated TSF 1'!DC178</f>
        <v>57598.125610479379</v>
      </c>
      <c r="AC178" s="774">
        <f>K178-'Corrected and Updated TSF 1'!CJ178</f>
        <v>0</v>
      </c>
      <c r="AD178" s="774">
        <f>L178-SUM('Corrected and Updated TSF 1'!CK178:CL178)</f>
        <v>0</v>
      </c>
      <c r="AE178" s="1173">
        <f t="shared" si="16"/>
        <v>3275176.5331386821</v>
      </c>
      <c r="AF178" s="1174">
        <f>SUM(FORM!$V$19:$W$22)+SUM(FORM!$V$25:$W$28)+SUM(FORM!$V$31:$W$34)</f>
        <v>0</v>
      </c>
      <c r="AG178" s="1173">
        <f t="shared" si="17"/>
        <v>3275176.5331386821</v>
      </c>
      <c r="AH178" s="1173"/>
    </row>
    <row r="179" spans="1:34" ht="12.75" customHeight="1">
      <c r="A179" s="767" t="str">
        <f t="shared" si="13"/>
        <v>11Q</v>
      </c>
      <c r="B179" s="768" t="str">
        <f>'Corrected and Updated TSF 1'!ER179</f>
        <v>UNSOLD</v>
      </c>
      <c r="C179" s="757" t="str">
        <f>'Corrected and Updated TSF 1'!E179</f>
        <v>11th Floor</v>
      </c>
      <c r="D179" s="642" t="str">
        <f>'Corrected and Updated TSF 1'!M179</f>
        <v>Inner</v>
      </c>
      <c r="E179" s="642" t="str">
        <f>'Corrected and Updated TSF 1'!G179</f>
        <v>11Q</v>
      </c>
      <c r="F179" s="758" t="str">
        <f>'Corrected and Updated TSF 1'!I179</f>
        <v>Studio Unit</v>
      </c>
      <c r="G179" s="769">
        <f>'Corrected and Updated TSF 1'!J179</f>
        <v>22</v>
      </c>
      <c r="H179" s="769">
        <f>'Corrected and Updated TSF 1'!CI179</f>
        <v>3308830.8701784895</v>
      </c>
      <c r="I179" s="770"/>
      <c r="J179" s="770">
        <f t="shared" si="14"/>
        <v>3308830.8701784895</v>
      </c>
      <c r="K179" s="769">
        <f>'Corrected and Updated TSF 1'!CJ179</f>
        <v>0</v>
      </c>
      <c r="L179" s="769">
        <f>SUM('Corrected and Updated TSF 1'!CK179:CL179)</f>
        <v>454964.24464954232</v>
      </c>
      <c r="M179" s="769">
        <f t="shared" si="15"/>
        <v>3763795.114828032</v>
      </c>
      <c r="N179" s="771">
        <f>'Corrected and Updated TSF 1'!CN179</f>
        <v>0.125</v>
      </c>
      <c r="O179" s="769">
        <f>'Corrected and Updated TSF 1'!CO179</f>
        <v>470474.389353504</v>
      </c>
      <c r="P179" s="769">
        <f>'Corrected and Updated TSF 1'!CP179</f>
        <v>30000</v>
      </c>
      <c r="Q179" s="769">
        <f>'Corrected and Updated TSF 1'!CQ179</f>
        <v>440474.389353504</v>
      </c>
      <c r="R179" s="425">
        <f>'Corrected and Updated TSF 1'!CR179</f>
        <v>1</v>
      </c>
      <c r="S179" s="769">
        <f>'Corrected and Updated TSF 1'!CS179</f>
        <v>440474.389353504</v>
      </c>
      <c r="T179" s="769">
        <f>'Corrected and Updated TSF 1'!CU179</f>
        <v>3293320.725474528</v>
      </c>
      <c r="U179" s="769">
        <f>'Corrected and Updated TSF 1'!CV179</f>
        <v>25533.080531119816</v>
      </c>
      <c r="V179" s="772">
        <f>'Corrected and Updated TSF 1'!CW179</f>
        <v>29601.297730407307</v>
      </c>
      <c r="W179" s="773">
        <f>'Corrected and Updated TSF 1'!CX179</f>
        <v>38238.246101402314</v>
      </c>
      <c r="X179" s="773">
        <f>'Corrected and Updated TSF 1'!CY179</f>
        <v>65211.697542169102</v>
      </c>
      <c r="Y179" s="1130">
        <f>'Corrected and Updated TSF 1'!CZ179</f>
        <v>267526.91039726924</v>
      </c>
      <c r="Z179" s="1130">
        <f>'Corrected and Updated TSF 1'!DA179</f>
        <v>105859.09524579832</v>
      </c>
      <c r="AA179" s="1130">
        <f>'Corrected and Updated TSF 1'!DB179</f>
        <v>76460.525193073801</v>
      </c>
      <c r="AB179" s="1130">
        <f>'Corrected and Updated TSF 1'!DC179</f>
        <v>58189.979732705455</v>
      </c>
      <c r="AC179" s="774">
        <f>K179-'Corrected and Updated TSF 1'!CJ179</f>
        <v>0</v>
      </c>
      <c r="AD179" s="774">
        <f>L179-SUM('Corrected and Updated TSF 1'!CK179:CL179)</f>
        <v>0</v>
      </c>
      <c r="AE179" s="1173">
        <f t="shared" si="16"/>
        <v>3308830.8701784895</v>
      </c>
      <c r="AF179" s="1174">
        <f>SUM(FORM!$V$19:$W$22)+SUM(FORM!$V$25:$W$28)+SUM(FORM!$V$31:$W$34)</f>
        <v>0</v>
      </c>
      <c r="AG179" s="1173">
        <f t="shared" si="17"/>
        <v>3308830.8701784895</v>
      </c>
      <c r="AH179" s="1173"/>
    </row>
    <row r="180" spans="1:34" ht="12.75" hidden="1" customHeight="1">
      <c r="A180" s="767" t="str">
        <f t="shared" si="13"/>
        <v>11R</v>
      </c>
      <c r="B180" s="768" t="str">
        <f>'Corrected and Updated TSF 1'!ER180</f>
        <v>SOLD</v>
      </c>
      <c r="C180" s="757" t="str">
        <f>'Corrected and Updated TSF 1'!E180</f>
        <v>11th Floor</v>
      </c>
      <c r="D180" s="642" t="str">
        <f>'Corrected and Updated TSF 1'!M180</f>
        <v>Corner</v>
      </c>
      <c r="E180" s="642" t="str">
        <f>'Corrected and Updated TSF 1'!G180</f>
        <v>11R</v>
      </c>
      <c r="F180" s="758" t="str">
        <f>'Corrected and Updated TSF 1'!I180</f>
        <v>Studio Unit</v>
      </c>
      <c r="G180" s="769">
        <f>'Corrected and Updated TSF 1'!J180</f>
        <v>22</v>
      </c>
      <c r="H180" s="769">
        <f>'Corrected and Updated TSF 1'!CI180</f>
        <v>3229234.0719537176</v>
      </c>
      <c r="I180" s="770"/>
      <c r="J180" s="770">
        <f t="shared" si="14"/>
        <v>3229234.0719537176</v>
      </c>
      <c r="K180" s="769">
        <f>'Corrected and Updated TSF 1'!CJ180</f>
        <v>0</v>
      </c>
      <c r="L180" s="769">
        <f>SUM('Corrected and Updated TSF 1'!CK180:CL180)</f>
        <v>444019.68489363615</v>
      </c>
      <c r="M180" s="769">
        <f t="shared" si="15"/>
        <v>3673253.7568473537</v>
      </c>
      <c r="N180" s="771">
        <f>'Corrected and Updated TSF 1'!CN180</f>
        <v>0.125</v>
      </c>
      <c r="O180" s="769">
        <f>'Corrected and Updated TSF 1'!CO180</f>
        <v>459156.71960591921</v>
      </c>
      <c r="P180" s="769">
        <f>'Corrected and Updated TSF 1'!CP180</f>
        <v>30000</v>
      </c>
      <c r="Q180" s="769">
        <f>'Corrected and Updated TSF 1'!CQ180</f>
        <v>429156.71960591921</v>
      </c>
      <c r="R180" s="425">
        <f>'Corrected and Updated TSF 1'!CR180</f>
        <v>2</v>
      </c>
      <c r="S180" s="769">
        <f>'Corrected and Updated TSF 1'!CS180</f>
        <v>214578.3598029596</v>
      </c>
      <c r="T180" s="769">
        <f>'Corrected and Updated TSF 1'!CU180</f>
        <v>3214097.0372414347</v>
      </c>
      <c r="U180" s="769">
        <f>'Corrected and Updated TSF 1'!CV180</f>
        <v>24918.860119490626</v>
      </c>
      <c r="V180" s="772">
        <f>'Corrected and Updated TSF 1'!CW180</f>
        <v>28889.212823356273</v>
      </c>
      <c r="W180" s="773">
        <f>'Corrected and Updated TSF 1'!CX180</f>
        <v>37318.391905518831</v>
      </c>
      <c r="X180" s="773">
        <f>'Corrected and Updated TSF 1'!CY180</f>
        <v>63642.973562366868</v>
      </c>
      <c r="Y180" s="1130">
        <f>'Corrected and Updated TSF 1'!CZ180</f>
        <v>261091.31838847024</v>
      </c>
      <c r="Z180" s="1130">
        <f>'Corrected and Updated TSF 1'!DA180</f>
        <v>103312.56283748511</v>
      </c>
      <c r="AA180" s="1130">
        <f>'Corrected and Updated TSF 1'!DB180</f>
        <v>74621.200901583215</v>
      </c>
      <c r="AB180" s="1130">
        <f>'Corrected and Updated TSF 1'!DC180</f>
        <v>56790.169268764192</v>
      </c>
      <c r="AC180" s="774">
        <f>K180-'Corrected and Updated TSF 1'!CJ180</f>
        <v>0</v>
      </c>
      <c r="AD180" s="774">
        <f>L180-SUM('Corrected and Updated TSF 1'!CK180:CL180)</f>
        <v>0</v>
      </c>
      <c r="AE180" s="1173">
        <f t="shared" si="16"/>
        <v>3229234.0719537176</v>
      </c>
      <c r="AF180" s="1174">
        <f>SUM(FORM!$V$19:$W$22)+SUM(FORM!$V$25:$W$28)+SUM(FORM!$V$31:$W$34)</f>
        <v>0</v>
      </c>
      <c r="AG180" s="1173">
        <f t="shared" si="17"/>
        <v>3229234.0719537176</v>
      </c>
      <c r="AH180" s="1173"/>
    </row>
    <row r="181" spans="1:34" ht="12.75" hidden="1" customHeight="1">
      <c r="A181" s="767" t="str">
        <f t="shared" si="13"/>
        <v>12A</v>
      </c>
      <c r="B181" s="768" t="str">
        <f>'Corrected and Updated TSF 1'!ER181</f>
        <v>SOLD</v>
      </c>
      <c r="C181" s="757" t="str">
        <f>'Corrected and Updated TSF 1'!E181</f>
        <v>12th Floor</v>
      </c>
      <c r="D181" s="642" t="str">
        <f>'Corrected and Updated TSF 1'!M181</f>
        <v>Corner</v>
      </c>
      <c r="E181" s="642" t="str">
        <f>'Corrected and Updated TSF 1'!G181</f>
        <v>12A</v>
      </c>
      <c r="F181" s="758" t="str">
        <f>'Corrected and Updated TSF 1'!I181</f>
        <v>Studio Unit</v>
      </c>
      <c r="G181" s="769">
        <f>'Corrected and Updated TSF 1'!J181</f>
        <v>22</v>
      </c>
      <c r="H181" s="769">
        <f>'Corrected and Updated TSF 1'!CI181</f>
        <v>3254865.6952169994</v>
      </c>
      <c r="I181" s="770"/>
      <c r="J181" s="770">
        <f t="shared" si="14"/>
        <v>3254865.6952169994</v>
      </c>
      <c r="K181" s="769">
        <f>'Corrected and Updated TSF 1'!CJ181</f>
        <v>0</v>
      </c>
      <c r="L181" s="769">
        <f>SUM('Corrected and Updated TSF 1'!CK181:CL181)</f>
        <v>447544.03309233743</v>
      </c>
      <c r="M181" s="769">
        <f t="shared" si="15"/>
        <v>3702409.728309337</v>
      </c>
      <c r="N181" s="771">
        <f>'Corrected and Updated TSF 1'!CN181</f>
        <v>0.125</v>
      </c>
      <c r="O181" s="769">
        <f>'Corrected and Updated TSF 1'!CO181</f>
        <v>462801.21603866707</v>
      </c>
      <c r="P181" s="769">
        <f>'Corrected and Updated TSF 1'!CP181</f>
        <v>30000</v>
      </c>
      <c r="Q181" s="769">
        <f>'Corrected and Updated TSF 1'!CQ181</f>
        <v>432801.21603866707</v>
      </c>
      <c r="R181" s="425">
        <f>'Corrected and Updated TSF 1'!CR181</f>
        <v>2</v>
      </c>
      <c r="S181" s="769">
        <f>'Corrected and Updated TSF 1'!CS181</f>
        <v>216400.60801933354</v>
      </c>
      <c r="T181" s="769">
        <f>'Corrected and Updated TSF 1'!CU181</f>
        <v>3239608.5122706695</v>
      </c>
      <c r="U181" s="769">
        <f>'Corrected and Updated TSF 1'!CV181</f>
        <v>25116.650313852959</v>
      </c>
      <c r="V181" s="772">
        <f>'Corrected and Updated TSF 1'!CW181</f>
        <v>29118.517173230495</v>
      </c>
      <c r="W181" s="773">
        <f>'Corrected and Updated TSF 1'!CX181</f>
        <v>37614.601762345665</v>
      </c>
      <c r="X181" s="773">
        <f>'Corrected and Updated TSF 1'!CY181</f>
        <v>64148.131344477908</v>
      </c>
      <c r="Y181" s="1130">
        <f>'Corrected and Updated TSF 1'!CZ181</f>
        <v>263163.69659368286</v>
      </c>
      <c r="Z181" s="1130">
        <f>'Corrected and Updated TSF 1'!DA181</f>
        <v>104132.5927981539</v>
      </c>
      <c r="AA181" s="1130">
        <f>'Corrected and Updated TSF 1'!DB181</f>
        <v>75213.496927930377</v>
      </c>
      <c r="AB181" s="1130">
        <f>'Corrected and Updated TSF 1'!DC181</f>
        <v>57240.933812715106</v>
      </c>
      <c r="AC181" s="774">
        <f>K181-'Corrected and Updated TSF 1'!CJ181</f>
        <v>0</v>
      </c>
      <c r="AD181" s="774">
        <f>L181-SUM('Corrected and Updated TSF 1'!CK181:CL181)</f>
        <v>0</v>
      </c>
      <c r="AE181" s="1173">
        <f t="shared" si="16"/>
        <v>3254865.6952169994</v>
      </c>
      <c r="AF181" s="1174">
        <f>SUM(FORM!$V$19:$W$22)+SUM(FORM!$V$25:$W$28)+SUM(FORM!$V$31:$W$34)</f>
        <v>0</v>
      </c>
      <c r="AG181" s="1173">
        <f t="shared" si="17"/>
        <v>3254865.6952169994</v>
      </c>
      <c r="AH181" s="1173"/>
    </row>
    <row r="182" spans="1:34" ht="12.75" customHeight="1">
      <c r="A182" s="767" t="str">
        <f t="shared" si="13"/>
        <v>12B</v>
      </c>
      <c r="B182" s="768" t="str">
        <f>'Corrected and Updated TSF 1'!ER182</f>
        <v>UNSOLD</v>
      </c>
      <c r="C182" s="757" t="str">
        <f>'Corrected and Updated TSF 1'!E182</f>
        <v>12th Floor</v>
      </c>
      <c r="D182" s="642" t="str">
        <f>'Corrected and Updated TSF 1'!M182</f>
        <v>End</v>
      </c>
      <c r="E182" s="642" t="str">
        <f>'Corrected and Updated TSF 1'!G182</f>
        <v>12B</v>
      </c>
      <c r="F182" s="758" t="str">
        <f>'Corrected and Updated TSF 1'!I182</f>
        <v>Studio Unit</v>
      </c>
      <c r="G182" s="769">
        <f>'Corrected and Updated TSF 1'!J182</f>
        <v>22</v>
      </c>
      <c r="H182" s="769">
        <f>'Corrected and Updated TSF 1'!CI182</f>
        <v>3374755.2404137272</v>
      </c>
      <c r="I182" s="770"/>
      <c r="J182" s="770">
        <f t="shared" si="14"/>
        <v>3374755.2404137272</v>
      </c>
      <c r="K182" s="769">
        <f>'Corrected and Updated TSF 1'!CJ182</f>
        <v>0</v>
      </c>
      <c r="L182" s="769">
        <f>SUM('Corrected and Updated TSF 1'!CK182:CL182)</f>
        <v>464028.84555688751</v>
      </c>
      <c r="M182" s="769">
        <f t="shared" si="15"/>
        <v>3838784.0859706146</v>
      </c>
      <c r="N182" s="771">
        <f>'Corrected and Updated TSF 1'!CN182</f>
        <v>0.125</v>
      </c>
      <c r="O182" s="769">
        <f>'Corrected and Updated TSF 1'!CO182</f>
        <v>479848.01074632688</v>
      </c>
      <c r="P182" s="769">
        <f>'Corrected and Updated TSF 1'!CP182</f>
        <v>30000</v>
      </c>
      <c r="Q182" s="769">
        <f>'Corrected and Updated TSF 1'!CQ182</f>
        <v>449848.01074632688</v>
      </c>
      <c r="R182" s="425">
        <f>'Corrected and Updated TSF 1'!CR182</f>
        <v>1</v>
      </c>
      <c r="S182" s="769">
        <f>'Corrected and Updated TSF 1'!CS182</f>
        <v>449848.01074632688</v>
      </c>
      <c r="T182" s="769">
        <f>'Corrected and Updated TSF 1'!CU182</f>
        <v>3358936.0752242883</v>
      </c>
      <c r="U182" s="769">
        <f>'Corrected and Updated TSF 1'!CV182</f>
        <v>26041.795639332311</v>
      </c>
      <c r="V182" s="772">
        <f>'Corrected and Updated TSF 1'!CW182</f>
        <v>30191.067043976847</v>
      </c>
      <c r="W182" s="773">
        <f>'Corrected and Updated TSF 1'!CX182</f>
        <v>39000.09594868659</v>
      </c>
      <c r="X182" s="773">
        <f>'Corrected and Updated TSF 1'!CY182</f>
        <v>66510.96010985857</v>
      </c>
      <c r="Y182" s="1130">
        <f>'Corrected and Updated TSF 1'!CZ182</f>
        <v>272857.05381676886</v>
      </c>
      <c r="Z182" s="1130">
        <f>'Corrected and Updated TSF 1'!DA182</f>
        <v>107968.20703227499</v>
      </c>
      <c r="AA182" s="1130">
        <f>'Corrected and Updated TSF 1'!DB182</f>
        <v>77983.906764685235</v>
      </c>
      <c r="AB182" s="1130">
        <f>'Corrected and Updated TSF 1'!DC182</f>
        <v>59349.343241567105</v>
      </c>
      <c r="AC182" s="774">
        <f>K182-'Corrected and Updated TSF 1'!CJ182</f>
        <v>0</v>
      </c>
      <c r="AD182" s="774">
        <f>L182-SUM('Corrected and Updated TSF 1'!CK182:CL182)</f>
        <v>0</v>
      </c>
      <c r="AE182" s="1173">
        <f t="shared" si="16"/>
        <v>3374755.2404137272</v>
      </c>
      <c r="AF182" s="1174">
        <f>SUM(FORM!$V$19:$W$22)+SUM(FORM!$V$25:$W$28)+SUM(FORM!$V$31:$W$34)</f>
        <v>0</v>
      </c>
      <c r="AG182" s="1173">
        <f t="shared" si="17"/>
        <v>3374755.2404137272</v>
      </c>
      <c r="AH182" s="1173"/>
    </row>
    <row r="183" spans="1:34" ht="12.75" hidden="1" customHeight="1">
      <c r="A183" s="767" t="str">
        <f t="shared" si="13"/>
        <v>12C</v>
      </c>
      <c r="B183" s="768" t="str">
        <f>'Corrected and Updated TSF 1'!ER183</f>
        <v>SOLD</v>
      </c>
      <c r="C183" s="757" t="str">
        <f>'Corrected and Updated TSF 1'!E183</f>
        <v>12th Floor</v>
      </c>
      <c r="D183" s="642" t="str">
        <f>'Corrected and Updated TSF 1'!M183</f>
        <v>End</v>
      </c>
      <c r="E183" s="642" t="str">
        <f>'Corrected and Updated TSF 1'!G183</f>
        <v>12C</v>
      </c>
      <c r="F183" s="758" t="str">
        <f>'Corrected and Updated TSF 1'!I183</f>
        <v>Studio Unit</v>
      </c>
      <c r="G183" s="769">
        <f>'Corrected and Updated TSF 1'!J183</f>
        <v>22</v>
      </c>
      <c r="H183" s="769">
        <f>'Corrected and Updated TSF 1'!CI183</f>
        <v>3335462.1110539199</v>
      </c>
      <c r="I183" s="770"/>
      <c r="J183" s="770">
        <f t="shared" si="14"/>
        <v>3335462.1110539199</v>
      </c>
      <c r="K183" s="769">
        <f>'Corrected and Updated TSF 1'!CJ183</f>
        <v>0</v>
      </c>
      <c r="L183" s="769">
        <f>SUM('Corrected and Updated TSF 1'!CK183:CL183)</f>
        <v>458626.04026991397</v>
      </c>
      <c r="M183" s="769">
        <f t="shared" si="15"/>
        <v>3794088.151323834</v>
      </c>
      <c r="N183" s="771">
        <f>'Corrected and Updated TSF 1'!CN183</f>
        <v>0.125</v>
      </c>
      <c r="O183" s="769">
        <f>'Corrected and Updated TSF 1'!CO183</f>
        <v>474261.01891547925</v>
      </c>
      <c r="P183" s="769">
        <f>'Corrected and Updated TSF 1'!CP183</f>
        <v>30000</v>
      </c>
      <c r="Q183" s="769">
        <f>'Corrected and Updated TSF 1'!CQ183</f>
        <v>444261.01891547925</v>
      </c>
      <c r="R183" s="425">
        <f>'Corrected and Updated TSF 1'!CR183</f>
        <v>2</v>
      </c>
      <c r="S183" s="769">
        <f>'Corrected and Updated TSF 1'!CS183</f>
        <v>222130.50945773962</v>
      </c>
      <c r="T183" s="769">
        <f>'Corrected and Updated TSF 1'!CU183</f>
        <v>3319827.1324083549</v>
      </c>
      <c r="U183" s="769">
        <f>'Corrected and Updated TSF 1'!CV183</f>
        <v>25738.584421948584</v>
      </c>
      <c r="V183" s="772">
        <f>'Corrected and Updated TSF 1'!CW183</f>
        <v>29839.544809515726</v>
      </c>
      <c r="W183" s="773">
        <f>'Corrected and Updated TSF 1'!CX183</f>
        <v>38546.007961265983</v>
      </c>
      <c r="X183" s="773">
        <f>'Corrected and Updated TSF 1'!CY183</f>
        <v>65736.5561684571</v>
      </c>
      <c r="Y183" s="1130">
        <f>'Corrected and Updated TSF 1'!CZ183</f>
        <v>269680.11008349713</v>
      </c>
      <c r="Z183" s="1130">
        <f>'Corrected and Updated TSF 1'!DA183</f>
        <v>106711.10587280082</v>
      </c>
      <c r="AA183" s="1130">
        <f>'Corrected and Updated TSF 1'!DB183</f>
        <v>77075.920401765397</v>
      </c>
      <c r="AB183" s="1130">
        <f>'Corrected and Updated TSF 1'!DC183</f>
        <v>58658.323817851917</v>
      </c>
      <c r="AC183" s="774">
        <f>K183-'Corrected and Updated TSF 1'!CJ183</f>
        <v>0</v>
      </c>
      <c r="AD183" s="774">
        <f>L183-SUM('Corrected and Updated TSF 1'!CK183:CL183)</f>
        <v>0</v>
      </c>
      <c r="AE183" s="1173">
        <f t="shared" si="16"/>
        <v>3335462.1110539199</v>
      </c>
      <c r="AF183" s="1174">
        <f>SUM(FORM!$V$19:$W$22)+SUM(FORM!$V$25:$W$28)+SUM(FORM!$V$31:$W$34)</f>
        <v>0</v>
      </c>
      <c r="AG183" s="1173">
        <f t="shared" si="17"/>
        <v>3335462.1110539199</v>
      </c>
      <c r="AH183" s="1173"/>
    </row>
    <row r="184" spans="1:34" hidden="1">
      <c r="A184" s="767" t="str">
        <f t="shared" si="13"/>
        <v>12D</v>
      </c>
      <c r="B184" s="768" t="str">
        <f>'Corrected and Updated TSF 1'!ER184</f>
        <v>SOLD</v>
      </c>
      <c r="C184" s="757" t="str">
        <f>'Corrected and Updated TSF 1'!E184</f>
        <v>12th Floor</v>
      </c>
      <c r="D184" s="642" t="str">
        <f>'Corrected and Updated TSF 1'!M184</f>
        <v>End</v>
      </c>
      <c r="E184" s="642" t="str">
        <f>'Corrected and Updated TSF 1'!G184</f>
        <v>12D</v>
      </c>
      <c r="F184" s="758" t="str">
        <f>'Corrected and Updated TSF 1'!I184</f>
        <v>Studio Unit</v>
      </c>
      <c r="G184" s="769">
        <f>'Corrected and Updated TSF 1'!J184</f>
        <v>22</v>
      </c>
      <c r="H184" s="769">
        <f>'Corrected and Updated TSF 1'!CI184</f>
        <v>3335462.1110539199</v>
      </c>
      <c r="I184" s="770"/>
      <c r="J184" s="770">
        <f t="shared" si="14"/>
        <v>3335462.1110539199</v>
      </c>
      <c r="K184" s="769">
        <f>'Corrected and Updated TSF 1'!CJ184</f>
        <v>0</v>
      </c>
      <c r="L184" s="769">
        <f>SUM('Corrected and Updated TSF 1'!CK184:CL184)</f>
        <v>458626.04026991397</v>
      </c>
      <c r="M184" s="769">
        <f t="shared" si="15"/>
        <v>3794088.151323834</v>
      </c>
      <c r="N184" s="771">
        <f>'Corrected and Updated TSF 1'!CN184</f>
        <v>0.125</v>
      </c>
      <c r="O184" s="769">
        <f>'Corrected and Updated TSF 1'!CO184</f>
        <v>474261.01891547925</v>
      </c>
      <c r="P184" s="769">
        <f>'Corrected and Updated TSF 1'!CP184</f>
        <v>30000</v>
      </c>
      <c r="Q184" s="769">
        <f>'Corrected and Updated TSF 1'!CQ184</f>
        <v>444261.01891547925</v>
      </c>
      <c r="R184" s="425">
        <f>'Corrected and Updated TSF 1'!CR184</f>
        <v>2</v>
      </c>
      <c r="S184" s="769">
        <f>'Corrected and Updated TSF 1'!CS184</f>
        <v>222130.50945773962</v>
      </c>
      <c r="T184" s="769">
        <f>'Corrected and Updated TSF 1'!CU184</f>
        <v>3319827.1324083549</v>
      </c>
      <c r="U184" s="769">
        <f>'Corrected and Updated TSF 1'!CV184</f>
        <v>25738.584421948584</v>
      </c>
      <c r="V184" s="772">
        <f>'Corrected and Updated TSF 1'!CW184</f>
        <v>29839.544809515726</v>
      </c>
      <c r="W184" s="773">
        <f>'Corrected and Updated TSF 1'!CX184</f>
        <v>38546.007961265983</v>
      </c>
      <c r="X184" s="773">
        <f>'Corrected and Updated TSF 1'!CY184</f>
        <v>65736.5561684571</v>
      </c>
      <c r="Y184" s="1130">
        <f>'Corrected and Updated TSF 1'!CZ184</f>
        <v>269680.11008349713</v>
      </c>
      <c r="Z184" s="1130">
        <f>'Corrected and Updated TSF 1'!DA184</f>
        <v>106711.10587280082</v>
      </c>
      <c r="AA184" s="1130">
        <f>'Corrected and Updated TSF 1'!DB184</f>
        <v>77075.920401765397</v>
      </c>
      <c r="AB184" s="1130">
        <f>'Corrected and Updated TSF 1'!DC184</f>
        <v>58658.323817851917</v>
      </c>
      <c r="AC184" s="774">
        <f>K184-'Corrected and Updated TSF 1'!CJ184</f>
        <v>0</v>
      </c>
      <c r="AD184" s="774">
        <f>L184-SUM('Corrected and Updated TSF 1'!CK184:CL184)</f>
        <v>0</v>
      </c>
      <c r="AE184" s="1173">
        <f t="shared" si="16"/>
        <v>3335462.1110539199</v>
      </c>
      <c r="AF184" s="1174">
        <f>SUM(FORM!$V$19:$W$22)+SUM(FORM!$V$25:$W$28)+SUM(FORM!$V$31:$W$34)</f>
        <v>0</v>
      </c>
      <c r="AG184" s="1173">
        <f t="shared" si="17"/>
        <v>3335462.1110539199</v>
      </c>
      <c r="AH184" s="1173"/>
    </row>
    <row r="185" spans="1:34" ht="12.75" hidden="1" customHeight="1">
      <c r="A185" s="767" t="str">
        <f t="shared" si="13"/>
        <v>12E</v>
      </c>
      <c r="B185" s="768" t="str">
        <f>'Corrected and Updated TSF 1'!ER185</f>
        <v>SOLD</v>
      </c>
      <c r="C185" s="757" t="str">
        <f>'Corrected and Updated TSF 1'!E185</f>
        <v>12th Floor</v>
      </c>
      <c r="D185" s="642" t="str">
        <f>'Corrected and Updated TSF 1'!M185</f>
        <v>End</v>
      </c>
      <c r="E185" s="642" t="str">
        <f>'Corrected and Updated TSF 1'!G185</f>
        <v>12E</v>
      </c>
      <c r="F185" s="758" t="str">
        <f>'Corrected and Updated TSF 1'!I185</f>
        <v>Studio Unit</v>
      </c>
      <c r="G185" s="769">
        <f>'Corrected and Updated TSF 1'!J185</f>
        <v>22</v>
      </c>
      <c r="H185" s="769">
        <f>'Corrected and Updated TSF 1'!CI185</f>
        <v>3335462.1110539199</v>
      </c>
      <c r="I185" s="770"/>
      <c r="J185" s="770">
        <f t="shared" si="14"/>
        <v>3335462.1110539199</v>
      </c>
      <c r="K185" s="769">
        <f>'Corrected and Updated TSF 1'!CJ185</f>
        <v>0</v>
      </c>
      <c r="L185" s="769">
        <f>SUM('Corrected and Updated TSF 1'!CK185:CL185)</f>
        <v>458626.04026991397</v>
      </c>
      <c r="M185" s="769">
        <f t="shared" si="15"/>
        <v>3794088.151323834</v>
      </c>
      <c r="N185" s="771">
        <f>'Corrected and Updated TSF 1'!CN185</f>
        <v>0.125</v>
      </c>
      <c r="O185" s="769">
        <f>'Corrected and Updated TSF 1'!CO185</f>
        <v>474261.01891547925</v>
      </c>
      <c r="P185" s="769">
        <f>'Corrected and Updated TSF 1'!CP185</f>
        <v>30000</v>
      </c>
      <c r="Q185" s="769">
        <f>'Corrected and Updated TSF 1'!CQ185</f>
        <v>444261.01891547925</v>
      </c>
      <c r="R185" s="425">
        <f>'Corrected and Updated TSF 1'!CR185</f>
        <v>2</v>
      </c>
      <c r="S185" s="769">
        <f>'Corrected and Updated TSF 1'!CS185</f>
        <v>222130.50945773962</v>
      </c>
      <c r="T185" s="769">
        <f>'Corrected and Updated TSF 1'!CU185</f>
        <v>3319827.1324083549</v>
      </c>
      <c r="U185" s="769">
        <f>'Corrected and Updated TSF 1'!CV185</f>
        <v>25738.584421948584</v>
      </c>
      <c r="V185" s="772">
        <f>'Corrected and Updated TSF 1'!CW185</f>
        <v>29839.544809515726</v>
      </c>
      <c r="W185" s="773">
        <f>'Corrected and Updated TSF 1'!CX185</f>
        <v>38546.007961265983</v>
      </c>
      <c r="X185" s="773">
        <f>'Corrected and Updated TSF 1'!CY185</f>
        <v>65736.5561684571</v>
      </c>
      <c r="Y185" s="1130">
        <f>'Corrected and Updated TSF 1'!CZ185</f>
        <v>269680.11008349713</v>
      </c>
      <c r="Z185" s="1130">
        <f>'Corrected and Updated TSF 1'!DA185</f>
        <v>106711.10587280082</v>
      </c>
      <c r="AA185" s="1130">
        <f>'Corrected and Updated TSF 1'!DB185</f>
        <v>77075.920401765397</v>
      </c>
      <c r="AB185" s="1130">
        <f>'Corrected and Updated TSF 1'!DC185</f>
        <v>58658.323817851917</v>
      </c>
      <c r="AC185" s="774">
        <f>K185-'Corrected and Updated TSF 1'!CJ185</f>
        <v>0</v>
      </c>
      <c r="AD185" s="774">
        <f>L185-SUM('Corrected and Updated TSF 1'!CK185:CL185)</f>
        <v>0</v>
      </c>
      <c r="AE185" s="1173">
        <f t="shared" si="16"/>
        <v>3335462.1110539199</v>
      </c>
      <c r="AF185" s="1174">
        <f>SUM(FORM!$V$19:$W$22)+SUM(FORM!$V$25:$W$28)+SUM(FORM!$V$31:$W$34)</f>
        <v>0</v>
      </c>
      <c r="AG185" s="1173">
        <f t="shared" si="17"/>
        <v>3335462.1110539199</v>
      </c>
      <c r="AH185" s="1173"/>
    </row>
    <row r="186" spans="1:34" hidden="1">
      <c r="A186" s="767" t="str">
        <f t="shared" si="13"/>
        <v>12F</v>
      </c>
      <c r="B186" s="768" t="str">
        <f>'Corrected and Updated TSF 1'!ER186</f>
        <v>SOLD</v>
      </c>
      <c r="C186" s="757" t="str">
        <f>'Corrected and Updated TSF 1'!E186</f>
        <v>12th Floor</v>
      </c>
      <c r="D186" s="642" t="str">
        <f>'Corrected and Updated TSF 1'!M186</f>
        <v>Inner</v>
      </c>
      <c r="E186" s="642" t="str">
        <f>'Corrected and Updated TSF 1'!G186</f>
        <v>12F</v>
      </c>
      <c r="F186" s="758" t="str">
        <f>'Corrected and Updated TSF 1'!I186</f>
        <v>Studio Unit</v>
      </c>
      <c r="G186" s="769">
        <f>'Corrected and Updated TSF 1'!J186</f>
        <v>22</v>
      </c>
      <c r="H186" s="769">
        <f>'Corrected and Updated TSF 1'!CI186</f>
        <v>3303883.9511935571</v>
      </c>
      <c r="I186" s="770"/>
      <c r="J186" s="770">
        <f t="shared" si="14"/>
        <v>3303883.9511935571</v>
      </c>
      <c r="K186" s="769">
        <f>'Corrected and Updated TSF 1'!CJ186</f>
        <v>0</v>
      </c>
      <c r="L186" s="769">
        <f>SUM('Corrected and Updated TSF 1'!CK186:CL186)</f>
        <v>454284.04328911414</v>
      </c>
      <c r="M186" s="769">
        <f t="shared" si="15"/>
        <v>3758167.9944826714</v>
      </c>
      <c r="N186" s="771">
        <f>'Corrected and Updated TSF 1'!CN186</f>
        <v>0.125</v>
      </c>
      <c r="O186" s="769">
        <f>'Corrected and Updated TSF 1'!CO186</f>
        <v>469770.99931033392</v>
      </c>
      <c r="P186" s="769">
        <f>'Corrected and Updated TSF 1'!CP186</f>
        <v>30000</v>
      </c>
      <c r="Q186" s="769">
        <f>'Corrected and Updated TSF 1'!CQ186</f>
        <v>439770.99931033392</v>
      </c>
      <c r="R186" s="425">
        <f>'Corrected and Updated TSF 1'!CR186</f>
        <v>2</v>
      </c>
      <c r="S186" s="769">
        <f>'Corrected and Updated TSF 1'!CS186</f>
        <v>219885.49965516696</v>
      </c>
      <c r="T186" s="769">
        <f>'Corrected and Updated TSF 1'!CU186</f>
        <v>3288396.9951723376</v>
      </c>
      <c r="U186" s="769">
        <f>'Corrected and Updated TSF 1'!CV186</f>
        <v>25494.906902494193</v>
      </c>
      <c r="V186" s="772">
        <f>'Corrected and Updated TSF 1'!CW186</f>
        <v>29557.04185047069</v>
      </c>
      <c r="W186" s="773">
        <f>'Corrected and Updated TSF 1'!CX186</f>
        <v>38181.077417655317</v>
      </c>
      <c r="X186" s="773">
        <f>'Corrected and Updated TSF 1'!CY186</f>
        <v>65114.201780896292</v>
      </c>
      <c r="Y186" s="1130">
        <f>'Corrected and Updated TSF 1'!CZ186</f>
        <v>267126.94013467524</v>
      </c>
      <c r="Z186" s="1130">
        <f>'Corrected and Updated TSF 1'!DA186</f>
        <v>105700.82896125688</v>
      </c>
      <c r="AA186" s="1130">
        <f>'Corrected and Updated TSF 1'!DB186</f>
        <v>76346.211697305698</v>
      </c>
      <c r="AB186" s="1130">
        <f>'Corrected and Updated TSF 1'!DC186</f>
        <v>58102.981899704391</v>
      </c>
      <c r="AC186" s="774">
        <f>K186-'Corrected and Updated TSF 1'!CJ186</f>
        <v>0</v>
      </c>
      <c r="AD186" s="774">
        <f>L186-SUM('Corrected and Updated TSF 1'!CK186:CL186)</f>
        <v>0</v>
      </c>
      <c r="AE186" s="1173">
        <f t="shared" si="16"/>
        <v>3303883.9511935571</v>
      </c>
      <c r="AF186" s="1174">
        <f>SUM(FORM!$V$19:$W$22)+SUM(FORM!$V$25:$W$28)+SUM(FORM!$V$31:$W$34)</f>
        <v>0</v>
      </c>
      <c r="AG186" s="1173">
        <f t="shared" si="17"/>
        <v>3303883.9511935571</v>
      </c>
      <c r="AH186" s="1173"/>
    </row>
    <row r="187" spans="1:34" ht="12.75" customHeight="1">
      <c r="A187" s="767" t="str">
        <f t="shared" si="13"/>
        <v>12G</v>
      </c>
      <c r="B187" s="768" t="str">
        <f>'Corrected and Updated TSF 1'!ER187</f>
        <v>UNSOLD</v>
      </c>
      <c r="C187" s="757" t="str">
        <f>'Corrected and Updated TSF 1'!E187</f>
        <v>12th Floor</v>
      </c>
      <c r="D187" s="642" t="str">
        <f>'Corrected and Updated TSF 1'!M187</f>
        <v>End</v>
      </c>
      <c r="E187" s="642" t="str">
        <f>'Corrected and Updated TSF 1'!G187</f>
        <v>12G</v>
      </c>
      <c r="F187" s="758" t="str">
        <f>'Corrected and Updated TSF 1'!I187</f>
        <v>Studio Unit</v>
      </c>
      <c r="G187" s="769">
        <f>'Corrected and Updated TSF 1'!J187</f>
        <v>22</v>
      </c>
      <c r="H187" s="769">
        <f>'Corrected and Updated TSF 1'!CI187</f>
        <v>3397005.8968120604</v>
      </c>
      <c r="I187" s="770"/>
      <c r="J187" s="770">
        <f t="shared" si="14"/>
        <v>3397005.8968120604</v>
      </c>
      <c r="K187" s="769">
        <f>'Corrected and Updated TSF 1'!CJ187</f>
        <v>0</v>
      </c>
      <c r="L187" s="769">
        <f>SUM('Corrected and Updated TSF 1'!CK187:CL187)</f>
        <v>467088.31081165827</v>
      </c>
      <c r="M187" s="769">
        <f t="shared" si="15"/>
        <v>3864094.2076237188</v>
      </c>
      <c r="N187" s="771">
        <f>'Corrected and Updated TSF 1'!CN187</f>
        <v>0.125</v>
      </c>
      <c r="O187" s="769">
        <f>'Corrected and Updated TSF 1'!CO187</f>
        <v>483011.77595296485</v>
      </c>
      <c r="P187" s="769">
        <f>'Corrected and Updated TSF 1'!CP187</f>
        <v>30000</v>
      </c>
      <c r="Q187" s="769">
        <f>'Corrected and Updated TSF 1'!CQ187</f>
        <v>453011.77595296485</v>
      </c>
      <c r="R187" s="425">
        <f>'Corrected and Updated TSF 1'!CR187</f>
        <v>1</v>
      </c>
      <c r="S187" s="769">
        <f>'Corrected and Updated TSF 1'!CS187</f>
        <v>453011.77595296485</v>
      </c>
      <c r="T187" s="769">
        <f>'Corrected and Updated TSF 1'!CU187</f>
        <v>3381082.4316707538</v>
      </c>
      <c r="U187" s="769">
        <f>'Corrected and Updated TSF 1'!CV187</f>
        <v>26213.496105140119</v>
      </c>
      <c r="V187" s="772">
        <f>'Corrected and Updated TSF 1'!CW187</f>
        <v>30390.124756681427</v>
      </c>
      <c r="W187" s="773">
        <f>'Corrected and Updated TSF 1'!CX187</f>
        <v>39257.233925409862</v>
      </c>
      <c r="X187" s="773">
        <f>'Corrected and Updated TSF 1'!CY187</f>
        <v>66949.484510800394</v>
      </c>
      <c r="Y187" s="1130">
        <f>'Corrected and Updated TSF 1'!CZ187</f>
        <v>274656.07274342561</v>
      </c>
      <c r="Z187" s="1130">
        <f>'Corrected and Updated TSF 1'!DA187</f>
        <v>108680.07005802875</v>
      </c>
      <c r="AA187" s="1130">
        <f>'Corrected and Updated TSF 1'!DB187</f>
        <v>78498.075345932608</v>
      </c>
      <c r="AB187" s="1130">
        <f>'Corrected and Updated TSF 1'!DC187</f>
        <v>59740.649202995271</v>
      </c>
      <c r="AC187" s="774">
        <f>K187-'Corrected and Updated TSF 1'!CJ187</f>
        <v>0</v>
      </c>
      <c r="AD187" s="774">
        <f>L187-SUM('Corrected and Updated TSF 1'!CK187:CL187)</f>
        <v>0</v>
      </c>
      <c r="AE187" s="1173">
        <f t="shared" si="16"/>
        <v>3397005.8968120604</v>
      </c>
      <c r="AF187" s="1174">
        <f>SUM(FORM!$V$19:$W$22)+SUM(FORM!$V$25:$W$28)+SUM(FORM!$V$31:$W$34)</f>
        <v>0</v>
      </c>
      <c r="AG187" s="1173">
        <f t="shared" si="17"/>
        <v>3397005.8968120604</v>
      </c>
      <c r="AH187" s="1173"/>
    </row>
    <row r="188" spans="1:34" hidden="1">
      <c r="A188" s="767" t="str">
        <f t="shared" si="13"/>
        <v>12H</v>
      </c>
      <c r="B188" s="768" t="str">
        <f>'Corrected and Updated TSF 1'!ER188</f>
        <v>SOLD</v>
      </c>
      <c r="C188" s="757" t="str">
        <f>'Corrected and Updated TSF 1'!E188</f>
        <v>12th Floor</v>
      </c>
      <c r="D188" s="642" t="str">
        <f>'Corrected and Updated TSF 1'!M188</f>
        <v>Corner</v>
      </c>
      <c r="E188" s="642" t="str">
        <f>'Corrected and Updated TSF 1'!G188</f>
        <v>12H</v>
      </c>
      <c r="F188" s="758" t="str">
        <f>'Corrected and Updated TSF 1'!I188</f>
        <v>Studio Unit</v>
      </c>
      <c r="G188" s="769">
        <f>'Corrected and Updated TSF 1'!J188</f>
        <v>22</v>
      </c>
      <c r="H188" s="769">
        <f>'Corrected and Updated TSF 1'!CI188</f>
        <v>3254865.6952169994</v>
      </c>
      <c r="I188" s="770"/>
      <c r="J188" s="770">
        <f t="shared" si="14"/>
        <v>3254865.6952169994</v>
      </c>
      <c r="K188" s="769">
        <f>'Corrected and Updated TSF 1'!CJ188</f>
        <v>0</v>
      </c>
      <c r="L188" s="769">
        <f>SUM('Corrected and Updated TSF 1'!CK188:CL188)</f>
        <v>447544.03309233743</v>
      </c>
      <c r="M188" s="769">
        <f t="shared" si="15"/>
        <v>3702409.728309337</v>
      </c>
      <c r="N188" s="771">
        <f>'Corrected and Updated TSF 1'!CN188</f>
        <v>0.125</v>
      </c>
      <c r="O188" s="769">
        <f>'Corrected and Updated TSF 1'!CO188</f>
        <v>462801.21603866707</v>
      </c>
      <c r="P188" s="769">
        <f>'Corrected and Updated TSF 1'!CP188</f>
        <v>30000</v>
      </c>
      <c r="Q188" s="769">
        <f>'Corrected and Updated TSF 1'!CQ188</f>
        <v>432801.21603866707</v>
      </c>
      <c r="R188" s="425">
        <f>'Corrected and Updated TSF 1'!CR188</f>
        <v>2</v>
      </c>
      <c r="S188" s="769">
        <f>'Corrected and Updated TSF 1'!CS188</f>
        <v>216400.60801933354</v>
      </c>
      <c r="T188" s="769">
        <f>'Corrected and Updated TSF 1'!CU188</f>
        <v>3239608.5122706695</v>
      </c>
      <c r="U188" s="769">
        <f>'Corrected and Updated TSF 1'!CV188</f>
        <v>25116.650313852959</v>
      </c>
      <c r="V188" s="772">
        <f>'Corrected and Updated TSF 1'!CW188</f>
        <v>29118.517173230495</v>
      </c>
      <c r="W188" s="773">
        <f>'Corrected and Updated TSF 1'!CX188</f>
        <v>37614.601762345665</v>
      </c>
      <c r="X188" s="773">
        <f>'Corrected and Updated TSF 1'!CY188</f>
        <v>64148.131344477908</v>
      </c>
      <c r="Y188" s="1130">
        <f>'Corrected and Updated TSF 1'!CZ188</f>
        <v>263163.69659368286</v>
      </c>
      <c r="Z188" s="1130">
        <f>'Corrected and Updated TSF 1'!DA188</f>
        <v>104132.5927981539</v>
      </c>
      <c r="AA188" s="1130">
        <f>'Corrected and Updated TSF 1'!DB188</f>
        <v>75213.496927930377</v>
      </c>
      <c r="AB188" s="1130">
        <f>'Corrected and Updated TSF 1'!DC188</f>
        <v>57240.933812715106</v>
      </c>
      <c r="AC188" s="774">
        <f>K188-'Corrected and Updated TSF 1'!CJ188</f>
        <v>0</v>
      </c>
      <c r="AD188" s="774">
        <f>L188-SUM('Corrected and Updated TSF 1'!CK188:CL188)</f>
        <v>0</v>
      </c>
      <c r="AE188" s="1173">
        <f t="shared" si="16"/>
        <v>3254865.6952169994</v>
      </c>
      <c r="AF188" s="1174">
        <f>SUM(FORM!$V$19:$W$22)+SUM(FORM!$V$25:$W$28)+SUM(FORM!$V$31:$W$34)</f>
        <v>0</v>
      </c>
      <c r="AG188" s="1173">
        <f t="shared" si="17"/>
        <v>3254865.6952169994</v>
      </c>
      <c r="AH188" s="1173"/>
    </row>
    <row r="189" spans="1:34" ht="12.75" hidden="1" customHeight="1">
      <c r="A189" s="767" t="str">
        <f t="shared" si="13"/>
        <v>12I</v>
      </c>
      <c r="B189" s="768" t="str">
        <f>'Corrected and Updated TSF 1'!ER189</f>
        <v>SOLD</v>
      </c>
      <c r="C189" s="757" t="str">
        <f>'Corrected and Updated TSF 1'!E189</f>
        <v>12th Floor</v>
      </c>
      <c r="D189" s="642" t="str">
        <f>'Corrected and Updated TSF 1'!M189</f>
        <v>Inner</v>
      </c>
      <c r="E189" s="642" t="str">
        <f>'Corrected and Updated TSF 1'!G189</f>
        <v>12I</v>
      </c>
      <c r="F189" s="758" t="str">
        <f>'Corrected and Updated TSF 1'!I189</f>
        <v>Studio Unit</v>
      </c>
      <c r="G189" s="769">
        <f>'Corrected and Updated TSF 1'!J189</f>
        <v>22</v>
      </c>
      <c r="H189" s="769">
        <f>'Corrected and Updated TSF 1'!CI189</f>
        <v>3303883.9511935571</v>
      </c>
      <c r="I189" s="770"/>
      <c r="J189" s="770">
        <f t="shared" si="14"/>
        <v>3303883.9511935571</v>
      </c>
      <c r="K189" s="769">
        <f>'Corrected and Updated TSF 1'!CJ189</f>
        <v>0</v>
      </c>
      <c r="L189" s="769">
        <f>SUM('Corrected and Updated TSF 1'!CK189:CL189)</f>
        <v>454284.04328911414</v>
      </c>
      <c r="M189" s="769">
        <f t="shared" si="15"/>
        <v>3758167.9944826714</v>
      </c>
      <c r="N189" s="771">
        <f>'Corrected and Updated TSF 1'!CN189</f>
        <v>0.125</v>
      </c>
      <c r="O189" s="769">
        <f>'Corrected and Updated TSF 1'!CO189</f>
        <v>469770.99931033392</v>
      </c>
      <c r="P189" s="769">
        <f>'Corrected and Updated TSF 1'!CP189</f>
        <v>30000</v>
      </c>
      <c r="Q189" s="769">
        <f>'Corrected and Updated TSF 1'!CQ189</f>
        <v>439770.99931033392</v>
      </c>
      <c r="R189" s="425">
        <f>'Corrected and Updated TSF 1'!CR189</f>
        <v>2</v>
      </c>
      <c r="S189" s="769">
        <f>'Corrected and Updated TSF 1'!CS189</f>
        <v>219885.49965516696</v>
      </c>
      <c r="T189" s="769">
        <f>'Corrected and Updated TSF 1'!CU189</f>
        <v>3288396.9951723376</v>
      </c>
      <c r="U189" s="769">
        <f>'Corrected and Updated TSF 1'!CV189</f>
        <v>25494.906902494193</v>
      </c>
      <c r="V189" s="772">
        <f>'Corrected and Updated TSF 1'!CW189</f>
        <v>29557.04185047069</v>
      </c>
      <c r="W189" s="773">
        <f>'Corrected and Updated TSF 1'!CX189</f>
        <v>38181.077417655317</v>
      </c>
      <c r="X189" s="773">
        <f>'Corrected and Updated TSF 1'!CY189</f>
        <v>65114.201780896292</v>
      </c>
      <c r="Y189" s="1130">
        <f>'Corrected and Updated TSF 1'!CZ189</f>
        <v>267126.94013467524</v>
      </c>
      <c r="Z189" s="1130">
        <f>'Corrected and Updated TSF 1'!DA189</f>
        <v>105700.82896125688</v>
      </c>
      <c r="AA189" s="1130">
        <f>'Corrected and Updated TSF 1'!DB189</f>
        <v>76346.211697305698</v>
      </c>
      <c r="AB189" s="1130">
        <f>'Corrected and Updated TSF 1'!DC189</f>
        <v>58102.981899704391</v>
      </c>
      <c r="AC189" s="774">
        <f>K189-'Corrected and Updated TSF 1'!CJ189</f>
        <v>0</v>
      </c>
      <c r="AD189" s="774">
        <f>L189-SUM('Corrected and Updated TSF 1'!CK189:CL189)</f>
        <v>0</v>
      </c>
      <c r="AE189" s="1173">
        <f t="shared" si="16"/>
        <v>3303883.9511935571</v>
      </c>
      <c r="AF189" s="1174">
        <f>SUM(FORM!$V$19:$W$22)+SUM(FORM!$V$25:$W$28)+SUM(FORM!$V$31:$W$34)</f>
        <v>0</v>
      </c>
      <c r="AG189" s="1173">
        <f t="shared" si="17"/>
        <v>3303883.9511935571</v>
      </c>
      <c r="AH189" s="1173"/>
    </row>
    <row r="190" spans="1:34" ht="12.75" customHeight="1">
      <c r="A190" s="767" t="str">
        <f t="shared" si="13"/>
        <v>12J</v>
      </c>
      <c r="B190" s="768" t="str">
        <f>'Corrected and Updated TSF 1'!ER190</f>
        <v>UNSOLD</v>
      </c>
      <c r="C190" s="757" t="str">
        <f>'Corrected and Updated TSF 1'!E190</f>
        <v>12th Floor</v>
      </c>
      <c r="D190" s="642" t="str">
        <f>'Corrected and Updated TSF 1'!M190</f>
        <v>Inner</v>
      </c>
      <c r="E190" s="642" t="str">
        <f>'Corrected and Updated TSF 1'!G190</f>
        <v>12J</v>
      </c>
      <c r="F190" s="758" t="str">
        <f>'Corrected and Updated TSF 1'!I190</f>
        <v>Studio Unit</v>
      </c>
      <c r="G190" s="769">
        <f>'Corrected and Updated TSF 1'!J190</f>
        <v>22</v>
      </c>
      <c r="H190" s="769">
        <f>'Corrected and Updated TSF 1'!CI190</f>
        <v>3351136.2805533642</v>
      </c>
      <c r="I190" s="770"/>
      <c r="J190" s="770">
        <f t="shared" si="14"/>
        <v>3351136.2805533642</v>
      </c>
      <c r="K190" s="769">
        <f>'Corrected and Updated TSF 1'!CJ190</f>
        <v>0</v>
      </c>
      <c r="L190" s="769">
        <f>SUM('Corrected and Updated TSF 1'!CK190:CL190)</f>
        <v>460781.23857608752</v>
      </c>
      <c r="M190" s="769">
        <f t="shared" si="15"/>
        <v>3811917.5191294518</v>
      </c>
      <c r="N190" s="771">
        <f>'Corrected and Updated TSF 1'!CN190</f>
        <v>0.125</v>
      </c>
      <c r="O190" s="769">
        <f>'Corrected and Updated TSF 1'!CO190</f>
        <v>476489.68989118148</v>
      </c>
      <c r="P190" s="769">
        <f>'Corrected and Updated TSF 1'!CP190</f>
        <v>30000</v>
      </c>
      <c r="Q190" s="769">
        <f>'Corrected and Updated TSF 1'!CQ190</f>
        <v>446489.68989118148</v>
      </c>
      <c r="R190" s="425">
        <f>'Corrected and Updated TSF 1'!CR190</f>
        <v>1</v>
      </c>
      <c r="S190" s="769">
        <f>'Corrected and Updated TSF 1'!CS190</f>
        <v>446489.68989118148</v>
      </c>
      <c r="T190" s="769">
        <f>'Corrected and Updated TSF 1'!CU190</f>
        <v>3335427.8292382704</v>
      </c>
      <c r="U190" s="769">
        <f>'Corrected and Updated TSF 1'!CV190</f>
        <v>25859.536458420047</v>
      </c>
      <c r="V190" s="772">
        <f>'Corrected and Updated TSF 1'!CW190</f>
        <v>29979.768283072986</v>
      </c>
      <c r="W190" s="773">
        <f>'Corrected and Updated TSF 1'!CX190</f>
        <v>38727.145279633209</v>
      </c>
      <c r="X190" s="773">
        <f>'Corrected and Updated TSF 1'!CY190</f>
        <v>66045.468663754058</v>
      </c>
      <c r="Y190" s="1130">
        <f>'Corrected and Updated TSF 1'!CZ190</f>
        <v>270947.4042740289</v>
      </c>
      <c r="Z190" s="1130">
        <f>'Corrected and Updated TSF 1'!DA190</f>
        <v>107212.5680106498</v>
      </c>
      <c r="AA190" s="1130">
        <f>'Corrected and Updated TSF 1'!DB190</f>
        <v>77438.119401627875</v>
      </c>
      <c r="AB190" s="1130">
        <f>'Corrected and Updated TSF 1'!DC190</f>
        <v>58933.973931527995</v>
      </c>
      <c r="AC190" s="774">
        <f>K190-'Corrected and Updated TSF 1'!CJ190</f>
        <v>0</v>
      </c>
      <c r="AD190" s="774">
        <f>L190-SUM('Corrected and Updated TSF 1'!CK190:CL190)</f>
        <v>0</v>
      </c>
      <c r="AE190" s="1173">
        <f t="shared" si="16"/>
        <v>3351136.2805533642</v>
      </c>
      <c r="AF190" s="1174">
        <f>SUM(FORM!$V$19:$W$22)+SUM(FORM!$V$25:$W$28)+SUM(FORM!$V$31:$W$34)</f>
        <v>0</v>
      </c>
      <c r="AG190" s="1173">
        <f t="shared" si="17"/>
        <v>3351136.2805533642</v>
      </c>
      <c r="AH190" s="1173"/>
    </row>
    <row r="191" spans="1:34" ht="12.75" hidden="1" customHeight="1">
      <c r="A191" s="767" t="str">
        <f t="shared" si="13"/>
        <v>12K</v>
      </c>
      <c r="B191" s="768" t="str">
        <f>'Corrected and Updated TSF 1'!ER191</f>
        <v>SOLD</v>
      </c>
      <c r="C191" s="757" t="str">
        <f>'Corrected and Updated TSF 1'!E191</f>
        <v>12th Floor</v>
      </c>
      <c r="D191" s="642" t="str">
        <f>'Corrected and Updated TSF 1'!M191</f>
        <v>Inner</v>
      </c>
      <c r="E191" s="642" t="str">
        <f>'Corrected and Updated TSF 1'!G191</f>
        <v>12K</v>
      </c>
      <c r="F191" s="758" t="str">
        <f>'Corrected and Updated TSF 1'!I191</f>
        <v>Studio Unit</v>
      </c>
      <c r="G191" s="769">
        <f>'Corrected and Updated TSF 1'!J191</f>
        <v>22</v>
      </c>
      <c r="H191" s="769">
        <f>'Corrected and Updated TSF 1'!CI191</f>
        <v>3303883.9511935571</v>
      </c>
      <c r="I191" s="770"/>
      <c r="J191" s="770">
        <f t="shared" si="14"/>
        <v>3303883.9511935571</v>
      </c>
      <c r="K191" s="769">
        <f>'Corrected and Updated TSF 1'!CJ191</f>
        <v>0</v>
      </c>
      <c r="L191" s="769">
        <f>SUM('Corrected and Updated TSF 1'!CK191:CL191)</f>
        <v>454284.04328911414</v>
      </c>
      <c r="M191" s="769">
        <f t="shared" si="15"/>
        <v>3758167.9944826714</v>
      </c>
      <c r="N191" s="771">
        <f>'Corrected and Updated TSF 1'!CN191</f>
        <v>0.125</v>
      </c>
      <c r="O191" s="769">
        <f>'Corrected and Updated TSF 1'!CO191</f>
        <v>469770.99931033392</v>
      </c>
      <c r="P191" s="769">
        <f>'Corrected and Updated TSF 1'!CP191</f>
        <v>30000</v>
      </c>
      <c r="Q191" s="769">
        <f>'Corrected and Updated TSF 1'!CQ191</f>
        <v>439770.99931033392</v>
      </c>
      <c r="R191" s="425">
        <f>'Corrected and Updated TSF 1'!CR191</f>
        <v>2</v>
      </c>
      <c r="S191" s="769">
        <f>'Corrected and Updated TSF 1'!CS191</f>
        <v>219885.49965516696</v>
      </c>
      <c r="T191" s="769">
        <f>'Corrected and Updated TSF 1'!CU191</f>
        <v>3288396.9951723376</v>
      </c>
      <c r="U191" s="769">
        <f>'Corrected and Updated TSF 1'!CV191</f>
        <v>25494.906902494193</v>
      </c>
      <c r="V191" s="772">
        <f>'Corrected and Updated TSF 1'!CW191</f>
        <v>29557.04185047069</v>
      </c>
      <c r="W191" s="773">
        <f>'Corrected and Updated TSF 1'!CX191</f>
        <v>38181.077417655317</v>
      </c>
      <c r="X191" s="773">
        <f>'Corrected and Updated TSF 1'!CY191</f>
        <v>65114.201780896292</v>
      </c>
      <c r="Y191" s="1130">
        <f>'Corrected and Updated TSF 1'!CZ191</f>
        <v>267126.94013467524</v>
      </c>
      <c r="Z191" s="1130">
        <f>'Corrected and Updated TSF 1'!DA191</f>
        <v>105700.82896125688</v>
      </c>
      <c r="AA191" s="1130">
        <f>'Corrected and Updated TSF 1'!DB191</f>
        <v>76346.211697305698</v>
      </c>
      <c r="AB191" s="1130">
        <f>'Corrected and Updated TSF 1'!DC191</f>
        <v>58102.981899704391</v>
      </c>
      <c r="AC191" s="774">
        <f>K191-'Corrected and Updated TSF 1'!CJ191</f>
        <v>0</v>
      </c>
      <c r="AD191" s="774">
        <f>L191-SUM('Corrected and Updated TSF 1'!CK191:CL191)</f>
        <v>0</v>
      </c>
      <c r="AE191" s="1173">
        <f t="shared" si="16"/>
        <v>3303883.9511935571</v>
      </c>
      <c r="AF191" s="1174">
        <f>SUM(FORM!$V$19:$W$22)+SUM(FORM!$V$25:$W$28)+SUM(FORM!$V$31:$W$34)</f>
        <v>0</v>
      </c>
      <c r="AG191" s="1173">
        <f t="shared" si="17"/>
        <v>3303883.9511935571</v>
      </c>
      <c r="AH191" s="1173"/>
    </row>
    <row r="192" spans="1:34" ht="12.75" hidden="1" customHeight="1">
      <c r="A192" s="767" t="str">
        <f t="shared" si="13"/>
        <v>12L</v>
      </c>
      <c r="B192" s="768" t="str">
        <f>'Corrected and Updated TSF 1'!ER192</f>
        <v>SOLD</v>
      </c>
      <c r="C192" s="757" t="str">
        <f>'Corrected and Updated TSF 1'!E192</f>
        <v>12th Floor</v>
      </c>
      <c r="D192" s="642" t="str">
        <f>'Corrected and Updated TSF 1'!M192</f>
        <v>Inner</v>
      </c>
      <c r="E192" s="642" t="str">
        <f>'Corrected and Updated TSF 1'!G192</f>
        <v>12L</v>
      </c>
      <c r="F192" s="758" t="str">
        <f>'Corrected and Updated TSF 1'!I192</f>
        <v>Studio Unit</v>
      </c>
      <c r="G192" s="769">
        <f>'Corrected and Updated TSF 1'!J192</f>
        <v>22</v>
      </c>
      <c r="H192" s="769">
        <f>'Corrected and Updated TSF 1'!CI192</f>
        <v>3303883.9511935571</v>
      </c>
      <c r="I192" s="770"/>
      <c r="J192" s="770">
        <f t="shared" si="14"/>
        <v>3303883.9511935571</v>
      </c>
      <c r="K192" s="769">
        <f>'Corrected and Updated TSF 1'!CJ192</f>
        <v>0</v>
      </c>
      <c r="L192" s="769">
        <f>SUM('Corrected and Updated TSF 1'!CK192:CL192)</f>
        <v>454284.04328911414</v>
      </c>
      <c r="M192" s="769">
        <f t="shared" si="15"/>
        <v>3758167.9944826714</v>
      </c>
      <c r="N192" s="771">
        <f>'Corrected and Updated TSF 1'!CN192</f>
        <v>0.125</v>
      </c>
      <c r="O192" s="769">
        <f>'Corrected and Updated TSF 1'!CO192</f>
        <v>469770.99931033392</v>
      </c>
      <c r="P192" s="769">
        <f>'Corrected and Updated TSF 1'!CP192</f>
        <v>30000</v>
      </c>
      <c r="Q192" s="769">
        <f>'Corrected and Updated TSF 1'!CQ192</f>
        <v>439770.99931033392</v>
      </c>
      <c r="R192" s="425">
        <f>'Corrected and Updated TSF 1'!CR192</f>
        <v>2</v>
      </c>
      <c r="S192" s="769">
        <f>'Corrected and Updated TSF 1'!CS192</f>
        <v>219885.49965516696</v>
      </c>
      <c r="T192" s="769">
        <f>'Corrected and Updated TSF 1'!CU192</f>
        <v>3288396.9951723376</v>
      </c>
      <c r="U192" s="769">
        <f>'Corrected and Updated TSF 1'!CV192</f>
        <v>25494.906902494193</v>
      </c>
      <c r="V192" s="772">
        <f>'Corrected and Updated TSF 1'!CW192</f>
        <v>29557.04185047069</v>
      </c>
      <c r="W192" s="773">
        <f>'Corrected and Updated TSF 1'!CX192</f>
        <v>38181.077417655317</v>
      </c>
      <c r="X192" s="773">
        <f>'Corrected and Updated TSF 1'!CY192</f>
        <v>65114.201780896292</v>
      </c>
      <c r="Y192" s="1130">
        <f>'Corrected and Updated TSF 1'!CZ192</f>
        <v>267126.94013467524</v>
      </c>
      <c r="Z192" s="1130">
        <f>'Corrected and Updated TSF 1'!DA192</f>
        <v>105700.82896125688</v>
      </c>
      <c r="AA192" s="1130">
        <f>'Corrected and Updated TSF 1'!DB192</f>
        <v>76346.211697305698</v>
      </c>
      <c r="AB192" s="1130">
        <f>'Corrected and Updated TSF 1'!DC192</f>
        <v>58102.981899704391</v>
      </c>
      <c r="AC192" s="774">
        <f>K192-'Corrected and Updated TSF 1'!CJ192</f>
        <v>0</v>
      </c>
      <c r="AD192" s="774">
        <f>L192-SUM('Corrected and Updated TSF 1'!CK192:CL192)</f>
        <v>0</v>
      </c>
      <c r="AE192" s="1173">
        <f t="shared" si="16"/>
        <v>3303883.9511935571</v>
      </c>
      <c r="AF192" s="1174">
        <f>SUM(FORM!$V$19:$W$22)+SUM(FORM!$V$25:$W$28)+SUM(FORM!$V$31:$W$34)</f>
        <v>0</v>
      </c>
      <c r="AG192" s="1173">
        <f t="shared" si="17"/>
        <v>3303883.9511935571</v>
      </c>
      <c r="AH192" s="1173"/>
    </row>
    <row r="193" spans="1:34" ht="12.75" customHeight="1">
      <c r="A193" s="767" t="str">
        <f t="shared" si="13"/>
        <v>12M</v>
      </c>
      <c r="B193" s="768" t="str">
        <f>'Corrected and Updated TSF 1'!ER193</f>
        <v>UNSOLD</v>
      </c>
      <c r="C193" s="757" t="str">
        <f>'Corrected and Updated TSF 1'!E193</f>
        <v>12th Floor</v>
      </c>
      <c r="D193" s="642" t="str">
        <f>'Corrected and Updated TSF 1'!M193</f>
        <v>Inner</v>
      </c>
      <c r="E193" s="642" t="str">
        <f>'Corrected and Updated TSF 1'!G193</f>
        <v>12M</v>
      </c>
      <c r="F193" s="758" t="str">
        <f>'Corrected and Updated TSF 1'!I193</f>
        <v>Studio Unit</v>
      </c>
      <c r="G193" s="769">
        <f>'Corrected and Updated TSF 1'!J193</f>
        <v>22</v>
      </c>
      <c r="H193" s="769">
        <f>'Corrected and Updated TSF 1'!CI193</f>
        <v>3365427.7369516976</v>
      </c>
      <c r="I193" s="770"/>
      <c r="J193" s="770">
        <f t="shared" si="14"/>
        <v>3365427.7369516976</v>
      </c>
      <c r="K193" s="769">
        <f>'Corrected and Updated TSF 1'!CJ193</f>
        <v>0</v>
      </c>
      <c r="L193" s="769">
        <f>SUM('Corrected and Updated TSF 1'!CK193:CL193)</f>
        <v>462746.31383085845</v>
      </c>
      <c r="M193" s="769">
        <f t="shared" si="15"/>
        <v>3828174.0507825562</v>
      </c>
      <c r="N193" s="771">
        <f>'Corrected and Updated TSF 1'!CN193</f>
        <v>0.125</v>
      </c>
      <c r="O193" s="769">
        <f>'Corrected and Updated TSF 1'!CO193</f>
        <v>478521.75634781952</v>
      </c>
      <c r="P193" s="769">
        <f>'Corrected and Updated TSF 1'!CP193</f>
        <v>30000</v>
      </c>
      <c r="Q193" s="769">
        <f>'Corrected and Updated TSF 1'!CQ193</f>
        <v>448521.75634781952</v>
      </c>
      <c r="R193" s="425">
        <f>'Corrected and Updated TSF 1'!CR193</f>
        <v>1</v>
      </c>
      <c r="S193" s="769">
        <f>'Corrected and Updated TSF 1'!CS193</f>
        <v>448521.75634781952</v>
      </c>
      <c r="T193" s="769">
        <f>'Corrected and Updated TSF 1'!CU193</f>
        <v>3349652.2944347365</v>
      </c>
      <c r="U193" s="769">
        <f>'Corrected and Updated TSF 1'!CV193</f>
        <v>25969.818585685724</v>
      </c>
      <c r="V193" s="772">
        <f>'Corrected and Updated TSF 1'!CW193</f>
        <v>30107.621797636391</v>
      </c>
      <c r="W193" s="773">
        <f>'Corrected and Updated TSF 1'!CX193</f>
        <v>38892.303381799196</v>
      </c>
      <c r="X193" s="773">
        <f>'Corrected and Updated TSF 1'!CY193</f>
        <v>66327.130123239578</v>
      </c>
      <c r="Y193" s="1130">
        <f>'Corrected and Updated TSF 1'!CZ193</f>
        <v>272102.90279460372</v>
      </c>
      <c r="Z193" s="1130">
        <f>'Corrected and Updated TSF 1'!DA193</f>
        <v>107669.79314648479</v>
      </c>
      <c r="AA193" s="1130">
        <f>'Corrected and Updated TSF 1'!DB193</f>
        <v>77768.366641472909</v>
      </c>
      <c r="AB193" s="1130">
        <f>'Corrected and Updated TSF 1'!DC193</f>
        <v>59185.307284847753</v>
      </c>
      <c r="AC193" s="774">
        <f>K193-'Corrected and Updated TSF 1'!CJ193</f>
        <v>0</v>
      </c>
      <c r="AD193" s="774">
        <f>L193-SUM('Corrected and Updated TSF 1'!CK193:CL193)</f>
        <v>0</v>
      </c>
      <c r="AE193" s="1173">
        <f t="shared" si="16"/>
        <v>3365427.7369516976</v>
      </c>
      <c r="AF193" s="1174">
        <f>SUM(FORM!$V$19:$W$22)+SUM(FORM!$V$25:$W$28)+SUM(FORM!$V$31:$W$34)</f>
        <v>0</v>
      </c>
      <c r="AG193" s="1173">
        <f t="shared" si="17"/>
        <v>3365427.7369516976</v>
      </c>
      <c r="AH193" s="1173"/>
    </row>
    <row r="194" spans="1:34" ht="12.75" hidden="1" customHeight="1">
      <c r="A194" s="767" t="str">
        <f t="shared" si="13"/>
        <v>12N</v>
      </c>
      <c r="B194" s="768" t="str">
        <f>'Corrected and Updated TSF 1'!ER194</f>
        <v>SOLD</v>
      </c>
      <c r="C194" s="757" t="str">
        <f>'Corrected and Updated TSF 1'!E194</f>
        <v>12th Floor</v>
      </c>
      <c r="D194" s="642" t="str">
        <f>'Corrected and Updated TSF 1'!M194</f>
        <v>Inner</v>
      </c>
      <c r="E194" s="642" t="str">
        <f>'Corrected and Updated TSF 1'!G194</f>
        <v>12N</v>
      </c>
      <c r="F194" s="758" t="str">
        <f>'Corrected and Updated TSF 1'!I194</f>
        <v>Studio Unit</v>
      </c>
      <c r="G194" s="769">
        <f>'Corrected and Updated TSF 1'!J194</f>
        <v>22</v>
      </c>
      <c r="H194" s="769">
        <f>'Corrected and Updated TSF 1'!CI194</f>
        <v>3303883.9511935571</v>
      </c>
      <c r="I194" s="770"/>
      <c r="J194" s="770">
        <f t="shared" si="14"/>
        <v>3303883.9511935571</v>
      </c>
      <c r="K194" s="769">
        <f>'Corrected and Updated TSF 1'!CJ194</f>
        <v>0</v>
      </c>
      <c r="L194" s="769">
        <f>SUM('Corrected and Updated TSF 1'!CK194:CL194)</f>
        <v>454284.04328911414</v>
      </c>
      <c r="M194" s="769">
        <f t="shared" si="15"/>
        <v>3758167.9944826714</v>
      </c>
      <c r="N194" s="771">
        <f>'Corrected and Updated TSF 1'!CN194</f>
        <v>0.125</v>
      </c>
      <c r="O194" s="769">
        <f>'Corrected and Updated TSF 1'!CO194</f>
        <v>469770.99931033392</v>
      </c>
      <c r="P194" s="769">
        <f>'Corrected and Updated TSF 1'!CP194</f>
        <v>30000</v>
      </c>
      <c r="Q194" s="769">
        <f>'Corrected and Updated TSF 1'!CQ194</f>
        <v>439770.99931033392</v>
      </c>
      <c r="R194" s="425">
        <f>'Corrected and Updated TSF 1'!CR194</f>
        <v>2</v>
      </c>
      <c r="S194" s="769">
        <f>'Corrected and Updated TSF 1'!CS194</f>
        <v>219885.49965516696</v>
      </c>
      <c r="T194" s="769">
        <f>'Corrected and Updated TSF 1'!CU194</f>
        <v>3288396.9951723376</v>
      </c>
      <c r="U194" s="769">
        <f>'Corrected and Updated TSF 1'!CV194</f>
        <v>25494.906902494193</v>
      </c>
      <c r="V194" s="772">
        <f>'Corrected and Updated TSF 1'!CW194</f>
        <v>29557.04185047069</v>
      </c>
      <c r="W194" s="773">
        <f>'Corrected and Updated TSF 1'!CX194</f>
        <v>38181.077417655317</v>
      </c>
      <c r="X194" s="773">
        <f>'Corrected and Updated TSF 1'!CY194</f>
        <v>65114.201780896292</v>
      </c>
      <c r="Y194" s="1130">
        <f>'Corrected and Updated TSF 1'!CZ194</f>
        <v>267126.94013467524</v>
      </c>
      <c r="Z194" s="1130">
        <f>'Corrected and Updated TSF 1'!DA194</f>
        <v>105700.82896125688</v>
      </c>
      <c r="AA194" s="1130">
        <f>'Corrected and Updated TSF 1'!DB194</f>
        <v>76346.211697305698</v>
      </c>
      <c r="AB194" s="1130">
        <f>'Corrected and Updated TSF 1'!DC194</f>
        <v>58102.981899704391</v>
      </c>
      <c r="AC194" s="774">
        <f>K194-'Corrected and Updated TSF 1'!CJ194</f>
        <v>0</v>
      </c>
      <c r="AD194" s="774">
        <f>L194-SUM('Corrected and Updated TSF 1'!CK194:CL194)</f>
        <v>0</v>
      </c>
      <c r="AE194" s="1173">
        <f t="shared" si="16"/>
        <v>3303883.9511935571</v>
      </c>
      <c r="AF194" s="1174">
        <f>SUM(FORM!$V$19:$W$22)+SUM(FORM!$V$25:$W$28)+SUM(FORM!$V$31:$W$34)</f>
        <v>0</v>
      </c>
      <c r="AG194" s="1173">
        <f t="shared" si="17"/>
        <v>3303883.9511935571</v>
      </c>
      <c r="AH194" s="1173"/>
    </row>
    <row r="195" spans="1:34" ht="12.75" hidden="1" customHeight="1">
      <c r="A195" s="767" t="str">
        <f t="shared" si="13"/>
        <v>12O</v>
      </c>
      <c r="B195" s="768" t="str">
        <f>'Corrected and Updated TSF 1'!ER195</f>
        <v>SOLD</v>
      </c>
      <c r="C195" s="757" t="str">
        <f>'Corrected and Updated TSF 1'!E195</f>
        <v>12th Floor</v>
      </c>
      <c r="D195" s="642" t="str">
        <f>'Corrected and Updated TSF 1'!M195</f>
        <v>Inner</v>
      </c>
      <c r="E195" s="642" t="str">
        <f>'Corrected and Updated TSF 1'!G195</f>
        <v>12O</v>
      </c>
      <c r="F195" s="758" t="str">
        <f>'Corrected and Updated TSF 1'!I195</f>
        <v>Studio Unit</v>
      </c>
      <c r="G195" s="769">
        <f>'Corrected and Updated TSF 1'!J195</f>
        <v>22</v>
      </c>
      <c r="H195" s="769">
        <f>'Corrected and Updated TSF 1'!CI195</f>
        <v>3303883.9511935571</v>
      </c>
      <c r="I195" s="770"/>
      <c r="J195" s="770">
        <f t="shared" si="14"/>
        <v>3303883.9511935571</v>
      </c>
      <c r="K195" s="769">
        <f>'Corrected and Updated TSF 1'!CJ195</f>
        <v>0</v>
      </c>
      <c r="L195" s="769">
        <f>SUM('Corrected and Updated TSF 1'!CK195:CL195)</f>
        <v>454284.04328911414</v>
      </c>
      <c r="M195" s="769">
        <f t="shared" si="15"/>
        <v>3758167.9944826714</v>
      </c>
      <c r="N195" s="771">
        <f>'Corrected and Updated TSF 1'!CN195</f>
        <v>0.125</v>
      </c>
      <c r="O195" s="769">
        <f>'Corrected and Updated TSF 1'!CO195</f>
        <v>469770.99931033392</v>
      </c>
      <c r="P195" s="769">
        <f>'Corrected and Updated TSF 1'!CP195</f>
        <v>30000</v>
      </c>
      <c r="Q195" s="769">
        <f>'Corrected and Updated TSF 1'!CQ195</f>
        <v>439770.99931033392</v>
      </c>
      <c r="R195" s="425">
        <f>'Corrected and Updated TSF 1'!CR195</f>
        <v>2</v>
      </c>
      <c r="S195" s="769">
        <f>'Corrected and Updated TSF 1'!CS195</f>
        <v>219885.49965516696</v>
      </c>
      <c r="T195" s="769">
        <f>'Corrected and Updated TSF 1'!CU195</f>
        <v>3288396.9951723376</v>
      </c>
      <c r="U195" s="769">
        <f>'Corrected and Updated TSF 1'!CV195</f>
        <v>25494.906902494193</v>
      </c>
      <c r="V195" s="772">
        <f>'Corrected and Updated TSF 1'!CW195</f>
        <v>29557.04185047069</v>
      </c>
      <c r="W195" s="773">
        <f>'Corrected and Updated TSF 1'!CX195</f>
        <v>38181.077417655317</v>
      </c>
      <c r="X195" s="773">
        <f>'Corrected and Updated TSF 1'!CY195</f>
        <v>65114.201780896292</v>
      </c>
      <c r="Y195" s="1130">
        <f>'Corrected and Updated TSF 1'!CZ195</f>
        <v>267126.94013467524</v>
      </c>
      <c r="Z195" s="1130">
        <f>'Corrected and Updated TSF 1'!DA195</f>
        <v>105700.82896125688</v>
      </c>
      <c r="AA195" s="1130">
        <f>'Corrected and Updated TSF 1'!DB195</f>
        <v>76346.211697305698</v>
      </c>
      <c r="AB195" s="1130">
        <f>'Corrected and Updated TSF 1'!DC195</f>
        <v>58102.981899704391</v>
      </c>
      <c r="AC195" s="774">
        <f>K195-'Corrected and Updated TSF 1'!CJ195</f>
        <v>0</v>
      </c>
      <c r="AD195" s="774">
        <f>L195-SUM('Corrected and Updated TSF 1'!CK195:CL195)</f>
        <v>0</v>
      </c>
      <c r="AE195" s="1173">
        <f t="shared" si="16"/>
        <v>3303883.9511935571</v>
      </c>
      <c r="AF195" s="1174">
        <f>SUM(FORM!$V$19:$W$22)+SUM(FORM!$V$25:$W$28)+SUM(FORM!$V$31:$W$34)</f>
        <v>0</v>
      </c>
      <c r="AG195" s="1173">
        <f t="shared" si="17"/>
        <v>3303883.9511935571</v>
      </c>
      <c r="AH195" s="1173"/>
    </row>
    <row r="196" spans="1:34" ht="12.75" hidden="1" customHeight="1">
      <c r="A196" s="767" t="str">
        <f t="shared" si="13"/>
        <v>12P</v>
      </c>
      <c r="B196" s="768" t="str">
        <f>'Corrected and Updated TSF 1'!ER196</f>
        <v>SOLD</v>
      </c>
      <c r="C196" s="757" t="str">
        <f>'Corrected and Updated TSF 1'!E196</f>
        <v>12th Floor</v>
      </c>
      <c r="D196" s="642" t="str">
        <f>'Corrected and Updated TSF 1'!M196</f>
        <v>Inner</v>
      </c>
      <c r="E196" s="642" t="str">
        <f>'Corrected and Updated TSF 1'!G196</f>
        <v>12P</v>
      </c>
      <c r="F196" s="758" t="str">
        <f>'Corrected and Updated TSF 1'!I196</f>
        <v>Studio Unit</v>
      </c>
      <c r="G196" s="769">
        <f>'Corrected and Updated TSF 1'!J196</f>
        <v>22</v>
      </c>
      <c r="H196" s="769">
        <f>'Corrected and Updated TSF 1'!CI196</f>
        <v>3303883.9511935571</v>
      </c>
      <c r="I196" s="770"/>
      <c r="J196" s="770">
        <f t="shared" si="14"/>
        <v>3303883.9511935571</v>
      </c>
      <c r="K196" s="769">
        <f>'Corrected and Updated TSF 1'!CJ196</f>
        <v>0</v>
      </c>
      <c r="L196" s="769">
        <f>SUM('Corrected and Updated TSF 1'!CK196:CL196)</f>
        <v>454284.04328911414</v>
      </c>
      <c r="M196" s="769">
        <f t="shared" si="15"/>
        <v>3758167.9944826714</v>
      </c>
      <c r="N196" s="771">
        <f>'Corrected and Updated TSF 1'!CN196</f>
        <v>0.125</v>
      </c>
      <c r="O196" s="769">
        <f>'Corrected and Updated TSF 1'!CO196</f>
        <v>469770.99931033392</v>
      </c>
      <c r="P196" s="769">
        <f>'Corrected and Updated TSF 1'!CP196</f>
        <v>30000</v>
      </c>
      <c r="Q196" s="769">
        <f>'Corrected and Updated TSF 1'!CQ196</f>
        <v>439770.99931033392</v>
      </c>
      <c r="R196" s="425">
        <f>'Corrected and Updated TSF 1'!CR196</f>
        <v>2</v>
      </c>
      <c r="S196" s="769">
        <f>'Corrected and Updated TSF 1'!CS196</f>
        <v>219885.49965516696</v>
      </c>
      <c r="T196" s="769">
        <f>'Corrected and Updated TSF 1'!CU196</f>
        <v>3288396.9951723376</v>
      </c>
      <c r="U196" s="769">
        <f>'Corrected and Updated TSF 1'!CV196</f>
        <v>25494.906902494193</v>
      </c>
      <c r="V196" s="772">
        <f>'Corrected and Updated TSF 1'!CW196</f>
        <v>29557.04185047069</v>
      </c>
      <c r="W196" s="773">
        <f>'Corrected and Updated TSF 1'!CX196</f>
        <v>38181.077417655317</v>
      </c>
      <c r="X196" s="773">
        <f>'Corrected and Updated TSF 1'!CY196</f>
        <v>65114.201780896292</v>
      </c>
      <c r="Y196" s="1130">
        <f>'Corrected and Updated TSF 1'!CZ196</f>
        <v>267126.94013467524</v>
      </c>
      <c r="Z196" s="1130">
        <f>'Corrected and Updated TSF 1'!DA196</f>
        <v>105700.82896125688</v>
      </c>
      <c r="AA196" s="1130">
        <f>'Corrected and Updated TSF 1'!DB196</f>
        <v>76346.211697305698</v>
      </c>
      <c r="AB196" s="1130">
        <f>'Corrected and Updated TSF 1'!DC196</f>
        <v>58102.981899704391</v>
      </c>
      <c r="AC196" s="774">
        <f>K196-'Corrected and Updated TSF 1'!CJ196</f>
        <v>0</v>
      </c>
      <c r="AD196" s="774">
        <f>L196-SUM('Corrected and Updated TSF 1'!CK196:CL196)</f>
        <v>0</v>
      </c>
      <c r="AE196" s="1173">
        <f t="shared" si="16"/>
        <v>3303883.9511935571</v>
      </c>
      <c r="AF196" s="1174">
        <f>SUM(FORM!$V$19:$W$22)+SUM(FORM!$V$25:$W$28)+SUM(FORM!$V$31:$W$34)</f>
        <v>0</v>
      </c>
      <c r="AG196" s="1173">
        <f t="shared" si="17"/>
        <v>3303883.9511935571</v>
      </c>
      <c r="AH196" s="1173"/>
    </row>
    <row r="197" spans="1:34" ht="12.75" hidden="1" customHeight="1">
      <c r="A197" s="767" t="str">
        <f t="shared" si="13"/>
        <v>12Q</v>
      </c>
      <c r="B197" s="768" t="str">
        <f>'Corrected and Updated TSF 1'!ER197</f>
        <v>SOLD</v>
      </c>
      <c r="C197" s="757" t="str">
        <f>'Corrected and Updated TSF 1'!E197</f>
        <v>12th Floor</v>
      </c>
      <c r="D197" s="642" t="str">
        <f>'Corrected and Updated TSF 1'!M197</f>
        <v>Inner</v>
      </c>
      <c r="E197" s="642" t="str">
        <f>'Corrected and Updated TSF 1'!G197</f>
        <v>12Q</v>
      </c>
      <c r="F197" s="758" t="str">
        <f>'Corrected and Updated TSF 1'!I197</f>
        <v>Studio Unit</v>
      </c>
      <c r="G197" s="769">
        <f>'Corrected and Updated TSF 1'!J197</f>
        <v>22</v>
      </c>
      <c r="H197" s="769">
        <f>'Corrected and Updated TSF 1'!CI197</f>
        <v>3303883.9511935571</v>
      </c>
      <c r="I197" s="770"/>
      <c r="J197" s="770">
        <f t="shared" si="14"/>
        <v>3303883.9511935571</v>
      </c>
      <c r="K197" s="769">
        <f>'Corrected and Updated TSF 1'!CJ197</f>
        <v>0</v>
      </c>
      <c r="L197" s="769">
        <f>SUM('Corrected and Updated TSF 1'!CK197:CL197)</f>
        <v>454284.04328911414</v>
      </c>
      <c r="M197" s="769">
        <f t="shared" si="15"/>
        <v>3758167.9944826714</v>
      </c>
      <c r="N197" s="771">
        <f>'Corrected and Updated TSF 1'!CN197</f>
        <v>0.125</v>
      </c>
      <c r="O197" s="769">
        <f>'Corrected and Updated TSF 1'!CO197</f>
        <v>469770.99931033392</v>
      </c>
      <c r="P197" s="769">
        <f>'Corrected and Updated TSF 1'!CP197</f>
        <v>30000</v>
      </c>
      <c r="Q197" s="769">
        <f>'Corrected and Updated TSF 1'!CQ197</f>
        <v>439770.99931033392</v>
      </c>
      <c r="R197" s="425">
        <f>'Corrected and Updated TSF 1'!CR197</f>
        <v>2</v>
      </c>
      <c r="S197" s="769">
        <f>'Corrected and Updated TSF 1'!CS197</f>
        <v>219885.49965516696</v>
      </c>
      <c r="T197" s="769">
        <f>'Corrected and Updated TSF 1'!CU197</f>
        <v>3288396.9951723376</v>
      </c>
      <c r="U197" s="769">
        <f>'Corrected and Updated TSF 1'!CV197</f>
        <v>25494.906902494193</v>
      </c>
      <c r="V197" s="772">
        <f>'Corrected and Updated TSF 1'!CW197</f>
        <v>29557.04185047069</v>
      </c>
      <c r="W197" s="773">
        <f>'Corrected and Updated TSF 1'!CX197</f>
        <v>38181.077417655317</v>
      </c>
      <c r="X197" s="773">
        <f>'Corrected and Updated TSF 1'!CY197</f>
        <v>65114.201780896292</v>
      </c>
      <c r="Y197" s="1130">
        <f>'Corrected and Updated TSF 1'!CZ197</f>
        <v>267126.94013467524</v>
      </c>
      <c r="Z197" s="1130">
        <f>'Corrected and Updated TSF 1'!DA197</f>
        <v>105700.82896125688</v>
      </c>
      <c r="AA197" s="1130">
        <f>'Corrected and Updated TSF 1'!DB197</f>
        <v>76346.211697305698</v>
      </c>
      <c r="AB197" s="1130">
        <f>'Corrected and Updated TSF 1'!DC197</f>
        <v>58102.981899704391</v>
      </c>
      <c r="AC197" s="774">
        <f>K197-'Corrected and Updated TSF 1'!CJ197</f>
        <v>0</v>
      </c>
      <c r="AD197" s="774">
        <f>L197-SUM('Corrected and Updated TSF 1'!CK197:CL197)</f>
        <v>0</v>
      </c>
      <c r="AE197" s="1173">
        <f t="shared" si="16"/>
        <v>3303883.9511935571</v>
      </c>
      <c r="AF197" s="1174">
        <f>SUM(FORM!$V$19:$W$22)+SUM(FORM!$V$25:$W$28)+SUM(FORM!$V$31:$W$34)</f>
        <v>0</v>
      </c>
      <c r="AG197" s="1173">
        <f t="shared" si="17"/>
        <v>3303883.9511935571</v>
      </c>
      <c r="AH197" s="1173"/>
    </row>
    <row r="198" spans="1:34" ht="12.75" hidden="1" customHeight="1">
      <c r="A198" s="767" t="str">
        <f t="shared" si="13"/>
        <v>12R</v>
      </c>
      <c r="B198" s="768" t="str">
        <f>'Corrected and Updated TSF 1'!ER198</f>
        <v>SOLD</v>
      </c>
      <c r="C198" s="757" t="str">
        <f>'Corrected and Updated TSF 1'!E198</f>
        <v>12th Floor</v>
      </c>
      <c r="D198" s="642" t="str">
        <f>'Corrected and Updated TSF 1'!M198</f>
        <v>Corner</v>
      </c>
      <c r="E198" s="642" t="str">
        <f>'Corrected and Updated TSF 1'!G198</f>
        <v>12R</v>
      </c>
      <c r="F198" s="758" t="str">
        <f>'Corrected and Updated TSF 1'!I198</f>
        <v>Studio Unit</v>
      </c>
      <c r="G198" s="769">
        <f>'Corrected and Updated TSF 1'!J198</f>
        <v>22</v>
      </c>
      <c r="H198" s="769">
        <f>'Corrected and Updated TSF 1'!CI198</f>
        <v>3254865.6952169994</v>
      </c>
      <c r="I198" s="770"/>
      <c r="J198" s="770">
        <f t="shared" si="14"/>
        <v>3254865.6952169994</v>
      </c>
      <c r="K198" s="769">
        <f>'Corrected and Updated TSF 1'!CJ198</f>
        <v>0</v>
      </c>
      <c r="L198" s="769">
        <f>SUM('Corrected and Updated TSF 1'!CK198:CL198)</f>
        <v>447544.03309233743</v>
      </c>
      <c r="M198" s="769">
        <f t="shared" si="15"/>
        <v>3702409.728309337</v>
      </c>
      <c r="N198" s="771">
        <f>'Corrected and Updated TSF 1'!CN198</f>
        <v>0.125</v>
      </c>
      <c r="O198" s="769">
        <f>'Corrected and Updated TSF 1'!CO198</f>
        <v>462801.21603866707</v>
      </c>
      <c r="P198" s="769">
        <f>'Corrected and Updated TSF 1'!CP198</f>
        <v>30000</v>
      </c>
      <c r="Q198" s="769">
        <f>'Corrected and Updated TSF 1'!CQ198</f>
        <v>432801.21603866707</v>
      </c>
      <c r="R198" s="425">
        <f>'Corrected and Updated TSF 1'!CR198</f>
        <v>2</v>
      </c>
      <c r="S198" s="769">
        <f>'Corrected and Updated TSF 1'!CS198</f>
        <v>216400.60801933354</v>
      </c>
      <c r="T198" s="769">
        <f>'Corrected and Updated TSF 1'!CU198</f>
        <v>3239608.5122706695</v>
      </c>
      <c r="U198" s="769">
        <f>'Corrected and Updated TSF 1'!CV198</f>
        <v>25116.650313852959</v>
      </c>
      <c r="V198" s="772">
        <f>'Corrected and Updated TSF 1'!CW198</f>
        <v>29118.517173230495</v>
      </c>
      <c r="W198" s="773">
        <f>'Corrected and Updated TSF 1'!CX198</f>
        <v>37614.601762345665</v>
      </c>
      <c r="X198" s="773">
        <f>'Corrected and Updated TSF 1'!CY198</f>
        <v>64148.131344477908</v>
      </c>
      <c r="Y198" s="1130">
        <f>'Corrected and Updated TSF 1'!CZ198</f>
        <v>263163.69659368286</v>
      </c>
      <c r="Z198" s="1130">
        <f>'Corrected and Updated TSF 1'!DA198</f>
        <v>104132.5927981539</v>
      </c>
      <c r="AA198" s="1130">
        <f>'Corrected and Updated TSF 1'!DB198</f>
        <v>75213.496927930377</v>
      </c>
      <c r="AB198" s="1130">
        <f>'Corrected and Updated TSF 1'!DC198</f>
        <v>57240.933812715106</v>
      </c>
      <c r="AC198" s="774">
        <f>K198-'Corrected and Updated TSF 1'!CJ198</f>
        <v>0</v>
      </c>
      <c r="AD198" s="774">
        <f>L198-SUM('Corrected and Updated TSF 1'!CK198:CL198)</f>
        <v>0</v>
      </c>
      <c r="AE198" s="1173">
        <f t="shared" si="16"/>
        <v>3254865.6952169994</v>
      </c>
      <c r="AF198" s="1174">
        <f>SUM(FORM!$V$19:$W$22)+SUM(FORM!$V$25:$W$28)+SUM(FORM!$V$31:$W$34)</f>
        <v>0</v>
      </c>
      <c r="AG198" s="1173">
        <f t="shared" si="17"/>
        <v>3254865.6952169994</v>
      </c>
      <c r="AH198" s="1173"/>
    </row>
    <row r="199" spans="1:34" ht="12.75" hidden="1" customHeight="1">
      <c r="A199" s="767" t="str">
        <f t="shared" si="13"/>
        <v>14A</v>
      </c>
      <c r="B199" s="768" t="str">
        <f>'Corrected and Updated TSF 1'!ER199</f>
        <v>SOLD</v>
      </c>
      <c r="C199" s="757" t="str">
        <f>'Corrected and Updated TSF 1'!E199</f>
        <v>14th Floor</v>
      </c>
      <c r="D199" s="642" t="str">
        <f>'Corrected and Updated TSF 1'!M199</f>
        <v>Corner</v>
      </c>
      <c r="E199" s="642" t="str">
        <f>'Corrected and Updated TSF 1'!G199</f>
        <v>14A</v>
      </c>
      <c r="F199" s="758" t="str">
        <f>'Corrected and Updated TSF 1'!I199</f>
        <v>Studio Unit</v>
      </c>
      <c r="G199" s="769">
        <f>'Corrected and Updated TSF 1'!J199</f>
        <v>22</v>
      </c>
      <c r="H199" s="769">
        <f>'Corrected and Updated TSF 1'!CI199</f>
        <v>3280497.3184802802</v>
      </c>
      <c r="I199" s="770"/>
      <c r="J199" s="770">
        <f t="shared" si="14"/>
        <v>3280497.3184802802</v>
      </c>
      <c r="K199" s="769">
        <f>'Corrected and Updated TSF 1'!CJ199</f>
        <v>0</v>
      </c>
      <c r="L199" s="769">
        <f>SUM('Corrected and Updated TSF 1'!CK199:CL199)</f>
        <v>451068.38129103853</v>
      </c>
      <c r="M199" s="769">
        <f t="shared" si="15"/>
        <v>3731565.6997713186</v>
      </c>
      <c r="N199" s="771">
        <f>'Corrected and Updated TSF 1'!CN199</f>
        <v>0.125</v>
      </c>
      <c r="O199" s="769">
        <f>'Corrected and Updated TSF 1'!CO199</f>
        <v>466445.71247141488</v>
      </c>
      <c r="P199" s="769">
        <f>'Corrected and Updated TSF 1'!CP199</f>
        <v>30000</v>
      </c>
      <c r="Q199" s="769">
        <f>'Corrected and Updated TSF 1'!CQ199</f>
        <v>436445.71247141488</v>
      </c>
      <c r="R199" s="425">
        <f>'Corrected and Updated TSF 1'!CR199</f>
        <v>2</v>
      </c>
      <c r="S199" s="769">
        <f>'Corrected and Updated TSF 1'!CS199</f>
        <v>218222.85623570744</v>
      </c>
      <c r="T199" s="769">
        <f>'Corrected and Updated TSF 1'!CU199</f>
        <v>3265119.9872999042</v>
      </c>
      <c r="U199" s="769">
        <f>'Corrected and Updated TSF 1'!CV199</f>
        <v>25314.440508215288</v>
      </c>
      <c r="V199" s="772">
        <f>'Corrected and Updated TSF 1'!CW199</f>
        <v>29347.821523104711</v>
      </c>
      <c r="W199" s="773">
        <f>'Corrected and Updated TSF 1'!CX199</f>
        <v>37910.811619172498</v>
      </c>
      <c r="X199" s="773">
        <f>'Corrected and Updated TSF 1'!CY199</f>
        <v>64653.289126588956</v>
      </c>
      <c r="Y199" s="1130">
        <f>'Corrected and Updated TSF 1'!CZ199</f>
        <v>265236.0747988954</v>
      </c>
      <c r="Z199" s="1130">
        <f>'Corrected and Updated TSF 1'!DA199</f>
        <v>104952.62275882268</v>
      </c>
      <c r="AA199" s="1130">
        <f>'Corrected and Updated TSF 1'!DB199</f>
        <v>75805.792954277524</v>
      </c>
      <c r="AB199" s="1130">
        <f>'Corrected and Updated TSF 1'!DC199</f>
        <v>57691.698356666006</v>
      </c>
      <c r="AC199" s="774">
        <f>K199-'Corrected and Updated TSF 1'!CJ199</f>
        <v>0</v>
      </c>
      <c r="AD199" s="774">
        <f>L199-SUM('Corrected and Updated TSF 1'!CK199:CL199)</f>
        <v>0</v>
      </c>
      <c r="AE199" s="1173">
        <f t="shared" si="16"/>
        <v>3280497.3184802802</v>
      </c>
      <c r="AF199" s="1174">
        <f>SUM(FORM!$V$19:$W$22)+SUM(FORM!$V$25:$W$28)+SUM(FORM!$V$31:$W$34)</f>
        <v>0</v>
      </c>
      <c r="AG199" s="1173">
        <f t="shared" si="17"/>
        <v>3280497.3184802802</v>
      </c>
      <c r="AH199" s="1173"/>
    </row>
    <row r="200" spans="1:34" ht="12.75" hidden="1" customHeight="1">
      <c r="A200" s="767" t="str">
        <f t="shared" ref="A200:A216" si="18">E200</f>
        <v>14B</v>
      </c>
      <c r="B200" s="768" t="str">
        <f>'Corrected and Updated TSF 1'!ER200</f>
        <v>SOLD</v>
      </c>
      <c r="C200" s="757" t="str">
        <f>'Corrected and Updated TSF 1'!E200</f>
        <v>14th Floor</v>
      </c>
      <c r="D200" s="642" t="str">
        <f>'Corrected and Updated TSF 1'!M200</f>
        <v>End</v>
      </c>
      <c r="E200" s="642" t="str">
        <f>'Corrected and Updated TSF 1'!G200</f>
        <v>14B</v>
      </c>
      <c r="F200" s="758" t="str">
        <f>'Corrected and Updated TSF 1'!I200</f>
        <v>Studio Unit</v>
      </c>
      <c r="G200" s="769">
        <f>'Corrected and Updated TSF 1'!J200</f>
        <v>22</v>
      </c>
      <c r="H200" s="769">
        <f>'Corrected and Updated TSF 1'!CI200</f>
        <v>3235787.5259899958</v>
      </c>
      <c r="I200" s="770"/>
      <c r="J200" s="770">
        <f t="shared" ref="J200:J216" si="19">H200-I200</f>
        <v>3235787.5259899958</v>
      </c>
      <c r="K200" s="769">
        <f>'Corrected and Updated TSF 1'!CJ200</f>
        <v>0</v>
      </c>
      <c r="L200" s="769">
        <f>SUM('Corrected and Updated TSF 1'!CK200:CL200)</f>
        <v>444920.78482362442</v>
      </c>
      <c r="M200" s="769">
        <f t="shared" ref="M200:M216" si="20">SUM(J200:L200)</f>
        <v>3680708.3108136202</v>
      </c>
      <c r="N200" s="771">
        <f>'Corrected and Updated TSF 1'!CN200</f>
        <v>0.125</v>
      </c>
      <c r="O200" s="769">
        <f>'Corrected and Updated TSF 1'!CO200</f>
        <v>460088.53885170253</v>
      </c>
      <c r="P200" s="769">
        <f>'Corrected and Updated TSF 1'!CP200</f>
        <v>30000</v>
      </c>
      <c r="Q200" s="769">
        <f>'Corrected and Updated TSF 1'!CQ200</f>
        <v>430088.53885170253</v>
      </c>
      <c r="R200" s="425">
        <f>'Corrected and Updated TSF 1'!CR200</f>
        <v>2</v>
      </c>
      <c r="S200" s="769">
        <f>'Corrected and Updated TSF 1'!CS200</f>
        <v>215044.26942585126</v>
      </c>
      <c r="T200" s="769">
        <f>'Corrected and Updated TSF 1'!CU200</f>
        <v>3220619.7719619176</v>
      </c>
      <c r="U200" s="769">
        <f>'Corrected and Updated TSF 1'!CV200</f>
        <v>24969.430812351773</v>
      </c>
      <c r="V200" s="772">
        <f>'Corrected and Updated TSF 1'!CW200</f>
        <v>28947.841007056682</v>
      </c>
      <c r="W200" s="773">
        <f>'Corrected and Updated TSF 1'!CX200</f>
        <v>37394.126386393007</v>
      </c>
      <c r="X200" s="773">
        <f>'Corrected and Updated TSF 1'!CY200</f>
        <v>63772.131527593177</v>
      </c>
      <c r="Y200" s="1130">
        <f>'Corrected and Updated TSF 1'!CZ200</f>
        <v>261621.18086242062</v>
      </c>
      <c r="Z200" s="1130">
        <f>'Corrected and Updated TSF 1'!DA200</f>
        <v>103522.22683731896</v>
      </c>
      <c r="AA200" s="1130">
        <f>'Corrected and Updated TSF 1'!DB200</f>
        <v>74772.638239151187</v>
      </c>
      <c r="AB200" s="1130">
        <f>'Corrected and Updated TSF 1'!DC200</f>
        <v>56905.420054468348</v>
      </c>
      <c r="AC200" s="774">
        <f>K200-'Corrected and Updated TSF 1'!CJ200</f>
        <v>0</v>
      </c>
      <c r="AD200" s="774">
        <f>L200-SUM('Corrected and Updated TSF 1'!CK200:CL200)</f>
        <v>0</v>
      </c>
      <c r="AE200" s="1173">
        <f t="shared" si="16"/>
        <v>3235787.5259899958</v>
      </c>
      <c r="AF200" s="1174">
        <f>SUM(FORM!$V$19:$W$22)+SUM(FORM!$V$25:$W$28)+SUM(FORM!$V$31:$W$34)</f>
        <v>0</v>
      </c>
      <c r="AG200" s="1173">
        <f t="shared" si="17"/>
        <v>3235787.5259899958</v>
      </c>
      <c r="AH200" s="1173"/>
    </row>
    <row r="201" spans="1:34" ht="12.75" hidden="1" customHeight="1">
      <c r="A201" s="767" t="str">
        <f t="shared" si="18"/>
        <v>14C</v>
      </c>
      <c r="B201" s="768" t="str">
        <f>'Corrected and Updated TSF 1'!ER201</f>
        <v>SOLD</v>
      </c>
      <c r="C201" s="757" t="str">
        <f>'Corrected and Updated TSF 1'!E201</f>
        <v>14th Floor</v>
      </c>
      <c r="D201" s="642" t="str">
        <f>'Corrected and Updated TSF 1'!M201</f>
        <v>End</v>
      </c>
      <c r="E201" s="642" t="str">
        <f>'Corrected and Updated TSF 1'!G201</f>
        <v>14C</v>
      </c>
      <c r="F201" s="758" t="str">
        <f>'Corrected and Updated TSF 1'!I201</f>
        <v>Studio Unit</v>
      </c>
      <c r="G201" s="769">
        <f>'Corrected and Updated TSF 1'!J201</f>
        <v>22</v>
      </c>
      <c r="H201" s="769">
        <f>'Corrected and Updated TSF 1'!CI201</f>
        <v>3235787.5259899958</v>
      </c>
      <c r="I201" s="770"/>
      <c r="J201" s="770">
        <f t="shared" si="19"/>
        <v>3235787.5259899958</v>
      </c>
      <c r="K201" s="769">
        <f>'Corrected and Updated TSF 1'!CJ201</f>
        <v>0</v>
      </c>
      <c r="L201" s="769">
        <f>SUM('Corrected and Updated TSF 1'!CK201:CL201)</f>
        <v>444920.78482362442</v>
      </c>
      <c r="M201" s="769">
        <f t="shared" si="20"/>
        <v>3680708.3108136202</v>
      </c>
      <c r="N201" s="771">
        <f>'Corrected and Updated TSF 1'!CN201</f>
        <v>0.125</v>
      </c>
      <c r="O201" s="769">
        <f>'Corrected and Updated TSF 1'!CO201</f>
        <v>460088.53885170253</v>
      </c>
      <c r="P201" s="769">
        <f>'Corrected and Updated TSF 1'!CP201</f>
        <v>30000</v>
      </c>
      <c r="Q201" s="769">
        <f>'Corrected and Updated TSF 1'!CQ201</f>
        <v>430088.53885170253</v>
      </c>
      <c r="R201" s="425">
        <f>'Corrected and Updated TSF 1'!CR201</f>
        <v>2</v>
      </c>
      <c r="S201" s="769">
        <f>'Corrected and Updated TSF 1'!CS201</f>
        <v>215044.26942585126</v>
      </c>
      <c r="T201" s="769">
        <f>'Corrected and Updated TSF 1'!CU201</f>
        <v>3220619.7719619176</v>
      </c>
      <c r="U201" s="769">
        <f>'Corrected and Updated TSF 1'!CV201</f>
        <v>24969.430812351773</v>
      </c>
      <c r="V201" s="772">
        <f>'Corrected and Updated TSF 1'!CW201</f>
        <v>28947.841007056682</v>
      </c>
      <c r="W201" s="773">
        <f>'Corrected and Updated TSF 1'!CX201</f>
        <v>37394.126386393007</v>
      </c>
      <c r="X201" s="773">
        <f>'Corrected and Updated TSF 1'!CY201</f>
        <v>63772.131527593177</v>
      </c>
      <c r="Y201" s="1130">
        <f>'Corrected and Updated TSF 1'!CZ201</f>
        <v>261621.18086242062</v>
      </c>
      <c r="Z201" s="1130">
        <f>'Corrected and Updated TSF 1'!DA201</f>
        <v>103522.22683731896</v>
      </c>
      <c r="AA201" s="1130">
        <f>'Corrected and Updated TSF 1'!DB201</f>
        <v>74772.638239151187</v>
      </c>
      <c r="AB201" s="1130">
        <f>'Corrected and Updated TSF 1'!DC201</f>
        <v>56905.420054468348</v>
      </c>
      <c r="AC201" s="774">
        <f>K201-'Corrected and Updated TSF 1'!CJ201</f>
        <v>0</v>
      </c>
      <c r="AD201" s="774">
        <f>L201-SUM('Corrected and Updated TSF 1'!CK201:CL201)</f>
        <v>0</v>
      </c>
      <c r="AE201" s="1173">
        <f t="shared" si="16"/>
        <v>3235787.5259899958</v>
      </c>
      <c r="AF201" s="1174">
        <f>SUM(FORM!$V$19:$W$22)+SUM(FORM!$V$25:$W$28)+SUM(FORM!$V$31:$W$34)</f>
        <v>0</v>
      </c>
      <c r="AG201" s="1173">
        <f t="shared" si="17"/>
        <v>3235787.5259899958</v>
      </c>
      <c r="AH201" s="1173"/>
    </row>
    <row r="202" spans="1:34" ht="12.75" hidden="1" customHeight="1">
      <c r="A202" s="767" t="str">
        <f t="shared" si="18"/>
        <v>14D</v>
      </c>
      <c r="B202" s="768" t="str">
        <f>'Corrected and Updated TSF 1'!ER202</f>
        <v>SOLD</v>
      </c>
      <c r="C202" s="757" t="str">
        <f>'Corrected and Updated TSF 1'!E202</f>
        <v>14th Floor</v>
      </c>
      <c r="D202" s="642" t="str">
        <f>'Corrected and Updated TSF 1'!M202</f>
        <v>End</v>
      </c>
      <c r="E202" s="642" t="str">
        <f>'Corrected and Updated TSF 1'!G202</f>
        <v>14D</v>
      </c>
      <c r="F202" s="758" t="str">
        <f>'Corrected and Updated TSF 1'!I202</f>
        <v>Studio Unit</v>
      </c>
      <c r="G202" s="769">
        <f>'Corrected and Updated TSF 1'!J202</f>
        <v>22</v>
      </c>
      <c r="H202" s="769">
        <f>'Corrected and Updated TSF 1'!CI202</f>
        <v>3235787.5259899958</v>
      </c>
      <c r="I202" s="770"/>
      <c r="J202" s="770">
        <f t="shared" si="19"/>
        <v>3235787.5259899958</v>
      </c>
      <c r="K202" s="769">
        <f>'Corrected and Updated TSF 1'!CJ202</f>
        <v>0</v>
      </c>
      <c r="L202" s="769">
        <f>SUM('Corrected and Updated TSF 1'!CK202:CL202)</f>
        <v>444920.78482362442</v>
      </c>
      <c r="M202" s="769">
        <f t="shared" si="20"/>
        <v>3680708.3108136202</v>
      </c>
      <c r="N202" s="771">
        <f>'Corrected and Updated TSF 1'!CN202</f>
        <v>0.125</v>
      </c>
      <c r="O202" s="769">
        <f>'Corrected and Updated TSF 1'!CO202</f>
        <v>460088.53885170253</v>
      </c>
      <c r="P202" s="769">
        <f>'Corrected and Updated TSF 1'!CP202</f>
        <v>30000</v>
      </c>
      <c r="Q202" s="769">
        <f>'Corrected and Updated TSF 1'!CQ202</f>
        <v>430088.53885170253</v>
      </c>
      <c r="R202" s="425">
        <f>'Corrected and Updated TSF 1'!CR202</f>
        <v>2</v>
      </c>
      <c r="S202" s="769">
        <f>'Corrected and Updated TSF 1'!CS202</f>
        <v>215044.26942585126</v>
      </c>
      <c r="T202" s="769">
        <f>'Corrected and Updated TSF 1'!CU202</f>
        <v>3220619.7719619176</v>
      </c>
      <c r="U202" s="769">
        <f>'Corrected and Updated TSF 1'!CV202</f>
        <v>24969.430812351773</v>
      </c>
      <c r="V202" s="772">
        <f>'Corrected and Updated TSF 1'!CW202</f>
        <v>28947.841007056682</v>
      </c>
      <c r="W202" s="773">
        <f>'Corrected and Updated TSF 1'!CX202</f>
        <v>37394.126386393007</v>
      </c>
      <c r="X202" s="773">
        <f>'Corrected and Updated TSF 1'!CY202</f>
        <v>63772.131527593177</v>
      </c>
      <c r="Y202" s="1130">
        <f>'Corrected and Updated TSF 1'!CZ202</f>
        <v>261621.18086242062</v>
      </c>
      <c r="Z202" s="1130">
        <f>'Corrected and Updated TSF 1'!DA202</f>
        <v>103522.22683731896</v>
      </c>
      <c r="AA202" s="1130">
        <f>'Corrected and Updated TSF 1'!DB202</f>
        <v>74772.638239151187</v>
      </c>
      <c r="AB202" s="1130">
        <f>'Corrected and Updated TSF 1'!DC202</f>
        <v>56905.420054468348</v>
      </c>
      <c r="AC202" s="774">
        <f>K202-'Corrected and Updated TSF 1'!CJ202</f>
        <v>0</v>
      </c>
      <c r="AD202" s="774">
        <f>L202-SUM('Corrected and Updated TSF 1'!CK202:CL202)</f>
        <v>0</v>
      </c>
      <c r="AE202" s="1173">
        <f t="shared" si="16"/>
        <v>3235787.5259899958</v>
      </c>
      <c r="AF202" s="1174">
        <f>SUM(FORM!$V$19:$W$22)+SUM(FORM!$V$25:$W$28)+SUM(FORM!$V$31:$W$34)</f>
        <v>0</v>
      </c>
      <c r="AG202" s="1173">
        <f t="shared" si="17"/>
        <v>3235787.5259899958</v>
      </c>
      <c r="AH202" s="1173"/>
    </row>
    <row r="203" spans="1:34" ht="12.75" hidden="1" customHeight="1">
      <c r="A203" s="767" t="str">
        <f t="shared" si="18"/>
        <v>14E</v>
      </c>
      <c r="B203" s="768" t="str">
        <f>'Corrected and Updated TSF 1'!ER203</f>
        <v>SOLD</v>
      </c>
      <c r="C203" s="757" t="str">
        <f>'Corrected and Updated TSF 1'!E203</f>
        <v>14th Floor</v>
      </c>
      <c r="D203" s="642" t="str">
        <f>'Corrected and Updated TSF 1'!M203</f>
        <v>End</v>
      </c>
      <c r="E203" s="642" t="str">
        <f>'Corrected and Updated TSF 1'!G203</f>
        <v>14E</v>
      </c>
      <c r="F203" s="758" t="str">
        <f>'Corrected and Updated TSF 1'!I203</f>
        <v>Studio Unit</v>
      </c>
      <c r="G203" s="769">
        <f>'Corrected and Updated TSF 1'!J203</f>
        <v>22</v>
      </c>
      <c r="H203" s="769">
        <f>'Corrected and Updated TSF 1'!CI203</f>
        <v>3235787.5259899958</v>
      </c>
      <c r="I203" s="770"/>
      <c r="J203" s="770">
        <f t="shared" si="19"/>
        <v>3235787.5259899958</v>
      </c>
      <c r="K203" s="769">
        <f>'Corrected and Updated TSF 1'!CJ203</f>
        <v>0</v>
      </c>
      <c r="L203" s="769">
        <f>SUM('Corrected and Updated TSF 1'!CK203:CL203)</f>
        <v>444920.78482362442</v>
      </c>
      <c r="M203" s="769">
        <f t="shared" si="20"/>
        <v>3680708.3108136202</v>
      </c>
      <c r="N203" s="771">
        <f>'Corrected and Updated TSF 1'!CN203</f>
        <v>0.125</v>
      </c>
      <c r="O203" s="769">
        <f>'Corrected and Updated TSF 1'!CO203</f>
        <v>460088.53885170253</v>
      </c>
      <c r="P203" s="769">
        <f>'Corrected and Updated TSF 1'!CP203</f>
        <v>30000</v>
      </c>
      <c r="Q203" s="769">
        <f>'Corrected and Updated TSF 1'!CQ203</f>
        <v>430088.53885170253</v>
      </c>
      <c r="R203" s="425">
        <f>'Corrected and Updated TSF 1'!CR203</f>
        <v>2</v>
      </c>
      <c r="S203" s="769">
        <f>'Corrected and Updated TSF 1'!CS203</f>
        <v>215044.26942585126</v>
      </c>
      <c r="T203" s="769">
        <f>'Corrected and Updated TSF 1'!CU203</f>
        <v>3220619.7719619176</v>
      </c>
      <c r="U203" s="769">
        <f>'Corrected and Updated TSF 1'!CV203</f>
        <v>24969.430812351773</v>
      </c>
      <c r="V203" s="772">
        <f>'Corrected and Updated TSF 1'!CW203</f>
        <v>28947.841007056682</v>
      </c>
      <c r="W203" s="773">
        <f>'Corrected and Updated TSF 1'!CX203</f>
        <v>37394.126386393007</v>
      </c>
      <c r="X203" s="773">
        <f>'Corrected and Updated TSF 1'!CY203</f>
        <v>63772.131527593177</v>
      </c>
      <c r="Y203" s="1130">
        <f>'Corrected and Updated TSF 1'!CZ203</f>
        <v>261621.18086242062</v>
      </c>
      <c r="Z203" s="1130">
        <f>'Corrected and Updated TSF 1'!DA203</f>
        <v>103522.22683731896</v>
      </c>
      <c r="AA203" s="1130">
        <f>'Corrected and Updated TSF 1'!DB203</f>
        <v>74772.638239151187</v>
      </c>
      <c r="AB203" s="1130">
        <f>'Corrected and Updated TSF 1'!DC203</f>
        <v>56905.420054468348</v>
      </c>
      <c r="AC203" s="774">
        <f>K203-'Corrected and Updated TSF 1'!CJ203</f>
        <v>0</v>
      </c>
      <c r="AD203" s="774">
        <f>L203-SUM('Corrected and Updated TSF 1'!CK203:CL203)</f>
        <v>0</v>
      </c>
      <c r="AE203" s="1173">
        <f t="shared" si="16"/>
        <v>3235787.5259899958</v>
      </c>
      <c r="AF203" s="1174">
        <f>SUM(FORM!$V$19:$W$22)+SUM(FORM!$V$25:$W$28)+SUM(FORM!$V$31:$W$34)</f>
        <v>0</v>
      </c>
      <c r="AG203" s="1173">
        <f t="shared" si="17"/>
        <v>3235787.5259899958</v>
      </c>
      <c r="AH203" s="1173"/>
    </row>
    <row r="204" spans="1:34" ht="12.75" hidden="1" customHeight="1">
      <c r="A204" s="767" t="str">
        <f t="shared" si="18"/>
        <v>14F</v>
      </c>
      <c r="B204" s="768" t="str">
        <f>'Corrected and Updated TSF 1'!ER204</f>
        <v>SOLD</v>
      </c>
      <c r="C204" s="757" t="str">
        <f>'Corrected and Updated TSF 1'!E204</f>
        <v>14th Floor</v>
      </c>
      <c r="D204" s="642" t="str">
        <f>'Corrected and Updated TSF 1'!M204</f>
        <v>Inner</v>
      </c>
      <c r="E204" s="642" t="str">
        <f>'Corrected and Updated TSF 1'!G204</f>
        <v>14F</v>
      </c>
      <c r="F204" s="758" t="str">
        <f>'Corrected and Updated TSF 1'!I204</f>
        <v>Studio Unit</v>
      </c>
      <c r="G204" s="769">
        <f>'Corrected and Updated TSF 1'!J204</f>
        <v>22</v>
      </c>
      <c r="H204" s="769">
        <f>'Corrected and Updated TSF 1'!CI204</f>
        <v>3332591.3692484326</v>
      </c>
      <c r="I204" s="770"/>
      <c r="J204" s="770">
        <f t="shared" si="19"/>
        <v>3332591.3692484326</v>
      </c>
      <c r="K204" s="769">
        <f>'Corrected and Updated TSF 1'!CJ204</f>
        <v>0</v>
      </c>
      <c r="L204" s="769">
        <f>SUM('Corrected and Updated TSF 1'!CK204:CL204)</f>
        <v>458231.31327165948</v>
      </c>
      <c r="M204" s="769">
        <f t="shared" si="20"/>
        <v>3790822.682520092</v>
      </c>
      <c r="N204" s="771">
        <f>'Corrected and Updated TSF 1'!CN204</f>
        <v>0.125</v>
      </c>
      <c r="O204" s="769">
        <f>'Corrected and Updated TSF 1'!CO204</f>
        <v>473852.8353150115</v>
      </c>
      <c r="P204" s="769">
        <f>'Corrected and Updated TSF 1'!CP204</f>
        <v>30000</v>
      </c>
      <c r="Q204" s="769">
        <f>'Corrected and Updated TSF 1'!CQ204</f>
        <v>443852.8353150115</v>
      </c>
      <c r="R204" s="425">
        <f>'Corrected and Updated TSF 1'!CR204</f>
        <v>2</v>
      </c>
      <c r="S204" s="769">
        <f>'Corrected and Updated TSF 1'!CS204</f>
        <v>221926.41765750575</v>
      </c>
      <c r="T204" s="769">
        <f>'Corrected and Updated TSF 1'!CU204</f>
        <v>3316969.8472050806</v>
      </c>
      <c r="U204" s="769">
        <f>'Corrected and Updated TSF 1'!CV204</f>
        <v>25716.431920179999</v>
      </c>
      <c r="V204" s="772">
        <f>'Corrected and Updated TSF 1'!CW204</f>
        <v>29813.862722329817</v>
      </c>
      <c r="W204" s="773">
        <f>'Corrected and Updated TSF 1'!CX204</f>
        <v>38512.832457301374</v>
      </c>
      <c r="X204" s="773">
        <f>'Corrected and Updated TSF 1'!CY204</f>
        <v>65679.978496860655</v>
      </c>
      <c r="Y204" s="1130">
        <f>'Corrected and Updated TSF 1'!CZ204</f>
        <v>269448.00372451334</v>
      </c>
      <c r="Z204" s="1130">
        <f>'Corrected and Updated TSF 1'!DA204</f>
        <v>106619.26251720592</v>
      </c>
      <c r="AA204" s="1130">
        <f>'Corrected and Updated TSF 1'!DB204</f>
        <v>77009.583246814509</v>
      </c>
      <c r="AB204" s="1130">
        <f>'Corrected and Updated TSF 1'!DC204</f>
        <v>58607.838188929411</v>
      </c>
      <c r="AC204" s="774">
        <f>K204-'Corrected and Updated TSF 1'!CJ204</f>
        <v>0</v>
      </c>
      <c r="AD204" s="774">
        <f>L204-SUM('Corrected and Updated TSF 1'!CK204:CL204)</f>
        <v>0</v>
      </c>
      <c r="AE204" s="1173">
        <f t="shared" si="16"/>
        <v>3332591.3692484326</v>
      </c>
      <c r="AF204" s="1174">
        <f>SUM(FORM!$V$19:$W$22)+SUM(FORM!$V$25:$W$28)+SUM(FORM!$V$31:$W$34)</f>
        <v>0</v>
      </c>
      <c r="AG204" s="1173">
        <f t="shared" si="17"/>
        <v>3332591.3692484326</v>
      </c>
      <c r="AH204" s="1173"/>
    </row>
    <row r="205" spans="1:34" ht="12.75" hidden="1" customHeight="1">
      <c r="A205" s="767" t="str">
        <f t="shared" si="18"/>
        <v>14G</v>
      </c>
      <c r="B205" s="768" t="str">
        <f>'Corrected and Updated TSF 1'!ER205</f>
        <v>SOLD</v>
      </c>
      <c r="C205" s="757" t="str">
        <f>'Corrected and Updated TSF 1'!E205</f>
        <v>14th Floor</v>
      </c>
      <c r="D205" s="642" t="str">
        <f>'Corrected and Updated TSF 1'!M205</f>
        <v>End</v>
      </c>
      <c r="E205" s="642" t="str">
        <f>'Corrected and Updated TSF 1'!G205</f>
        <v>14G</v>
      </c>
      <c r="F205" s="758" t="str">
        <f>'Corrected and Updated TSF 1'!I205</f>
        <v>Studio Unit</v>
      </c>
      <c r="G205" s="769">
        <f>'Corrected and Updated TSF 1'!J205</f>
        <v>22</v>
      </c>
      <c r="H205" s="769">
        <f>'Corrected and Updated TSF 1'!CI205</f>
        <v>3235787.5259899958</v>
      </c>
      <c r="I205" s="770"/>
      <c r="J205" s="770">
        <f t="shared" si="19"/>
        <v>3235787.5259899958</v>
      </c>
      <c r="K205" s="769">
        <f>'Corrected and Updated TSF 1'!CJ205</f>
        <v>0</v>
      </c>
      <c r="L205" s="769">
        <f>SUM('Corrected and Updated TSF 1'!CK205:CL205)</f>
        <v>444920.78482362442</v>
      </c>
      <c r="M205" s="769">
        <f t="shared" si="20"/>
        <v>3680708.3108136202</v>
      </c>
      <c r="N205" s="771">
        <f>'Corrected and Updated TSF 1'!CN205</f>
        <v>0.125</v>
      </c>
      <c r="O205" s="769">
        <f>'Corrected and Updated TSF 1'!CO205</f>
        <v>460088.53885170253</v>
      </c>
      <c r="P205" s="769">
        <f>'Corrected and Updated TSF 1'!CP205</f>
        <v>30000</v>
      </c>
      <c r="Q205" s="769">
        <f>'Corrected and Updated TSF 1'!CQ205</f>
        <v>430088.53885170253</v>
      </c>
      <c r="R205" s="425">
        <f>'Corrected and Updated TSF 1'!CR205</f>
        <v>2</v>
      </c>
      <c r="S205" s="769">
        <f>'Corrected and Updated TSF 1'!CS205</f>
        <v>215044.26942585126</v>
      </c>
      <c r="T205" s="769">
        <f>'Corrected and Updated TSF 1'!CU205</f>
        <v>3220619.7719619176</v>
      </c>
      <c r="U205" s="769">
        <f>'Corrected and Updated TSF 1'!CV205</f>
        <v>24969.430812351773</v>
      </c>
      <c r="V205" s="772">
        <f>'Corrected and Updated TSF 1'!CW205</f>
        <v>28947.841007056682</v>
      </c>
      <c r="W205" s="773">
        <f>'Corrected and Updated TSF 1'!CX205</f>
        <v>37394.126386393007</v>
      </c>
      <c r="X205" s="773">
        <f>'Corrected and Updated TSF 1'!CY205</f>
        <v>63772.131527593177</v>
      </c>
      <c r="Y205" s="1130">
        <f>'Corrected and Updated TSF 1'!CZ205</f>
        <v>261621.18086242062</v>
      </c>
      <c r="Z205" s="1130">
        <f>'Corrected and Updated TSF 1'!DA205</f>
        <v>103522.22683731896</v>
      </c>
      <c r="AA205" s="1130">
        <f>'Corrected and Updated TSF 1'!DB205</f>
        <v>74772.638239151187</v>
      </c>
      <c r="AB205" s="1130">
        <f>'Corrected and Updated TSF 1'!DC205</f>
        <v>56905.420054468348</v>
      </c>
      <c r="AC205" s="774">
        <f>K205-'Corrected and Updated TSF 1'!CJ205</f>
        <v>0</v>
      </c>
      <c r="AD205" s="774">
        <f>L205-SUM('Corrected and Updated TSF 1'!CK205:CL205)</f>
        <v>0</v>
      </c>
      <c r="AE205" s="1173">
        <f t="shared" ref="AE205:AE216" si="21">H205</f>
        <v>3235787.5259899958</v>
      </c>
      <c r="AF205" s="1174">
        <f>SUM(FORM!$V$19:$W$22)+SUM(FORM!$V$25:$W$28)+SUM(FORM!$V$31:$W$34)</f>
        <v>0</v>
      </c>
      <c r="AG205" s="1173">
        <f t="shared" ref="AG205:AG216" si="22">AE205-AF205</f>
        <v>3235787.5259899958</v>
      </c>
      <c r="AH205" s="1173"/>
    </row>
    <row r="206" spans="1:34" ht="12.75" hidden="1" customHeight="1">
      <c r="A206" s="767" t="str">
        <f t="shared" si="18"/>
        <v>14H</v>
      </c>
      <c r="B206" s="768" t="str">
        <f>'Corrected and Updated TSF 1'!ER206</f>
        <v>SOLD</v>
      </c>
      <c r="C206" s="757" t="str">
        <f>'Corrected and Updated TSF 1'!E206</f>
        <v>14th Floor</v>
      </c>
      <c r="D206" s="642" t="str">
        <f>'Corrected and Updated TSF 1'!M206</f>
        <v>Corner</v>
      </c>
      <c r="E206" s="642" t="str">
        <f>'Corrected and Updated TSF 1'!G206</f>
        <v>14H</v>
      </c>
      <c r="F206" s="758" t="str">
        <f>'Corrected and Updated TSF 1'!I206</f>
        <v>Studio Unit</v>
      </c>
      <c r="G206" s="769">
        <f>'Corrected and Updated TSF 1'!J206</f>
        <v>22</v>
      </c>
      <c r="H206" s="769">
        <f>'Corrected and Updated TSF 1'!CI206</f>
        <v>3280497.3184802802</v>
      </c>
      <c r="I206" s="770"/>
      <c r="J206" s="770">
        <f t="shared" si="19"/>
        <v>3280497.3184802802</v>
      </c>
      <c r="K206" s="769">
        <f>'Corrected and Updated TSF 1'!CJ206</f>
        <v>0</v>
      </c>
      <c r="L206" s="769">
        <f>SUM('Corrected and Updated TSF 1'!CK206:CL206)</f>
        <v>451068.38129103853</v>
      </c>
      <c r="M206" s="769">
        <f t="shared" si="20"/>
        <v>3731565.6997713186</v>
      </c>
      <c r="N206" s="771">
        <f>'Corrected and Updated TSF 1'!CN206</f>
        <v>0.125</v>
      </c>
      <c r="O206" s="769">
        <f>'Corrected and Updated TSF 1'!CO206</f>
        <v>466445.71247141488</v>
      </c>
      <c r="P206" s="769">
        <f>'Corrected and Updated TSF 1'!CP206</f>
        <v>30000</v>
      </c>
      <c r="Q206" s="769">
        <f>'Corrected and Updated TSF 1'!CQ206</f>
        <v>436445.71247141488</v>
      </c>
      <c r="R206" s="425">
        <f>'Corrected and Updated TSF 1'!CR206</f>
        <v>2</v>
      </c>
      <c r="S206" s="769">
        <f>'Corrected and Updated TSF 1'!CS206</f>
        <v>218222.85623570744</v>
      </c>
      <c r="T206" s="769">
        <f>'Corrected and Updated TSF 1'!CU206</f>
        <v>3265119.9872999042</v>
      </c>
      <c r="U206" s="769">
        <f>'Corrected and Updated TSF 1'!CV206</f>
        <v>25314.440508215288</v>
      </c>
      <c r="V206" s="772">
        <f>'Corrected and Updated TSF 1'!CW206</f>
        <v>29347.821523104711</v>
      </c>
      <c r="W206" s="773">
        <f>'Corrected and Updated TSF 1'!CX206</f>
        <v>37910.811619172498</v>
      </c>
      <c r="X206" s="773">
        <f>'Corrected and Updated TSF 1'!CY206</f>
        <v>64653.289126588956</v>
      </c>
      <c r="Y206" s="1130">
        <f>'Corrected and Updated TSF 1'!CZ206</f>
        <v>265236.0747988954</v>
      </c>
      <c r="Z206" s="1130">
        <f>'Corrected and Updated TSF 1'!DA206</f>
        <v>104952.62275882268</v>
      </c>
      <c r="AA206" s="1130">
        <f>'Corrected and Updated TSF 1'!DB206</f>
        <v>75805.792954277524</v>
      </c>
      <c r="AB206" s="1130">
        <f>'Corrected and Updated TSF 1'!DC206</f>
        <v>57691.698356666006</v>
      </c>
      <c r="AC206" s="774">
        <f>K206-'Corrected and Updated TSF 1'!CJ206</f>
        <v>0</v>
      </c>
      <c r="AD206" s="774">
        <f>L206-SUM('Corrected and Updated TSF 1'!CK206:CL206)</f>
        <v>0</v>
      </c>
      <c r="AE206" s="1173">
        <f t="shared" si="21"/>
        <v>3280497.3184802802</v>
      </c>
      <c r="AF206" s="1174">
        <f>SUM(FORM!$V$19:$W$22)+SUM(FORM!$V$25:$W$28)+SUM(FORM!$V$31:$W$34)</f>
        <v>0</v>
      </c>
      <c r="AG206" s="1173">
        <f t="shared" si="22"/>
        <v>3280497.3184802802</v>
      </c>
      <c r="AH206" s="1173"/>
    </row>
    <row r="207" spans="1:34" ht="12.75" hidden="1" customHeight="1">
      <c r="A207" s="767" t="str">
        <f t="shared" si="18"/>
        <v>14I</v>
      </c>
      <c r="B207" s="768" t="str">
        <f>'Corrected and Updated TSF 1'!ER207</f>
        <v>SOLD</v>
      </c>
      <c r="C207" s="757" t="str">
        <f>'Corrected and Updated TSF 1'!E207</f>
        <v>14th Floor</v>
      </c>
      <c r="D207" s="642" t="str">
        <f>'Corrected and Updated TSF 1'!M207</f>
        <v>Inner</v>
      </c>
      <c r="E207" s="642" t="str">
        <f>'Corrected and Updated TSF 1'!G207</f>
        <v>14I</v>
      </c>
      <c r="F207" s="758" t="str">
        <f>'Corrected and Updated TSF 1'!I207</f>
        <v>Studio Unit</v>
      </c>
      <c r="G207" s="769">
        <f>'Corrected and Updated TSF 1'!J207</f>
        <v>22</v>
      </c>
      <c r="H207" s="769">
        <f>'Corrected and Updated TSF 1'!CI207</f>
        <v>3332591.3692484326</v>
      </c>
      <c r="I207" s="770"/>
      <c r="J207" s="770">
        <f t="shared" si="19"/>
        <v>3332591.3692484326</v>
      </c>
      <c r="K207" s="769">
        <f>'Corrected and Updated TSF 1'!CJ207</f>
        <v>0</v>
      </c>
      <c r="L207" s="769">
        <f>SUM('Corrected and Updated TSF 1'!CK207:CL207)</f>
        <v>458231.31327165948</v>
      </c>
      <c r="M207" s="769">
        <f t="shared" si="20"/>
        <v>3790822.682520092</v>
      </c>
      <c r="N207" s="771">
        <f>'Corrected and Updated TSF 1'!CN207</f>
        <v>0.125</v>
      </c>
      <c r="O207" s="769">
        <f>'Corrected and Updated TSF 1'!CO207</f>
        <v>473852.8353150115</v>
      </c>
      <c r="P207" s="769">
        <f>'Corrected and Updated TSF 1'!CP207</f>
        <v>30000</v>
      </c>
      <c r="Q207" s="769">
        <f>'Corrected and Updated TSF 1'!CQ207</f>
        <v>443852.8353150115</v>
      </c>
      <c r="R207" s="425">
        <f>'Corrected and Updated TSF 1'!CR207</f>
        <v>2</v>
      </c>
      <c r="S207" s="769">
        <f>'Corrected and Updated TSF 1'!CS207</f>
        <v>221926.41765750575</v>
      </c>
      <c r="T207" s="769">
        <f>'Corrected and Updated TSF 1'!CU207</f>
        <v>3316969.8472050806</v>
      </c>
      <c r="U207" s="769">
        <f>'Corrected and Updated TSF 1'!CV207</f>
        <v>25716.431920179999</v>
      </c>
      <c r="V207" s="772">
        <f>'Corrected and Updated TSF 1'!CW207</f>
        <v>29813.862722329817</v>
      </c>
      <c r="W207" s="773">
        <f>'Corrected and Updated TSF 1'!CX207</f>
        <v>38512.832457301374</v>
      </c>
      <c r="X207" s="773">
        <f>'Corrected and Updated TSF 1'!CY207</f>
        <v>65679.978496860655</v>
      </c>
      <c r="Y207" s="1130">
        <f>'Corrected and Updated TSF 1'!CZ207</f>
        <v>269448.00372451334</v>
      </c>
      <c r="Z207" s="1130">
        <f>'Corrected and Updated TSF 1'!DA207</f>
        <v>106619.26251720592</v>
      </c>
      <c r="AA207" s="1130">
        <f>'Corrected and Updated TSF 1'!DB207</f>
        <v>77009.583246814509</v>
      </c>
      <c r="AB207" s="1130">
        <f>'Corrected and Updated TSF 1'!DC207</f>
        <v>58607.838188929411</v>
      </c>
      <c r="AC207" s="774">
        <f>K207-'Corrected and Updated TSF 1'!CJ207</f>
        <v>0</v>
      </c>
      <c r="AD207" s="774">
        <f>L207-SUM('Corrected and Updated TSF 1'!CK207:CL207)</f>
        <v>0</v>
      </c>
      <c r="AE207" s="1173">
        <f t="shared" si="21"/>
        <v>3332591.3692484326</v>
      </c>
      <c r="AF207" s="1174">
        <f>SUM(FORM!$V$19:$W$22)+SUM(FORM!$V$25:$W$28)+SUM(FORM!$V$31:$W$34)</f>
        <v>0</v>
      </c>
      <c r="AG207" s="1173">
        <f t="shared" si="22"/>
        <v>3332591.3692484326</v>
      </c>
      <c r="AH207" s="1173"/>
    </row>
    <row r="208" spans="1:34" ht="12.75" hidden="1" customHeight="1">
      <c r="A208" s="767" t="str">
        <f t="shared" si="18"/>
        <v>14J</v>
      </c>
      <c r="B208" s="768" t="str">
        <f>'Corrected and Updated TSF 1'!ER208</f>
        <v>SOLD</v>
      </c>
      <c r="C208" s="757" t="str">
        <f>'Corrected and Updated TSF 1'!E208</f>
        <v>14th Floor</v>
      </c>
      <c r="D208" s="642" t="str">
        <f>'Corrected and Updated TSF 1'!M208</f>
        <v>Inner</v>
      </c>
      <c r="E208" s="642" t="str">
        <f>'Corrected and Updated TSF 1'!G208</f>
        <v>14J</v>
      </c>
      <c r="F208" s="758" t="str">
        <f>'Corrected and Updated TSF 1'!I208</f>
        <v>Studio Unit</v>
      </c>
      <c r="G208" s="769">
        <f>'Corrected and Updated TSF 1'!J208</f>
        <v>22</v>
      </c>
      <c r="H208" s="769">
        <f>'Corrected and Updated TSF 1'!CI208</f>
        <v>3332591.3692484326</v>
      </c>
      <c r="I208" s="770"/>
      <c r="J208" s="770">
        <f t="shared" si="19"/>
        <v>3332591.3692484326</v>
      </c>
      <c r="K208" s="769">
        <f>'Corrected and Updated TSF 1'!CJ208</f>
        <v>0</v>
      </c>
      <c r="L208" s="769">
        <f>SUM('Corrected and Updated TSF 1'!CK208:CL208)</f>
        <v>458231.31327165948</v>
      </c>
      <c r="M208" s="769">
        <f t="shared" si="20"/>
        <v>3790822.682520092</v>
      </c>
      <c r="N208" s="771">
        <f>'Corrected and Updated TSF 1'!CN208</f>
        <v>0.125</v>
      </c>
      <c r="O208" s="769">
        <f>'Corrected and Updated TSF 1'!CO208</f>
        <v>473852.8353150115</v>
      </c>
      <c r="P208" s="769">
        <f>'Corrected and Updated TSF 1'!CP208</f>
        <v>30000</v>
      </c>
      <c r="Q208" s="769">
        <f>'Corrected and Updated TSF 1'!CQ208</f>
        <v>443852.8353150115</v>
      </c>
      <c r="R208" s="425">
        <f>'Corrected and Updated TSF 1'!CR208</f>
        <v>2</v>
      </c>
      <c r="S208" s="769">
        <f>'Corrected and Updated TSF 1'!CS208</f>
        <v>221926.41765750575</v>
      </c>
      <c r="T208" s="769">
        <f>'Corrected and Updated TSF 1'!CU208</f>
        <v>3316969.8472050806</v>
      </c>
      <c r="U208" s="769">
        <f>'Corrected and Updated TSF 1'!CV208</f>
        <v>25716.431920179999</v>
      </c>
      <c r="V208" s="772">
        <f>'Corrected and Updated TSF 1'!CW208</f>
        <v>29813.862722329817</v>
      </c>
      <c r="W208" s="773">
        <f>'Corrected and Updated TSF 1'!CX208</f>
        <v>38512.832457301374</v>
      </c>
      <c r="X208" s="773">
        <f>'Corrected and Updated TSF 1'!CY208</f>
        <v>65679.978496860655</v>
      </c>
      <c r="Y208" s="1130">
        <f>'Corrected and Updated TSF 1'!CZ208</f>
        <v>269448.00372451334</v>
      </c>
      <c r="Z208" s="1130">
        <f>'Corrected and Updated TSF 1'!DA208</f>
        <v>106619.26251720592</v>
      </c>
      <c r="AA208" s="1130">
        <f>'Corrected and Updated TSF 1'!DB208</f>
        <v>77009.583246814509</v>
      </c>
      <c r="AB208" s="1130">
        <f>'Corrected and Updated TSF 1'!DC208</f>
        <v>58607.838188929411</v>
      </c>
      <c r="AC208" s="774">
        <f>K208-'Corrected and Updated TSF 1'!CJ208</f>
        <v>0</v>
      </c>
      <c r="AD208" s="774">
        <f>L208-SUM('Corrected and Updated TSF 1'!CK208:CL208)</f>
        <v>0</v>
      </c>
      <c r="AE208" s="1173">
        <f t="shared" si="21"/>
        <v>3332591.3692484326</v>
      </c>
      <c r="AF208" s="1174">
        <f>SUM(FORM!$V$19:$W$22)+SUM(FORM!$V$25:$W$28)+SUM(FORM!$V$31:$W$34)</f>
        <v>0</v>
      </c>
      <c r="AG208" s="1173">
        <f t="shared" si="22"/>
        <v>3332591.3692484326</v>
      </c>
      <c r="AH208" s="1173"/>
    </row>
    <row r="209" spans="1:36" ht="12.75" hidden="1" customHeight="1">
      <c r="A209" s="767" t="str">
        <f t="shared" si="18"/>
        <v>14K</v>
      </c>
      <c r="B209" s="768" t="str">
        <f>'Corrected and Updated TSF 1'!ER209</f>
        <v>SOLD</v>
      </c>
      <c r="C209" s="757" t="str">
        <f>'Corrected and Updated TSF 1'!E209</f>
        <v>14th Floor</v>
      </c>
      <c r="D209" s="642" t="str">
        <f>'Corrected and Updated TSF 1'!M209</f>
        <v>Inner</v>
      </c>
      <c r="E209" s="642" t="str">
        <f>'Corrected and Updated TSF 1'!G209</f>
        <v>14K</v>
      </c>
      <c r="F209" s="758" t="str">
        <f>'Corrected and Updated TSF 1'!I209</f>
        <v>Studio Unit</v>
      </c>
      <c r="G209" s="769">
        <f>'Corrected and Updated TSF 1'!J209</f>
        <v>22</v>
      </c>
      <c r="H209" s="769">
        <f>'Corrected and Updated TSF 1'!CI209</f>
        <v>3332591.3692484326</v>
      </c>
      <c r="I209" s="770"/>
      <c r="J209" s="770">
        <f t="shared" si="19"/>
        <v>3332591.3692484326</v>
      </c>
      <c r="K209" s="769">
        <f>'Corrected and Updated TSF 1'!CJ209</f>
        <v>0</v>
      </c>
      <c r="L209" s="769">
        <f>SUM('Corrected and Updated TSF 1'!CK209:CL209)</f>
        <v>458231.31327165948</v>
      </c>
      <c r="M209" s="769">
        <f t="shared" si="20"/>
        <v>3790822.682520092</v>
      </c>
      <c r="N209" s="771">
        <f>'Corrected and Updated TSF 1'!CN209</f>
        <v>0.125</v>
      </c>
      <c r="O209" s="769">
        <f>'Corrected and Updated TSF 1'!CO209</f>
        <v>473852.8353150115</v>
      </c>
      <c r="P209" s="769">
        <f>'Corrected and Updated TSF 1'!CP209</f>
        <v>30000</v>
      </c>
      <c r="Q209" s="769">
        <f>'Corrected and Updated TSF 1'!CQ209</f>
        <v>443852.8353150115</v>
      </c>
      <c r="R209" s="425">
        <f>'Corrected and Updated TSF 1'!CR209</f>
        <v>2</v>
      </c>
      <c r="S209" s="769">
        <f>'Corrected and Updated TSF 1'!CS209</f>
        <v>221926.41765750575</v>
      </c>
      <c r="T209" s="769">
        <f>'Corrected and Updated TSF 1'!CU209</f>
        <v>3316969.8472050806</v>
      </c>
      <c r="U209" s="769">
        <f>'Corrected and Updated TSF 1'!CV209</f>
        <v>25716.431920179999</v>
      </c>
      <c r="V209" s="772">
        <f>'Corrected and Updated TSF 1'!CW209</f>
        <v>29813.862722329817</v>
      </c>
      <c r="W209" s="773">
        <f>'Corrected and Updated TSF 1'!CX209</f>
        <v>38512.832457301374</v>
      </c>
      <c r="X209" s="773">
        <f>'Corrected and Updated TSF 1'!CY209</f>
        <v>65679.978496860655</v>
      </c>
      <c r="Y209" s="1130">
        <f>'Corrected and Updated TSF 1'!CZ209</f>
        <v>269448.00372451334</v>
      </c>
      <c r="Z209" s="1130">
        <f>'Corrected and Updated TSF 1'!DA209</f>
        <v>106619.26251720592</v>
      </c>
      <c r="AA209" s="1130">
        <f>'Corrected and Updated TSF 1'!DB209</f>
        <v>77009.583246814509</v>
      </c>
      <c r="AB209" s="1130">
        <f>'Corrected and Updated TSF 1'!DC209</f>
        <v>58607.838188929411</v>
      </c>
      <c r="AC209" s="774">
        <f>K209-'Corrected and Updated TSF 1'!CJ209</f>
        <v>0</v>
      </c>
      <c r="AD209" s="774">
        <f>L209-SUM('Corrected and Updated TSF 1'!CK209:CL209)</f>
        <v>0</v>
      </c>
      <c r="AE209" s="1173">
        <f t="shared" si="21"/>
        <v>3332591.3692484326</v>
      </c>
      <c r="AF209" s="1174">
        <f>SUM(FORM!$V$19:$W$22)+SUM(FORM!$V$25:$W$28)+SUM(FORM!$V$31:$W$34)</f>
        <v>0</v>
      </c>
      <c r="AG209" s="1173">
        <f t="shared" si="22"/>
        <v>3332591.3692484326</v>
      </c>
      <c r="AH209" s="1173"/>
    </row>
    <row r="210" spans="1:36" ht="12.75" hidden="1" customHeight="1">
      <c r="A210" s="767" t="str">
        <f t="shared" si="18"/>
        <v>14L</v>
      </c>
      <c r="B210" s="768" t="str">
        <f>'Corrected and Updated TSF 1'!ER210</f>
        <v>SOLD</v>
      </c>
      <c r="C210" s="757" t="str">
        <f>'Corrected and Updated TSF 1'!E210</f>
        <v>14th Floor</v>
      </c>
      <c r="D210" s="642" t="str">
        <f>'Corrected and Updated TSF 1'!M210</f>
        <v>Inner</v>
      </c>
      <c r="E210" s="642" t="str">
        <f>'Corrected and Updated TSF 1'!G210</f>
        <v>14L</v>
      </c>
      <c r="F210" s="758" t="str">
        <f>'Corrected and Updated TSF 1'!I210</f>
        <v>Studio Unit</v>
      </c>
      <c r="G210" s="769">
        <f>'Corrected and Updated TSF 1'!J210</f>
        <v>22</v>
      </c>
      <c r="H210" s="769">
        <f>'Corrected and Updated TSF 1'!CI210</f>
        <v>3332591.3692484326</v>
      </c>
      <c r="I210" s="770"/>
      <c r="J210" s="770">
        <f t="shared" si="19"/>
        <v>3332591.3692484326</v>
      </c>
      <c r="K210" s="769">
        <f>'Corrected and Updated TSF 1'!CJ210</f>
        <v>0</v>
      </c>
      <c r="L210" s="769">
        <f>SUM('Corrected and Updated TSF 1'!CK210:CL210)</f>
        <v>458231.31327165948</v>
      </c>
      <c r="M210" s="769">
        <f t="shared" si="20"/>
        <v>3790822.682520092</v>
      </c>
      <c r="N210" s="771">
        <f>'Corrected and Updated TSF 1'!CN210</f>
        <v>0.125</v>
      </c>
      <c r="O210" s="769">
        <f>'Corrected and Updated TSF 1'!CO210</f>
        <v>473852.8353150115</v>
      </c>
      <c r="P210" s="769">
        <f>'Corrected and Updated TSF 1'!CP210</f>
        <v>30000</v>
      </c>
      <c r="Q210" s="769">
        <f>'Corrected and Updated TSF 1'!CQ210</f>
        <v>443852.8353150115</v>
      </c>
      <c r="R210" s="425">
        <f>'Corrected and Updated TSF 1'!CR210</f>
        <v>2</v>
      </c>
      <c r="S210" s="769">
        <f>'Corrected and Updated TSF 1'!CS210</f>
        <v>221926.41765750575</v>
      </c>
      <c r="T210" s="769">
        <f>'Corrected and Updated TSF 1'!CU210</f>
        <v>3316969.8472050806</v>
      </c>
      <c r="U210" s="769">
        <f>'Corrected and Updated TSF 1'!CV210</f>
        <v>25716.431920179999</v>
      </c>
      <c r="V210" s="772">
        <f>'Corrected and Updated TSF 1'!CW210</f>
        <v>29813.862722329817</v>
      </c>
      <c r="W210" s="773">
        <f>'Corrected and Updated TSF 1'!CX210</f>
        <v>38512.832457301374</v>
      </c>
      <c r="X210" s="773">
        <f>'Corrected and Updated TSF 1'!CY210</f>
        <v>65679.978496860655</v>
      </c>
      <c r="Y210" s="1130">
        <f>'Corrected and Updated TSF 1'!CZ210</f>
        <v>269448.00372451334</v>
      </c>
      <c r="Z210" s="1130">
        <f>'Corrected and Updated TSF 1'!DA210</f>
        <v>106619.26251720592</v>
      </c>
      <c r="AA210" s="1130">
        <f>'Corrected and Updated TSF 1'!DB210</f>
        <v>77009.583246814509</v>
      </c>
      <c r="AB210" s="1130">
        <f>'Corrected and Updated TSF 1'!DC210</f>
        <v>58607.838188929411</v>
      </c>
      <c r="AC210" s="774">
        <f>K210-'Corrected and Updated TSF 1'!CJ210</f>
        <v>0</v>
      </c>
      <c r="AD210" s="774">
        <f>L210-SUM('Corrected and Updated TSF 1'!CK210:CL210)</f>
        <v>0</v>
      </c>
      <c r="AE210" s="1173">
        <f t="shared" si="21"/>
        <v>3332591.3692484326</v>
      </c>
      <c r="AF210" s="1174">
        <f>SUM(FORM!$V$19:$W$22)+SUM(FORM!$V$25:$W$28)+SUM(FORM!$V$31:$W$34)</f>
        <v>0</v>
      </c>
      <c r="AG210" s="1173">
        <f t="shared" si="22"/>
        <v>3332591.3692484326</v>
      </c>
      <c r="AH210" s="1173"/>
    </row>
    <row r="211" spans="1:36" ht="12.75" hidden="1" customHeight="1">
      <c r="A211" s="767" t="str">
        <f t="shared" si="18"/>
        <v>14M</v>
      </c>
      <c r="B211" s="768" t="str">
        <f>'Corrected and Updated TSF 1'!ER211</f>
        <v>SOLD</v>
      </c>
      <c r="C211" s="757" t="str">
        <f>'Corrected and Updated TSF 1'!E211</f>
        <v>14th Floor</v>
      </c>
      <c r="D211" s="642" t="str">
        <f>'Corrected and Updated TSF 1'!M211</f>
        <v>Inner</v>
      </c>
      <c r="E211" s="642" t="str">
        <f>'Corrected and Updated TSF 1'!G211</f>
        <v>14M</v>
      </c>
      <c r="F211" s="758" t="str">
        <f>'Corrected and Updated TSF 1'!I211</f>
        <v>Studio Unit</v>
      </c>
      <c r="G211" s="769">
        <f>'Corrected and Updated TSF 1'!J211</f>
        <v>22</v>
      </c>
      <c r="H211" s="769">
        <f>'Corrected and Updated TSF 1'!CI211</f>
        <v>3332591.3692484326</v>
      </c>
      <c r="I211" s="770"/>
      <c r="J211" s="770">
        <f t="shared" si="19"/>
        <v>3332591.3692484326</v>
      </c>
      <c r="K211" s="769">
        <f>'Corrected and Updated TSF 1'!CJ211</f>
        <v>0</v>
      </c>
      <c r="L211" s="769">
        <f>SUM('Corrected and Updated TSF 1'!CK211:CL211)</f>
        <v>458231.31327165948</v>
      </c>
      <c r="M211" s="769">
        <f t="shared" si="20"/>
        <v>3790822.682520092</v>
      </c>
      <c r="N211" s="771">
        <f>'Corrected and Updated TSF 1'!CN211</f>
        <v>0.125</v>
      </c>
      <c r="O211" s="769">
        <f>'Corrected and Updated TSF 1'!CO211</f>
        <v>473852.8353150115</v>
      </c>
      <c r="P211" s="769">
        <f>'Corrected and Updated TSF 1'!CP211</f>
        <v>30000</v>
      </c>
      <c r="Q211" s="769">
        <f>'Corrected and Updated TSF 1'!CQ211</f>
        <v>443852.8353150115</v>
      </c>
      <c r="R211" s="425">
        <f>'Corrected and Updated TSF 1'!CR211</f>
        <v>2</v>
      </c>
      <c r="S211" s="769">
        <f>'Corrected and Updated TSF 1'!CS211</f>
        <v>221926.41765750575</v>
      </c>
      <c r="T211" s="769">
        <f>'Corrected and Updated TSF 1'!CU211</f>
        <v>3316969.8472050806</v>
      </c>
      <c r="U211" s="769">
        <f>'Corrected and Updated TSF 1'!CV211</f>
        <v>25716.431920179999</v>
      </c>
      <c r="V211" s="772">
        <f>'Corrected and Updated TSF 1'!CW211</f>
        <v>29813.862722329817</v>
      </c>
      <c r="W211" s="773">
        <f>'Corrected and Updated TSF 1'!CX211</f>
        <v>38512.832457301374</v>
      </c>
      <c r="X211" s="773">
        <f>'Corrected and Updated TSF 1'!CY211</f>
        <v>65679.978496860655</v>
      </c>
      <c r="Y211" s="1130">
        <f>'Corrected and Updated TSF 1'!CZ211</f>
        <v>269448.00372451334</v>
      </c>
      <c r="Z211" s="1130">
        <f>'Corrected and Updated TSF 1'!DA211</f>
        <v>106619.26251720592</v>
      </c>
      <c r="AA211" s="1130">
        <f>'Corrected and Updated TSF 1'!DB211</f>
        <v>77009.583246814509</v>
      </c>
      <c r="AB211" s="1130">
        <f>'Corrected and Updated TSF 1'!DC211</f>
        <v>58607.838188929411</v>
      </c>
      <c r="AC211" s="774">
        <f>K211-'Corrected and Updated TSF 1'!CJ211</f>
        <v>0</v>
      </c>
      <c r="AD211" s="774">
        <f>L211-SUM('Corrected and Updated TSF 1'!CK211:CL211)</f>
        <v>0</v>
      </c>
      <c r="AE211" s="1173">
        <f t="shared" si="21"/>
        <v>3332591.3692484326</v>
      </c>
      <c r="AF211" s="1174">
        <f>SUM(FORM!$V$19:$W$22)+SUM(FORM!$V$25:$W$28)+SUM(FORM!$V$31:$W$34)</f>
        <v>0</v>
      </c>
      <c r="AG211" s="1173">
        <f t="shared" si="22"/>
        <v>3332591.3692484326</v>
      </c>
      <c r="AH211" s="1173"/>
    </row>
    <row r="212" spans="1:36" ht="12.75" hidden="1" customHeight="1">
      <c r="A212" s="767" t="str">
        <f t="shared" si="18"/>
        <v>14N</v>
      </c>
      <c r="B212" s="768" t="str">
        <f>'Corrected and Updated TSF 1'!ER212</f>
        <v>SOLD</v>
      </c>
      <c r="C212" s="757" t="str">
        <f>'Corrected and Updated TSF 1'!E212</f>
        <v>14th Floor</v>
      </c>
      <c r="D212" s="642" t="str">
        <f>'Corrected and Updated TSF 1'!M212</f>
        <v>Inner</v>
      </c>
      <c r="E212" s="642" t="str">
        <f>'Corrected and Updated TSF 1'!G212</f>
        <v>14N</v>
      </c>
      <c r="F212" s="758" t="str">
        <f>'Corrected and Updated TSF 1'!I212</f>
        <v>Studio Unit</v>
      </c>
      <c r="G212" s="769">
        <f>'Corrected and Updated TSF 1'!J212</f>
        <v>22</v>
      </c>
      <c r="H212" s="769">
        <f>'Corrected and Updated TSF 1'!CI212</f>
        <v>3332591.3692484326</v>
      </c>
      <c r="I212" s="770"/>
      <c r="J212" s="770">
        <f t="shared" si="19"/>
        <v>3332591.3692484326</v>
      </c>
      <c r="K212" s="769">
        <f>'Corrected and Updated TSF 1'!CJ212</f>
        <v>0</v>
      </c>
      <c r="L212" s="769">
        <f>SUM('Corrected and Updated TSF 1'!CK212:CL212)</f>
        <v>458231.31327165948</v>
      </c>
      <c r="M212" s="769">
        <f t="shared" si="20"/>
        <v>3790822.682520092</v>
      </c>
      <c r="N212" s="771">
        <f>'Corrected and Updated TSF 1'!CN212</f>
        <v>0.125</v>
      </c>
      <c r="O212" s="769">
        <f>'Corrected and Updated TSF 1'!CO212</f>
        <v>473852.8353150115</v>
      </c>
      <c r="P212" s="769">
        <f>'Corrected and Updated TSF 1'!CP212</f>
        <v>30000</v>
      </c>
      <c r="Q212" s="769">
        <f>'Corrected and Updated TSF 1'!CQ212</f>
        <v>443852.8353150115</v>
      </c>
      <c r="R212" s="425">
        <f>'Corrected and Updated TSF 1'!CR212</f>
        <v>2</v>
      </c>
      <c r="S212" s="769">
        <f>'Corrected and Updated TSF 1'!CS212</f>
        <v>221926.41765750575</v>
      </c>
      <c r="T212" s="769">
        <f>'Corrected and Updated TSF 1'!CU212</f>
        <v>3316969.8472050806</v>
      </c>
      <c r="U212" s="769">
        <f>'Corrected and Updated TSF 1'!CV212</f>
        <v>25716.431920179999</v>
      </c>
      <c r="V212" s="772">
        <f>'Corrected and Updated TSF 1'!CW212</f>
        <v>29813.862722329817</v>
      </c>
      <c r="W212" s="773">
        <f>'Corrected and Updated TSF 1'!CX212</f>
        <v>38512.832457301374</v>
      </c>
      <c r="X212" s="773">
        <f>'Corrected and Updated TSF 1'!CY212</f>
        <v>65679.978496860655</v>
      </c>
      <c r="Y212" s="1130">
        <f>'Corrected and Updated TSF 1'!CZ212</f>
        <v>269448.00372451334</v>
      </c>
      <c r="Z212" s="1130">
        <f>'Corrected and Updated TSF 1'!DA212</f>
        <v>106619.26251720592</v>
      </c>
      <c r="AA212" s="1130">
        <f>'Corrected and Updated TSF 1'!DB212</f>
        <v>77009.583246814509</v>
      </c>
      <c r="AB212" s="1130">
        <f>'Corrected and Updated TSF 1'!DC212</f>
        <v>58607.838188929411</v>
      </c>
      <c r="AC212" s="774">
        <f>K212-'Corrected and Updated TSF 1'!CJ212</f>
        <v>0</v>
      </c>
      <c r="AD212" s="774">
        <f>L212-SUM('Corrected and Updated TSF 1'!CK212:CL212)</f>
        <v>0</v>
      </c>
      <c r="AE212" s="1173">
        <f t="shared" si="21"/>
        <v>3332591.3692484326</v>
      </c>
      <c r="AF212" s="1174">
        <f>SUM(FORM!$V$19:$W$22)+SUM(FORM!$V$25:$W$28)+SUM(FORM!$V$31:$W$34)</f>
        <v>0</v>
      </c>
      <c r="AG212" s="1173">
        <f t="shared" si="22"/>
        <v>3332591.3692484326</v>
      </c>
      <c r="AH212" s="1173"/>
    </row>
    <row r="213" spans="1:36" ht="12.75" hidden="1" customHeight="1">
      <c r="A213" s="767" t="str">
        <f t="shared" si="18"/>
        <v>14O</v>
      </c>
      <c r="B213" s="768" t="str">
        <f>'Corrected and Updated TSF 1'!ER213</f>
        <v>SOLD</v>
      </c>
      <c r="C213" s="757" t="str">
        <f>'Corrected and Updated TSF 1'!E213</f>
        <v>14th Floor</v>
      </c>
      <c r="D213" s="642" t="str">
        <f>'Corrected and Updated TSF 1'!M213</f>
        <v>Inner</v>
      </c>
      <c r="E213" s="642" t="str">
        <f>'Corrected and Updated TSF 1'!G213</f>
        <v>14O</v>
      </c>
      <c r="F213" s="758" t="str">
        <f>'Corrected and Updated TSF 1'!I213</f>
        <v>Studio Unit</v>
      </c>
      <c r="G213" s="769">
        <f>'Corrected and Updated TSF 1'!J213</f>
        <v>22</v>
      </c>
      <c r="H213" s="769">
        <f>'Corrected and Updated TSF 1'!CI213</f>
        <v>3332591.3692484326</v>
      </c>
      <c r="I213" s="770"/>
      <c r="J213" s="770">
        <f t="shared" si="19"/>
        <v>3332591.3692484326</v>
      </c>
      <c r="K213" s="769">
        <f>'Corrected and Updated TSF 1'!CJ213</f>
        <v>0</v>
      </c>
      <c r="L213" s="769">
        <f>SUM('Corrected and Updated TSF 1'!CK213:CL213)</f>
        <v>458231.31327165948</v>
      </c>
      <c r="M213" s="769">
        <f t="shared" si="20"/>
        <v>3790822.682520092</v>
      </c>
      <c r="N213" s="771">
        <f>'Corrected and Updated TSF 1'!CN213</f>
        <v>0.125</v>
      </c>
      <c r="O213" s="769">
        <f>'Corrected and Updated TSF 1'!CO213</f>
        <v>473852.8353150115</v>
      </c>
      <c r="P213" s="769">
        <f>'Corrected and Updated TSF 1'!CP213</f>
        <v>30000</v>
      </c>
      <c r="Q213" s="769">
        <f>'Corrected and Updated TSF 1'!CQ213</f>
        <v>443852.8353150115</v>
      </c>
      <c r="R213" s="425">
        <f>'Corrected and Updated TSF 1'!CR213</f>
        <v>2</v>
      </c>
      <c r="S213" s="769">
        <f>'Corrected and Updated TSF 1'!CS213</f>
        <v>221926.41765750575</v>
      </c>
      <c r="T213" s="769">
        <f>'Corrected and Updated TSF 1'!CU213</f>
        <v>3316969.8472050806</v>
      </c>
      <c r="U213" s="769">
        <f>'Corrected and Updated TSF 1'!CV213</f>
        <v>25716.431920179999</v>
      </c>
      <c r="V213" s="772">
        <f>'Corrected and Updated TSF 1'!CW213</f>
        <v>29813.862722329817</v>
      </c>
      <c r="W213" s="773">
        <f>'Corrected and Updated TSF 1'!CX213</f>
        <v>38512.832457301374</v>
      </c>
      <c r="X213" s="773">
        <f>'Corrected and Updated TSF 1'!CY213</f>
        <v>65679.978496860655</v>
      </c>
      <c r="Y213" s="1130">
        <f>'Corrected and Updated TSF 1'!CZ213</f>
        <v>269448.00372451334</v>
      </c>
      <c r="Z213" s="1130">
        <f>'Corrected and Updated TSF 1'!DA213</f>
        <v>106619.26251720592</v>
      </c>
      <c r="AA213" s="1130">
        <f>'Corrected and Updated TSF 1'!DB213</f>
        <v>77009.583246814509</v>
      </c>
      <c r="AB213" s="1130">
        <f>'Corrected and Updated TSF 1'!DC213</f>
        <v>58607.838188929411</v>
      </c>
      <c r="AC213" s="774">
        <f>K213-'Corrected and Updated TSF 1'!CJ213</f>
        <v>0</v>
      </c>
      <c r="AD213" s="774">
        <f>L213-SUM('Corrected and Updated TSF 1'!CK213:CL213)</f>
        <v>0</v>
      </c>
      <c r="AE213" s="1173">
        <f t="shared" si="21"/>
        <v>3332591.3692484326</v>
      </c>
      <c r="AF213" s="1174">
        <f>SUM(FORM!$V$19:$W$22)+SUM(FORM!$V$25:$W$28)+SUM(FORM!$V$31:$W$34)</f>
        <v>0</v>
      </c>
      <c r="AG213" s="1173">
        <f t="shared" si="22"/>
        <v>3332591.3692484326</v>
      </c>
      <c r="AH213" s="1173"/>
    </row>
    <row r="214" spans="1:36" ht="12.75" hidden="1" customHeight="1">
      <c r="A214" s="767" t="str">
        <f t="shared" si="18"/>
        <v>14P</v>
      </c>
      <c r="B214" s="768" t="str">
        <f>'Corrected and Updated TSF 1'!ER214</f>
        <v>SOLD</v>
      </c>
      <c r="C214" s="757" t="str">
        <f>'Corrected and Updated TSF 1'!E214</f>
        <v>14th Floor</v>
      </c>
      <c r="D214" s="642" t="str">
        <f>'Corrected and Updated TSF 1'!M214</f>
        <v>Inner</v>
      </c>
      <c r="E214" s="642" t="str">
        <f>'Corrected and Updated TSF 1'!G214</f>
        <v>14P</v>
      </c>
      <c r="F214" s="758" t="str">
        <f>'Corrected and Updated TSF 1'!I214</f>
        <v>Studio Unit</v>
      </c>
      <c r="G214" s="769">
        <f>'Corrected and Updated TSF 1'!J214</f>
        <v>22</v>
      </c>
      <c r="H214" s="769">
        <f>'Corrected and Updated TSF 1'!CI214</f>
        <v>3332591.3692484326</v>
      </c>
      <c r="I214" s="770"/>
      <c r="J214" s="770">
        <f t="shared" si="19"/>
        <v>3332591.3692484326</v>
      </c>
      <c r="K214" s="769">
        <f>'Corrected and Updated TSF 1'!CJ214</f>
        <v>0</v>
      </c>
      <c r="L214" s="769">
        <f>SUM('Corrected and Updated TSF 1'!CK214:CL214)</f>
        <v>458231.31327165948</v>
      </c>
      <c r="M214" s="769">
        <f t="shared" si="20"/>
        <v>3790822.682520092</v>
      </c>
      <c r="N214" s="771">
        <f>'Corrected and Updated TSF 1'!CN214</f>
        <v>0.125</v>
      </c>
      <c r="O214" s="769">
        <f>'Corrected and Updated TSF 1'!CO214</f>
        <v>473852.8353150115</v>
      </c>
      <c r="P214" s="769">
        <f>'Corrected and Updated TSF 1'!CP214</f>
        <v>30000</v>
      </c>
      <c r="Q214" s="769">
        <f>'Corrected and Updated TSF 1'!CQ214</f>
        <v>443852.8353150115</v>
      </c>
      <c r="R214" s="425">
        <f>'Corrected and Updated TSF 1'!CR214</f>
        <v>2</v>
      </c>
      <c r="S214" s="769">
        <f>'Corrected and Updated TSF 1'!CS214</f>
        <v>221926.41765750575</v>
      </c>
      <c r="T214" s="769">
        <f>'Corrected and Updated TSF 1'!CU214</f>
        <v>3316969.8472050806</v>
      </c>
      <c r="U214" s="769">
        <f>'Corrected and Updated TSF 1'!CV214</f>
        <v>25716.431920179999</v>
      </c>
      <c r="V214" s="772">
        <f>'Corrected and Updated TSF 1'!CW214</f>
        <v>29813.862722329817</v>
      </c>
      <c r="W214" s="773">
        <f>'Corrected and Updated TSF 1'!CX214</f>
        <v>38512.832457301374</v>
      </c>
      <c r="X214" s="773">
        <f>'Corrected and Updated TSF 1'!CY214</f>
        <v>65679.978496860655</v>
      </c>
      <c r="Y214" s="1130">
        <f>'Corrected and Updated TSF 1'!CZ214</f>
        <v>269448.00372451334</v>
      </c>
      <c r="Z214" s="1130">
        <f>'Corrected and Updated TSF 1'!DA214</f>
        <v>106619.26251720592</v>
      </c>
      <c r="AA214" s="1130">
        <f>'Corrected and Updated TSF 1'!DB214</f>
        <v>77009.583246814509</v>
      </c>
      <c r="AB214" s="1130">
        <f>'Corrected and Updated TSF 1'!DC214</f>
        <v>58607.838188929411</v>
      </c>
      <c r="AC214" s="774">
        <f>K214-'Corrected and Updated TSF 1'!CJ214</f>
        <v>0</v>
      </c>
      <c r="AD214" s="774">
        <f>L214-SUM('Corrected and Updated TSF 1'!CK214:CL214)</f>
        <v>0</v>
      </c>
      <c r="AE214" s="1173">
        <f t="shared" si="21"/>
        <v>3332591.3692484326</v>
      </c>
      <c r="AF214" s="1174">
        <f>SUM(FORM!$V$19:$W$22)+SUM(FORM!$V$25:$W$28)+SUM(FORM!$V$31:$W$34)</f>
        <v>0</v>
      </c>
      <c r="AG214" s="1173">
        <f t="shared" si="22"/>
        <v>3332591.3692484326</v>
      </c>
      <c r="AH214" s="1173"/>
    </row>
    <row r="215" spans="1:36" hidden="1">
      <c r="A215" s="767" t="str">
        <f t="shared" si="18"/>
        <v>14Q</v>
      </c>
      <c r="B215" s="768" t="str">
        <f>'Corrected and Updated TSF 1'!ER215</f>
        <v>SOLD</v>
      </c>
      <c r="C215" s="757" t="str">
        <f>'Corrected and Updated TSF 1'!E215</f>
        <v>14th Floor</v>
      </c>
      <c r="D215" s="642" t="str">
        <f>'Corrected and Updated TSF 1'!M215</f>
        <v>Inner</v>
      </c>
      <c r="E215" s="642" t="str">
        <f>'Corrected and Updated TSF 1'!G215</f>
        <v>14Q</v>
      </c>
      <c r="F215" s="758" t="str">
        <f>'Corrected and Updated TSF 1'!I215</f>
        <v>Studio Unit</v>
      </c>
      <c r="G215" s="769">
        <f>'Corrected and Updated TSF 1'!J215</f>
        <v>22</v>
      </c>
      <c r="H215" s="769">
        <f>'Corrected and Updated TSF 1'!CI215</f>
        <v>3332591.3692484326</v>
      </c>
      <c r="I215" s="770"/>
      <c r="J215" s="770">
        <f t="shared" si="19"/>
        <v>3332591.3692484326</v>
      </c>
      <c r="K215" s="769">
        <f>'Corrected and Updated TSF 1'!CJ215</f>
        <v>0</v>
      </c>
      <c r="L215" s="769">
        <f>SUM('Corrected and Updated TSF 1'!CK215:CL215)</f>
        <v>458231.31327165948</v>
      </c>
      <c r="M215" s="769">
        <f t="shared" si="20"/>
        <v>3790822.682520092</v>
      </c>
      <c r="N215" s="771">
        <f>'Corrected and Updated TSF 1'!CN215</f>
        <v>0.125</v>
      </c>
      <c r="O215" s="769">
        <f>'Corrected and Updated TSF 1'!CO215</f>
        <v>473852.8353150115</v>
      </c>
      <c r="P215" s="769">
        <f>'Corrected and Updated TSF 1'!CP215</f>
        <v>30000</v>
      </c>
      <c r="Q215" s="769">
        <f>'Corrected and Updated TSF 1'!CQ215</f>
        <v>443852.8353150115</v>
      </c>
      <c r="R215" s="425">
        <f>'Corrected and Updated TSF 1'!CR215</f>
        <v>2</v>
      </c>
      <c r="S215" s="769">
        <f>'Corrected and Updated TSF 1'!CS215</f>
        <v>221926.41765750575</v>
      </c>
      <c r="T215" s="769">
        <f>'Corrected and Updated TSF 1'!CU215</f>
        <v>3316969.8472050806</v>
      </c>
      <c r="U215" s="769">
        <f>'Corrected and Updated TSF 1'!CV215</f>
        <v>25716.431920179999</v>
      </c>
      <c r="V215" s="772">
        <f>'Corrected and Updated TSF 1'!CW215</f>
        <v>29813.862722329817</v>
      </c>
      <c r="W215" s="773">
        <f>'Corrected and Updated TSF 1'!CX215</f>
        <v>38512.832457301374</v>
      </c>
      <c r="X215" s="773">
        <f>'Corrected and Updated TSF 1'!CY215</f>
        <v>65679.978496860655</v>
      </c>
      <c r="Y215" s="1130">
        <f>'Corrected and Updated TSF 1'!CZ215</f>
        <v>269448.00372451334</v>
      </c>
      <c r="Z215" s="1130">
        <f>'Corrected and Updated TSF 1'!DA215</f>
        <v>106619.26251720592</v>
      </c>
      <c r="AA215" s="1130">
        <f>'Corrected and Updated TSF 1'!DB215</f>
        <v>77009.583246814509</v>
      </c>
      <c r="AB215" s="1130">
        <f>'Corrected and Updated TSF 1'!DC215</f>
        <v>58607.838188929411</v>
      </c>
      <c r="AC215" s="774">
        <f>K215-'Corrected and Updated TSF 1'!CJ215</f>
        <v>0</v>
      </c>
      <c r="AD215" s="774">
        <f>L215-SUM('Corrected and Updated TSF 1'!CK215:CL215)</f>
        <v>0</v>
      </c>
      <c r="AE215" s="1173">
        <f t="shared" si="21"/>
        <v>3332591.3692484326</v>
      </c>
      <c r="AF215" s="1174">
        <f>SUM(FORM!$V$19:$W$22)+SUM(FORM!$V$25:$W$28)+SUM(FORM!$V$31:$W$34)</f>
        <v>0</v>
      </c>
      <c r="AG215" s="1173">
        <f t="shared" si="22"/>
        <v>3332591.3692484326</v>
      </c>
      <c r="AH215" s="1173"/>
    </row>
    <row r="216" spans="1:36" hidden="1">
      <c r="A216" s="767" t="str">
        <f t="shared" si="18"/>
        <v>14R</v>
      </c>
      <c r="B216" s="768" t="str">
        <f>'Corrected and Updated TSF 1'!ER216</f>
        <v>SOLD</v>
      </c>
      <c r="C216" s="757" t="str">
        <f>'Corrected and Updated TSF 1'!E216</f>
        <v>14th Floor</v>
      </c>
      <c r="D216" s="642" t="str">
        <f>'Corrected and Updated TSF 1'!M216</f>
        <v>Corner</v>
      </c>
      <c r="E216" s="642" t="str">
        <f>'Corrected and Updated TSF 1'!G216</f>
        <v>14R</v>
      </c>
      <c r="F216" s="758" t="str">
        <f>'Corrected and Updated TSF 1'!I216</f>
        <v>Studio Unit</v>
      </c>
      <c r="G216" s="769">
        <f>'Corrected and Updated TSF 1'!J216</f>
        <v>22</v>
      </c>
      <c r="H216" s="769">
        <f>'Corrected and Updated TSF 1'!CI216</f>
        <v>3280497.3184802802</v>
      </c>
      <c r="I216" s="770"/>
      <c r="J216" s="770">
        <f t="shared" si="19"/>
        <v>3280497.3184802802</v>
      </c>
      <c r="K216" s="769">
        <f>'Corrected and Updated TSF 1'!CJ216</f>
        <v>0</v>
      </c>
      <c r="L216" s="769">
        <f>SUM('Corrected and Updated TSF 1'!CK216:CL216)</f>
        <v>451068.38129103853</v>
      </c>
      <c r="M216" s="769">
        <f t="shared" si="20"/>
        <v>3731565.6997713186</v>
      </c>
      <c r="N216" s="771">
        <f>'Corrected and Updated TSF 1'!CN216</f>
        <v>0.125</v>
      </c>
      <c r="O216" s="769">
        <f>'Corrected and Updated TSF 1'!CO216</f>
        <v>466445.71247141488</v>
      </c>
      <c r="P216" s="769">
        <f>'Corrected and Updated TSF 1'!CP216</f>
        <v>30000</v>
      </c>
      <c r="Q216" s="769">
        <f>'Corrected and Updated TSF 1'!CQ216</f>
        <v>436445.71247141488</v>
      </c>
      <c r="R216" s="425">
        <f>'Corrected and Updated TSF 1'!CR216</f>
        <v>2</v>
      </c>
      <c r="S216" s="769">
        <f>'Corrected and Updated TSF 1'!CS216</f>
        <v>218222.85623570744</v>
      </c>
      <c r="T216" s="769">
        <f>'Corrected and Updated TSF 1'!CU216</f>
        <v>3265119.9872999042</v>
      </c>
      <c r="U216" s="769">
        <f>'Corrected and Updated TSF 1'!CV216</f>
        <v>25314.440508215288</v>
      </c>
      <c r="V216" s="772">
        <f>'Corrected and Updated TSF 1'!CW216</f>
        <v>29347.821523104711</v>
      </c>
      <c r="W216" s="773">
        <f>'Corrected and Updated TSF 1'!CX216</f>
        <v>37910.811619172498</v>
      </c>
      <c r="X216" s="773">
        <f>'Corrected and Updated TSF 1'!CY216</f>
        <v>64653.289126588956</v>
      </c>
      <c r="Y216" s="1130">
        <f>'Corrected and Updated TSF 1'!CZ216</f>
        <v>265236.0747988954</v>
      </c>
      <c r="Z216" s="1130">
        <f>'Corrected and Updated TSF 1'!DA216</f>
        <v>104952.62275882268</v>
      </c>
      <c r="AA216" s="1130">
        <f>'Corrected and Updated TSF 1'!DB216</f>
        <v>75805.792954277524</v>
      </c>
      <c r="AB216" s="1130">
        <f>'Corrected and Updated TSF 1'!DC216</f>
        <v>57691.698356666006</v>
      </c>
      <c r="AC216" s="774">
        <f>K216-'Corrected and Updated TSF 1'!CJ216</f>
        <v>0</v>
      </c>
      <c r="AD216" s="774">
        <f>L216-SUM('Corrected and Updated TSF 1'!CK216:CL216)</f>
        <v>0</v>
      </c>
      <c r="AE216" s="1173">
        <f t="shared" si="21"/>
        <v>3280497.3184802802</v>
      </c>
      <c r="AF216" s="1174">
        <f>SUM(FORM!$V$19:$W$22)+SUM(FORM!$V$25:$W$28)+SUM(FORM!$V$31:$W$34)</f>
        <v>0</v>
      </c>
      <c r="AG216" s="1173">
        <f t="shared" si="22"/>
        <v>3280497.3184802802</v>
      </c>
      <c r="AH216" s="1173"/>
    </row>
    <row r="217" spans="1:36" s="760" customFormat="1" ht="12.75" customHeight="1">
      <c r="A217" s="775"/>
      <c r="B217" s="775"/>
      <c r="C217" s="775"/>
      <c r="N217" s="776"/>
      <c r="R217" s="775"/>
      <c r="Y217" s="551"/>
      <c r="Z217" s="551"/>
      <c r="AA217" s="551"/>
      <c r="AB217" s="551"/>
      <c r="AE217" s="1168"/>
      <c r="AF217" s="1168"/>
      <c r="AG217" s="1169"/>
      <c r="AH217" s="1169"/>
    </row>
    <row r="218" spans="1:36" s="760" customFormat="1" ht="12.75" customHeight="1">
      <c r="A218" s="775"/>
      <c r="B218" s="775"/>
      <c r="C218" s="775"/>
      <c r="N218" s="776"/>
      <c r="R218" s="775"/>
      <c r="Y218" s="551"/>
      <c r="Z218" s="551"/>
      <c r="AA218" s="551"/>
      <c r="AB218" s="551"/>
      <c r="AE218" s="1168"/>
      <c r="AF218" s="1168"/>
      <c r="AG218" s="1169"/>
      <c r="AH218" s="1169"/>
    </row>
    <row r="219" spans="1:36" s="760" customFormat="1" ht="12.75" customHeight="1">
      <c r="A219" s="775"/>
      <c r="B219" s="775"/>
      <c r="C219" s="775"/>
      <c r="N219" s="776"/>
      <c r="R219" s="775"/>
      <c r="Y219" s="551"/>
      <c r="Z219" s="551"/>
      <c r="AA219" s="551"/>
      <c r="AB219" s="551"/>
      <c r="AE219" s="1168"/>
      <c r="AF219" s="1168"/>
      <c r="AG219" s="1169"/>
      <c r="AH219" s="1169"/>
    </row>
    <row r="220" spans="1:36" s="760" customFormat="1" ht="12.75" customHeight="1">
      <c r="A220" s="775"/>
      <c r="B220" s="775"/>
      <c r="C220" s="775"/>
      <c r="N220" s="776"/>
      <c r="R220" s="775"/>
      <c r="Y220" s="551"/>
      <c r="Z220" s="551"/>
      <c r="AA220" s="551"/>
      <c r="AB220" s="551"/>
      <c r="AE220" s="1168"/>
      <c r="AF220" s="1168"/>
      <c r="AG220" s="1169"/>
      <c r="AH220" s="1169"/>
    </row>
    <row r="221" spans="1:36" s="760" customFormat="1">
      <c r="A221" s="775">
        <v>1</v>
      </c>
      <c r="B221" s="775">
        <f>A221+1</f>
        <v>2</v>
      </c>
      <c r="C221" s="775">
        <f t="shared" ref="C221:X221" si="23">B221+1</f>
        <v>3</v>
      </c>
      <c r="D221" s="775">
        <f t="shared" si="23"/>
        <v>4</v>
      </c>
      <c r="E221" s="775">
        <f t="shared" si="23"/>
        <v>5</v>
      </c>
      <c r="F221" s="775">
        <f t="shared" si="23"/>
        <v>6</v>
      </c>
      <c r="G221" s="775">
        <f t="shared" si="23"/>
        <v>7</v>
      </c>
      <c r="H221" s="775">
        <f t="shared" si="23"/>
        <v>8</v>
      </c>
      <c r="I221" s="775">
        <f t="shared" si="23"/>
        <v>9</v>
      </c>
      <c r="J221" s="775">
        <f t="shared" si="23"/>
        <v>10</v>
      </c>
      <c r="K221" s="775">
        <f t="shared" si="23"/>
        <v>11</v>
      </c>
      <c r="L221" s="775">
        <f t="shared" si="23"/>
        <v>12</v>
      </c>
      <c r="M221" s="775">
        <f t="shared" si="23"/>
        <v>13</v>
      </c>
      <c r="N221" s="775">
        <f t="shared" si="23"/>
        <v>14</v>
      </c>
      <c r="O221" s="775">
        <f t="shared" si="23"/>
        <v>15</v>
      </c>
      <c r="P221" s="775">
        <f t="shared" si="23"/>
        <v>16</v>
      </c>
      <c r="Q221" s="775">
        <f t="shared" si="23"/>
        <v>17</v>
      </c>
      <c r="R221" s="775">
        <f t="shared" si="23"/>
        <v>18</v>
      </c>
      <c r="S221" s="775">
        <f t="shared" si="23"/>
        <v>19</v>
      </c>
      <c r="T221" s="775">
        <f t="shared" si="23"/>
        <v>20</v>
      </c>
      <c r="U221" s="775">
        <f t="shared" si="23"/>
        <v>21</v>
      </c>
      <c r="V221" s="775">
        <f t="shared" si="23"/>
        <v>22</v>
      </c>
      <c r="W221" s="775">
        <f t="shared" si="23"/>
        <v>23</v>
      </c>
      <c r="X221" s="775">
        <f t="shared" si="23"/>
        <v>24</v>
      </c>
      <c r="Y221" s="551"/>
      <c r="Z221" s="551"/>
      <c r="AA221" s="551"/>
      <c r="AB221" s="551"/>
      <c r="AC221" s="775"/>
      <c r="AD221" s="775"/>
      <c r="AE221" s="1168"/>
      <c r="AF221" s="1168"/>
      <c r="AG221" s="1169"/>
      <c r="AH221" s="1169"/>
      <c r="AI221" s="775"/>
      <c r="AJ221" s="775"/>
    </row>
    <row r="222" spans="1:36" s="760" customFormat="1">
      <c r="A222" s="775"/>
      <c r="B222" s="775"/>
      <c r="C222" s="775"/>
      <c r="N222" s="776"/>
      <c r="R222" s="775"/>
      <c r="Y222" s="551"/>
      <c r="Z222" s="551"/>
      <c r="AA222" s="551"/>
      <c r="AB222" s="551"/>
      <c r="AE222" s="1168"/>
      <c r="AF222" s="1168"/>
      <c r="AG222" s="1169"/>
      <c r="AH222" s="1169"/>
    </row>
    <row r="223" spans="1:36" s="760" customFormat="1" ht="12.75" customHeight="1">
      <c r="A223" s="775"/>
      <c r="B223" s="775"/>
      <c r="C223" s="775"/>
      <c r="N223" s="776"/>
      <c r="R223" s="775"/>
      <c r="Y223" s="551"/>
      <c r="Z223" s="551"/>
      <c r="AA223" s="551"/>
      <c r="AB223" s="551"/>
      <c r="AE223" s="1168"/>
      <c r="AF223" s="1168"/>
      <c r="AG223" s="1169"/>
      <c r="AH223" s="1169"/>
    </row>
    <row r="224" spans="1:36" s="760" customFormat="1" ht="12.75" customHeight="1">
      <c r="A224" s="775"/>
      <c r="B224" s="775"/>
      <c r="C224" s="775"/>
      <c r="N224" s="776"/>
      <c r="R224" s="775"/>
      <c r="Y224" s="551"/>
      <c r="Z224" s="551"/>
      <c r="AA224" s="551"/>
      <c r="AB224" s="551"/>
      <c r="AE224" s="1168"/>
      <c r="AF224" s="1168"/>
      <c r="AG224" s="1169"/>
      <c r="AH224" s="1169"/>
    </row>
    <row r="225" spans="1:35" s="760" customFormat="1" ht="12.75" customHeight="1">
      <c r="A225" s="775"/>
      <c r="B225" s="775"/>
      <c r="C225" s="775"/>
      <c r="N225" s="776"/>
      <c r="R225" s="775"/>
      <c r="Y225" s="551"/>
      <c r="Z225" s="551"/>
      <c r="AA225" s="551"/>
      <c r="AB225" s="551"/>
      <c r="AE225" s="1168"/>
      <c r="AF225" s="1168"/>
      <c r="AG225" s="1169"/>
      <c r="AH225" s="1169"/>
    </row>
    <row r="226" spans="1:35" s="760" customFormat="1" ht="12.75" customHeight="1">
      <c r="A226" s="775">
        <v>1</v>
      </c>
      <c r="B226" s="775">
        <f>A226+1</f>
        <v>2</v>
      </c>
      <c r="C226" s="775">
        <f t="shared" ref="C226:AI226" si="24">B226+1</f>
        <v>3</v>
      </c>
      <c r="D226" s="775">
        <f t="shared" si="24"/>
        <v>4</v>
      </c>
      <c r="E226" s="775">
        <f t="shared" si="24"/>
        <v>5</v>
      </c>
      <c r="F226" s="775">
        <f t="shared" si="24"/>
        <v>6</v>
      </c>
      <c r="G226" s="775">
        <f t="shared" si="24"/>
        <v>7</v>
      </c>
      <c r="H226" s="775">
        <f t="shared" si="24"/>
        <v>8</v>
      </c>
      <c r="I226" s="775">
        <f t="shared" si="24"/>
        <v>9</v>
      </c>
      <c r="J226" s="775">
        <f t="shared" si="24"/>
        <v>10</v>
      </c>
      <c r="K226" s="775">
        <f t="shared" si="24"/>
        <v>11</v>
      </c>
      <c r="L226" s="775">
        <f t="shared" si="24"/>
        <v>12</v>
      </c>
      <c r="M226" s="775">
        <f t="shared" si="24"/>
        <v>13</v>
      </c>
      <c r="N226" s="775">
        <f t="shared" si="24"/>
        <v>14</v>
      </c>
      <c r="O226" s="775">
        <f t="shared" si="24"/>
        <v>15</v>
      </c>
      <c r="P226" s="775">
        <f t="shared" si="24"/>
        <v>16</v>
      </c>
      <c r="Q226" s="775">
        <f t="shared" si="24"/>
        <v>17</v>
      </c>
      <c r="R226" s="775">
        <f t="shared" si="24"/>
        <v>18</v>
      </c>
      <c r="S226" s="775">
        <f t="shared" si="24"/>
        <v>19</v>
      </c>
      <c r="T226" s="775">
        <f t="shared" si="24"/>
        <v>20</v>
      </c>
      <c r="U226" s="775">
        <f t="shared" si="24"/>
        <v>21</v>
      </c>
      <c r="V226" s="775">
        <f t="shared" si="24"/>
        <v>22</v>
      </c>
      <c r="W226" s="775">
        <f t="shared" si="24"/>
        <v>23</v>
      </c>
      <c r="X226" s="775">
        <f t="shared" si="24"/>
        <v>24</v>
      </c>
      <c r="Y226" s="775">
        <f t="shared" si="24"/>
        <v>25</v>
      </c>
      <c r="Z226" s="775">
        <f t="shared" si="24"/>
        <v>26</v>
      </c>
      <c r="AA226" s="775">
        <f t="shared" si="24"/>
        <v>27</v>
      </c>
      <c r="AB226" s="775">
        <f t="shared" si="24"/>
        <v>28</v>
      </c>
      <c r="AC226" s="775">
        <f t="shared" si="24"/>
        <v>29</v>
      </c>
      <c r="AD226" s="775">
        <f t="shared" si="24"/>
        <v>30</v>
      </c>
      <c r="AE226" s="551">
        <f t="shared" si="24"/>
        <v>31</v>
      </c>
      <c r="AF226" s="551">
        <f t="shared" si="24"/>
        <v>32</v>
      </c>
      <c r="AG226" s="551">
        <f t="shared" si="24"/>
        <v>33</v>
      </c>
      <c r="AH226" s="551">
        <f t="shared" si="24"/>
        <v>34</v>
      </c>
      <c r="AI226" s="775">
        <f t="shared" si="24"/>
        <v>35</v>
      </c>
    </row>
    <row r="227" spans="1:35" s="760" customFormat="1" ht="12.75" customHeight="1">
      <c r="A227" s="775"/>
      <c r="B227" s="775"/>
      <c r="C227" s="775"/>
      <c r="N227" s="776"/>
      <c r="R227" s="775"/>
      <c r="Y227" s="551"/>
      <c r="Z227" s="551"/>
      <c r="AA227" s="551"/>
      <c r="AB227" s="551"/>
      <c r="AE227" s="1168"/>
      <c r="AF227" s="1168"/>
      <c r="AG227" s="1169"/>
      <c r="AH227" s="1169"/>
    </row>
    <row r="228" spans="1:35" s="760" customFormat="1" ht="12.75" customHeight="1">
      <c r="A228" s="775"/>
      <c r="B228" s="775"/>
      <c r="C228" s="775"/>
      <c r="N228" s="776"/>
      <c r="R228" s="775"/>
      <c r="Y228" s="551"/>
      <c r="Z228" s="551"/>
      <c r="AA228" s="551"/>
      <c r="AB228" s="551"/>
      <c r="AE228" s="1168"/>
      <c r="AF228" s="1168"/>
      <c r="AG228" s="1169"/>
      <c r="AH228" s="1169"/>
    </row>
    <row r="229" spans="1:35" s="760" customFormat="1">
      <c r="A229" s="775"/>
      <c r="B229" s="775"/>
      <c r="C229" s="775"/>
      <c r="N229" s="776"/>
      <c r="R229" s="775"/>
      <c r="Y229" s="551"/>
      <c r="Z229" s="551"/>
      <c r="AA229" s="551"/>
      <c r="AB229" s="551"/>
      <c r="AE229" s="1168"/>
      <c r="AF229" s="1168"/>
      <c r="AG229" s="1169"/>
      <c r="AH229" s="1169"/>
    </row>
    <row r="230" spans="1:35" s="760" customFormat="1" ht="12.75" customHeight="1">
      <c r="A230" s="775"/>
      <c r="B230" s="775"/>
      <c r="C230" s="775"/>
      <c r="N230" s="776"/>
      <c r="R230" s="775"/>
      <c r="Y230" s="551"/>
      <c r="Z230" s="551"/>
      <c r="AA230" s="551"/>
      <c r="AB230" s="551"/>
      <c r="AE230" s="1168"/>
      <c r="AF230" s="1168"/>
      <c r="AG230" s="1169"/>
      <c r="AH230" s="1169"/>
    </row>
    <row r="231" spans="1:35" s="760" customFormat="1" ht="12.75" customHeight="1">
      <c r="A231" s="775"/>
      <c r="B231" s="775"/>
      <c r="C231" s="775"/>
      <c r="N231" s="776"/>
      <c r="R231" s="775"/>
      <c r="Y231" s="551"/>
      <c r="Z231" s="551"/>
      <c r="AA231" s="551"/>
      <c r="AB231" s="551"/>
      <c r="AE231" s="1168"/>
      <c r="AF231" s="1168"/>
      <c r="AG231" s="1169"/>
      <c r="AH231" s="1169"/>
    </row>
    <row r="232" spans="1:35" s="760" customFormat="1" ht="12.75" customHeight="1">
      <c r="A232" s="775"/>
      <c r="B232" s="775"/>
      <c r="C232" s="775"/>
      <c r="N232" s="776"/>
      <c r="R232" s="775"/>
      <c r="Y232" s="551"/>
      <c r="Z232" s="551"/>
      <c r="AA232" s="551"/>
      <c r="AB232" s="551"/>
      <c r="AE232" s="1168"/>
      <c r="AF232" s="1168"/>
      <c r="AG232" s="1169"/>
      <c r="AH232" s="1169"/>
    </row>
    <row r="233" spans="1:35" s="760" customFormat="1" ht="12.75" customHeight="1">
      <c r="A233" s="775"/>
      <c r="B233" s="775"/>
      <c r="C233" s="775"/>
      <c r="N233" s="776"/>
      <c r="R233" s="775"/>
      <c r="Y233" s="551"/>
      <c r="Z233" s="551"/>
      <c r="AA233" s="551"/>
      <c r="AB233" s="551"/>
      <c r="AE233" s="1168"/>
      <c r="AF233" s="1168"/>
      <c r="AG233" s="1169"/>
      <c r="AH233" s="1169"/>
    </row>
    <row r="234" spans="1:35" s="760" customFormat="1" ht="12.75" customHeight="1">
      <c r="A234" s="775"/>
      <c r="B234" s="775"/>
      <c r="C234" s="775"/>
      <c r="N234" s="776"/>
      <c r="R234" s="775"/>
      <c r="Y234" s="551"/>
      <c r="Z234" s="551"/>
      <c r="AA234" s="551"/>
      <c r="AB234" s="551"/>
      <c r="AE234" s="1168"/>
      <c r="AF234" s="1168"/>
      <c r="AG234" s="1169"/>
      <c r="AH234" s="1169"/>
    </row>
    <row r="235" spans="1:35" s="760" customFormat="1" ht="12.75" customHeight="1">
      <c r="A235" s="775"/>
      <c r="B235" s="775"/>
      <c r="C235" s="775"/>
      <c r="N235" s="776"/>
      <c r="R235" s="775"/>
      <c r="Y235" s="551"/>
      <c r="Z235" s="551"/>
      <c r="AA235" s="551"/>
      <c r="AB235" s="551"/>
      <c r="AE235" s="1168"/>
      <c r="AF235" s="1168"/>
      <c r="AG235" s="1169"/>
      <c r="AH235" s="1169"/>
    </row>
    <row r="236" spans="1:35" s="760" customFormat="1" ht="12.75" customHeight="1">
      <c r="A236" s="775"/>
      <c r="B236" s="775"/>
      <c r="C236" s="775"/>
      <c r="N236" s="776"/>
      <c r="R236" s="775"/>
      <c r="Y236" s="551"/>
      <c r="Z236" s="551"/>
      <c r="AA236" s="551"/>
      <c r="AB236" s="551"/>
      <c r="AE236" s="1168"/>
      <c r="AF236" s="1168"/>
      <c r="AG236" s="1169"/>
      <c r="AH236" s="1169"/>
    </row>
    <row r="237" spans="1:35" s="760" customFormat="1" ht="12.75" customHeight="1">
      <c r="A237" s="775"/>
      <c r="B237" s="775"/>
      <c r="C237" s="775"/>
      <c r="N237" s="776"/>
      <c r="R237" s="775"/>
      <c r="Y237" s="551"/>
      <c r="Z237" s="551"/>
      <c r="AA237" s="551"/>
      <c r="AB237" s="551"/>
      <c r="AE237" s="1168"/>
      <c r="AF237" s="1168"/>
      <c r="AG237" s="1169"/>
      <c r="AH237" s="1169"/>
    </row>
    <row r="238" spans="1:35" s="760" customFormat="1" ht="12.75" customHeight="1">
      <c r="A238" s="775"/>
      <c r="B238" s="775"/>
      <c r="C238" s="775"/>
      <c r="N238" s="776"/>
      <c r="R238" s="775"/>
      <c r="Y238" s="551"/>
      <c r="Z238" s="551"/>
      <c r="AA238" s="551"/>
      <c r="AB238" s="551"/>
      <c r="AE238" s="1168"/>
      <c r="AF238" s="1168"/>
      <c r="AG238" s="1169"/>
      <c r="AH238" s="1169"/>
    </row>
    <row r="239" spans="1:35" s="760" customFormat="1">
      <c r="A239" s="775"/>
      <c r="B239" s="775"/>
      <c r="C239" s="775"/>
      <c r="N239" s="776"/>
      <c r="R239" s="775"/>
      <c r="Y239" s="551"/>
      <c r="Z239" s="551"/>
      <c r="AA239" s="551"/>
      <c r="AB239" s="551"/>
      <c r="AE239" s="1168"/>
      <c r="AF239" s="1168"/>
      <c r="AG239" s="1169"/>
      <c r="AH239" s="1169"/>
    </row>
    <row r="240" spans="1:35" s="760" customFormat="1" ht="12.75" customHeight="1">
      <c r="A240" s="775"/>
      <c r="B240" s="775"/>
      <c r="C240" s="775"/>
      <c r="N240" s="776"/>
      <c r="R240" s="775"/>
      <c r="Y240" s="551"/>
      <c r="Z240" s="551"/>
      <c r="AA240" s="551"/>
      <c r="AB240" s="551"/>
      <c r="AE240" s="1168"/>
      <c r="AF240" s="1168"/>
      <c r="AG240" s="1169"/>
      <c r="AH240" s="1169"/>
    </row>
    <row r="241" ht="12.75" customHeight="1"/>
    <row r="243" ht="12.75" customHeight="1"/>
    <row r="244" ht="12.75" customHeight="1"/>
    <row r="245" ht="12.75" customHeight="1"/>
    <row r="246" ht="12.75" customHeight="1"/>
    <row r="247"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60" ht="12.75" customHeight="1"/>
    <row r="261" ht="12.75" customHeight="1"/>
    <row r="262" ht="12.75" customHeight="1"/>
    <row r="263" ht="12.75" customHeight="1"/>
    <row r="265" ht="12.75" customHeight="1"/>
    <row r="267" ht="12.75" customHeight="1"/>
    <row r="268" ht="12.75" customHeight="1"/>
    <row r="269" ht="12.75" customHeight="1"/>
    <row r="270" ht="12.75" customHeight="1"/>
    <row r="271" ht="12.75" customHeight="1"/>
    <row r="272" ht="12.75" customHeight="1"/>
    <row r="273" ht="12.75" customHeight="1"/>
    <row r="274" ht="12.75" customHeight="1"/>
    <row r="276" ht="12.75" customHeight="1"/>
    <row r="277" ht="12.75" customHeight="1"/>
    <row r="279" ht="12.75" customHeight="1"/>
    <row r="280" ht="12.75" customHeight="1"/>
    <row r="281" ht="12.75" customHeight="1"/>
    <row r="282" ht="12.75" customHeight="1"/>
    <row r="283" ht="12.75" customHeight="1"/>
    <row r="285" ht="12.75" customHeight="1"/>
    <row r="286" ht="12.75" customHeight="1"/>
    <row r="288" ht="12.75" customHeight="1"/>
    <row r="289" ht="12.75" customHeight="1"/>
    <row r="290" ht="12.75" customHeight="1"/>
    <row r="292"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9" ht="12.75" customHeight="1"/>
    <row r="322" ht="12.75" customHeight="1"/>
    <row r="323" ht="12.75" customHeight="1"/>
    <row r="324" ht="12.75" customHeight="1"/>
    <row r="325" ht="12.75" customHeight="1"/>
    <row r="326" ht="12.75" customHeight="1"/>
    <row r="327" ht="12.75" customHeight="1"/>
    <row r="328"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6" ht="12.75" customHeight="1"/>
    <row r="348" ht="12.75" customHeight="1"/>
    <row r="349" ht="12.75" customHeight="1"/>
    <row r="351" ht="12.75" customHeight="1"/>
    <row r="353" ht="12.75" customHeight="1"/>
    <row r="354" ht="12.75" customHeight="1"/>
    <row r="355" ht="12.75" customHeight="1"/>
    <row r="357" ht="12.75" customHeight="1"/>
    <row r="358" ht="12.75" customHeight="1"/>
  </sheetData>
  <sheetProtection password="CC2E" sheet="1" objects="1" scenarios="1"/>
  <autoFilter ref="A6:AW216" xr:uid="{7738CE3F-E1F1-4423-A652-E39B911E6355}">
    <filterColumn colId="1">
      <filters>
        <filter val="UNSOLD"/>
      </filters>
    </filterColumn>
  </autoFilter>
  <mergeCells count="3">
    <mergeCell ref="A5:B5"/>
    <mergeCell ref="Y5:AB5"/>
    <mergeCell ref="AE5:AH5"/>
  </mergeCells>
  <pageMargins left="0.27559055118110237" right="0.11811023622047245" top="0.39370078740157483" bottom="0.11811023622047245" header="0.31496062992125984" footer="0.11811023622047245"/>
  <pageSetup paperSize="5" scale="53"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dimension ref="A1:AH62"/>
  <sheetViews>
    <sheetView showGridLines="0" showZeros="0" topLeftCell="D10" zoomScale="60" zoomScaleNormal="60" workbookViewId="0">
      <selection activeCell="I22" sqref="I22:L22"/>
    </sheetView>
  </sheetViews>
  <sheetFormatPr defaultColWidth="8.140625" defaultRowHeight="0" customHeight="1" zeroHeight="1"/>
  <cols>
    <col min="1" max="3" width="0" style="6" hidden="1" customWidth="1"/>
    <col min="4" max="6" width="8.140625" style="6"/>
    <col min="7" max="7" width="15.140625" style="6" customWidth="1"/>
    <col min="8" max="8" width="8.140625" style="6"/>
    <col min="9" max="12" width="13.42578125" style="6" customWidth="1"/>
    <col min="13" max="13" width="5.140625" style="6" customWidth="1"/>
    <col min="14" max="14" width="5.42578125" style="6" customWidth="1"/>
    <col min="15" max="18" width="8.140625" style="6"/>
    <col min="19" max="19" width="17.42578125" style="6" customWidth="1"/>
    <col min="20" max="20" width="29.85546875" style="6" customWidth="1"/>
    <col min="21" max="21" width="31.85546875" style="6" customWidth="1"/>
    <col min="22" max="23" width="16.85546875" style="6" customWidth="1"/>
    <col min="24" max="24" width="2.5703125" style="6" customWidth="1"/>
    <col min="25" max="25" width="6.42578125" style="6" customWidth="1"/>
    <col min="26" max="26" width="8.140625" style="6"/>
    <col min="27" max="28" width="20.85546875" style="6" hidden="1" customWidth="1"/>
    <col min="29" max="31" width="0" style="6" hidden="1" customWidth="1"/>
    <col min="32" max="16384" width="8.140625" style="6"/>
  </cols>
  <sheetData>
    <row r="1" spans="1:28" ht="17.25" hidden="1" customHeight="1"/>
    <row r="2" spans="1:28" ht="21" hidden="1" customHeight="1"/>
    <row r="3" spans="1:28" ht="18.75" hidden="1" customHeight="1"/>
    <row r="4" spans="1:28" ht="41.25" hidden="1" customHeight="1">
      <c r="A4" s="1"/>
    </row>
    <row r="5" spans="1:28" ht="20.25" hidden="1" customHeight="1">
      <c r="A5" s="1"/>
    </row>
    <row r="6" spans="1:28" ht="17.45" hidden="1">
      <c r="A6" s="1"/>
    </row>
    <row r="7" spans="1:28" ht="17.45" hidden="1">
      <c r="A7" s="1"/>
    </row>
    <row r="8" spans="1:28" ht="17.45" hidden="1">
      <c r="A8" s="1"/>
    </row>
    <row r="9" spans="1:28" ht="31.5" hidden="1" customHeight="1">
      <c r="A9" s="1"/>
    </row>
    <row r="10" spans="1:28" ht="13.5" customHeight="1">
      <c r="A10" s="1"/>
    </row>
    <row r="11" spans="1:28" ht="19.5" customHeight="1">
      <c r="A11" s="1"/>
      <c r="D11" s="1455" t="s">
        <v>801</v>
      </c>
      <c r="E11" s="1455"/>
      <c r="F11" s="1455"/>
      <c r="G11" s="1455"/>
      <c r="H11" s="1456" t="s">
        <v>802</v>
      </c>
      <c r="I11" s="1443" t="s">
        <v>53</v>
      </c>
      <c r="J11" s="1444"/>
      <c r="K11" s="1444"/>
      <c r="L11" s="1445"/>
      <c r="M11" s="7"/>
      <c r="AA11" s="6" t="s">
        <v>803</v>
      </c>
      <c r="AB11" s="360" t="s">
        <v>804</v>
      </c>
    </row>
    <row r="12" spans="1:28" ht="17.25" customHeight="1">
      <c r="A12" s="1"/>
      <c r="D12" s="1455"/>
      <c r="E12" s="1455"/>
      <c r="F12" s="1455"/>
      <c r="G12" s="1455"/>
      <c r="H12" s="1456"/>
      <c r="I12" s="1446"/>
      <c r="J12" s="1447"/>
      <c r="K12" s="1447"/>
      <c r="L12" s="1448"/>
      <c r="M12" s="7"/>
      <c r="AA12" s="6" t="s">
        <v>805</v>
      </c>
      <c r="AB12" s="361" t="s">
        <v>806</v>
      </c>
    </row>
    <row r="13" spans="1:28" ht="16.5" customHeight="1">
      <c r="A13" s="1"/>
      <c r="D13" s="21"/>
      <c r="E13" s="21"/>
      <c r="F13" s="13"/>
      <c r="G13" s="13"/>
      <c r="H13" s="21"/>
      <c r="I13" s="13"/>
      <c r="J13" s="13"/>
      <c r="K13" s="21"/>
      <c r="L13" s="13"/>
      <c r="M13" s="7"/>
      <c r="AA13" s="6" t="s">
        <v>807</v>
      </c>
      <c r="AB13" s="361" t="s">
        <v>808</v>
      </c>
    </row>
    <row r="14" spans="1:28" ht="36.75" customHeight="1">
      <c r="A14" s="1"/>
      <c r="D14" s="1457" t="s">
        <v>809</v>
      </c>
      <c r="E14" s="1457"/>
      <c r="F14" s="1457"/>
      <c r="G14" s="1457"/>
      <c r="H14" s="21" t="s">
        <v>802</v>
      </c>
      <c r="I14" s="1458" t="s">
        <v>5</v>
      </c>
      <c r="J14" s="1458"/>
      <c r="K14" s="1458"/>
      <c r="L14" s="1458"/>
      <c r="M14" s="7"/>
      <c r="AB14" s="279"/>
    </row>
    <row r="15" spans="1:28" ht="16.5" customHeight="1" thickBot="1">
      <c r="A15" s="1"/>
      <c r="D15" s="21"/>
      <c r="E15" s="21"/>
      <c r="F15" s="13"/>
      <c r="G15" s="13"/>
      <c r="H15" s="21"/>
      <c r="I15" s="13"/>
      <c r="J15" s="13"/>
      <c r="K15" s="21"/>
      <c r="L15" s="13"/>
      <c r="M15" s="7"/>
      <c r="AB15" s="279"/>
    </row>
    <row r="16" spans="1:28" ht="39" customHeight="1">
      <c r="A16" s="1"/>
      <c r="D16" s="1457" t="s">
        <v>810</v>
      </c>
      <c r="E16" s="1457"/>
      <c r="F16" s="1457"/>
      <c r="G16" s="1457"/>
      <c r="H16" s="21" t="s">
        <v>802</v>
      </c>
      <c r="I16" s="1458" t="str">
        <f>VLOOKUP(I18,'Pricelist Link'!A6:AG358,3,FALSE)</f>
        <v>2nd Floor</v>
      </c>
      <c r="J16" s="1458"/>
      <c r="K16" s="1458"/>
      <c r="L16" s="1458"/>
      <c r="M16" s="7"/>
      <c r="O16" s="1503" t="s">
        <v>811</v>
      </c>
      <c r="P16" s="1504"/>
      <c r="Q16" s="1504"/>
      <c r="R16" s="1504"/>
      <c r="S16" s="1504"/>
      <c r="T16" s="1504"/>
      <c r="U16" s="1504"/>
      <c r="V16" s="1504"/>
      <c r="W16" s="1505"/>
    </row>
    <row r="17" spans="1:28" ht="16.5" customHeight="1">
      <c r="A17" s="1"/>
      <c r="D17" s="21"/>
      <c r="E17" s="21"/>
      <c r="F17" s="13"/>
      <c r="G17" s="13"/>
      <c r="H17" s="21"/>
      <c r="I17" s="704" t="str">
        <f>VLOOKUP(I18,'Pricelist Link'!A6:AG358,2,FALSE)</f>
        <v>UNSOLD</v>
      </c>
      <c r="J17" s="13"/>
      <c r="K17" s="21"/>
      <c r="L17" s="13"/>
      <c r="M17" s="7"/>
      <c r="O17" s="1474" t="s">
        <v>812</v>
      </c>
      <c r="P17" s="1475"/>
      <c r="Q17" s="1475"/>
      <c r="R17" s="1475"/>
      <c r="S17" s="1475"/>
      <c r="T17" s="1475"/>
      <c r="U17" s="1475"/>
      <c r="V17" s="1475"/>
      <c r="W17" s="1476"/>
    </row>
    <row r="18" spans="1:28" ht="39" customHeight="1">
      <c r="A18" s="1"/>
      <c r="D18" s="1457" t="s">
        <v>813</v>
      </c>
      <c r="E18" s="1457"/>
      <c r="F18" s="1457"/>
      <c r="G18" s="1457"/>
      <c r="H18" s="21" t="s">
        <v>802</v>
      </c>
      <c r="I18" s="1459" t="s">
        <v>295</v>
      </c>
      <c r="J18" s="1459"/>
      <c r="K18" s="1459"/>
      <c r="L18" s="1459"/>
      <c r="M18" s="7"/>
      <c r="O18" s="1473" t="s">
        <v>814</v>
      </c>
      <c r="P18" s="1466"/>
      <c r="Q18" s="1466"/>
      <c r="R18" s="1466"/>
      <c r="S18" s="1466" t="s">
        <v>815</v>
      </c>
      <c r="T18" s="1466"/>
      <c r="U18" s="1466"/>
      <c r="V18" s="1466" t="s">
        <v>816</v>
      </c>
      <c r="W18" s="1467"/>
    </row>
    <row r="19" spans="1:28" ht="24" customHeight="1">
      <c r="D19" s="20"/>
      <c r="E19" s="20"/>
      <c r="F19" s="20"/>
      <c r="G19" s="20"/>
      <c r="H19" s="7"/>
      <c r="I19" s="7"/>
      <c r="J19" s="7"/>
      <c r="K19" s="7"/>
      <c r="L19" s="7"/>
      <c r="M19" s="7"/>
      <c r="O19" s="1469"/>
      <c r="P19" s="1470"/>
      <c r="Q19" s="1470"/>
      <c r="R19" s="1470"/>
      <c r="S19" s="1468"/>
      <c r="T19" s="1468"/>
      <c r="U19" s="1468"/>
      <c r="V19" s="1471"/>
      <c r="W19" s="1472"/>
    </row>
    <row r="20" spans="1:28" ht="39" customHeight="1">
      <c r="D20" s="1455" t="s">
        <v>817</v>
      </c>
      <c r="E20" s="1455"/>
      <c r="F20" s="1455"/>
      <c r="G20" s="1455"/>
      <c r="H20" s="13" t="s">
        <v>802</v>
      </c>
      <c r="I20" s="1449" t="s">
        <v>818</v>
      </c>
      <c r="J20" s="1450"/>
      <c r="K20" s="1450"/>
      <c r="L20" s="1451"/>
      <c r="M20" s="9"/>
      <c r="O20" s="1469"/>
      <c r="P20" s="1470"/>
      <c r="Q20" s="1470"/>
      <c r="R20" s="1470"/>
      <c r="S20" s="1468"/>
      <c r="T20" s="1468"/>
      <c r="U20" s="1468"/>
      <c r="V20" s="1471"/>
      <c r="W20" s="1472"/>
      <c r="X20" s="169"/>
    </row>
    <row r="21" spans="1:28" ht="24" customHeight="1">
      <c r="D21" s="13"/>
      <c r="E21" s="13"/>
      <c r="F21" s="13"/>
      <c r="G21" s="13"/>
      <c r="H21" s="8"/>
      <c r="I21" s="10"/>
      <c r="J21" s="10"/>
      <c r="K21" s="10"/>
      <c r="L21" s="10"/>
      <c r="M21" s="9"/>
      <c r="O21" s="1469"/>
      <c r="P21" s="1470"/>
      <c r="Q21" s="1470"/>
      <c r="R21" s="1470"/>
      <c r="S21" s="1468"/>
      <c r="T21" s="1468"/>
      <c r="U21" s="1468"/>
      <c r="V21" s="1471"/>
      <c r="W21" s="1472"/>
      <c r="Z21" s="6" t="s">
        <v>819</v>
      </c>
    </row>
    <row r="22" spans="1:28" ht="39" customHeight="1">
      <c r="D22" s="1455" t="s">
        <v>820</v>
      </c>
      <c r="E22" s="1455"/>
      <c r="F22" s="1455"/>
      <c r="G22" s="1455"/>
      <c r="H22" s="13"/>
      <c r="I22" s="1460">
        <f>VLOOKUP(I18,'Pricelist Link'!A6:AG358,16,FALSE)</f>
        <v>30000</v>
      </c>
      <c r="J22" s="1461"/>
      <c r="K22" s="1461"/>
      <c r="L22" s="1462"/>
      <c r="M22" s="9"/>
      <c r="O22" s="1469"/>
      <c r="P22" s="1470"/>
      <c r="Q22" s="1470"/>
      <c r="R22" s="1470"/>
      <c r="S22" s="1468"/>
      <c r="T22" s="1468"/>
      <c r="U22" s="1468"/>
      <c r="V22" s="1471"/>
      <c r="W22" s="1472"/>
    </row>
    <row r="23" spans="1:28" ht="24" customHeight="1">
      <c r="D23" s="13"/>
      <c r="E23" s="13"/>
      <c r="F23" s="13"/>
      <c r="G23" s="13"/>
      <c r="H23" s="8"/>
      <c r="I23" s="10"/>
      <c r="J23" s="10"/>
      <c r="K23" s="11"/>
      <c r="L23" s="11"/>
      <c r="M23" s="9"/>
      <c r="O23" s="1474" t="s">
        <v>821</v>
      </c>
      <c r="P23" s="1475"/>
      <c r="Q23" s="1475"/>
      <c r="R23" s="1475"/>
      <c r="S23" s="1475"/>
      <c r="T23" s="1475"/>
      <c r="U23" s="1475"/>
      <c r="V23" s="1475"/>
      <c r="W23" s="1476"/>
      <c r="AB23" s="6" t="s">
        <v>819</v>
      </c>
    </row>
    <row r="24" spans="1:28" ht="39" customHeight="1">
      <c r="D24" s="1457" t="s">
        <v>822</v>
      </c>
      <c r="E24" s="1457"/>
      <c r="F24" s="1457"/>
      <c r="G24" s="1457"/>
      <c r="H24" s="13" t="s">
        <v>802</v>
      </c>
      <c r="I24" s="1463">
        <f>VLOOKUP(I18,'Pricelist Link'!A6:AG358,14,FALSE)</f>
        <v>0.125</v>
      </c>
      <c r="J24" s="1464"/>
      <c r="K24" s="1464"/>
      <c r="L24" s="1465"/>
      <c r="M24" s="9"/>
      <c r="O24" s="1473" t="s">
        <v>814</v>
      </c>
      <c r="P24" s="1466"/>
      <c r="Q24" s="1466"/>
      <c r="R24" s="1466"/>
      <c r="S24" s="1466" t="s">
        <v>815</v>
      </c>
      <c r="T24" s="1466"/>
      <c r="U24" s="1466"/>
      <c r="V24" s="1466" t="s">
        <v>816</v>
      </c>
      <c r="W24" s="1467"/>
      <c r="X24" s="169"/>
    </row>
    <row r="25" spans="1:28" ht="24" customHeight="1">
      <c r="D25" s="13"/>
      <c r="E25" s="13"/>
      <c r="F25" s="13"/>
      <c r="G25" s="13"/>
      <c r="H25" s="8"/>
      <c r="I25" s="10"/>
      <c r="J25" s="10"/>
      <c r="K25" s="11"/>
      <c r="L25" s="11"/>
      <c r="M25" s="9"/>
      <c r="O25" s="1469"/>
      <c r="P25" s="1470"/>
      <c r="Q25" s="1470"/>
      <c r="R25" s="1470"/>
      <c r="S25" s="1468"/>
      <c r="T25" s="1468"/>
      <c r="U25" s="1468"/>
      <c r="V25" s="1471"/>
      <c r="W25" s="1472"/>
    </row>
    <row r="26" spans="1:28" ht="39" customHeight="1">
      <c r="D26" s="1455" t="s">
        <v>823</v>
      </c>
      <c r="E26" s="1455"/>
      <c r="F26" s="1455"/>
      <c r="G26" s="1455"/>
      <c r="H26" s="13" t="s">
        <v>802</v>
      </c>
      <c r="I26" s="1452" t="s">
        <v>824</v>
      </c>
      <c r="J26" s="1453"/>
      <c r="K26" s="1453"/>
      <c r="L26" s="1454"/>
      <c r="M26" s="9"/>
      <c r="O26" s="1469"/>
      <c r="P26" s="1470"/>
      <c r="Q26" s="1470"/>
      <c r="R26" s="1470"/>
      <c r="S26" s="1468"/>
      <c r="T26" s="1468"/>
      <c r="U26" s="1468"/>
      <c r="V26" s="1471"/>
      <c r="W26" s="1472"/>
    </row>
    <row r="27" spans="1:28" ht="25.5" customHeight="1">
      <c r="D27" s="13"/>
      <c r="E27" s="13"/>
      <c r="F27" s="13"/>
      <c r="G27" s="13"/>
      <c r="H27" s="8"/>
      <c r="I27" s="10"/>
      <c r="J27" s="10"/>
      <c r="K27" s="11"/>
      <c r="L27" s="11"/>
      <c r="M27" s="9"/>
      <c r="O27" s="1469"/>
      <c r="P27" s="1470"/>
      <c r="Q27" s="1470"/>
      <c r="R27" s="1470"/>
      <c r="S27" s="1468"/>
      <c r="T27" s="1468"/>
      <c r="U27" s="1468"/>
      <c r="V27" s="1471"/>
      <c r="W27" s="1472"/>
    </row>
    <row r="28" spans="1:28" ht="39" customHeight="1">
      <c r="D28" s="1455" t="s">
        <v>825</v>
      </c>
      <c r="E28" s="1455"/>
      <c r="F28" s="1455"/>
      <c r="G28" s="1455"/>
      <c r="H28" s="13" t="s">
        <v>802</v>
      </c>
      <c r="I28" s="1452" t="s">
        <v>826</v>
      </c>
      <c r="J28" s="1453"/>
      <c r="K28" s="1453"/>
      <c r="L28" s="1454"/>
      <c r="M28" s="7"/>
      <c r="O28" s="1469"/>
      <c r="P28" s="1470"/>
      <c r="Q28" s="1470"/>
      <c r="R28" s="1470"/>
      <c r="S28" s="1468"/>
      <c r="T28" s="1468"/>
      <c r="U28" s="1468"/>
      <c r="V28" s="1471"/>
      <c r="W28" s="1472"/>
    </row>
    <row r="29" spans="1:28" ht="25.5" customHeight="1">
      <c r="D29" s="20"/>
      <c r="E29" s="20"/>
      <c r="F29" s="20"/>
      <c r="G29" s="20"/>
      <c r="H29" s="13"/>
      <c r="I29" s="7"/>
      <c r="J29" s="7"/>
      <c r="K29" s="7"/>
      <c r="L29" s="7"/>
      <c r="M29" s="8"/>
      <c r="O29" s="1474" t="s">
        <v>799</v>
      </c>
      <c r="P29" s="1475"/>
      <c r="Q29" s="1475"/>
      <c r="R29" s="1475"/>
      <c r="S29" s="1475"/>
      <c r="T29" s="1475"/>
      <c r="U29" s="1475"/>
      <c r="V29" s="1475"/>
      <c r="W29" s="1476"/>
    </row>
    <row r="30" spans="1:28" ht="27" customHeight="1">
      <c r="D30" s="1457" t="s">
        <v>827</v>
      </c>
      <c r="E30" s="1457"/>
      <c r="F30" s="1457"/>
      <c r="G30" s="1457"/>
      <c r="H30" s="13" t="s">
        <v>802</v>
      </c>
      <c r="I30" s="1482" t="s">
        <v>828</v>
      </c>
      <c r="J30" s="1483"/>
      <c r="K30" s="1483"/>
      <c r="L30" s="1484"/>
      <c r="M30" s="7"/>
      <c r="O30" s="1473" t="s">
        <v>814</v>
      </c>
      <c r="P30" s="1466"/>
      <c r="Q30" s="1466"/>
      <c r="R30" s="1466"/>
      <c r="S30" s="1466" t="s">
        <v>815</v>
      </c>
      <c r="T30" s="1466"/>
      <c r="U30" s="1466"/>
      <c r="V30" s="1466" t="s">
        <v>829</v>
      </c>
      <c r="W30" s="1467"/>
    </row>
    <row r="31" spans="1:28" ht="27" customHeight="1">
      <c r="D31" s="1457"/>
      <c r="E31" s="1457"/>
      <c r="F31" s="1457"/>
      <c r="G31" s="1457"/>
      <c r="H31" s="13"/>
      <c r="I31" s="1485"/>
      <c r="J31" s="1486"/>
      <c r="K31" s="1486"/>
      <c r="L31" s="1487"/>
      <c r="M31" s="7"/>
      <c r="O31" s="1469"/>
      <c r="P31" s="1470"/>
      <c r="Q31" s="1470"/>
      <c r="R31" s="1470"/>
      <c r="S31" s="1468"/>
      <c r="T31" s="1468"/>
      <c r="U31" s="1468"/>
      <c r="V31" s="1471"/>
      <c r="W31" s="1472"/>
    </row>
    <row r="32" spans="1:28" ht="18.75" customHeight="1">
      <c r="C32" s="12"/>
      <c r="H32"/>
      <c r="O32" s="1469"/>
      <c r="P32" s="1470"/>
      <c r="Q32" s="1470"/>
      <c r="R32" s="1470"/>
      <c r="S32" s="1468"/>
      <c r="T32" s="1468"/>
      <c r="U32" s="1468"/>
      <c r="V32" s="1471"/>
      <c r="W32" s="1472"/>
    </row>
    <row r="33" spans="4:34" ht="24.75" customHeight="1">
      <c r="H33"/>
      <c r="O33" s="1469"/>
      <c r="P33" s="1470"/>
      <c r="Q33" s="1470"/>
      <c r="R33" s="1470"/>
      <c r="S33" s="1468"/>
      <c r="T33" s="1468"/>
      <c r="U33" s="1468"/>
      <c r="V33" s="1470"/>
      <c r="W33" s="1477"/>
    </row>
    <row r="34" spans="4:34" ht="24.75" customHeight="1" thickBot="1">
      <c r="O34" s="1481"/>
      <c r="P34" s="1478"/>
      <c r="Q34" s="1478"/>
      <c r="R34" s="1478"/>
      <c r="S34" s="1480"/>
      <c r="T34" s="1480"/>
      <c r="U34" s="1480"/>
      <c r="V34" s="1478"/>
      <c r="W34" s="1479"/>
    </row>
    <row r="35" spans="4:34" ht="24.75" customHeight="1">
      <c r="O35" s="318"/>
      <c r="P35" s="318"/>
      <c r="Q35" s="318"/>
      <c r="R35" s="318"/>
      <c r="S35" s="319"/>
      <c r="T35" s="319"/>
      <c r="U35" s="319"/>
      <c r="V35" s="318"/>
      <c r="W35" s="318"/>
    </row>
    <row r="36" spans="4:34" ht="39" customHeight="1">
      <c r="D36" s="1494" t="s">
        <v>830</v>
      </c>
      <c r="E36" s="1494"/>
      <c r="F36" s="1494"/>
      <c r="G36" s="1494"/>
      <c r="H36" s="1494"/>
      <c r="I36" s="1494"/>
      <c r="J36" s="1494"/>
      <c r="K36" s="1494"/>
      <c r="L36" s="1494"/>
      <c r="M36" s="1494"/>
      <c r="N36" s="1494"/>
      <c r="O36" s="1494"/>
      <c r="P36" s="1494"/>
      <c r="Q36" s="1494"/>
      <c r="R36" s="1494"/>
      <c r="S36" s="1494"/>
      <c r="T36" s="1494"/>
      <c r="U36" s="1494"/>
      <c r="V36" s="1494"/>
      <c r="W36" s="1494"/>
    </row>
    <row r="37" spans="4:34" ht="24.75" customHeight="1"/>
    <row r="38" spans="4:34" ht="33.75" customHeight="1">
      <c r="D38" s="1435" t="s">
        <v>831</v>
      </c>
      <c r="E38" s="1435"/>
      <c r="F38" s="1435" t="s">
        <v>832</v>
      </c>
      <c r="G38" s="1435"/>
      <c r="H38" s="20"/>
      <c r="I38" s="1437" t="s">
        <v>833</v>
      </c>
      <c r="J38" s="1437"/>
      <c r="K38" s="1495" t="s">
        <v>249</v>
      </c>
      <c r="L38" s="1496"/>
      <c r="M38" s="1496"/>
      <c r="N38" s="1496"/>
      <c r="O38" s="1497"/>
      <c r="P38" s="1495" t="s">
        <v>834</v>
      </c>
      <c r="Q38" s="1496"/>
      <c r="R38" s="1496"/>
      <c r="S38" s="1497"/>
      <c r="T38" s="1437" t="s">
        <v>835</v>
      </c>
      <c r="U38" s="1437"/>
      <c r="V38" s="20"/>
      <c r="W38" s="20"/>
    </row>
    <row r="39" spans="4:34" ht="33.75" customHeight="1">
      <c r="D39" s="1441" t="str">
        <f>'STANDARD_NON RFO UNITS'!E8</f>
        <v>2F</v>
      </c>
      <c r="E39" s="1441"/>
      <c r="F39" s="1442">
        <f>'STANDARD_NON RFO UNITS'!E28</f>
        <v>1</v>
      </c>
      <c r="G39" s="1441"/>
      <c r="H39" s="20"/>
      <c r="I39" s="1437" t="s">
        <v>836</v>
      </c>
      <c r="J39" s="1437"/>
      <c r="K39" s="1438">
        <f>'Corrected and Updated TSF 1'!EK9</f>
        <v>0</v>
      </c>
      <c r="L39" s="1439"/>
      <c r="M39" s="1439"/>
      <c r="N39" s="1439"/>
      <c r="O39" s="1440"/>
      <c r="P39" s="1438">
        <f>'Corrected and Updated TSF 1'!EL9</f>
        <v>0</v>
      </c>
      <c r="Q39" s="1439"/>
      <c r="R39" s="1439"/>
      <c r="S39" s="1440"/>
      <c r="T39" s="1436">
        <f>'Corrected and Updated TSF 1'!EM9</f>
        <v>0</v>
      </c>
      <c r="U39" s="1436"/>
      <c r="V39" s="20"/>
      <c r="W39" s="20"/>
    </row>
    <row r="40" spans="4:34" ht="33.75" customHeight="1">
      <c r="D40" s="20"/>
      <c r="E40" s="20"/>
      <c r="F40" s="20"/>
      <c r="G40" s="20"/>
      <c r="H40" s="20"/>
      <c r="I40" s="1437" t="s">
        <v>837</v>
      </c>
      <c r="J40" s="1437"/>
      <c r="K40" s="1438">
        <f>'Corrected and Updated TSF 1'!EK10</f>
        <v>0</v>
      </c>
      <c r="L40" s="1439"/>
      <c r="M40" s="1439"/>
      <c r="N40" s="1439"/>
      <c r="O40" s="1440"/>
      <c r="P40" s="1438">
        <f>'Corrected and Updated TSF 1'!EL10</f>
        <v>0</v>
      </c>
      <c r="Q40" s="1439"/>
      <c r="R40" s="1439"/>
      <c r="S40" s="1440"/>
      <c r="T40" s="1436">
        <f>'Corrected and Updated TSF 1'!EM10</f>
        <v>0</v>
      </c>
      <c r="U40" s="1436"/>
      <c r="V40" s="20"/>
      <c r="W40" s="20"/>
    </row>
    <row r="41" spans="4:34" ht="33.75" customHeight="1">
      <c r="D41" s="20"/>
      <c r="E41" s="20"/>
      <c r="F41" s="20"/>
      <c r="G41" s="20"/>
      <c r="H41" s="20"/>
      <c r="I41" s="1437" t="s">
        <v>838</v>
      </c>
      <c r="J41" s="1437"/>
      <c r="K41" s="1438">
        <f>'Corrected and Updated TSF 1'!EK11</f>
        <v>0</v>
      </c>
      <c r="L41" s="1439"/>
      <c r="M41" s="1439"/>
      <c r="N41" s="1439"/>
      <c r="O41" s="1440"/>
      <c r="P41" s="1438">
        <f>'Corrected and Updated TSF 1'!EL11</f>
        <v>0</v>
      </c>
      <c r="Q41" s="1439"/>
      <c r="R41" s="1439"/>
      <c r="S41" s="1440"/>
      <c r="T41" s="1436">
        <f>'Corrected and Updated TSF 1'!EM11</f>
        <v>0</v>
      </c>
      <c r="U41" s="1436"/>
      <c r="V41" s="20"/>
      <c r="W41" s="20"/>
    </row>
    <row r="42" spans="4:34" ht="42" customHeight="1">
      <c r="I42" s="1501" t="s">
        <v>49</v>
      </c>
      <c r="J42" s="1501"/>
      <c r="K42" s="1501"/>
      <c r="L42" s="1501"/>
      <c r="M42" s="1501"/>
      <c r="N42" s="1501"/>
      <c r="O42" s="1501"/>
      <c r="P42" s="1501">
        <f>SUM(P39:S41)</f>
        <v>0</v>
      </c>
      <c r="Q42" s="1501"/>
      <c r="R42" s="1501"/>
      <c r="S42" s="1501"/>
      <c r="T42" s="1502">
        <f>SUM(T39:U41)</f>
        <v>0</v>
      </c>
      <c r="U42" s="1501"/>
    </row>
    <row r="43" spans="4:34" ht="42" customHeight="1">
      <c r="I43" s="357"/>
      <c r="J43" s="357"/>
      <c r="K43" s="357"/>
      <c r="L43" s="357"/>
      <c r="M43" s="357"/>
      <c r="N43" s="357"/>
      <c r="O43" s="357"/>
      <c r="P43" s="357"/>
      <c r="Q43" s="357"/>
      <c r="R43" s="357"/>
      <c r="S43" s="357"/>
      <c r="T43" s="358"/>
      <c r="U43" s="357"/>
    </row>
    <row r="44" spans="4:34" ht="42" customHeight="1">
      <c r="I44" s="1498" t="s">
        <v>839</v>
      </c>
      <c r="J44" s="1499"/>
      <c r="K44" s="1499"/>
      <c r="L44" s="1499"/>
      <c r="M44" s="1499"/>
      <c r="N44" s="1499"/>
      <c r="O44" s="1499"/>
      <c r="P44" s="1499"/>
      <c r="Q44" s="1499"/>
      <c r="R44" s="1499"/>
      <c r="S44" s="1499"/>
      <c r="T44" s="1499"/>
      <c r="U44" s="1500"/>
      <c r="V44"/>
      <c r="W44"/>
      <c r="X44"/>
      <c r="Y44"/>
      <c r="Z44"/>
      <c r="AA44"/>
      <c r="AB44"/>
      <c r="AC44" s="359"/>
      <c r="AD44"/>
      <c r="AE44"/>
      <c r="AF44"/>
      <c r="AG44"/>
      <c r="AH44"/>
    </row>
    <row r="45" spans="4:34" ht="42" customHeight="1">
      <c r="I45" s="1495" t="s">
        <v>840</v>
      </c>
      <c r="J45" s="1496"/>
      <c r="K45" s="1496"/>
      <c r="L45" s="1497"/>
      <c r="M45" s="1495" t="s">
        <v>841</v>
      </c>
      <c r="N45" s="1496"/>
      <c r="O45" s="1496"/>
      <c r="P45" s="1496"/>
      <c r="Q45" s="1496"/>
      <c r="R45" s="1496"/>
      <c r="S45" s="1497"/>
      <c r="T45" s="1495" t="s">
        <v>842</v>
      </c>
      <c r="U45" s="1497"/>
      <c r="V45"/>
      <c r="W45"/>
      <c r="X45"/>
      <c r="Y45"/>
      <c r="Z45"/>
      <c r="AA45"/>
      <c r="AB45"/>
      <c r="AC45" s="359"/>
    </row>
    <row r="46" spans="4:34" ht="42" customHeight="1">
      <c r="I46" s="1488" t="s">
        <v>843</v>
      </c>
      <c r="J46" s="1489"/>
      <c r="K46" s="1489"/>
      <c r="L46" s="1490"/>
      <c r="M46" s="1491"/>
      <c r="N46" s="1492"/>
      <c r="O46" s="1492"/>
      <c r="P46" s="1492"/>
      <c r="Q46" s="1492"/>
      <c r="R46" s="1492"/>
      <c r="S46" s="1493"/>
      <c r="T46" s="1491"/>
      <c r="U46" s="1493"/>
      <c r="V46"/>
      <c r="W46"/>
      <c r="X46"/>
      <c r="Y46"/>
      <c r="Z46"/>
      <c r="AA46"/>
      <c r="AB46"/>
      <c r="AC46" s="359"/>
    </row>
    <row r="47" spans="4:34" ht="42" customHeight="1">
      <c r="I47" s="1488" t="s">
        <v>844</v>
      </c>
      <c r="J47" s="1489"/>
      <c r="K47" s="1489"/>
      <c r="L47" s="1490"/>
      <c r="M47" s="1491"/>
      <c r="N47" s="1492"/>
      <c r="O47" s="1492"/>
      <c r="P47" s="1492"/>
      <c r="Q47" s="1492"/>
      <c r="R47" s="1492"/>
      <c r="S47" s="1493"/>
      <c r="T47" s="1491"/>
      <c r="U47" s="1493"/>
      <c r="V47"/>
      <c r="W47"/>
      <c r="X47"/>
      <c r="Y47"/>
      <c r="Z47"/>
      <c r="AA47"/>
      <c r="AB47"/>
      <c r="AC47" s="359"/>
    </row>
    <row r="48" spans="4:34" ht="42" customHeight="1">
      <c r="I48" s="1488" t="s">
        <v>845</v>
      </c>
      <c r="J48" s="1489"/>
      <c r="K48" s="1489"/>
      <c r="L48" s="1490"/>
      <c r="M48" s="1491"/>
      <c r="N48" s="1492"/>
      <c r="O48" s="1492"/>
      <c r="P48" s="1492"/>
      <c r="Q48" s="1492"/>
      <c r="R48" s="1492"/>
      <c r="S48" s="1493"/>
      <c r="T48" s="1491"/>
      <c r="U48" s="1493"/>
      <c r="V48"/>
      <c r="W48"/>
      <c r="X48"/>
      <c r="Y48"/>
      <c r="Z48"/>
      <c r="AA48"/>
      <c r="AB48"/>
      <c r="AC48" s="359"/>
    </row>
    <row r="49" spans="9:29" ht="42" customHeight="1">
      <c r="I49" s="1488" t="s">
        <v>846</v>
      </c>
      <c r="J49" s="1489"/>
      <c r="K49" s="1489"/>
      <c r="L49" s="1490"/>
      <c r="M49" s="1491"/>
      <c r="N49" s="1492"/>
      <c r="O49" s="1492"/>
      <c r="P49" s="1492"/>
      <c r="Q49" s="1492"/>
      <c r="R49" s="1492"/>
      <c r="S49" s="1493"/>
      <c r="T49" s="1491"/>
      <c r="U49" s="1493"/>
      <c r="V49"/>
      <c r="W49"/>
      <c r="X49"/>
      <c r="Y49"/>
      <c r="Z49"/>
      <c r="AA49"/>
      <c r="AB49"/>
      <c r="AC49" s="359"/>
    </row>
    <row r="50" spans="9:29" ht="17.45">
      <c r="I50"/>
      <c r="J50"/>
      <c r="K50"/>
      <c r="L50"/>
      <c r="M50"/>
      <c r="N50"/>
      <c r="O50"/>
      <c r="P50"/>
      <c r="Q50"/>
      <c r="R50"/>
      <c r="S50"/>
      <c r="T50"/>
      <c r="U50"/>
      <c r="V50"/>
      <c r="W50"/>
      <c r="X50"/>
      <c r="Y50"/>
      <c r="Z50"/>
      <c r="AA50"/>
      <c r="AB50"/>
      <c r="AC50" s="359"/>
    </row>
    <row r="51" spans="9:29" ht="18" hidden="1" customHeight="1">
      <c r="I51" s="1506"/>
      <c r="J51" s="1506"/>
      <c r="K51" s="1506"/>
      <c r="L51" s="1506"/>
      <c r="M51" s="1506"/>
      <c r="N51" s="1506"/>
      <c r="O51" s="1506"/>
      <c r="P51" s="1506"/>
      <c r="Q51" s="1507"/>
      <c r="R51" s="1507"/>
      <c r="S51" s="1507"/>
      <c r="T51" s="1507"/>
      <c r="U51" s="1507"/>
      <c r="V51" s="1507"/>
      <c r="W51" s="1507"/>
      <c r="X51" s="1507"/>
      <c r="Y51" s="1507"/>
      <c r="Z51" s="1507"/>
      <c r="AA51" s="1507"/>
      <c r="AB51" s="1507"/>
      <c r="AC51" s="1507"/>
    </row>
    <row r="52" spans="9:29" ht="18" hidden="1" customHeight="1"/>
    <row r="53" spans="9:29" ht="18" hidden="1" customHeight="1"/>
    <row r="54" spans="9:29" ht="18" hidden="1" customHeight="1"/>
    <row r="55" spans="9:29" ht="18" hidden="1" customHeight="1"/>
    <row r="56" spans="9:29" ht="18" hidden="1" customHeight="1"/>
    <row r="57" spans="9:29" ht="18" hidden="1" customHeight="1"/>
    <row r="58" spans="9:29" ht="18" hidden="1" customHeight="1"/>
    <row r="59" spans="9:29" ht="18" hidden="1" customHeight="1"/>
    <row r="60" spans="9:29" ht="18" hidden="1" customHeight="1"/>
    <row r="61" spans="9:29" ht="18" hidden="1" customHeight="1"/>
    <row r="62" spans="9:29" ht="18" hidden="1" customHeight="1"/>
  </sheetData>
  <sheetProtection password="CC2E" sheet="1" selectLockedCells="1"/>
  <mergeCells count="95">
    <mergeCell ref="I51:P51"/>
    <mergeCell ref="Q51:W51"/>
    <mergeCell ref="X51:AC51"/>
    <mergeCell ref="I49:L49"/>
    <mergeCell ref="M49:S49"/>
    <mergeCell ref="T49:U49"/>
    <mergeCell ref="I14:L14"/>
    <mergeCell ref="I45:L45"/>
    <mergeCell ref="T45:U45"/>
    <mergeCell ref="M45:S45"/>
    <mergeCell ref="I44:U44"/>
    <mergeCell ref="I42:O42"/>
    <mergeCell ref="P42:S42"/>
    <mergeCell ref="T42:U42"/>
    <mergeCell ref="I41:J41"/>
    <mergeCell ref="K41:O41"/>
    <mergeCell ref="P41:S41"/>
    <mergeCell ref="T41:U41"/>
    <mergeCell ref="O17:W17"/>
    <mergeCell ref="O16:W16"/>
    <mergeCell ref="O18:R18"/>
    <mergeCell ref="S18:U18"/>
    <mergeCell ref="D30:G31"/>
    <mergeCell ref="D28:G28"/>
    <mergeCell ref="I48:L48"/>
    <mergeCell ref="M48:S48"/>
    <mergeCell ref="T48:U48"/>
    <mergeCell ref="I46:L46"/>
    <mergeCell ref="M46:S46"/>
    <mergeCell ref="T46:U46"/>
    <mergeCell ref="I47:L47"/>
    <mergeCell ref="M47:S47"/>
    <mergeCell ref="T47:U47"/>
    <mergeCell ref="D36:W36"/>
    <mergeCell ref="I38:J38"/>
    <mergeCell ref="K38:O38"/>
    <mergeCell ref="P38:S38"/>
    <mergeCell ref="T38:U38"/>
    <mergeCell ref="V27:W28"/>
    <mergeCell ref="S27:U28"/>
    <mergeCell ref="O27:R28"/>
    <mergeCell ref="I28:L28"/>
    <mergeCell ref="I30:L31"/>
    <mergeCell ref="V33:W34"/>
    <mergeCell ref="S33:U34"/>
    <mergeCell ref="O33:R34"/>
    <mergeCell ref="O29:W29"/>
    <mergeCell ref="O30:R30"/>
    <mergeCell ref="S30:U30"/>
    <mergeCell ref="O31:R32"/>
    <mergeCell ref="S31:U32"/>
    <mergeCell ref="V31:W32"/>
    <mergeCell ref="V30:W30"/>
    <mergeCell ref="V18:W18"/>
    <mergeCell ref="S25:U26"/>
    <mergeCell ref="O25:R26"/>
    <mergeCell ref="V25:W26"/>
    <mergeCell ref="O24:R24"/>
    <mergeCell ref="V24:W24"/>
    <mergeCell ref="O19:R20"/>
    <mergeCell ref="S19:U20"/>
    <mergeCell ref="V19:W20"/>
    <mergeCell ref="S24:U24"/>
    <mergeCell ref="O23:W23"/>
    <mergeCell ref="O21:R22"/>
    <mergeCell ref="S21:U22"/>
    <mergeCell ref="V21:W22"/>
    <mergeCell ref="I11:L12"/>
    <mergeCell ref="I20:L20"/>
    <mergeCell ref="I26:L26"/>
    <mergeCell ref="D11:G12"/>
    <mergeCell ref="H11:H12"/>
    <mergeCell ref="D20:G20"/>
    <mergeCell ref="D16:G16"/>
    <mergeCell ref="D18:G18"/>
    <mergeCell ref="D26:G26"/>
    <mergeCell ref="D22:G22"/>
    <mergeCell ref="I16:L16"/>
    <mergeCell ref="I18:L18"/>
    <mergeCell ref="I22:L22"/>
    <mergeCell ref="D24:G24"/>
    <mergeCell ref="I24:L24"/>
    <mergeCell ref="D14:G14"/>
    <mergeCell ref="D38:E38"/>
    <mergeCell ref="F38:G38"/>
    <mergeCell ref="T39:U39"/>
    <mergeCell ref="I40:J40"/>
    <mergeCell ref="K40:O40"/>
    <mergeCell ref="D39:E39"/>
    <mergeCell ref="F39:G39"/>
    <mergeCell ref="I39:J39"/>
    <mergeCell ref="K39:O39"/>
    <mergeCell ref="P39:S39"/>
    <mergeCell ref="P40:S40"/>
    <mergeCell ref="T40:U40"/>
  </mergeCells>
  <phoneticPr fontId="27" type="noConversion"/>
  <dataValidations disablePrompts="1" xWindow="339" yWindow="611" count="1">
    <dataValidation allowBlank="1" showInputMessage="1" showErrorMessage="1" prompt="i.e. 1st to 11th month" sqref="K39:O41" xr:uid="{00000000-0002-0000-0700-000000000000}"/>
  </dataValidation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4">
    <tabColor rgb="FF00B050"/>
  </sheetPr>
  <dimension ref="A1:BA858"/>
  <sheetViews>
    <sheetView showGridLines="0" showZeros="0" showRuler="0" view="pageBreakPreview" topLeftCell="A4" zoomScale="90" zoomScaleNormal="100" zoomScaleSheetLayoutView="90" zoomScalePageLayoutView="85" workbookViewId="0">
      <selection activeCell="K25" sqref="K25:L25"/>
    </sheetView>
  </sheetViews>
  <sheetFormatPr defaultColWidth="8.85546875" defaultRowHeight="15.75" customHeight="1"/>
  <cols>
    <col min="1" max="1" width="1" style="99" customWidth="1"/>
    <col min="2" max="2" width="12.5703125" style="99" customWidth="1"/>
    <col min="3" max="3" width="25.140625" style="99" customWidth="1"/>
    <col min="4" max="4" width="17.85546875" style="99" customWidth="1"/>
    <col min="5" max="5" width="23.42578125" style="99" customWidth="1"/>
    <col min="6" max="6" width="15.140625" style="99" customWidth="1"/>
    <col min="7" max="7" width="8.140625" style="99" customWidth="1"/>
    <col min="8" max="8" width="4.42578125" style="99" customWidth="1"/>
    <col min="9" max="9" width="17.85546875" style="99" customWidth="1"/>
    <col min="10" max="10" width="2.140625" style="99" customWidth="1"/>
    <col min="11" max="11" width="9.140625" style="99" customWidth="1"/>
    <col min="12" max="12" width="20.140625" style="131" customWidth="1"/>
    <col min="13" max="13" width="18.140625" style="99" customWidth="1"/>
    <col min="14" max="14" width="21.85546875" style="99" customWidth="1"/>
    <col min="15" max="15" width="12.140625" style="99" customWidth="1"/>
    <col min="16" max="16" width="16.85546875" style="99" customWidth="1"/>
    <col min="17" max="17" width="21.42578125" style="99" customWidth="1"/>
    <col min="18" max="18" width="4.85546875" style="99" customWidth="1"/>
    <col min="19" max="19" width="8.85546875" style="99"/>
    <col min="20" max="20" width="19" style="218" customWidth="1"/>
    <col min="21" max="21" width="8.85546875" style="218" customWidth="1"/>
    <col min="22" max="22" width="8.85546875" style="99" customWidth="1"/>
    <col min="23" max="24" width="11.42578125" style="99" customWidth="1"/>
    <col min="25" max="26" width="8.85546875" style="99" customWidth="1"/>
    <col min="27" max="27" width="11.140625" style="99" customWidth="1"/>
    <col min="28" max="28" width="8.85546875" style="99"/>
    <col min="29" max="29" width="13.140625" style="99" customWidth="1"/>
    <col min="30" max="30" width="14.5703125" style="99" customWidth="1"/>
    <col min="31" max="31" width="8.85546875" style="99"/>
    <col min="32" max="32" width="9.140625" style="99" bestFit="1" customWidth="1"/>
    <col min="33" max="33" width="17.140625" style="99" customWidth="1"/>
    <col min="34" max="34" width="17.85546875" style="99" customWidth="1"/>
    <col min="35" max="35" width="9.85546875" style="99" customWidth="1"/>
    <col min="36" max="36" width="10.85546875" style="219" customWidth="1"/>
    <col min="37" max="37" width="13.42578125" style="99" customWidth="1"/>
    <col min="38" max="38" width="12.85546875" style="99" customWidth="1"/>
    <col min="39" max="41" width="13.140625" style="99" customWidth="1"/>
    <col min="42" max="42" width="11.140625" style="99" customWidth="1"/>
    <col min="43" max="43" width="14.85546875" style="99" customWidth="1"/>
    <col min="44" max="44" width="5.85546875" style="99" customWidth="1"/>
    <col min="45" max="45" width="11.85546875" style="99" customWidth="1"/>
    <col min="46" max="46" width="12.85546875" style="99" customWidth="1"/>
    <col min="47" max="47" width="11.85546875" style="99" customWidth="1"/>
    <col min="48" max="48" width="12.85546875" style="99" customWidth="1"/>
    <col min="49" max="49" width="12.85546875" style="220" customWidth="1"/>
    <col min="50" max="50" width="14.5703125" style="221" customWidth="1"/>
    <col min="51" max="55" width="12.85546875" style="99" customWidth="1"/>
    <col min="56" max="16384" width="8.85546875" style="99"/>
  </cols>
  <sheetData>
    <row r="1" spans="1:17" ht="4.5" customHeight="1">
      <c r="A1" s="1189"/>
      <c r="B1" s="212"/>
      <c r="C1" s="213" t="e">
        <f>(F15-(F16+#REF!))*12%</f>
        <v>#REF!</v>
      </c>
      <c r="D1" s="186" t="e">
        <f>FORM!#REF!</f>
        <v>#REF!</v>
      </c>
      <c r="E1" s="214"/>
      <c r="F1" s="3"/>
      <c r="G1" s="215"/>
      <c r="H1" s="215"/>
      <c r="I1" s="1189"/>
      <c r="J1" s="216">
        <v>0.01</v>
      </c>
      <c r="K1" s="214"/>
      <c r="L1" s="217"/>
      <c r="M1" s="217"/>
      <c r="N1" s="1190"/>
      <c r="O1" s="1189"/>
      <c r="P1" s="1189"/>
      <c r="Q1" s="1189"/>
    </row>
    <row r="2" spans="1:17" ht="12.6">
      <c r="A2" s="1189"/>
      <c r="B2" s="160" t="s">
        <v>847</v>
      </c>
      <c r="C2" s="1191" t="str">
        <f>FORM!I20</f>
        <v>September 1,2025</v>
      </c>
      <c r="D2" s="1192"/>
      <c r="E2" s="1189"/>
      <c r="F2" s="132" t="s">
        <v>848</v>
      </c>
      <c r="G2" s="1528" t="s">
        <v>849</v>
      </c>
      <c r="H2" s="1528"/>
      <c r="I2" s="1528"/>
      <c r="J2" s="142"/>
      <c r="K2" s="132" t="s">
        <v>847</v>
      </c>
      <c r="L2" s="1191" t="str">
        <f>C2</f>
        <v>September 1,2025</v>
      </c>
      <c r="M2" s="1123"/>
      <c r="N2" s="1189"/>
      <c r="O2" s="175"/>
      <c r="P2" s="160" t="s">
        <v>850</v>
      </c>
      <c r="Q2" s="1194" t="s">
        <v>851</v>
      </c>
    </row>
    <row r="3" spans="1:17" ht="12.6">
      <c r="A3" s="1189"/>
      <c r="B3" s="1189"/>
      <c r="C3" s="3"/>
      <c r="D3" s="3"/>
      <c r="E3" s="142"/>
      <c r="F3" s="142"/>
      <c r="G3" s="142"/>
      <c r="H3" s="142"/>
      <c r="I3" s="142"/>
      <c r="J3" s="142"/>
      <c r="K3" s="222"/>
      <c r="L3" s="223"/>
      <c r="M3" s="224"/>
      <c r="N3" s="1195"/>
      <c r="O3" s="1195"/>
      <c r="P3" s="1195"/>
      <c r="Q3" s="1195"/>
    </row>
    <row r="4" spans="1:17" ht="18.75" customHeight="1">
      <c r="A4" s="1123"/>
      <c r="B4" s="1534" t="s">
        <v>852</v>
      </c>
      <c r="C4" s="1534"/>
      <c r="D4" s="1534"/>
      <c r="E4" s="1534"/>
      <c r="F4" s="1534"/>
      <c r="G4" s="1534"/>
      <c r="H4" s="1534"/>
      <c r="I4" s="1535"/>
      <c r="J4" s="142"/>
      <c r="K4" s="1536" t="s">
        <v>853</v>
      </c>
      <c r="L4" s="1536"/>
      <c r="M4" s="1536"/>
      <c r="N4" s="1536"/>
      <c r="O4" s="1536"/>
      <c r="P4" s="1536"/>
      <c r="Q4" s="1536"/>
    </row>
    <row r="5" spans="1:17" ht="12" customHeight="1">
      <c r="A5" s="1123"/>
      <c r="B5" s="1123"/>
      <c r="C5" s="100"/>
      <c r="D5" s="100"/>
      <c r="E5" s="1123"/>
      <c r="F5" s="100"/>
      <c r="G5" s="100"/>
      <c r="H5" s="100"/>
      <c r="I5" s="176"/>
      <c r="J5" s="142"/>
      <c r="K5" s="142"/>
      <c r="L5" s="142"/>
      <c r="M5" s="177"/>
      <c r="N5" s="1123"/>
      <c r="O5" s="1123"/>
      <c r="P5" s="1123"/>
      <c r="Q5" s="1123"/>
    </row>
    <row r="6" spans="1:17" ht="12.6">
      <c r="A6" s="1123"/>
      <c r="B6" s="225" t="s">
        <v>854</v>
      </c>
      <c r="C6" s="226"/>
      <c r="D6" s="705" t="s">
        <v>802</v>
      </c>
      <c r="E6" s="1529" t="str">
        <f>FORM!I26</f>
        <v>cnc</v>
      </c>
      <c r="F6" s="1530"/>
      <c r="G6" s="1530"/>
      <c r="H6" s="1530"/>
      <c r="I6" s="1531"/>
      <c r="J6" s="142"/>
      <c r="K6" s="1533" t="s">
        <v>854</v>
      </c>
      <c r="L6" s="1533"/>
      <c r="M6" s="705" t="s">
        <v>802</v>
      </c>
      <c r="N6" s="1532" t="str">
        <f t="shared" ref="N6:N13" si="0">E6</f>
        <v>cnc</v>
      </c>
      <c r="O6" s="1532"/>
      <c r="P6" s="1532"/>
      <c r="Q6" s="1532"/>
    </row>
    <row r="7" spans="1:17" ht="12.95" thickBot="1">
      <c r="A7" s="1123"/>
      <c r="B7" s="144" t="s">
        <v>801</v>
      </c>
      <c r="C7" s="227"/>
      <c r="D7" s="705" t="s">
        <v>802</v>
      </c>
      <c r="E7" s="1543" t="str">
        <f>FORM!$I$11</f>
        <v>The Southprime Flats</v>
      </c>
      <c r="F7" s="1544"/>
      <c r="G7" s="1200" t="str">
        <f>FORM!I14</f>
        <v>B1</v>
      </c>
      <c r="H7" s="1200"/>
      <c r="I7" s="1201"/>
      <c r="J7" s="142"/>
      <c r="K7" s="1533" t="s">
        <v>801</v>
      </c>
      <c r="L7" s="1533"/>
      <c r="M7" s="1202" t="s">
        <v>802</v>
      </c>
      <c r="N7" s="1532" t="str">
        <f t="shared" si="0"/>
        <v>The Southprime Flats</v>
      </c>
      <c r="O7" s="1532"/>
      <c r="P7" s="1532"/>
      <c r="Q7" s="1532"/>
    </row>
    <row r="8" spans="1:17" ht="12.6">
      <c r="A8" s="1203"/>
      <c r="B8" s="225" t="s">
        <v>855</v>
      </c>
      <c r="C8" s="226"/>
      <c r="D8" s="705" t="s">
        <v>802</v>
      </c>
      <c r="E8" s="1529" t="str">
        <f>IF(FORM!I17="UNSOLD",FORM!I18,"UNABLE TO PROCESS, PLEASE PICK OTHER UNIT")</f>
        <v>2F</v>
      </c>
      <c r="F8" s="1530"/>
      <c r="G8" s="1530"/>
      <c r="H8" s="1530"/>
      <c r="I8" s="1531"/>
      <c r="J8" s="142"/>
      <c r="K8" s="1533" t="s">
        <v>855</v>
      </c>
      <c r="L8" s="1533"/>
      <c r="M8" s="705" t="s">
        <v>802</v>
      </c>
      <c r="N8" s="1532" t="str">
        <f>E8</f>
        <v>2F</v>
      </c>
      <c r="O8" s="1532"/>
      <c r="P8" s="1532"/>
      <c r="Q8" s="1532"/>
    </row>
    <row r="9" spans="1:17" ht="12.6" hidden="1">
      <c r="A9" s="1123"/>
      <c r="B9" s="144" t="s">
        <v>856</v>
      </c>
      <c r="C9" s="227"/>
      <c r="D9" s="705" t="s">
        <v>802</v>
      </c>
      <c r="E9" s="1529" t="e">
        <f>FORM!#REF!</f>
        <v>#REF!</v>
      </c>
      <c r="F9" s="1530"/>
      <c r="G9" s="1530"/>
      <c r="H9" s="1530"/>
      <c r="I9" s="1531"/>
      <c r="J9" s="142"/>
      <c r="K9" s="1533" t="s">
        <v>856</v>
      </c>
      <c r="L9" s="1533"/>
      <c r="M9" s="705" t="s">
        <v>802</v>
      </c>
      <c r="N9" s="1532" t="e">
        <f t="shared" si="0"/>
        <v>#REF!</v>
      </c>
      <c r="O9" s="1532"/>
      <c r="P9" s="1532"/>
      <c r="Q9" s="1532"/>
    </row>
    <row r="10" spans="1:17" ht="12.95" thickBot="1">
      <c r="A10" s="1123"/>
      <c r="B10" s="144" t="s">
        <v>857</v>
      </c>
      <c r="C10" s="227"/>
      <c r="D10" s="705" t="s">
        <v>802</v>
      </c>
      <c r="E10" s="1529" t="str">
        <f>VLOOKUP(E8,'Pricelist Link'!A6:AG358,6,FALSE)</f>
        <v>Studio Unit</v>
      </c>
      <c r="F10" s="1530"/>
      <c r="G10" s="1530"/>
      <c r="H10" s="1530"/>
      <c r="I10" s="1531"/>
      <c r="J10" s="142"/>
      <c r="K10" s="1533" t="s">
        <v>857</v>
      </c>
      <c r="L10" s="1533"/>
      <c r="M10" s="1202" t="s">
        <v>802</v>
      </c>
      <c r="N10" s="1532" t="str">
        <f t="shared" si="0"/>
        <v>Studio Unit</v>
      </c>
      <c r="O10" s="1532"/>
      <c r="P10" s="1532"/>
      <c r="Q10" s="1532"/>
    </row>
    <row r="11" spans="1:17" ht="12.6">
      <c r="A11" s="1123"/>
      <c r="B11" s="144" t="s">
        <v>858</v>
      </c>
      <c r="C11" s="227"/>
      <c r="D11" s="705" t="s">
        <v>802</v>
      </c>
      <c r="E11" s="1537">
        <f>VLOOKUP(E8,'Pricelist Link'!A6:AG358,7,FALSE)</f>
        <v>22</v>
      </c>
      <c r="F11" s="1538"/>
      <c r="G11" s="1200" t="s">
        <v>859</v>
      </c>
      <c r="H11" s="1530"/>
      <c r="I11" s="1531"/>
      <c r="J11" s="142"/>
      <c r="K11" s="1533" t="s">
        <v>858</v>
      </c>
      <c r="L11" s="1533"/>
      <c r="M11" s="705" t="s">
        <v>802</v>
      </c>
      <c r="N11" s="1539">
        <f t="shared" si="0"/>
        <v>22</v>
      </c>
      <c r="O11" s="1540"/>
      <c r="P11" s="1541" t="s">
        <v>859</v>
      </c>
      <c r="Q11" s="1542"/>
    </row>
    <row r="12" spans="1:17" ht="12.6">
      <c r="A12" s="1203"/>
      <c r="B12" s="228" t="s">
        <v>860</v>
      </c>
      <c r="C12" s="226"/>
      <c r="D12" s="705" t="s">
        <v>802</v>
      </c>
      <c r="E12" s="1537"/>
      <c r="F12" s="1538"/>
      <c r="G12" s="1200" t="s">
        <v>859</v>
      </c>
      <c r="H12" s="1541"/>
      <c r="I12" s="1542"/>
      <c r="J12" s="142"/>
      <c r="K12" s="1533" t="s">
        <v>860</v>
      </c>
      <c r="L12" s="1533"/>
      <c r="M12" s="705" t="s">
        <v>802</v>
      </c>
      <c r="N12" s="1545">
        <f t="shared" si="0"/>
        <v>0</v>
      </c>
      <c r="O12" s="1546"/>
      <c r="P12" s="1541" t="s">
        <v>859</v>
      </c>
      <c r="Q12" s="1542"/>
    </row>
    <row r="13" spans="1:17" ht="12.6">
      <c r="A13" s="1204"/>
      <c r="B13" s="144" t="s">
        <v>861</v>
      </c>
      <c r="C13" s="227"/>
      <c r="D13" s="705" t="s">
        <v>802</v>
      </c>
      <c r="E13" s="1547">
        <f>VLOOKUP(E8,'Pricelist Link'!A6:AG358,7,FALSE)</f>
        <v>22</v>
      </c>
      <c r="F13" s="1548"/>
      <c r="G13" s="1200" t="s">
        <v>859</v>
      </c>
      <c r="H13" s="1541"/>
      <c r="I13" s="1542"/>
      <c r="J13" s="142"/>
      <c r="K13" s="1533" t="s">
        <v>861</v>
      </c>
      <c r="L13" s="1533"/>
      <c r="M13" s="705" t="s">
        <v>802</v>
      </c>
      <c r="N13" s="1545">
        <f t="shared" si="0"/>
        <v>22</v>
      </c>
      <c r="O13" s="1546"/>
      <c r="P13" s="1541" t="s">
        <v>859</v>
      </c>
      <c r="Q13" s="1542"/>
    </row>
    <row r="14" spans="1:17" ht="12.6">
      <c r="A14" s="1123"/>
      <c r="B14" s="1123"/>
      <c r="C14" s="178"/>
      <c r="D14" s="705"/>
      <c r="E14" s="142"/>
      <c r="F14" s="229"/>
      <c r="G14" s="229"/>
      <c r="H14" s="230"/>
      <c r="I14" s="231"/>
      <c r="J14" s="142"/>
      <c r="K14" s="1123"/>
      <c r="L14" s="1123"/>
      <c r="M14" s="1205"/>
      <c r="N14" s="1123"/>
      <c r="O14" s="1123"/>
      <c r="P14" s="1123"/>
      <c r="Q14" s="1123"/>
    </row>
    <row r="15" spans="1:17" ht="15" customHeight="1">
      <c r="A15" s="1123"/>
      <c r="B15" s="141" t="s">
        <v>862</v>
      </c>
      <c r="C15" s="141"/>
      <c r="D15" s="232" t="s">
        <v>802</v>
      </c>
      <c r="E15" s="233"/>
      <c r="F15" s="1577">
        <f>VLOOKUP(E8,'Pricelist Link'!A6:AG358,8,FALSE)</f>
        <v>3195170.8635638431</v>
      </c>
      <c r="G15" s="1577"/>
      <c r="H15" s="1577"/>
      <c r="I15" s="1578"/>
      <c r="J15" s="142"/>
      <c r="K15" s="1549" t="s">
        <v>863</v>
      </c>
      <c r="L15" s="1549"/>
      <c r="M15" s="1550" t="s">
        <v>773</v>
      </c>
      <c r="N15" s="1549" t="s">
        <v>776</v>
      </c>
      <c r="O15" s="1549"/>
      <c r="P15" s="1553" t="s">
        <v>214</v>
      </c>
      <c r="Q15" s="1554"/>
    </row>
    <row r="16" spans="1:17" ht="12.6">
      <c r="A16" s="1123"/>
      <c r="B16" s="148" t="s">
        <v>864</v>
      </c>
      <c r="C16" s="227"/>
      <c r="D16" s="1206" t="s">
        <v>802</v>
      </c>
      <c r="E16" s="234"/>
      <c r="F16" s="1579">
        <f>SUM(FORM!V19:W22)+SUM(FORM!V25:W28)+SUM(FORM!V31:W34)</f>
        <v>0</v>
      </c>
      <c r="G16" s="1579"/>
      <c r="H16" s="1579"/>
      <c r="I16" s="1580"/>
      <c r="J16" s="100"/>
      <c r="K16" s="1549"/>
      <c r="L16" s="1549"/>
      <c r="M16" s="1550"/>
      <c r="N16" s="1549"/>
      <c r="O16" s="1549"/>
      <c r="P16" s="1555"/>
      <c r="Q16" s="1556"/>
    </row>
    <row r="17" spans="1:50" ht="12.6">
      <c r="A17" s="1123"/>
      <c r="B17" s="129" t="s">
        <v>865</v>
      </c>
      <c r="C17" s="101"/>
      <c r="D17" s="142" t="s">
        <v>802</v>
      </c>
      <c r="E17" s="233"/>
      <c r="F17" s="1581">
        <f>F15-F16</f>
        <v>3195170.8635638431</v>
      </c>
      <c r="G17" s="1581"/>
      <c r="H17" s="1581"/>
      <c r="I17" s="1582"/>
      <c r="J17" s="100"/>
      <c r="K17" s="1527" t="s">
        <v>820</v>
      </c>
      <c r="L17" s="1527"/>
      <c r="M17" s="1207" t="str">
        <f>C2</f>
        <v>September 1,2025</v>
      </c>
      <c r="N17" s="1551">
        <f>F25</f>
        <v>30000</v>
      </c>
      <c r="O17" s="1551"/>
      <c r="P17" s="1525"/>
      <c r="Q17" s="1526"/>
      <c r="R17" s="1189"/>
      <c r="S17" s="1189"/>
      <c r="T17" s="1208"/>
      <c r="U17" s="1208"/>
      <c r="V17" s="1189"/>
      <c r="W17" s="1209" t="str">
        <f>M17</f>
        <v>September 1,2025</v>
      </c>
      <c r="X17" s="1209" t="e">
        <f>EDATE(W17,E28)</f>
        <v>#VALUE!</v>
      </c>
      <c r="Y17" s="1189"/>
      <c r="Z17" s="1189"/>
      <c r="AA17" s="1189"/>
      <c r="AB17" s="1189"/>
      <c r="AC17" s="1189"/>
      <c r="AD17" s="1189"/>
      <c r="AE17" s="1189"/>
      <c r="AF17" s="1189"/>
      <c r="AG17" s="1189"/>
      <c r="AH17" s="1189"/>
      <c r="AI17" s="1189"/>
      <c r="AJ17" s="1210"/>
      <c r="AK17" s="1189"/>
      <c r="AL17" s="1189"/>
      <c r="AM17" s="1189"/>
      <c r="AN17" s="1189"/>
      <c r="AO17" s="1189"/>
      <c r="AP17" s="1189"/>
      <c r="AQ17" s="1189"/>
      <c r="AR17" s="1189"/>
      <c r="AS17" s="1189"/>
      <c r="AT17" s="1189"/>
      <c r="AU17" s="1189"/>
      <c r="AV17" s="1189"/>
      <c r="AW17" s="1211"/>
      <c r="AX17" s="1212"/>
    </row>
    <row r="18" spans="1:50" ht="12.95">
      <c r="A18" s="1123"/>
      <c r="B18" s="147"/>
      <c r="C18" s="178"/>
      <c r="D18" s="705"/>
      <c r="E18" s="433">
        <f>(F17)*E19</f>
        <v>383420.50362766115</v>
      </c>
      <c r="F18" s="235"/>
      <c r="G18" s="236"/>
      <c r="H18" s="237"/>
      <c r="I18" s="237"/>
      <c r="J18" s="100"/>
      <c r="K18" s="1527" t="str">
        <f t="shared" ref="K18:K63" si="1">IF(N18&gt;1,T18,0)</f>
        <v>1st EQUITY PAYMENT</v>
      </c>
      <c r="L18" s="1527"/>
      <c r="M18" s="1207" t="e">
        <f>IF(N18&gt;1,W18,"")</f>
        <v>#VALUE!</v>
      </c>
      <c r="N18" s="1551">
        <f>IF(E28&gt;0,F28,"")</f>
        <v>424313.35716298391</v>
      </c>
      <c r="O18" s="1551"/>
      <c r="P18" s="1525"/>
      <c r="Q18" s="1526"/>
      <c r="R18" s="1189"/>
      <c r="S18" s="1189"/>
      <c r="T18" s="1552" t="s">
        <v>866</v>
      </c>
      <c r="U18" s="1552"/>
      <c r="V18" s="1189"/>
      <c r="W18" s="1207" t="e">
        <f>IF(DAY(W17)=31,Y20,AA20)</f>
        <v>#VALUE!</v>
      </c>
      <c r="X18" s="22"/>
      <c r="Y18" s="1522" t="s">
        <v>867</v>
      </c>
      <c r="Z18" s="1522"/>
      <c r="AA18" s="22"/>
      <c r="AB18" s="1189"/>
      <c r="AC18" s="1189"/>
      <c r="AD18" s="1189"/>
      <c r="AE18" s="1189"/>
      <c r="AF18" s="1189"/>
      <c r="AG18" s="1189"/>
      <c r="AH18" s="1189"/>
      <c r="AI18" s="1189"/>
      <c r="AJ18" s="1210"/>
      <c r="AK18" s="1189"/>
      <c r="AL18" s="1189"/>
      <c r="AM18" s="1189"/>
      <c r="AN18" s="1189"/>
      <c r="AO18" s="1189"/>
      <c r="AP18" s="1189"/>
      <c r="AQ18" s="1189"/>
      <c r="AR18" s="1189"/>
      <c r="AS18" s="1189"/>
      <c r="AT18" s="1189"/>
      <c r="AU18" s="1189"/>
      <c r="AV18" s="1189"/>
      <c r="AW18" s="1211"/>
      <c r="AX18" s="1212"/>
    </row>
    <row r="19" spans="1:50" ht="12.6">
      <c r="A19" s="1203"/>
      <c r="B19" s="148" t="s">
        <v>868</v>
      </c>
      <c r="C19" s="227"/>
      <c r="D19" s="1206" t="s">
        <v>802</v>
      </c>
      <c r="E19" s="283">
        <v>0.12</v>
      </c>
      <c r="F19" s="1579">
        <f>VLOOKUP(E8,'Pricelist Link'!A6:AH216,34,FALSE)</f>
        <v>0</v>
      </c>
      <c r="G19" s="1579"/>
      <c r="H19" s="1579"/>
      <c r="I19" s="1580"/>
      <c r="J19" s="100"/>
      <c r="K19" s="1527">
        <f t="shared" si="1"/>
        <v>0</v>
      </c>
      <c r="L19" s="1527"/>
      <c r="M19" s="1207" t="str">
        <f t="shared" ref="M19:M63" si="2">IF(N19&gt;1,W19,"")</f>
        <v/>
      </c>
      <c r="N19" s="1551">
        <f>IF(E28&gt;1,F28,0)</f>
        <v>0</v>
      </c>
      <c r="O19" s="1551"/>
      <c r="P19" s="1525"/>
      <c r="Q19" s="1526"/>
      <c r="R19" s="1189"/>
      <c r="S19" s="1189"/>
      <c r="T19" s="1552" t="s">
        <v>869</v>
      </c>
      <c r="U19" s="1552"/>
      <c r="V19" s="1189"/>
      <c r="W19" s="1207" t="e">
        <f t="shared" ref="W19:W61" si="3">IF(AND(DAY(W18)&gt;=6,DAY(W18)&lt;=20),DATE(YEAR(W18),MONTH(W18)+1,DAY(20)),IF(AND(DAY(W18)&gt;=21,DAY(W18)&lt;=30),DATE(YEAR(W18),MONTH(W18)+1,IF(DAY(EOMONTH(W18,1))&lt;30,DAY(EOMONTH(W18,1)),DAY(30))),DATE(YEAR(W18),MONTH(W18)+1,DAY(5))))</f>
        <v>#VALUE!</v>
      </c>
      <c r="X19" s="58" t="s">
        <v>38</v>
      </c>
      <c r="Y19" s="1523" t="e">
        <f>IF(DAY(W17)=31,DATE(YEAR(X17),MONTH(X17)+2,DAY(5)))</f>
        <v>#VALUE!</v>
      </c>
      <c r="Z19" s="1524"/>
      <c r="AA19" s="306" t="e">
        <f>IF(AND(DAY(X17)&gt;=6,DAY(X17)&lt;=20),DATE(YEAR(X17),MONTH(X17)+1,DAY(20)),IF(AND(DAY(X17)&gt;=21,DAY(X17)&lt;=31),DATE(YEAR(X17),MONTH(X17)+1,IF(DAY(EOMONTH(X17,1))&lt;30,DAY(EOMONTH(X17,1)),DAY(30))),DATE(YEAR(X17),MONTH(X17)+1,DAY(5))))</f>
        <v>#VALUE!</v>
      </c>
      <c r="AB19" s="1189"/>
      <c r="AC19" s="1189"/>
      <c r="AD19" s="1189"/>
      <c r="AE19" s="1189"/>
      <c r="AF19" s="1189"/>
      <c r="AG19" s="1189"/>
      <c r="AH19" s="1189"/>
      <c r="AI19" s="1189"/>
      <c r="AJ19" s="1210"/>
      <c r="AK19" s="1189"/>
      <c r="AL19" s="1189"/>
      <c r="AM19" s="1189"/>
      <c r="AN19" s="1189"/>
      <c r="AO19" s="1189"/>
      <c r="AP19" s="1189"/>
      <c r="AQ19" s="1189"/>
      <c r="AR19" s="1189"/>
      <c r="AS19" s="1189"/>
      <c r="AT19" s="1189"/>
      <c r="AU19" s="1189"/>
      <c r="AV19" s="1189"/>
      <c r="AW19" s="1211"/>
      <c r="AX19" s="1212"/>
    </row>
    <row r="20" spans="1:50" ht="12.6">
      <c r="A20" s="1204"/>
      <c r="B20" s="238" t="s">
        <v>870</v>
      </c>
      <c r="C20" s="101"/>
      <c r="D20" s="705" t="s">
        <v>802</v>
      </c>
      <c r="E20" s="1213"/>
      <c r="F20" s="1583">
        <f>VLOOKUP(E8,'Pricelist Link'!A6:AG358,12,FALSE)</f>
        <v>439335.99374002841</v>
      </c>
      <c r="G20" s="1584"/>
      <c r="H20" s="1584"/>
      <c r="I20" s="1585"/>
      <c r="J20" s="100"/>
      <c r="K20" s="1527">
        <f t="shared" si="1"/>
        <v>0</v>
      </c>
      <c r="L20" s="1527"/>
      <c r="M20" s="1207" t="str">
        <f t="shared" si="2"/>
        <v/>
      </c>
      <c r="N20" s="1551">
        <f>IF(E28&gt;2,F28,0)</f>
        <v>0</v>
      </c>
      <c r="O20" s="1551"/>
      <c r="P20" s="1525"/>
      <c r="Q20" s="1526"/>
      <c r="R20" s="1189"/>
      <c r="S20" s="1189"/>
      <c r="T20" s="1552" t="s">
        <v>871</v>
      </c>
      <c r="U20" s="1552"/>
      <c r="V20" s="1189"/>
      <c r="W20" s="1207" t="e">
        <f t="shared" si="3"/>
        <v>#VALUE!</v>
      </c>
      <c r="X20" s="58" t="s">
        <v>872</v>
      </c>
      <c r="Y20" s="1523" t="e">
        <f>IF(DAY(W17)=31,DATE(YEAR(W17),MONTH(W17)+2,DAY(5)))</f>
        <v>#VALUE!</v>
      </c>
      <c r="Z20" s="1524"/>
      <c r="AA20" s="306" t="e">
        <f>IF(AND(DAY(W17)&gt;=6,DAY(W17)&lt;=20),DATE(YEAR(W17),MONTH(W17)+1,DAY(20)),IF(AND(DAY(W17)&gt;=21,DAY(W17)&lt;=30),DATE(YEAR(W17),MONTH(W17)+1,IF(DAY(EOMONTH(W17,1))&lt;31,DAY(EOMONTH(W17,1)),DAY(30))),DATE(YEAR(W17),MONTH(W17)+1,DAY(5))))</f>
        <v>#VALUE!</v>
      </c>
      <c r="AB20" s="1189"/>
      <c r="AC20" s="1189"/>
      <c r="AD20" s="1189"/>
      <c r="AE20" s="1189"/>
      <c r="AF20" s="1189"/>
      <c r="AG20" s="1189"/>
      <c r="AH20" s="1189"/>
      <c r="AI20" s="1189"/>
      <c r="AJ20" s="1210"/>
      <c r="AK20" s="1189"/>
      <c r="AL20" s="1189"/>
      <c r="AM20" s="1189"/>
      <c r="AN20" s="1189"/>
      <c r="AO20" s="1189"/>
      <c r="AP20" s="1189"/>
      <c r="AQ20" s="1189"/>
      <c r="AR20" s="1189"/>
      <c r="AS20" s="1189"/>
      <c r="AT20" s="1189"/>
      <c r="AU20" s="1189"/>
      <c r="AV20" s="1189"/>
      <c r="AW20" s="1211"/>
      <c r="AX20" s="1189"/>
    </row>
    <row r="21" spans="1:50" ht="12.6">
      <c r="A21" s="1123"/>
      <c r="B21" s="147"/>
      <c r="C21" s="100"/>
      <c r="D21" s="705"/>
      <c r="E21" s="142"/>
      <c r="F21" s="235"/>
      <c r="G21" s="235"/>
      <c r="H21" s="235"/>
      <c r="I21" s="235"/>
      <c r="J21" s="100"/>
      <c r="K21" s="1527">
        <f t="shared" si="1"/>
        <v>0</v>
      </c>
      <c r="L21" s="1527"/>
      <c r="M21" s="1207" t="str">
        <f t="shared" si="2"/>
        <v/>
      </c>
      <c r="N21" s="1551">
        <f>IF(E28&gt;3,F28,0)</f>
        <v>0</v>
      </c>
      <c r="O21" s="1551"/>
      <c r="P21" s="1525"/>
      <c r="Q21" s="1526"/>
      <c r="R21" s="1189"/>
      <c r="S21" s="1189"/>
      <c r="T21" s="1552" t="s">
        <v>873</v>
      </c>
      <c r="U21" s="1552"/>
      <c r="V21" s="1189"/>
      <c r="W21" s="1207" t="e">
        <f t="shared" si="3"/>
        <v>#VALUE!</v>
      </c>
      <c r="X21" s="1189"/>
      <c r="Y21" s="1189"/>
      <c r="Z21" s="1189"/>
      <c r="AA21" s="1189"/>
      <c r="AB21" s="1189"/>
      <c r="AC21" s="1189"/>
      <c r="AD21" s="1189"/>
      <c r="AE21" s="1189"/>
      <c r="AF21" s="1189"/>
      <c r="AG21" s="1189"/>
      <c r="AH21" s="1189"/>
      <c r="AI21" s="1189"/>
      <c r="AJ21" s="1210"/>
      <c r="AK21" s="1189"/>
      <c r="AL21" s="1189"/>
      <c r="AM21" s="1189"/>
      <c r="AN21" s="1189"/>
      <c r="AO21" s="1189"/>
      <c r="AP21" s="1189"/>
      <c r="AQ21" s="1189"/>
      <c r="AR21" s="1189"/>
      <c r="AS21" s="1189"/>
      <c r="AT21" s="1189"/>
      <c r="AU21" s="1189"/>
      <c r="AV21" s="1189"/>
      <c r="AW21" s="1211"/>
      <c r="AX21" s="1189"/>
    </row>
    <row r="22" spans="1:50" ht="12.6">
      <c r="A22" s="1123"/>
      <c r="B22" s="129" t="s">
        <v>874</v>
      </c>
      <c r="C22" s="101"/>
      <c r="D22" s="142" t="s">
        <v>802</v>
      </c>
      <c r="E22" s="239"/>
      <c r="F22" s="1558">
        <f>SUM(F19:I20,F17)</f>
        <v>3634506.8573038713</v>
      </c>
      <c r="G22" s="1559"/>
      <c r="H22" s="1559"/>
      <c r="I22" s="1560"/>
      <c r="J22" s="100"/>
      <c r="K22" s="1527">
        <f t="shared" si="1"/>
        <v>0</v>
      </c>
      <c r="L22" s="1527"/>
      <c r="M22" s="1207" t="str">
        <f t="shared" si="2"/>
        <v/>
      </c>
      <c r="N22" s="1551">
        <f>IF(E28&gt;4,F28,0)</f>
        <v>0</v>
      </c>
      <c r="O22" s="1551"/>
      <c r="P22" s="1525"/>
      <c r="Q22" s="1526"/>
      <c r="R22" s="1189"/>
      <c r="S22" s="1189"/>
      <c r="T22" s="1552" t="s">
        <v>875</v>
      </c>
      <c r="U22" s="1552"/>
      <c r="V22" s="1189"/>
      <c r="W22" s="1207" t="e">
        <f t="shared" si="3"/>
        <v>#VALUE!</v>
      </c>
      <c r="X22" s="1189"/>
      <c r="Y22" s="1189"/>
      <c r="Z22" s="1189"/>
      <c r="AA22" s="1189"/>
      <c r="AB22" s="1189"/>
      <c r="AC22" s="1189"/>
      <c r="AD22" s="1189"/>
      <c r="AE22" s="1189"/>
      <c r="AF22" s="1189"/>
      <c r="AG22" s="1189"/>
      <c r="AH22" s="1189"/>
      <c r="AI22" s="1189"/>
      <c r="AJ22" s="1210"/>
      <c r="AK22" s="1189"/>
      <c r="AL22" s="1189"/>
      <c r="AM22" s="1189"/>
      <c r="AN22" s="1189"/>
      <c r="AO22" s="1189"/>
      <c r="AP22" s="1189"/>
      <c r="AQ22" s="1189"/>
      <c r="AR22" s="1189"/>
      <c r="AS22" s="1189"/>
      <c r="AT22" s="1189"/>
      <c r="AU22" s="1189"/>
      <c r="AV22" s="1189"/>
      <c r="AW22" s="1211"/>
      <c r="AX22" s="1189"/>
    </row>
    <row r="23" spans="1:50" ht="12.6">
      <c r="A23" s="1123"/>
      <c r="B23" s="147"/>
      <c r="C23" s="100"/>
      <c r="D23" s="705"/>
      <c r="E23" s="142"/>
      <c r="F23" s="235"/>
      <c r="G23" s="240"/>
      <c r="H23" s="240"/>
      <c r="I23" s="240"/>
      <c r="J23" s="100"/>
      <c r="K23" s="1527">
        <f t="shared" si="1"/>
        <v>0</v>
      </c>
      <c r="L23" s="1527"/>
      <c r="M23" s="1207" t="str">
        <f t="shared" si="2"/>
        <v/>
      </c>
      <c r="N23" s="1551">
        <f>IF(E28&gt;5,F28,0)</f>
        <v>0</v>
      </c>
      <c r="O23" s="1551"/>
      <c r="P23" s="1525"/>
      <c r="Q23" s="1526"/>
      <c r="R23" s="1189"/>
      <c r="S23" s="1189"/>
      <c r="T23" s="1552" t="s">
        <v>876</v>
      </c>
      <c r="U23" s="1552"/>
      <c r="V23" s="1189"/>
      <c r="W23" s="1207" t="e">
        <f t="shared" si="3"/>
        <v>#VALUE!</v>
      </c>
      <c r="X23" s="1189"/>
      <c r="Y23" s="1189"/>
      <c r="Z23" s="1189"/>
      <c r="AA23" s="1189"/>
      <c r="AB23" s="1189"/>
      <c r="AC23" s="1189"/>
      <c r="AD23" s="1189"/>
      <c r="AE23" s="1189"/>
      <c r="AF23" s="1189"/>
      <c r="AG23" s="1189"/>
      <c r="AH23" s="1189"/>
      <c r="AI23" s="1189"/>
      <c r="AJ23" s="1210"/>
      <c r="AK23" s="1189"/>
      <c r="AL23" s="1189"/>
      <c r="AM23" s="1189"/>
      <c r="AN23" s="1189"/>
      <c r="AO23" s="1189"/>
      <c r="AP23" s="1189"/>
      <c r="AQ23" s="1189"/>
      <c r="AR23" s="1189"/>
      <c r="AS23" s="1189"/>
      <c r="AT23" s="1189"/>
      <c r="AU23" s="1189"/>
      <c r="AV23" s="1189"/>
      <c r="AW23" s="1211"/>
      <c r="AX23" s="1189"/>
    </row>
    <row r="24" spans="1:50" ht="12.6">
      <c r="A24" s="1123"/>
      <c r="B24" s="141" t="s">
        <v>877</v>
      </c>
      <c r="C24" s="226"/>
      <c r="D24" s="232" t="s">
        <v>802</v>
      </c>
      <c r="E24" s="282">
        <f>FORM!I24</f>
        <v>0.125</v>
      </c>
      <c r="F24" s="1558">
        <f>F22*E24</f>
        <v>454313.35716298391</v>
      </c>
      <c r="G24" s="1559"/>
      <c r="H24" s="1559"/>
      <c r="I24" s="1560"/>
      <c r="J24" s="100"/>
      <c r="K24" s="1527">
        <f t="shared" si="1"/>
        <v>0</v>
      </c>
      <c r="L24" s="1527"/>
      <c r="M24" s="1207" t="str">
        <f t="shared" si="2"/>
        <v/>
      </c>
      <c r="N24" s="1551">
        <f>IF(E28&gt;6,F28,0)</f>
        <v>0</v>
      </c>
      <c r="O24" s="1551"/>
      <c r="P24" s="1525"/>
      <c r="Q24" s="1526"/>
      <c r="R24" s="1189"/>
      <c r="S24" s="1189"/>
      <c r="T24" s="1552" t="s">
        <v>878</v>
      </c>
      <c r="U24" s="1552"/>
      <c r="V24" s="1189"/>
      <c r="W24" s="1207" t="e">
        <f t="shared" si="3"/>
        <v>#VALUE!</v>
      </c>
      <c r="X24" s="1189"/>
      <c r="Y24" s="1189"/>
      <c r="Z24" s="1189"/>
      <c r="AA24" s="1189"/>
      <c r="AB24" s="1189"/>
      <c r="AC24" s="1189"/>
      <c r="AD24" s="1189"/>
      <c r="AE24" s="1189"/>
      <c r="AF24" s="1189"/>
      <c r="AG24" s="1189"/>
      <c r="AH24" s="1189"/>
      <c r="AI24" s="1189"/>
      <c r="AJ24" s="1210"/>
      <c r="AK24" s="1189"/>
      <c r="AL24" s="1189"/>
      <c r="AM24" s="1189"/>
      <c r="AN24" s="1189"/>
      <c r="AO24" s="1189"/>
      <c r="AP24" s="1189"/>
      <c r="AQ24" s="1189"/>
      <c r="AR24" s="1189"/>
      <c r="AS24" s="1189"/>
      <c r="AT24" s="1189"/>
      <c r="AU24" s="1189"/>
      <c r="AV24" s="1189"/>
      <c r="AW24" s="1211"/>
      <c r="AX24" s="1189"/>
    </row>
    <row r="25" spans="1:50" ht="12.6">
      <c r="A25" s="1123"/>
      <c r="B25" s="144" t="s">
        <v>879</v>
      </c>
      <c r="C25" s="227"/>
      <c r="D25" s="705" t="s">
        <v>802</v>
      </c>
      <c r="E25" s="1198"/>
      <c r="F25" s="210">
        <f>FORM!I22</f>
        <v>30000</v>
      </c>
      <c r="G25" s="1215"/>
      <c r="H25" s="1216"/>
      <c r="I25" s="1217"/>
      <c r="J25" s="100"/>
      <c r="K25" s="1527">
        <f t="shared" si="1"/>
        <v>0</v>
      </c>
      <c r="L25" s="1527"/>
      <c r="M25" s="1207" t="str">
        <f t="shared" si="2"/>
        <v/>
      </c>
      <c r="N25" s="1551">
        <f>IF(E28&gt;7,F28,0)</f>
        <v>0</v>
      </c>
      <c r="O25" s="1551"/>
      <c r="P25" s="1525"/>
      <c r="Q25" s="1526"/>
      <c r="R25" s="1189"/>
      <c r="S25" s="1189"/>
      <c r="T25" s="1552" t="s">
        <v>880</v>
      </c>
      <c r="U25" s="1552"/>
      <c r="V25" s="1189"/>
      <c r="W25" s="1207" t="e">
        <f t="shared" si="3"/>
        <v>#VALUE!</v>
      </c>
      <c r="X25" s="1189"/>
      <c r="Y25" s="1189"/>
      <c r="Z25" s="1189"/>
      <c r="AA25" s="1189"/>
      <c r="AB25" s="1189"/>
      <c r="AC25" s="1189"/>
      <c r="AD25" s="1189"/>
      <c r="AE25" s="1189"/>
      <c r="AF25" s="1189"/>
      <c r="AG25" s="1189"/>
      <c r="AH25" s="1189"/>
      <c r="AI25" s="1189"/>
      <c r="AJ25" s="1210"/>
      <c r="AK25" s="1189"/>
      <c r="AL25" s="1189"/>
      <c r="AM25" s="1189"/>
      <c r="AN25" s="1189"/>
      <c r="AO25" s="1189"/>
      <c r="AP25" s="1189"/>
      <c r="AQ25" s="1189"/>
      <c r="AR25" s="1189"/>
      <c r="AS25" s="1189"/>
      <c r="AT25" s="1189"/>
      <c r="AU25" s="1189"/>
      <c r="AV25" s="1189"/>
      <c r="AW25" s="1211"/>
      <c r="AX25" s="1189"/>
    </row>
    <row r="26" spans="1:50" ht="12.6">
      <c r="A26" s="1203"/>
      <c r="B26" s="129" t="s">
        <v>881</v>
      </c>
      <c r="C26" s="126"/>
      <c r="D26" s="142" t="s">
        <v>802</v>
      </c>
      <c r="E26" s="1198"/>
      <c r="F26" s="1558">
        <f>F24-F25</f>
        <v>424313.35716298391</v>
      </c>
      <c r="G26" s="1559"/>
      <c r="H26" s="1559"/>
      <c r="I26" s="1560"/>
      <c r="J26" s="100"/>
      <c r="K26" s="1527">
        <f t="shared" si="1"/>
        <v>0</v>
      </c>
      <c r="L26" s="1527"/>
      <c r="M26" s="1207" t="str">
        <f t="shared" si="2"/>
        <v/>
      </c>
      <c r="N26" s="1551">
        <f>IF(E28&gt;8,F28,0)</f>
        <v>0</v>
      </c>
      <c r="O26" s="1551"/>
      <c r="P26" s="1525"/>
      <c r="Q26" s="1526"/>
      <c r="R26" s="1189"/>
      <c r="S26" s="1189"/>
      <c r="T26" s="1552" t="s">
        <v>882</v>
      </c>
      <c r="U26" s="1552"/>
      <c r="V26" s="1189"/>
      <c r="W26" s="1207" t="e">
        <f t="shared" si="3"/>
        <v>#VALUE!</v>
      </c>
      <c r="X26" s="1189"/>
      <c r="Y26" s="1189"/>
      <c r="Z26" s="1189"/>
      <c r="AA26" s="1189"/>
      <c r="AB26" s="1189"/>
      <c r="AC26" s="1189"/>
      <c r="AD26" s="1189"/>
      <c r="AE26" s="1189"/>
      <c r="AF26" s="1189"/>
      <c r="AG26" s="1189"/>
      <c r="AH26" s="1189"/>
      <c r="AI26" s="1189"/>
      <c r="AJ26" s="1210"/>
      <c r="AK26" s="1189"/>
      <c r="AL26" s="1189"/>
      <c r="AM26" s="1189"/>
      <c r="AN26" s="1189"/>
      <c r="AO26" s="1189"/>
      <c r="AP26" s="1189"/>
      <c r="AQ26" s="1189"/>
      <c r="AR26" s="1189"/>
      <c r="AS26" s="1189"/>
      <c r="AT26" s="1189"/>
      <c r="AU26" s="1189"/>
      <c r="AV26" s="1189"/>
      <c r="AW26" s="1211"/>
      <c r="AX26" s="1189"/>
    </row>
    <row r="27" spans="1:50" ht="12.6">
      <c r="A27" s="1123"/>
      <c r="B27" s="147"/>
      <c r="C27" s="100"/>
      <c r="D27" s="705"/>
      <c r="E27" s="142"/>
      <c r="F27" s="235"/>
      <c r="G27" s="240"/>
      <c r="H27" s="240"/>
      <c r="I27" s="240"/>
      <c r="J27" s="100"/>
      <c r="K27" s="1527">
        <f t="shared" si="1"/>
        <v>0</v>
      </c>
      <c r="L27" s="1527"/>
      <c r="M27" s="1207" t="str">
        <f t="shared" si="2"/>
        <v/>
      </c>
      <c r="N27" s="1551">
        <f>IF(E28&gt;9,F28,0)</f>
        <v>0</v>
      </c>
      <c r="O27" s="1551"/>
      <c r="P27" s="1525"/>
      <c r="Q27" s="1526"/>
      <c r="R27" s="1189"/>
      <c r="S27" s="1189"/>
      <c r="T27" s="1552" t="s">
        <v>883</v>
      </c>
      <c r="U27" s="1552"/>
      <c r="V27" s="1189"/>
      <c r="W27" s="1207" t="e">
        <f t="shared" si="3"/>
        <v>#VALUE!</v>
      </c>
      <c r="X27" s="1189"/>
      <c r="Y27" s="1189"/>
      <c r="Z27" s="1189"/>
      <c r="AA27" s="1189"/>
      <c r="AB27" s="1189"/>
      <c r="AC27" s="1189"/>
      <c r="AD27" s="1189"/>
      <c r="AE27" s="1189"/>
      <c r="AF27" s="1189"/>
      <c r="AG27" s="1189"/>
      <c r="AH27" s="1189"/>
      <c r="AI27" s="1189"/>
      <c r="AJ27" s="1210"/>
      <c r="AK27" s="1189"/>
      <c r="AL27" s="1189"/>
      <c r="AM27" s="1189"/>
      <c r="AN27" s="1189"/>
      <c r="AO27" s="1189"/>
      <c r="AP27" s="1189"/>
      <c r="AQ27" s="1189"/>
      <c r="AR27" s="1189"/>
      <c r="AS27" s="1189"/>
      <c r="AT27" s="1189"/>
      <c r="AU27" s="1189"/>
      <c r="AV27" s="1189"/>
      <c r="AW27" s="1211"/>
      <c r="AX27" s="1189"/>
    </row>
    <row r="28" spans="1:50" ht="12.6">
      <c r="A28" s="1123"/>
      <c r="B28" s="1586" t="s">
        <v>884</v>
      </c>
      <c r="C28" s="1586"/>
      <c r="D28" s="142" t="s">
        <v>802</v>
      </c>
      <c r="E28" s="242">
        <f>VLOOKUP(E8,'Pricelist Link'!A6:AG358,18,FALSE)</f>
        <v>1</v>
      </c>
      <c r="F28" s="1558">
        <f>F26/E28</f>
        <v>424313.35716298391</v>
      </c>
      <c r="G28" s="1559"/>
      <c r="H28" s="1559"/>
      <c r="I28" s="1560"/>
      <c r="J28" s="100"/>
      <c r="K28" s="1527">
        <f t="shared" si="1"/>
        <v>0</v>
      </c>
      <c r="L28" s="1527"/>
      <c r="M28" s="1207" t="str">
        <f t="shared" si="2"/>
        <v/>
      </c>
      <c r="N28" s="1551">
        <f>IF(E28&gt;10,F28,0)</f>
        <v>0</v>
      </c>
      <c r="O28" s="1551"/>
      <c r="P28" s="1525"/>
      <c r="Q28" s="1526"/>
      <c r="R28" s="1189"/>
      <c r="S28" s="1189"/>
      <c r="T28" s="1552" t="s">
        <v>885</v>
      </c>
      <c r="U28" s="1552"/>
      <c r="V28" s="1189"/>
      <c r="W28" s="1207" t="e">
        <f t="shared" si="3"/>
        <v>#VALUE!</v>
      </c>
      <c r="X28" s="1189"/>
      <c r="Y28" s="1189"/>
      <c r="Z28" s="1189"/>
      <c r="AA28" s="1189"/>
      <c r="AB28" s="1189"/>
      <c r="AC28" s="1189"/>
      <c r="AD28" s="1189"/>
      <c r="AE28" s="1189"/>
      <c r="AF28" s="1189"/>
      <c r="AG28" s="1189"/>
      <c r="AH28" s="1189"/>
      <c r="AI28" s="1189"/>
      <c r="AJ28" s="1210"/>
      <c r="AK28" s="1189"/>
      <c r="AL28" s="1189"/>
      <c r="AM28" s="1189"/>
      <c r="AN28" s="1189"/>
      <c r="AO28" s="1189"/>
      <c r="AP28" s="1189"/>
      <c r="AQ28" s="1189"/>
      <c r="AR28" s="1189"/>
      <c r="AS28" s="1189"/>
      <c r="AT28" s="1189"/>
      <c r="AU28" s="1189"/>
      <c r="AV28" s="1189"/>
      <c r="AW28" s="1211"/>
      <c r="AX28" s="1189"/>
    </row>
    <row r="29" spans="1:50" ht="12.6">
      <c r="A29" s="1218"/>
      <c r="B29" s="1123"/>
      <c r="C29" s="178"/>
      <c r="D29" s="705"/>
      <c r="E29" s="243"/>
      <c r="F29" s="235"/>
      <c r="G29" s="235"/>
      <c r="H29" s="235"/>
      <c r="I29" s="235"/>
      <c r="J29" s="100"/>
      <c r="K29" s="1527">
        <f t="shared" si="1"/>
        <v>0</v>
      </c>
      <c r="L29" s="1527"/>
      <c r="M29" s="1207" t="str">
        <f t="shared" si="2"/>
        <v/>
      </c>
      <c r="N29" s="1557">
        <f>IF(E28&gt;11,F28,0)</f>
        <v>0</v>
      </c>
      <c r="O29" s="1557"/>
      <c r="P29" s="1525"/>
      <c r="Q29" s="1526"/>
      <c r="R29" s="1189"/>
      <c r="S29" s="1189"/>
      <c r="T29" s="1552" t="s">
        <v>886</v>
      </c>
      <c r="U29" s="1552"/>
      <c r="V29" s="1189"/>
      <c r="W29" s="1207" t="e">
        <f t="shared" si="3"/>
        <v>#VALUE!</v>
      </c>
      <c r="X29" s="1189"/>
      <c r="Y29" s="1189"/>
      <c r="Z29" s="1189"/>
      <c r="AA29" s="1189"/>
      <c r="AB29" s="1189"/>
      <c r="AC29" s="1189"/>
      <c r="AD29" s="1189"/>
      <c r="AE29" s="1189"/>
      <c r="AF29" s="1189"/>
      <c r="AG29" s="1189"/>
      <c r="AH29" s="1189"/>
      <c r="AI29" s="1189"/>
      <c r="AJ29" s="1210"/>
      <c r="AK29" s="1189"/>
      <c r="AL29" s="1189"/>
      <c r="AM29" s="1189"/>
      <c r="AN29" s="1189"/>
      <c r="AO29" s="1189"/>
      <c r="AP29" s="1189"/>
      <c r="AQ29" s="1189"/>
      <c r="AR29" s="1189"/>
      <c r="AS29" s="1189"/>
      <c r="AT29" s="1189"/>
      <c r="AU29" s="1189"/>
      <c r="AV29" s="1189"/>
      <c r="AW29" s="1211"/>
      <c r="AX29" s="1189"/>
    </row>
    <row r="30" spans="1:50" ht="12.6">
      <c r="A30" s="1123"/>
      <c r="B30" s="129" t="s">
        <v>887</v>
      </c>
      <c r="C30" s="129"/>
      <c r="D30" s="142" t="s">
        <v>802</v>
      </c>
      <c r="E30" s="241">
        <f>100%-E24</f>
        <v>0.875</v>
      </c>
      <c r="F30" s="1558">
        <f>F22*E30</f>
        <v>3180193.5001408872</v>
      </c>
      <c r="G30" s="1559"/>
      <c r="H30" s="1559"/>
      <c r="I30" s="1560"/>
      <c r="J30" s="100"/>
      <c r="K30" s="1527">
        <f t="shared" si="1"/>
        <v>0</v>
      </c>
      <c r="L30" s="1527"/>
      <c r="M30" s="1207" t="str">
        <f t="shared" si="2"/>
        <v/>
      </c>
      <c r="N30" s="1557">
        <f>IF(E28&gt;12,F28,0)</f>
        <v>0</v>
      </c>
      <c r="O30" s="1557"/>
      <c r="P30" s="1525"/>
      <c r="Q30" s="1526"/>
      <c r="R30" s="1189"/>
      <c r="S30" s="1189"/>
      <c r="T30" s="1552" t="s">
        <v>888</v>
      </c>
      <c r="U30" s="1552"/>
      <c r="V30" s="1189"/>
      <c r="W30" s="1207" t="e">
        <f t="shared" si="3"/>
        <v>#VALUE!</v>
      </c>
      <c r="X30" s="1189"/>
      <c r="Y30" s="1189"/>
      <c r="Z30" s="1189"/>
      <c r="AA30" s="1189"/>
      <c r="AB30" s="1189"/>
      <c r="AC30" s="1189"/>
      <c r="AD30" s="1189"/>
      <c r="AE30" s="1189"/>
      <c r="AF30" s="1189"/>
      <c r="AG30" s="1189"/>
      <c r="AH30" s="1189"/>
      <c r="AI30" s="1189"/>
      <c r="AJ30" s="1210"/>
      <c r="AK30" s="1189"/>
      <c r="AL30" s="1189"/>
      <c r="AM30" s="1189"/>
      <c r="AN30" s="1189"/>
      <c r="AO30" s="1189"/>
      <c r="AP30" s="1189"/>
      <c r="AQ30" s="1189"/>
      <c r="AR30" s="1189"/>
      <c r="AS30" s="1189"/>
      <c r="AT30" s="1189"/>
      <c r="AU30" s="1189"/>
      <c r="AV30" s="1189"/>
      <c r="AW30" s="1211"/>
      <c r="AX30" s="1189"/>
    </row>
    <row r="31" spans="1:50" ht="12.6">
      <c r="A31" s="1123"/>
      <c r="B31" s="1123"/>
      <c r="C31" s="178"/>
      <c r="D31" s="243"/>
      <c r="E31" s="243"/>
      <c r="F31" s="243"/>
      <c r="G31" s="244"/>
      <c r="H31" s="244"/>
      <c r="I31" s="244"/>
      <c r="J31" s="100"/>
      <c r="K31" s="1527">
        <f t="shared" si="1"/>
        <v>0</v>
      </c>
      <c r="L31" s="1527"/>
      <c r="M31" s="1207" t="str">
        <f t="shared" si="2"/>
        <v/>
      </c>
      <c r="N31" s="1557">
        <f>IF(E28&gt;13,F28,0)</f>
        <v>0</v>
      </c>
      <c r="O31" s="1557"/>
      <c r="P31" s="1525"/>
      <c r="Q31" s="1526"/>
      <c r="R31" s="1189"/>
      <c r="S31" s="1189"/>
      <c r="T31" s="1552" t="s">
        <v>889</v>
      </c>
      <c r="U31" s="1552"/>
      <c r="V31" s="1189"/>
      <c r="W31" s="1207" t="e">
        <f t="shared" si="3"/>
        <v>#VALUE!</v>
      </c>
      <c r="X31" s="1189"/>
      <c r="Y31" s="1189"/>
      <c r="Z31" s="1189"/>
      <c r="AA31" s="1189"/>
      <c r="AB31" s="1189"/>
      <c r="AC31" s="1189"/>
      <c r="AD31" s="1189"/>
      <c r="AE31" s="1189"/>
      <c r="AF31" s="1189"/>
      <c r="AG31" s="1189"/>
      <c r="AH31" s="1189"/>
      <c r="AI31" s="1189"/>
      <c r="AJ31" s="1210"/>
      <c r="AK31" s="1189"/>
      <c r="AL31" s="1189"/>
      <c r="AM31" s="1189"/>
      <c r="AN31" s="1189"/>
      <c r="AO31" s="1189"/>
      <c r="AP31" s="1189"/>
      <c r="AQ31" s="1189"/>
      <c r="AR31" s="1189"/>
      <c r="AS31" s="1189"/>
      <c r="AT31" s="1189"/>
      <c r="AU31" s="1189"/>
      <c r="AV31" s="1189"/>
      <c r="AW31" s="1211"/>
      <c r="AX31" s="1189"/>
    </row>
    <row r="32" spans="1:50" ht="12.6">
      <c r="A32" s="1123"/>
      <c r="B32" s="101" t="s">
        <v>890</v>
      </c>
      <c r="C32" s="238"/>
      <c r="D32" s="245"/>
      <c r="E32" s="1219"/>
      <c r="F32" s="243"/>
      <c r="G32" s="244"/>
      <c r="H32" s="244"/>
      <c r="I32" s="244"/>
      <c r="J32" s="179"/>
      <c r="K32" s="1527">
        <f t="shared" si="1"/>
        <v>0</v>
      </c>
      <c r="L32" s="1527"/>
      <c r="M32" s="1207" t="str">
        <f t="shared" si="2"/>
        <v/>
      </c>
      <c r="N32" s="1557">
        <f>IF(E28&gt;14,F28,0)</f>
        <v>0</v>
      </c>
      <c r="O32" s="1557"/>
      <c r="P32" s="1525"/>
      <c r="Q32" s="1526"/>
      <c r="R32" s="1189"/>
      <c r="S32" s="1189"/>
      <c r="T32" s="1552" t="s">
        <v>891</v>
      </c>
      <c r="U32" s="1552"/>
      <c r="V32" s="1189"/>
      <c r="W32" s="1207" t="e">
        <f t="shared" si="3"/>
        <v>#VALUE!</v>
      </c>
      <c r="X32" s="1189"/>
      <c r="Y32" s="1189"/>
      <c r="Z32" s="1189"/>
      <c r="AA32" s="1189"/>
      <c r="AB32" s="1189"/>
      <c r="AC32" s="1189"/>
      <c r="AD32" s="1189"/>
      <c r="AE32" s="1189"/>
      <c r="AF32" s="1189"/>
      <c r="AG32" s="1189"/>
      <c r="AH32" s="1189"/>
      <c r="AI32" s="1189"/>
      <c r="AJ32" s="1210"/>
      <c r="AK32" s="1189"/>
      <c r="AL32" s="1189"/>
      <c r="AM32" s="1189"/>
      <c r="AN32" s="1189"/>
      <c r="AO32" s="1189"/>
      <c r="AP32" s="1189"/>
      <c r="AQ32" s="1189"/>
      <c r="AR32" s="1189"/>
      <c r="AS32" s="1189"/>
      <c r="AT32" s="1189"/>
      <c r="AU32" s="1189"/>
      <c r="AV32" s="1189"/>
      <c r="AW32" s="1211"/>
      <c r="AX32" s="1189"/>
    </row>
    <row r="33" spans="1:50" ht="12.6">
      <c r="A33" s="1123"/>
      <c r="B33" s="1123"/>
      <c r="C33" s="178"/>
      <c r="D33" s="178"/>
      <c r="E33" s="1220"/>
      <c r="F33" s="1125"/>
      <c r="G33" s="1125"/>
      <c r="H33" s="1125"/>
      <c r="I33" s="1125"/>
      <c r="J33" s="142"/>
      <c r="K33" s="1527">
        <f t="shared" si="1"/>
        <v>0</v>
      </c>
      <c r="L33" s="1527"/>
      <c r="M33" s="1207" t="str">
        <f t="shared" si="2"/>
        <v/>
      </c>
      <c r="N33" s="1557">
        <f>IF(E28&gt;15,F28,0)</f>
        <v>0</v>
      </c>
      <c r="O33" s="1557"/>
      <c r="P33" s="1525"/>
      <c r="Q33" s="1526"/>
      <c r="R33" s="1189"/>
      <c r="S33" s="1189"/>
      <c r="T33" s="1552" t="s">
        <v>892</v>
      </c>
      <c r="U33" s="1552"/>
      <c r="V33" s="1189"/>
      <c r="W33" s="1207" t="e">
        <f t="shared" si="3"/>
        <v>#VALUE!</v>
      </c>
      <c r="X33" s="1189"/>
      <c r="Y33" s="1189"/>
      <c r="Z33" s="1189"/>
      <c r="AA33" s="1189"/>
      <c r="AB33" s="1189"/>
      <c r="AC33" s="1189"/>
      <c r="AD33" s="1189"/>
      <c r="AE33" s="1189"/>
      <c r="AF33" s="1189"/>
      <c r="AG33" s="1189"/>
      <c r="AH33" s="1189"/>
      <c r="AI33" s="1189"/>
      <c r="AJ33" s="1210"/>
      <c r="AK33" s="1189"/>
      <c r="AL33" s="1189"/>
      <c r="AM33" s="1189"/>
      <c r="AN33" s="1189"/>
      <c r="AO33" s="1189"/>
      <c r="AP33" s="1189"/>
      <c r="AQ33" s="1189"/>
      <c r="AR33" s="1189"/>
      <c r="AS33" s="1189"/>
      <c r="AT33" s="1189"/>
      <c r="AU33" s="1189"/>
      <c r="AV33" s="1189"/>
      <c r="AW33" s="1211"/>
      <c r="AX33" s="1189"/>
    </row>
    <row r="34" spans="1:50" ht="12.6">
      <c r="A34" s="1123"/>
      <c r="B34" s="208" t="s">
        <v>56</v>
      </c>
      <c r="C34" s="208" t="s">
        <v>57</v>
      </c>
      <c r="D34" s="208" t="s">
        <v>58</v>
      </c>
      <c r="E34" s="208" t="s">
        <v>893</v>
      </c>
      <c r="F34" s="1549" t="s">
        <v>894</v>
      </c>
      <c r="G34" s="1549"/>
      <c r="H34" s="1549"/>
      <c r="I34" s="1549"/>
      <c r="J34" s="178"/>
      <c r="K34" s="1527">
        <f t="shared" si="1"/>
        <v>0</v>
      </c>
      <c r="L34" s="1527"/>
      <c r="M34" s="1207" t="str">
        <f t="shared" si="2"/>
        <v/>
      </c>
      <c r="N34" s="1557">
        <f>IF(E28&gt;16,F28,0)</f>
        <v>0</v>
      </c>
      <c r="O34" s="1557"/>
      <c r="P34" s="1525"/>
      <c r="Q34" s="1526"/>
      <c r="R34" s="1189"/>
      <c r="S34" s="1189"/>
      <c r="T34" s="1552" t="s">
        <v>895</v>
      </c>
      <c r="U34" s="1552"/>
      <c r="V34" s="1189"/>
      <c r="W34" s="1207" t="e">
        <f t="shared" si="3"/>
        <v>#VALUE!</v>
      </c>
      <c r="X34" s="1189"/>
      <c r="Y34" s="1189"/>
      <c r="Z34" s="1189"/>
      <c r="AA34" s="1189"/>
      <c r="AB34" s="1189"/>
      <c r="AC34" s="1189"/>
      <c r="AD34" s="1189"/>
      <c r="AE34" s="1189"/>
      <c r="AF34" s="1189"/>
      <c r="AG34" s="1189"/>
      <c r="AH34" s="1189"/>
      <c r="AI34" s="1189"/>
      <c r="AJ34" s="1210"/>
      <c r="AK34" s="1189"/>
      <c r="AL34" s="1189"/>
      <c r="AM34" s="1189"/>
      <c r="AN34" s="1189"/>
      <c r="AO34" s="1189"/>
      <c r="AP34" s="1189"/>
      <c r="AQ34" s="1189"/>
      <c r="AR34" s="1189"/>
      <c r="AS34" s="1189"/>
      <c r="AT34" s="1189"/>
      <c r="AU34" s="1189"/>
      <c r="AV34" s="1189"/>
      <c r="AW34" s="1211"/>
      <c r="AX34" s="1189"/>
    </row>
    <row r="35" spans="1:50" ht="12.6">
      <c r="A35" s="1123"/>
      <c r="B35" s="246">
        <v>5</v>
      </c>
      <c r="C35" s="247">
        <v>7.0000000000000007E-2</v>
      </c>
      <c r="D35" s="248">
        <f>PMT(C35/12,B35*12,-1)</f>
        <v>1.9801198540349535E-2</v>
      </c>
      <c r="E35" s="1127">
        <f>F30*D35</f>
        <v>62971.642893018812</v>
      </c>
      <c r="F35" s="1551">
        <f>E35/0.33</f>
        <v>190823.16028187517</v>
      </c>
      <c r="G35" s="1551"/>
      <c r="H35" s="1551"/>
      <c r="I35" s="1551"/>
      <c r="J35" s="100"/>
      <c r="K35" s="1527">
        <f t="shared" si="1"/>
        <v>0</v>
      </c>
      <c r="L35" s="1527"/>
      <c r="M35" s="1207" t="str">
        <f t="shared" si="2"/>
        <v/>
      </c>
      <c r="N35" s="1557">
        <f>IF(E28&gt;17,F28,0)</f>
        <v>0</v>
      </c>
      <c r="O35" s="1557"/>
      <c r="P35" s="1525"/>
      <c r="Q35" s="1526"/>
      <c r="R35" s="1189"/>
      <c r="S35" s="1189"/>
      <c r="T35" s="1552" t="s">
        <v>896</v>
      </c>
      <c r="U35" s="1552"/>
      <c r="V35" s="1189"/>
      <c r="W35" s="1207" t="e">
        <f t="shared" si="3"/>
        <v>#VALUE!</v>
      </c>
      <c r="X35" s="1189"/>
      <c r="Y35" s="1189"/>
      <c r="Z35" s="1189"/>
      <c r="AA35" s="1189"/>
      <c r="AB35" s="1189"/>
      <c r="AC35" s="1189"/>
      <c r="AD35" s="1189"/>
      <c r="AE35" s="1189"/>
      <c r="AF35" s="1189"/>
      <c r="AG35" s="1189"/>
      <c r="AH35" s="1189"/>
      <c r="AI35" s="1189"/>
      <c r="AJ35" s="1210"/>
      <c r="AK35" s="1189"/>
      <c r="AL35" s="1189"/>
      <c r="AM35" s="1189"/>
      <c r="AN35" s="1189"/>
      <c r="AO35" s="1189"/>
      <c r="AP35" s="1189"/>
      <c r="AQ35" s="1189"/>
      <c r="AR35" s="1189"/>
      <c r="AS35" s="1189"/>
      <c r="AT35" s="1189"/>
      <c r="AU35" s="1189"/>
      <c r="AV35" s="1189"/>
      <c r="AW35" s="1211"/>
      <c r="AX35" s="1189"/>
    </row>
    <row r="36" spans="1:50" ht="12.6">
      <c r="A36" s="1123"/>
      <c r="B36" s="246">
        <v>10</v>
      </c>
      <c r="C36" s="247">
        <v>7.0000000000000007E-2</v>
      </c>
      <c r="D36" s="248">
        <f>PMT(C36/12,B36*12,-1)</f>
        <v>1.1610847921862406E-2</v>
      </c>
      <c r="E36" s="1127">
        <f>F30*D36</f>
        <v>36924.743092231154</v>
      </c>
      <c r="F36" s="1551">
        <f>E36/0.33</f>
        <v>111893.16088554895</v>
      </c>
      <c r="G36" s="1551"/>
      <c r="H36" s="1551"/>
      <c r="I36" s="1551"/>
      <c r="J36" s="100"/>
      <c r="K36" s="1527">
        <f t="shared" si="1"/>
        <v>0</v>
      </c>
      <c r="L36" s="1527"/>
      <c r="M36" s="1207" t="str">
        <f t="shared" si="2"/>
        <v/>
      </c>
      <c r="N36" s="1557">
        <f>IF(E28&gt;18,F28,0)</f>
        <v>0</v>
      </c>
      <c r="O36" s="1557"/>
      <c r="P36" s="1525"/>
      <c r="Q36" s="1526"/>
      <c r="R36" s="1189"/>
      <c r="S36" s="1189"/>
      <c r="T36" s="1552" t="s">
        <v>897</v>
      </c>
      <c r="U36" s="1552"/>
      <c r="V36" s="1189"/>
      <c r="W36" s="1207" t="e">
        <f t="shared" si="3"/>
        <v>#VALUE!</v>
      </c>
      <c r="X36" s="1189"/>
      <c r="Y36" s="1189"/>
      <c r="Z36" s="1189"/>
      <c r="AA36" s="1189"/>
      <c r="AB36" s="1189"/>
      <c r="AC36" s="1189"/>
      <c r="AD36" s="1189"/>
      <c r="AE36" s="1189"/>
      <c r="AF36" s="1189"/>
      <c r="AG36" s="1189"/>
      <c r="AH36" s="1189"/>
      <c r="AI36" s="1189"/>
      <c r="AJ36" s="1210"/>
      <c r="AK36" s="1189"/>
      <c r="AL36" s="1189"/>
      <c r="AM36" s="1189"/>
      <c r="AN36" s="1189"/>
      <c r="AO36" s="1189"/>
      <c r="AP36" s="1189"/>
      <c r="AQ36" s="1189"/>
      <c r="AR36" s="1189"/>
      <c r="AS36" s="1189"/>
      <c r="AT36" s="1189"/>
      <c r="AU36" s="1189"/>
      <c r="AV36" s="1189"/>
      <c r="AW36" s="1211"/>
      <c r="AX36" s="1189"/>
    </row>
    <row r="37" spans="1:50" ht="12.6">
      <c r="A37" s="1123"/>
      <c r="B37" s="246">
        <v>15</v>
      </c>
      <c r="C37" s="247">
        <v>7.0000000000000007E-2</v>
      </c>
      <c r="D37" s="248">
        <f t="shared" ref="D37" si="4">PMT(C37/12,B37*12,-1)</f>
        <v>8.988282708524269E-3</v>
      </c>
      <c r="E37" s="1127">
        <f>F30*D37</f>
        <v>28584.478247077608</v>
      </c>
      <c r="F37" s="1551">
        <f>E37/0.33</f>
        <v>86619.63105175033</v>
      </c>
      <c r="G37" s="1551"/>
      <c r="H37" s="1551"/>
      <c r="I37" s="1551"/>
      <c r="J37" s="100"/>
      <c r="K37" s="1527">
        <f t="shared" si="1"/>
        <v>0</v>
      </c>
      <c r="L37" s="1527"/>
      <c r="M37" s="1207" t="str">
        <f t="shared" si="2"/>
        <v/>
      </c>
      <c r="N37" s="1557">
        <f>IF(E28&gt;19,F28,0)</f>
        <v>0</v>
      </c>
      <c r="O37" s="1557"/>
      <c r="P37" s="1525"/>
      <c r="Q37" s="1526"/>
      <c r="R37" s="1189"/>
      <c r="S37" s="1189"/>
      <c r="T37" s="1552" t="s">
        <v>898</v>
      </c>
      <c r="U37" s="1552"/>
      <c r="V37" s="1189"/>
      <c r="W37" s="1207" t="e">
        <f t="shared" si="3"/>
        <v>#VALUE!</v>
      </c>
      <c r="X37" s="1189"/>
      <c r="Y37" s="1189"/>
      <c r="Z37" s="1189"/>
      <c r="AA37" s="1189"/>
      <c r="AB37" s="1189"/>
      <c r="AC37" s="1189"/>
      <c r="AD37" s="1189"/>
      <c r="AE37" s="1189"/>
      <c r="AF37" s="1189"/>
      <c r="AG37" s="1189"/>
      <c r="AH37" s="1189"/>
      <c r="AI37" s="1189"/>
      <c r="AJ37" s="1210"/>
      <c r="AK37" s="1189"/>
      <c r="AL37" s="1189"/>
      <c r="AM37" s="1189"/>
      <c r="AN37" s="1189"/>
      <c r="AO37" s="1189"/>
      <c r="AP37" s="1189"/>
      <c r="AQ37" s="1189"/>
      <c r="AR37" s="1189"/>
      <c r="AS37" s="1189"/>
      <c r="AT37" s="1189"/>
      <c r="AU37" s="1189"/>
      <c r="AV37" s="1189"/>
      <c r="AW37" s="1211"/>
      <c r="AX37" s="1189"/>
    </row>
    <row r="38" spans="1:50" ht="12.6">
      <c r="A38" s="1123"/>
      <c r="B38" s="246">
        <v>20</v>
      </c>
      <c r="C38" s="247">
        <v>7.0000000000000007E-2</v>
      </c>
      <c r="D38" s="248">
        <f t="shared" ref="D38" si="5">PMT(C38/12,B38*12,-1)</f>
        <v>7.7529893561887461E-3</v>
      </c>
      <c r="E38" s="1127">
        <f>F30*D38</f>
        <v>24656.006357212933</v>
      </c>
      <c r="F38" s="1551">
        <f>E38/0.33</f>
        <v>74715.170779433131</v>
      </c>
      <c r="G38" s="1551"/>
      <c r="H38" s="1551"/>
      <c r="I38" s="1551"/>
      <c r="J38" s="100"/>
      <c r="K38" s="1527">
        <f t="shared" si="1"/>
        <v>0</v>
      </c>
      <c r="L38" s="1527"/>
      <c r="M38" s="1207" t="str">
        <f t="shared" si="2"/>
        <v/>
      </c>
      <c r="N38" s="1557">
        <f>IF(E28&gt;20,F28,0)</f>
        <v>0</v>
      </c>
      <c r="O38" s="1557"/>
      <c r="P38" s="1525"/>
      <c r="Q38" s="1526"/>
      <c r="R38" s="1189"/>
      <c r="S38" s="1189"/>
      <c r="T38" s="1552" t="s">
        <v>899</v>
      </c>
      <c r="U38" s="1552"/>
      <c r="V38" s="1189"/>
      <c r="W38" s="1207" t="e">
        <f t="shared" si="3"/>
        <v>#VALUE!</v>
      </c>
      <c r="X38" s="1189"/>
      <c r="Y38" s="1189"/>
      <c r="Z38" s="1189"/>
      <c r="AA38" s="1189"/>
      <c r="AB38" s="1189"/>
      <c r="AC38" s="1189"/>
      <c r="AD38" s="1189"/>
      <c r="AE38" s="1189"/>
      <c r="AF38" s="1189"/>
      <c r="AG38" s="1189"/>
      <c r="AH38" s="1189"/>
      <c r="AI38" s="1189"/>
      <c r="AJ38" s="1210"/>
      <c r="AK38" s="1189"/>
      <c r="AL38" s="1189"/>
      <c r="AM38" s="1189"/>
      <c r="AN38" s="1189"/>
      <c r="AO38" s="1189"/>
      <c r="AP38" s="1189"/>
      <c r="AQ38" s="1189"/>
      <c r="AR38" s="1189"/>
      <c r="AS38" s="1189"/>
      <c r="AT38" s="1189"/>
      <c r="AU38" s="1189"/>
      <c r="AV38" s="1189"/>
      <c r="AW38" s="1211"/>
      <c r="AX38" s="1189"/>
    </row>
    <row r="39" spans="1:50" ht="12.6">
      <c r="A39" s="1123"/>
      <c r="B39" s="260" t="s">
        <v>900</v>
      </c>
      <c r="C39" s="172"/>
      <c r="D39" s="173"/>
      <c r="E39" s="1221"/>
      <c r="F39" s="1576"/>
      <c r="G39" s="1576"/>
      <c r="H39" s="1222"/>
      <c r="I39" s="1123"/>
      <c r="J39" s="100"/>
      <c r="K39" s="1527">
        <f t="shared" si="1"/>
        <v>0</v>
      </c>
      <c r="L39" s="1527"/>
      <c r="M39" s="1207" t="str">
        <f t="shared" si="2"/>
        <v/>
      </c>
      <c r="N39" s="1557">
        <f>IF(E28&gt;21,F28,0)</f>
        <v>0</v>
      </c>
      <c r="O39" s="1557"/>
      <c r="P39" s="1525"/>
      <c r="Q39" s="1526"/>
      <c r="R39" s="1189"/>
      <c r="S39" s="1189"/>
      <c r="T39" s="1552" t="s">
        <v>901</v>
      </c>
      <c r="U39" s="1552"/>
      <c r="V39" s="1189"/>
      <c r="W39" s="1207" t="e">
        <f t="shared" si="3"/>
        <v>#VALUE!</v>
      </c>
      <c r="X39" s="1189"/>
      <c r="Y39" s="1189"/>
      <c r="Z39" s="1189"/>
      <c r="AA39" s="1189"/>
      <c r="AB39" s="1189"/>
      <c r="AC39" s="1189"/>
      <c r="AD39" s="1189"/>
      <c r="AE39" s="1189"/>
      <c r="AF39" s="1189"/>
      <c r="AG39" s="1189"/>
      <c r="AH39" s="1189"/>
      <c r="AI39" s="1189"/>
      <c r="AJ39" s="1210"/>
      <c r="AK39" s="1189"/>
      <c r="AL39" s="1189"/>
      <c r="AM39" s="1189"/>
      <c r="AN39" s="1189"/>
      <c r="AO39" s="1189"/>
      <c r="AP39" s="1189"/>
      <c r="AQ39" s="1189"/>
      <c r="AR39" s="1189"/>
      <c r="AS39" s="1189"/>
      <c r="AT39" s="1189"/>
      <c r="AU39" s="1189"/>
      <c r="AV39" s="1189"/>
      <c r="AW39" s="1211"/>
      <c r="AX39" s="1189"/>
    </row>
    <row r="40" spans="1:50" ht="12.6">
      <c r="A40" s="1123"/>
      <c r="B40" s="260" t="s">
        <v>902</v>
      </c>
      <c r="C40" s="249"/>
      <c r="D40" s="705"/>
      <c r="E40" s="1123"/>
      <c r="F40" s="1123"/>
      <c r="G40" s="1123"/>
      <c r="H40" s="1123"/>
      <c r="I40" s="1123"/>
      <c r="J40" s="100"/>
      <c r="K40" s="1527">
        <f t="shared" si="1"/>
        <v>0</v>
      </c>
      <c r="L40" s="1527"/>
      <c r="M40" s="1207" t="str">
        <f t="shared" si="2"/>
        <v/>
      </c>
      <c r="N40" s="1557">
        <f>IF(E28&gt;22,F28,0)</f>
        <v>0</v>
      </c>
      <c r="O40" s="1557"/>
      <c r="P40" s="1525"/>
      <c r="Q40" s="1526"/>
      <c r="R40" s="1189"/>
      <c r="S40" s="1189"/>
      <c r="T40" s="1552" t="s">
        <v>903</v>
      </c>
      <c r="U40" s="1552"/>
      <c r="V40" s="1189"/>
      <c r="W40" s="1207" t="e">
        <f t="shared" si="3"/>
        <v>#VALUE!</v>
      </c>
      <c r="X40" s="1189"/>
      <c r="Y40" s="1189"/>
      <c r="Z40" s="1189"/>
      <c r="AA40" s="1189"/>
      <c r="AB40" s="1189"/>
      <c r="AC40" s="1189"/>
      <c r="AD40" s="1189"/>
      <c r="AE40" s="1189"/>
      <c r="AF40" s="1189"/>
      <c r="AG40" s="1189"/>
      <c r="AH40" s="1189"/>
      <c r="AI40" s="1189"/>
      <c r="AJ40" s="1210"/>
      <c r="AK40" s="1189"/>
      <c r="AL40" s="1189"/>
      <c r="AM40" s="1189"/>
      <c r="AN40" s="1223">
        <v>3128865.99</v>
      </c>
      <c r="AO40" s="1189"/>
      <c r="AP40" s="1189"/>
      <c r="AQ40" s="1189"/>
      <c r="AR40" s="1189"/>
      <c r="AS40" s="1189"/>
      <c r="AT40" s="1189"/>
      <c r="AU40" s="1189"/>
      <c r="AV40" s="1189"/>
      <c r="AW40" s="1211"/>
      <c r="AX40" s="1189"/>
    </row>
    <row r="41" spans="1:50" ht="12.6">
      <c r="A41" s="1123"/>
      <c r="B41" s="166" t="s">
        <v>904</v>
      </c>
      <c r="C41" s="1123"/>
      <c r="D41" s="705"/>
      <c r="E41" s="1123"/>
      <c r="F41" s="1123"/>
      <c r="G41" s="1123"/>
      <c r="H41" s="1123"/>
      <c r="I41" s="1123"/>
      <c r="J41" s="100"/>
      <c r="K41" s="1527">
        <f t="shared" si="1"/>
        <v>0</v>
      </c>
      <c r="L41" s="1527"/>
      <c r="M41" s="1207" t="str">
        <f t="shared" si="2"/>
        <v/>
      </c>
      <c r="N41" s="1557">
        <f>IF(E28&gt;24,F28,0)</f>
        <v>0</v>
      </c>
      <c r="O41" s="1557"/>
      <c r="P41" s="1525"/>
      <c r="Q41" s="1526"/>
      <c r="R41" s="1189"/>
      <c r="S41" s="1189"/>
      <c r="T41" s="1552" t="s">
        <v>905</v>
      </c>
      <c r="U41" s="1552"/>
      <c r="V41" s="1189"/>
      <c r="W41" s="1207" t="e">
        <f t="shared" si="3"/>
        <v>#VALUE!</v>
      </c>
      <c r="X41" s="1189"/>
      <c r="Y41" s="1189"/>
      <c r="Z41" s="1189"/>
      <c r="AA41" s="1189"/>
      <c r="AB41" s="1189"/>
      <c r="AC41" s="1189"/>
      <c r="AD41" s="1189"/>
      <c r="AE41" s="1189"/>
      <c r="AF41" s="1189"/>
      <c r="AG41" s="1189"/>
      <c r="AH41" s="1189"/>
      <c r="AI41" s="1189"/>
      <c r="AJ41" s="1210"/>
      <c r="AK41" s="1189"/>
      <c r="AL41" s="1189"/>
      <c r="AM41" s="1189"/>
      <c r="AN41" s="1189"/>
      <c r="AO41" s="1189"/>
      <c r="AP41" s="1189"/>
      <c r="AQ41" s="1189"/>
      <c r="AR41" s="1189"/>
      <c r="AS41" s="1189"/>
      <c r="AT41" s="1189"/>
      <c r="AU41" s="1189"/>
      <c r="AV41" s="1189"/>
      <c r="AW41" s="1211"/>
      <c r="AX41" s="1189"/>
    </row>
    <row r="42" spans="1:50" ht="12.6">
      <c r="A42" s="1123"/>
      <c r="B42" s="166" t="s">
        <v>906</v>
      </c>
      <c r="C42" s="249"/>
      <c r="D42" s="705"/>
      <c r="E42" s="1123"/>
      <c r="F42" s="1123"/>
      <c r="G42" s="1123"/>
      <c r="H42" s="1123"/>
      <c r="I42" s="1123"/>
      <c r="J42" s="142"/>
      <c r="K42" s="1527">
        <f t="shared" si="1"/>
        <v>0</v>
      </c>
      <c r="L42" s="1527"/>
      <c r="M42" s="1207" t="str">
        <f t="shared" si="2"/>
        <v/>
      </c>
      <c r="N42" s="1557">
        <f>IF(E28&gt;24,F28,0)</f>
        <v>0</v>
      </c>
      <c r="O42" s="1557"/>
      <c r="P42" s="1525"/>
      <c r="Q42" s="1526"/>
      <c r="R42" s="1189"/>
      <c r="S42" s="1189"/>
      <c r="T42" s="1552" t="s">
        <v>907</v>
      </c>
      <c r="U42" s="1552"/>
      <c r="V42" s="1189"/>
      <c r="W42" s="1207" t="e">
        <f t="shared" si="3"/>
        <v>#VALUE!</v>
      </c>
      <c r="X42" s="1189"/>
      <c r="Y42" s="1189"/>
      <c r="Z42" s="1189"/>
      <c r="AA42" s="1189"/>
      <c r="AB42" s="1189"/>
      <c r="AC42" s="1189"/>
      <c r="AD42" s="1189"/>
      <c r="AE42" s="1189"/>
      <c r="AF42" s="1189"/>
      <c r="AG42" s="1189"/>
      <c r="AH42" s="1189"/>
      <c r="AI42" s="1189"/>
      <c r="AJ42" s="1210"/>
      <c r="AK42" s="1189"/>
      <c r="AL42" s="1189"/>
      <c r="AM42" s="1189"/>
      <c r="AN42" s="1189"/>
      <c r="AO42" s="1189"/>
      <c r="AP42" s="1189"/>
      <c r="AQ42" s="1189"/>
      <c r="AR42" s="1189"/>
      <c r="AS42" s="1189"/>
      <c r="AT42" s="1189"/>
      <c r="AU42" s="1189"/>
      <c r="AV42" s="1189"/>
      <c r="AW42" s="1211"/>
      <c r="AX42" s="1189"/>
    </row>
    <row r="43" spans="1:50" ht="12.6">
      <c r="A43" s="1123"/>
      <c r="B43" s="311"/>
      <c r="C43" s="310"/>
      <c r="D43" s="434"/>
      <c r="E43" s="22"/>
      <c r="F43" s="22"/>
      <c r="G43" s="22"/>
      <c r="H43" s="22"/>
      <c r="I43" s="22"/>
      <c r="J43" s="142"/>
      <c r="K43" s="1527">
        <f t="shared" si="1"/>
        <v>0</v>
      </c>
      <c r="L43" s="1527"/>
      <c r="M43" s="1207" t="str">
        <f t="shared" si="2"/>
        <v/>
      </c>
      <c r="N43" s="1557">
        <f>IF(E28&gt;25,F28,0)</f>
        <v>0</v>
      </c>
      <c r="O43" s="1557"/>
      <c r="P43" s="1525"/>
      <c r="Q43" s="1526"/>
      <c r="R43" s="1189"/>
      <c r="S43" s="1189"/>
      <c r="T43" s="1552" t="s">
        <v>908</v>
      </c>
      <c r="U43" s="1552"/>
      <c r="V43" s="1189"/>
      <c r="W43" s="1207" t="e">
        <f t="shared" si="3"/>
        <v>#VALUE!</v>
      </c>
      <c r="X43" s="1189"/>
      <c r="Y43" s="1189"/>
      <c r="Z43" s="1189"/>
      <c r="AA43" s="1189"/>
      <c r="AB43" s="1189"/>
      <c r="AC43" s="1189"/>
      <c r="AD43" s="1189"/>
      <c r="AE43" s="1189"/>
      <c r="AF43" s="1189"/>
      <c r="AG43" s="1189"/>
      <c r="AH43" s="1189"/>
      <c r="AI43" s="1189"/>
      <c r="AJ43" s="1210"/>
      <c r="AK43" s="1189"/>
      <c r="AL43" s="1189"/>
      <c r="AM43" s="1189"/>
      <c r="AN43" s="1189"/>
      <c r="AO43" s="1189"/>
      <c r="AP43" s="1189"/>
      <c r="AQ43" s="1189"/>
      <c r="AR43" s="1189"/>
      <c r="AS43" s="1189"/>
      <c r="AT43" s="1189"/>
      <c r="AU43" s="1189"/>
      <c r="AV43" s="1189"/>
      <c r="AW43" s="1211"/>
      <c r="AX43" s="1189"/>
    </row>
    <row r="44" spans="1:50" ht="12.6">
      <c r="A44" s="1123"/>
      <c r="B44" s="101" t="s">
        <v>909</v>
      </c>
      <c r="C44" s="238"/>
      <c r="D44" s="245"/>
      <c r="E44" s="1120"/>
      <c r="F44" s="924"/>
      <c r="G44" s="167"/>
      <c r="H44" s="167"/>
      <c r="I44" s="167"/>
      <c r="J44" s="142"/>
      <c r="K44" s="1527">
        <f t="shared" si="1"/>
        <v>0</v>
      </c>
      <c r="L44" s="1527"/>
      <c r="M44" s="1207" t="str">
        <f t="shared" si="2"/>
        <v/>
      </c>
      <c r="N44" s="1557">
        <f>IF(E28&gt;26,F28,0)</f>
        <v>0</v>
      </c>
      <c r="O44" s="1557"/>
      <c r="P44" s="1525"/>
      <c r="Q44" s="1526"/>
      <c r="R44" s="1189"/>
      <c r="S44" s="1189"/>
      <c r="T44" s="1552" t="s">
        <v>910</v>
      </c>
      <c r="U44" s="1552"/>
      <c r="V44" s="1189"/>
      <c r="W44" s="1207" t="e">
        <f t="shared" si="3"/>
        <v>#VALUE!</v>
      </c>
      <c r="X44" s="1189"/>
      <c r="Y44" s="1189"/>
      <c r="Z44" s="1189"/>
      <c r="AA44" s="1189"/>
      <c r="AB44" s="1189"/>
      <c r="AC44" s="1189"/>
      <c r="AD44" s="1189"/>
      <c r="AE44" s="1189"/>
      <c r="AF44" s="1189"/>
      <c r="AG44" s="1189"/>
      <c r="AH44" s="1189"/>
      <c r="AI44" s="1189"/>
      <c r="AJ44" s="1210"/>
      <c r="AK44" s="1189"/>
      <c r="AL44" s="1189"/>
      <c r="AM44" s="1189"/>
      <c r="AN44" s="1189"/>
      <c r="AO44" s="1189"/>
      <c r="AP44" s="1189"/>
      <c r="AQ44" s="1189"/>
      <c r="AR44" s="1189"/>
      <c r="AS44" s="1189"/>
      <c r="AT44" s="1189"/>
      <c r="AU44" s="1189"/>
      <c r="AV44" s="1189"/>
      <c r="AW44" s="1211"/>
      <c r="AX44" s="1189"/>
    </row>
    <row r="45" spans="1:50" ht="12.6">
      <c r="A45" s="1123"/>
      <c r="B45" s="175"/>
      <c r="C45" s="245"/>
      <c r="D45" s="245"/>
      <c r="E45" s="1121"/>
      <c r="F45" s="1122"/>
      <c r="G45" s="496"/>
      <c r="H45" s="496"/>
      <c r="I45" s="496"/>
      <c r="J45" s="142"/>
      <c r="K45" s="1527">
        <f t="shared" si="1"/>
        <v>0</v>
      </c>
      <c r="L45" s="1527"/>
      <c r="M45" s="1207" t="str">
        <f t="shared" si="2"/>
        <v/>
      </c>
      <c r="N45" s="1557">
        <f>IF($E$28&gt;27,$F$28,0)</f>
        <v>0</v>
      </c>
      <c r="O45" s="1557"/>
      <c r="P45" s="1525"/>
      <c r="Q45" s="1526"/>
      <c r="R45" s="1189"/>
      <c r="S45" s="1189"/>
      <c r="T45" s="1552" t="s">
        <v>911</v>
      </c>
      <c r="U45" s="1552"/>
      <c r="V45" s="1189"/>
      <c r="W45" s="1207" t="e">
        <f t="shared" si="3"/>
        <v>#VALUE!</v>
      </c>
      <c r="X45" s="1189"/>
      <c r="Y45" s="1189"/>
      <c r="Z45" s="1189"/>
      <c r="AA45" s="1189"/>
      <c r="AB45" s="1189"/>
      <c r="AC45" s="1189"/>
      <c r="AD45" s="1189"/>
      <c r="AE45" s="1189"/>
      <c r="AF45" s="1189"/>
      <c r="AG45" s="1189"/>
      <c r="AH45" s="1189"/>
      <c r="AI45" s="1189"/>
      <c r="AJ45" s="1210"/>
      <c r="AK45" s="1189"/>
      <c r="AL45" s="1189"/>
      <c r="AM45" s="1189"/>
      <c r="AN45" s="1189"/>
      <c r="AO45" s="1189"/>
      <c r="AP45" s="1189"/>
      <c r="AQ45" s="1189"/>
      <c r="AR45" s="1189"/>
      <c r="AS45" s="1189"/>
      <c r="AT45" s="1189"/>
      <c r="AU45" s="1189"/>
      <c r="AV45" s="1189"/>
      <c r="AW45" s="1211"/>
      <c r="AX45" s="1189"/>
    </row>
    <row r="46" spans="1:50" ht="12.6">
      <c r="A46" s="1123"/>
      <c r="B46" s="129" t="s">
        <v>912</v>
      </c>
      <c r="C46" s="129"/>
      <c r="D46" s="142" t="s">
        <v>802</v>
      </c>
      <c r="E46" s="241">
        <f>IF(E10="COMMERCIAL",60%,80%)</f>
        <v>0.8</v>
      </c>
      <c r="F46" s="1558">
        <f>E46*F22</f>
        <v>2907605.4858430973</v>
      </c>
      <c r="G46" s="1559"/>
      <c r="H46" s="1559"/>
      <c r="I46" s="1560"/>
      <c r="J46" s="142"/>
      <c r="K46" s="1527">
        <f t="shared" si="1"/>
        <v>0</v>
      </c>
      <c r="L46" s="1527"/>
      <c r="M46" s="1207" t="str">
        <f t="shared" si="2"/>
        <v/>
      </c>
      <c r="N46" s="1557">
        <f>IF($E$28&gt;28,$F$28,0)</f>
        <v>0</v>
      </c>
      <c r="O46" s="1557"/>
      <c r="P46" s="1525"/>
      <c r="Q46" s="1526"/>
      <c r="R46" s="1189"/>
      <c r="S46" s="1189"/>
      <c r="T46" s="1552" t="s">
        <v>913</v>
      </c>
      <c r="U46" s="1552"/>
      <c r="V46" s="1189"/>
      <c r="W46" s="1207" t="e">
        <f t="shared" si="3"/>
        <v>#VALUE!</v>
      </c>
      <c r="X46" s="1189"/>
      <c r="Y46" s="1189"/>
      <c r="Z46" s="1189"/>
      <c r="AA46" s="1189"/>
      <c r="AB46" s="1189"/>
      <c r="AC46" s="1189"/>
      <c r="AD46" s="1189"/>
      <c r="AE46" s="1189"/>
      <c r="AF46" s="1189"/>
      <c r="AG46" s="1189"/>
      <c r="AH46" s="1189"/>
      <c r="AI46" s="1189"/>
      <c r="AJ46" s="1189"/>
      <c r="AK46" s="1189"/>
      <c r="AL46" s="1189"/>
      <c r="AM46" s="1189"/>
      <c r="AN46" s="1189"/>
      <c r="AO46" s="1189"/>
      <c r="AP46" s="1189"/>
      <c r="AQ46" s="1189"/>
      <c r="AR46" s="1189"/>
      <c r="AS46" s="1189"/>
      <c r="AT46" s="1189"/>
      <c r="AU46" s="1189"/>
      <c r="AV46" s="1189"/>
      <c r="AW46" s="1189"/>
      <c r="AX46" s="1189"/>
    </row>
    <row r="47" spans="1:50" ht="12.6">
      <c r="A47" s="1123"/>
      <c r="B47" s="1123"/>
      <c r="C47" s="178"/>
      <c r="D47" s="178"/>
      <c r="E47" s="1124"/>
      <c r="F47" s="1125"/>
      <c r="G47" s="1125"/>
      <c r="H47" s="1125"/>
      <c r="I47" s="1125"/>
      <c r="J47" s="142"/>
      <c r="K47" s="1527">
        <f t="shared" si="1"/>
        <v>0</v>
      </c>
      <c r="L47" s="1527"/>
      <c r="M47" s="1207" t="str">
        <f t="shared" si="2"/>
        <v/>
      </c>
      <c r="N47" s="1557">
        <f>IF($E$28&gt;29,$F$28,0)</f>
        <v>0</v>
      </c>
      <c r="O47" s="1557"/>
      <c r="P47" s="1525"/>
      <c r="Q47" s="1526"/>
      <c r="R47" s="1189"/>
      <c r="S47" s="1189"/>
      <c r="T47" s="1552" t="s">
        <v>914</v>
      </c>
      <c r="U47" s="1552"/>
      <c r="V47" s="1189"/>
      <c r="W47" s="1207" t="e">
        <f t="shared" si="3"/>
        <v>#VALUE!</v>
      </c>
      <c r="X47" s="1189"/>
      <c r="Y47" s="1189"/>
      <c r="Z47" s="1189"/>
      <c r="AA47" s="1189"/>
      <c r="AB47" s="1189"/>
      <c r="AC47" s="1189"/>
      <c r="AD47" s="1189"/>
      <c r="AE47" s="1189"/>
      <c r="AF47" s="1189"/>
      <c r="AG47" s="1189"/>
      <c r="AH47" s="1189"/>
      <c r="AI47" s="1189"/>
      <c r="AJ47" s="1189"/>
      <c r="AK47" s="1189"/>
      <c r="AL47" s="1189"/>
      <c r="AM47" s="1189"/>
      <c r="AN47" s="1189"/>
      <c r="AO47" s="1189"/>
      <c r="AP47" s="1189"/>
      <c r="AQ47" s="1189"/>
      <c r="AR47" s="1189"/>
      <c r="AS47" s="1189"/>
      <c r="AT47" s="1189"/>
      <c r="AU47" s="1189"/>
      <c r="AV47" s="1189"/>
      <c r="AW47" s="1189"/>
      <c r="AX47" s="1189"/>
    </row>
    <row r="48" spans="1:50" ht="15" customHeight="1">
      <c r="A48" s="1123"/>
      <c r="B48" s="208" t="s">
        <v>56</v>
      </c>
      <c r="C48" s="208" t="s">
        <v>57</v>
      </c>
      <c r="D48" s="208" t="s">
        <v>58</v>
      </c>
      <c r="E48" s="208" t="s">
        <v>893</v>
      </c>
      <c r="F48" s="1549" t="s">
        <v>894</v>
      </c>
      <c r="G48" s="1549"/>
      <c r="H48" s="1549"/>
      <c r="I48" s="1549"/>
      <c r="J48" s="142"/>
      <c r="K48" s="1527">
        <f t="shared" si="1"/>
        <v>0</v>
      </c>
      <c r="L48" s="1527"/>
      <c r="M48" s="1207" t="str">
        <f t="shared" si="2"/>
        <v/>
      </c>
      <c r="N48" s="1557">
        <f>IF($E$28&gt;30,$F$28,0)</f>
        <v>0</v>
      </c>
      <c r="O48" s="1557"/>
      <c r="P48" s="1525"/>
      <c r="Q48" s="1526"/>
      <c r="R48" s="1189"/>
      <c r="S48" s="1189"/>
      <c r="T48" s="1565" t="s">
        <v>915</v>
      </c>
      <c r="U48" s="1565"/>
      <c r="V48" s="1189"/>
      <c r="W48" s="1207" t="e">
        <f t="shared" si="3"/>
        <v>#VALUE!</v>
      </c>
      <c r="X48" s="1189"/>
      <c r="Y48" s="1189"/>
      <c r="Z48" s="1189"/>
      <c r="AA48" s="1189"/>
      <c r="AB48" s="1189"/>
      <c r="AC48" s="1189"/>
      <c r="AD48" s="1189"/>
      <c r="AE48" s="1189"/>
      <c r="AF48" s="1189"/>
      <c r="AG48" s="1189"/>
      <c r="AH48" s="1189"/>
      <c r="AI48" s="1189"/>
      <c r="AJ48" s="1189"/>
      <c r="AK48" s="1189"/>
      <c r="AL48" s="1189"/>
      <c r="AM48" s="1189"/>
      <c r="AN48" s="1189"/>
      <c r="AO48" s="1189"/>
      <c r="AP48" s="1189"/>
      <c r="AQ48" s="1189"/>
      <c r="AR48" s="1189"/>
      <c r="AS48" s="1189"/>
      <c r="AT48" s="1189"/>
      <c r="AU48" s="1189"/>
      <c r="AV48" s="1189"/>
      <c r="AW48" s="1189"/>
      <c r="AX48" s="1189"/>
    </row>
    <row r="49" spans="1:50" ht="12.6">
      <c r="A49" s="1123"/>
      <c r="B49" s="246">
        <v>1</v>
      </c>
      <c r="C49" s="1126">
        <v>0.12</v>
      </c>
      <c r="D49" s="248">
        <f>PMT(C49/12,B49*12,-1)</f>
        <v>8.88487886783417E-2</v>
      </c>
      <c r="E49" s="1127">
        <f>D49*$F$46</f>
        <v>258337.2253716604</v>
      </c>
      <c r="F49" s="1551">
        <f>E49/0.33</f>
        <v>782840.07688381942</v>
      </c>
      <c r="G49" s="1551"/>
      <c r="H49" s="1551"/>
      <c r="I49" s="1551"/>
      <c r="J49" s="142"/>
      <c r="K49" s="1527">
        <f t="shared" si="1"/>
        <v>0</v>
      </c>
      <c r="L49" s="1527"/>
      <c r="M49" s="1207" t="str">
        <f t="shared" si="2"/>
        <v/>
      </c>
      <c r="N49" s="1557">
        <f>IF($E$28&gt;31,$F$28,0)</f>
        <v>0</v>
      </c>
      <c r="O49" s="1557"/>
      <c r="P49" s="1525"/>
      <c r="Q49" s="1526"/>
      <c r="R49" s="1189"/>
      <c r="S49" s="1189"/>
      <c r="T49" s="1565" t="s">
        <v>916</v>
      </c>
      <c r="U49" s="1565"/>
      <c r="V49" s="1189"/>
      <c r="W49" s="1207" t="e">
        <f t="shared" si="3"/>
        <v>#VALUE!</v>
      </c>
      <c r="X49" s="1189"/>
      <c r="Y49" s="1189"/>
      <c r="Z49" s="1189"/>
      <c r="AA49" s="1189"/>
      <c r="AB49" s="1189"/>
      <c r="AC49" s="1189"/>
      <c r="AD49" s="1189"/>
      <c r="AE49" s="1189"/>
      <c r="AF49" s="1189"/>
      <c r="AG49" s="1189"/>
      <c r="AH49" s="1189"/>
      <c r="AI49" s="1189"/>
      <c r="AJ49" s="1189"/>
      <c r="AK49" s="1189"/>
      <c r="AL49" s="1189"/>
      <c r="AM49" s="1189"/>
      <c r="AN49" s="1189"/>
      <c r="AO49" s="1189"/>
      <c r="AP49" s="1189"/>
      <c r="AQ49" s="1189"/>
      <c r="AR49" s="1189"/>
      <c r="AS49" s="1189"/>
      <c r="AT49" s="1189"/>
      <c r="AU49" s="1189"/>
      <c r="AV49" s="1189"/>
      <c r="AW49" s="1189"/>
      <c r="AX49" s="1189"/>
    </row>
    <row r="50" spans="1:50" ht="15" customHeight="1">
      <c r="A50" s="1123"/>
      <c r="B50" s="246">
        <v>3</v>
      </c>
      <c r="C50" s="1126">
        <v>0.16</v>
      </c>
      <c r="D50" s="248">
        <f>PMT(C50/12,B50*12,-1)</f>
        <v>3.5157033036350094E-2</v>
      </c>
      <c r="E50" s="1127">
        <f>D50*$F$46</f>
        <v>102222.78212245854</v>
      </c>
      <c r="F50" s="1551">
        <f>E50/0.33</f>
        <v>309766.00643169251</v>
      </c>
      <c r="G50" s="1551"/>
      <c r="H50" s="1551"/>
      <c r="I50" s="1551"/>
      <c r="J50" s="142"/>
      <c r="K50" s="1527">
        <f t="shared" si="1"/>
        <v>0</v>
      </c>
      <c r="L50" s="1527"/>
      <c r="M50" s="1207" t="str">
        <f t="shared" si="2"/>
        <v/>
      </c>
      <c r="N50" s="1557">
        <f>IF($E$28&gt;32,$F$28,0)</f>
        <v>0</v>
      </c>
      <c r="O50" s="1557"/>
      <c r="P50" s="1525"/>
      <c r="Q50" s="1526"/>
      <c r="R50" s="1189"/>
      <c r="S50" s="1189"/>
      <c r="T50" s="1552" t="s">
        <v>917</v>
      </c>
      <c r="U50" s="1552"/>
      <c r="V50" s="1189"/>
      <c r="W50" s="1207" t="e">
        <f t="shared" si="3"/>
        <v>#VALUE!</v>
      </c>
      <c r="X50" s="1189"/>
      <c r="Y50" s="1189"/>
      <c r="Z50" s="1189"/>
      <c r="AA50" s="1189"/>
      <c r="AB50" s="1189"/>
      <c r="AC50" s="1189"/>
      <c r="AD50" s="1189"/>
      <c r="AE50" s="1189"/>
      <c r="AF50" s="1189"/>
      <c r="AG50" s="1189"/>
      <c r="AH50" s="1189"/>
      <c r="AI50" s="1189"/>
      <c r="AJ50" s="1189"/>
      <c r="AK50" s="1189"/>
      <c r="AL50" s="1189"/>
      <c r="AM50" s="1189"/>
      <c r="AN50" s="1189"/>
      <c r="AO50" s="1189"/>
      <c r="AP50" s="1189"/>
      <c r="AQ50" s="1189"/>
      <c r="AR50" s="1189"/>
      <c r="AS50" s="1189"/>
      <c r="AT50" s="1189"/>
      <c r="AU50" s="1189"/>
      <c r="AV50" s="1189"/>
      <c r="AW50" s="1189"/>
      <c r="AX50" s="1189"/>
    </row>
    <row r="51" spans="1:50" ht="12.6">
      <c r="A51" s="1123"/>
      <c r="B51" s="246">
        <v>5</v>
      </c>
      <c r="C51" s="1126">
        <v>0.18</v>
      </c>
      <c r="D51" s="248">
        <f>PMT(C51/12,B51*12,-1)</f>
        <v>2.5393427427109084E-2</v>
      </c>
      <c r="E51" s="1127">
        <f>D51*$F$46</f>
        <v>73834.068891420946</v>
      </c>
      <c r="F51" s="1551">
        <f>E51/0.33</f>
        <v>223739.60270127558</v>
      </c>
      <c r="G51" s="1551"/>
      <c r="H51" s="1551"/>
      <c r="I51" s="1551"/>
      <c r="J51" s="142"/>
      <c r="K51" s="1527">
        <f t="shared" si="1"/>
        <v>0</v>
      </c>
      <c r="L51" s="1527"/>
      <c r="M51" s="1207" t="str">
        <f t="shared" si="2"/>
        <v/>
      </c>
      <c r="N51" s="1557">
        <f>IF($E$28&gt;33,$F$28,0)</f>
        <v>0</v>
      </c>
      <c r="O51" s="1557"/>
      <c r="P51" s="1525"/>
      <c r="Q51" s="1526"/>
      <c r="R51" s="1189"/>
      <c r="S51" s="1189"/>
      <c r="T51" s="1552" t="s">
        <v>918</v>
      </c>
      <c r="U51" s="1552"/>
      <c r="V51" s="1189"/>
      <c r="W51" s="1207" t="e">
        <f t="shared" si="3"/>
        <v>#VALUE!</v>
      </c>
      <c r="X51" s="1189"/>
      <c r="Y51" s="1189"/>
      <c r="Z51" s="1189"/>
      <c r="AA51" s="1189"/>
      <c r="AB51" s="1189"/>
      <c r="AC51" s="1189"/>
      <c r="AD51" s="1189"/>
      <c r="AE51" s="1189"/>
      <c r="AF51" s="1189"/>
      <c r="AG51" s="1189"/>
      <c r="AH51" s="1189"/>
      <c r="AI51" s="1189"/>
      <c r="AJ51" s="1189"/>
      <c r="AK51" s="1189"/>
      <c r="AL51" s="1189"/>
      <c r="AM51" s="1189"/>
      <c r="AN51" s="1189"/>
      <c r="AO51" s="1189"/>
      <c r="AP51" s="1189"/>
      <c r="AQ51" s="1189"/>
      <c r="AR51" s="1189"/>
      <c r="AS51" s="1189"/>
      <c r="AT51" s="1189"/>
      <c r="AU51" s="1189"/>
      <c r="AV51" s="1189"/>
      <c r="AW51" s="1189"/>
      <c r="AX51" s="1189"/>
    </row>
    <row r="52" spans="1:50" ht="15" customHeight="1">
      <c r="A52" s="1123"/>
      <c r="B52" s="246">
        <v>10</v>
      </c>
      <c r="C52" s="1126">
        <v>0.2</v>
      </c>
      <c r="D52" s="248">
        <f>PMT(C52/12,B52*12,-1)</f>
        <v>1.9325567219932577E-2</v>
      </c>
      <c r="E52" s="1127">
        <f>D52*$F$46</f>
        <v>56191.125265705501</v>
      </c>
      <c r="F52" s="1551">
        <f>E52/0.33</f>
        <v>170276.13716880453</v>
      </c>
      <c r="G52" s="1551"/>
      <c r="H52" s="1551"/>
      <c r="I52" s="1551"/>
      <c r="J52" s="142"/>
      <c r="K52" s="1527">
        <f t="shared" si="1"/>
        <v>0</v>
      </c>
      <c r="L52" s="1527"/>
      <c r="M52" s="1207" t="str">
        <f t="shared" si="2"/>
        <v/>
      </c>
      <c r="N52" s="1557">
        <f>IF($E$28&gt;34,$F$28,0)</f>
        <v>0</v>
      </c>
      <c r="O52" s="1557"/>
      <c r="P52" s="1525"/>
      <c r="Q52" s="1526"/>
      <c r="R52" s="1189"/>
      <c r="S52" s="1189"/>
      <c r="T52" s="1552" t="s">
        <v>919</v>
      </c>
      <c r="U52" s="1552"/>
      <c r="V52" s="1189"/>
      <c r="W52" s="1207" t="e">
        <f t="shared" si="3"/>
        <v>#VALUE!</v>
      </c>
      <c r="X52" s="1189"/>
      <c r="Y52" s="1189"/>
      <c r="Z52" s="1189"/>
      <c r="AA52" s="1189"/>
      <c r="AB52" s="1189"/>
      <c r="AC52" s="1189"/>
      <c r="AD52" s="1189"/>
      <c r="AE52" s="1189"/>
      <c r="AF52" s="1189"/>
      <c r="AG52" s="1189"/>
      <c r="AH52" s="1189"/>
      <c r="AI52" s="1189"/>
      <c r="AJ52" s="1189"/>
      <c r="AK52" s="1189"/>
      <c r="AL52" s="1189"/>
      <c r="AM52" s="1189"/>
      <c r="AN52" s="1189"/>
      <c r="AO52" s="1189"/>
      <c r="AP52" s="1189"/>
      <c r="AQ52" s="1189"/>
      <c r="AR52" s="1189"/>
      <c r="AS52" s="1189"/>
      <c r="AT52" s="1189"/>
      <c r="AU52" s="1189"/>
      <c r="AV52" s="1189"/>
      <c r="AW52" s="1189"/>
      <c r="AX52" s="1189"/>
    </row>
    <row r="53" spans="1:50" ht="12.95" thickBot="1">
      <c r="A53" s="1123"/>
      <c r="B53" s="1167" t="s">
        <v>920</v>
      </c>
      <c r="C53" s="1128"/>
      <c r="D53" s="1128"/>
      <c r="E53" s="1128"/>
      <c r="F53" s="1128"/>
      <c r="G53" s="1128"/>
      <c r="H53" s="1128"/>
      <c r="I53" s="1128"/>
      <c r="J53" s="142"/>
      <c r="K53" s="1527">
        <f t="shared" si="1"/>
        <v>0</v>
      </c>
      <c r="L53" s="1527"/>
      <c r="M53" s="1207" t="str">
        <f t="shared" si="2"/>
        <v/>
      </c>
      <c r="N53" s="1557">
        <f>IF($E$28&gt;35,$F$28,0)</f>
        <v>0</v>
      </c>
      <c r="O53" s="1557"/>
      <c r="P53" s="1525"/>
      <c r="Q53" s="1526"/>
      <c r="R53" s="1189"/>
      <c r="S53" s="1189"/>
      <c r="T53" s="1552" t="s">
        <v>921</v>
      </c>
      <c r="U53" s="1552"/>
      <c r="V53" s="1189"/>
      <c r="W53" s="1207" t="e">
        <f t="shared" si="3"/>
        <v>#VALUE!</v>
      </c>
      <c r="X53" s="1189"/>
      <c r="Y53" s="1189"/>
      <c r="Z53" s="1189"/>
      <c r="AA53" s="1189"/>
      <c r="AB53" s="1189"/>
      <c r="AC53" s="1189"/>
      <c r="AD53" s="1189"/>
      <c r="AE53" s="1189"/>
      <c r="AF53" s="1189"/>
      <c r="AG53" s="1189"/>
      <c r="AH53" s="1189"/>
      <c r="AI53" s="1189"/>
      <c r="AJ53" s="1189"/>
      <c r="AK53" s="1189"/>
      <c r="AL53" s="1189"/>
      <c r="AM53" s="1189"/>
      <c r="AN53" s="1189"/>
      <c r="AO53" s="1189"/>
      <c r="AP53" s="1189"/>
      <c r="AQ53" s="1189"/>
      <c r="AR53" s="1189"/>
      <c r="AS53" s="1189"/>
      <c r="AT53" s="1189"/>
      <c r="AU53" s="1189"/>
      <c r="AV53" s="1189"/>
      <c r="AW53" s="1189"/>
      <c r="AX53" s="1189"/>
    </row>
    <row r="54" spans="1:50" ht="15" customHeight="1">
      <c r="A54" s="1123"/>
      <c r="B54" s="166"/>
      <c r="C54" s="249"/>
      <c r="D54" s="705"/>
      <c r="E54" s="1123"/>
      <c r="F54" s="1123"/>
      <c r="G54" s="1123"/>
      <c r="H54" s="1123"/>
      <c r="I54" s="1123"/>
      <c r="J54" s="142"/>
      <c r="K54" s="1527">
        <f t="shared" si="1"/>
        <v>0</v>
      </c>
      <c r="L54" s="1527"/>
      <c r="M54" s="1207" t="str">
        <f t="shared" si="2"/>
        <v/>
      </c>
      <c r="N54" s="1557">
        <f>IF($E$28&gt;36,$F$28,0)</f>
        <v>0</v>
      </c>
      <c r="O54" s="1557"/>
      <c r="P54" s="1525"/>
      <c r="Q54" s="1526"/>
      <c r="R54" s="1189"/>
      <c r="S54" s="1189"/>
      <c r="T54" s="1552" t="s">
        <v>922</v>
      </c>
      <c r="U54" s="1552"/>
      <c r="V54" s="1189"/>
      <c r="W54" s="1207" t="e">
        <f>IF(AND(DAY(W53)&gt;=6,DAY(W53)&lt;=20),DATE(YEAR(W53),MONTH(W53)+1,DAY(20)),IF(AND(DAY(W53)&gt;=21,DAY(W53)&lt;=30),DATE(YEAR(W53),MONTH(W53)+1,IF(DAY(EOMONTH(W53,1))&lt;30,DAY(EOMONTH(W53,1)),DAY(30))),DATE(YEAR(W53),MONTH(W53)+1,DAY(5))))</f>
        <v>#VALUE!</v>
      </c>
      <c r="X54" s="1189"/>
      <c r="Y54" s="1189"/>
      <c r="Z54" s="1189"/>
      <c r="AA54" s="1189"/>
      <c r="AB54" s="1189"/>
      <c r="AC54" s="1189"/>
      <c r="AD54" s="1189"/>
      <c r="AE54" s="1189"/>
      <c r="AF54" s="1189"/>
      <c r="AG54" s="1189"/>
      <c r="AH54" s="1189"/>
      <c r="AI54" s="1189"/>
      <c r="AJ54" s="1189"/>
      <c r="AK54" s="1189"/>
      <c r="AL54" s="1189"/>
      <c r="AM54" s="1189"/>
      <c r="AN54" s="1189"/>
      <c r="AO54" s="1189"/>
      <c r="AP54" s="1189"/>
      <c r="AQ54" s="1189"/>
      <c r="AR54" s="1189"/>
      <c r="AS54" s="1189"/>
      <c r="AT54" s="1189"/>
      <c r="AU54" s="1189"/>
      <c r="AV54" s="1189"/>
      <c r="AW54" s="1189"/>
      <c r="AX54" s="1189"/>
    </row>
    <row r="55" spans="1:50" ht="12.6">
      <c r="A55" s="1123"/>
      <c r="B55" s="161"/>
      <c r="C55" s="1123"/>
      <c r="D55" s="1123"/>
      <c r="E55" s="1123"/>
      <c r="F55" s="1123"/>
      <c r="G55" s="1123"/>
      <c r="H55" s="1123"/>
      <c r="I55" s="1123"/>
      <c r="J55" s="705"/>
      <c r="K55" s="1527">
        <f t="shared" si="1"/>
        <v>0</v>
      </c>
      <c r="L55" s="1527"/>
      <c r="M55" s="1207" t="str">
        <f t="shared" si="2"/>
        <v/>
      </c>
      <c r="N55" s="1557">
        <f>IF($E$28&gt;37,$F$28,0)</f>
        <v>0</v>
      </c>
      <c r="O55" s="1557"/>
      <c r="P55" s="1525"/>
      <c r="Q55" s="1526"/>
      <c r="R55" s="1189"/>
      <c r="S55" s="1189"/>
      <c r="T55" s="1552" t="s">
        <v>923</v>
      </c>
      <c r="U55" s="1552"/>
      <c r="V55" s="1189"/>
      <c r="W55" s="1207" t="e">
        <f t="shared" si="3"/>
        <v>#VALUE!</v>
      </c>
      <c r="X55" s="1189"/>
      <c r="Y55" s="1189"/>
      <c r="Z55" s="1189"/>
      <c r="AA55" s="1189"/>
      <c r="AB55" s="1189"/>
      <c r="AC55" s="1189"/>
      <c r="AD55" s="1189"/>
      <c r="AE55" s="1189"/>
      <c r="AF55" s="1189"/>
      <c r="AG55" s="1189"/>
      <c r="AH55" s="1189"/>
      <c r="AI55" s="1189"/>
      <c r="AJ55" s="1189"/>
      <c r="AK55" s="1189"/>
      <c r="AL55" s="1189"/>
      <c r="AM55" s="1189"/>
      <c r="AN55" s="1189"/>
      <c r="AO55" s="1189"/>
      <c r="AP55" s="1189"/>
      <c r="AQ55" s="1189"/>
      <c r="AR55" s="1189"/>
      <c r="AS55" s="1189"/>
      <c r="AT55" s="1189"/>
      <c r="AU55" s="1189"/>
      <c r="AV55" s="1189"/>
      <c r="AW55" s="1189"/>
      <c r="AX55" s="1189"/>
    </row>
    <row r="56" spans="1:50" ht="15" customHeight="1">
      <c r="A56" s="1123"/>
      <c r="B56" s="129" t="s">
        <v>924</v>
      </c>
      <c r="C56" s="129"/>
      <c r="D56" s="178"/>
      <c r="E56" s="178"/>
      <c r="F56" s="178"/>
      <c r="G56" s="178"/>
      <c r="H56" s="178"/>
      <c r="I56" s="178"/>
      <c r="J56" s="705"/>
      <c r="K56" s="1527">
        <f t="shared" si="1"/>
        <v>0</v>
      </c>
      <c r="L56" s="1527"/>
      <c r="M56" s="1207" t="str">
        <f t="shared" si="2"/>
        <v/>
      </c>
      <c r="N56" s="1557">
        <f>IF($E$28&gt;38,$F$28,0)</f>
        <v>0</v>
      </c>
      <c r="O56" s="1557"/>
      <c r="P56" s="1525"/>
      <c r="Q56" s="1526"/>
      <c r="R56" s="1189"/>
      <c r="S56" s="1189"/>
      <c r="T56" s="1552" t="s">
        <v>925</v>
      </c>
      <c r="U56" s="1552"/>
      <c r="V56" s="1189"/>
      <c r="W56" s="1207" t="e">
        <f t="shared" si="3"/>
        <v>#VALUE!</v>
      </c>
      <c r="X56" s="1189"/>
      <c r="Y56" s="1189"/>
      <c r="Z56" s="1189"/>
      <c r="AA56" s="1189"/>
      <c r="AB56" s="1189"/>
      <c r="AC56" s="1189"/>
      <c r="AD56" s="1189"/>
      <c r="AE56" s="1189"/>
      <c r="AF56" s="1189"/>
      <c r="AG56" s="1189"/>
      <c r="AH56" s="1189"/>
      <c r="AI56" s="1189"/>
      <c r="AJ56" s="1189"/>
      <c r="AK56" s="1189"/>
      <c r="AL56" s="1189"/>
      <c r="AM56" s="1189"/>
      <c r="AN56" s="1189"/>
      <c r="AO56" s="1189"/>
      <c r="AP56" s="1189"/>
      <c r="AQ56" s="1189"/>
      <c r="AR56" s="1189"/>
      <c r="AS56" s="1189"/>
      <c r="AT56" s="1189"/>
      <c r="AU56" s="1189"/>
      <c r="AV56" s="1189"/>
      <c r="AW56" s="1189"/>
      <c r="AX56" s="1189"/>
    </row>
    <row r="57" spans="1:50" ht="12.6">
      <c r="A57" s="1123"/>
      <c r="B57" s="178"/>
      <c r="C57" s="178"/>
      <c r="D57" s="178"/>
      <c r="E57" s="178"/>
      <c r="F57" s="178"/>
      <c r="G57" s="178"/>
      <c r="H57" s="178"/>
      <c r="I57" s="178"/>
      <c r="J57" s="705"/>
      <c r="K57" s="1527">
        <f t="shared" si="1"/>
        <v>0</v>
      </c>
      <c r="L57" s="1527"/>
      <c r="M57" s="1207" t="str">
        <f t="shared" si="2"/>
        <v/>
      </c>
      <c r="N57" s="1557">
        <f>IF($E$28&gt;39,$F$28,0)</f>
        <v>0</v>
      </c>
      <c r="O57" s="1557"/>
      <c r="P57" s="1525"/>
      <c r="Q57" s="1526"/>
      <c r="R57" s="1189"/>
      <c r="S57" s="1189"/>
      <c r="T57" s="1552" t="s">
        <v>926</v>
      </c>
      <c r="U57" s="1552"/>
      <c r="V57" s="1189"/>
      <c r="W57" s="1207" t="e">
        <f t="shared" si="3"/>
        <v>#VALUE!</v>
      </c>
      <c r="X57" s="1189"/>
      <c r="Y57" s="1189"/>
      <c r="Z57" s="1189"/>
      <c r="AA57" s="1189"/>
      <c r="AB57" s="1189"/>
      <c r="AC57" s="1189"/>
      <c r="AD57" s="1189"/>
      <c r="AE57" s="1189"/>
      <c r="AF57" s="1189"/>
      <c r="AG57" s="1189"/>
      <c r="AH57" s="1189"/>
      <c r="AI57" s="1189"/>
      <c r="AJ57" s="1189"/>
      <c r="AK57" s="1189"/>
      <c r="AL57" s="1189"/>
      <c r="AM57" s="1189"/>
      <c r="AN57" s="1189"/>
      <c r="AO57" s="1189"/>
      <c r="AP57" s="1189"/>
      <c r="AQ57" s="1189"/>
      <c r="AR57" s="1189"/>
      <c r="AS57" s="1189"/>
      <c r="AT57" s="1189"/>
      <c r="AU57" s="1189"/>
      <c r="AV57" s="1189"/>
      <c r="AW57" s="1189"/>
      <c r="AX57" s="1189"/>
    </row>
    <row r="58" spans="1:50" ht="12.75" customHeight="1">
      <c r="A58" s="1123"/>
      <c r="B58" s="1549" t="s">
        <v>927</v>
      </c>
      <c r="C58" s="1549"/>
      <c r="D58" s="1549" t="s">
        <v>775</v>
      </c>
      <c r="E58" s="1549"/>
      <c r="F58" s="1549"/>
      <c r="G58" s="1549" t="s">
        <v>928</v>
      </c>
      <c r="H58" s="1549"/>
      <c r="I58" s="1549"/>
      <c r="J58" s="705"/>
      <c r="K58" s="1527">
        <f t="shared" si="1"/>
        <v>0</v>
      </c>
      <c r="L58" s="1527"/>
      <c r="M58" s="1207" t="str">
        <f t="shared" si="2"/>
        <v/>
      </c>
      <c r="N58" s="1557">
        <f>IF($E$28&gt;40,$F$28,0)</f>
        <v>0</v>
      </c>
      <c r="O58" s="1557"/>
      <c r="P58" s="1525"/>
      <c r="Q58" s="1526"/>
      <c r="R58" s="1189"/>
      <c r="S58" s="1189"/>
      <c r="T58" s="1552" t="s">
        <v>929</v>
      </c>
      <c r="U58" s="1552"/>
      <c r="V58" s="1189"/>
      <c r="W58" s="1207" t="e">
        <f t="shared" si="3"/>
        <v>#VALUE!</v>
      </c>
      <c r="X58" s="1189"/>
      <c r="Y58" s="1189"/>
      <c r="Z58" s="1189"/>
      <c r="AA58" s="1189"/>
      <c r="AB58" s="1189"/>
      <c r="AC58" s="1189"/>
      <c r="AD58" s="1189"/>
      <c r="AE58" s="1189"/>
      <c r="AF58" s="1189"/>
      <c r="AG58" s="1189"/>
      <c r="AH58" s="1189"/>
      <c r="AI58" s="1189"/>
      <c r="AJ58" s="1189"/>
      <c r="AK58" s="1189"/>
      <c r="AL58" s="1189"/>
      <c r="AM58" s="1189"/>
      <c r="AN58" s="1189"/>
      <c r="AO58" s="1189"/>
      <c r="AP58" s="1189"/>
      <c r="AQ58" s="1189"/>
      <c r="AR58" s="1189"/>
      <c r="AS58" s="1189"/>
      <c r="AT58" s="1189"/>
      <c r="AU58" s="1189"/>
      <c r="AV58" s="1189"/>
      <c r="AW58" s="1189"/>
      <c r="AX58" s="1189"/>
    </row>
    <row r="59" spans="1:50" ht="12.6">
      <c r="A59" s="1123"/>
      <c r="B59" s="1508">
        <f>FORM!O19</f>
        <v>0</v>
      </c>
      <c r="C59" s="1509"/>
      <c r="D59" s="1508">
        <f>FORM!S19</f>
        <v>0</v>
      </c>
      <c r="E59" s="1512"/>
      <c r="F59" s="1509"/>
      <c r="G59" s="1514">
        <f>FORM!V19</f>
        <v>0</v>
      </c>
      <c r="H59" s="1515"/>
      <c r="I59" s="1516"/>
      <c r="J59" s="142"/>
      <c r="K59" s="1527">
        <f t="shared" si="1"/>
        <v>0</v>
      </c>
      <c r="L59" s="1527"/>
      <c r="M59" s="1207" t="str">
        <f t="shared" si="2"/>
        <v/>
      </c>
      <c r="N59" s="1557">
        <f>IF($E$28&gt;41,$F$28,0)</f>
        <v>0</v>
      </c>
      <c r="O59" s="1557"/>
      <c r="P59" s="1525"/>
      <c r="Q59" s="1526"/>
      <c r="R59" s="1189"/>
      <c r="S59" s="1189"/>
      <c r="T59" s="1552" t="s">
        <v>930</v>
      </c>
      <c r="U59" s="1552"/>
      <c r="V59" s="1189"/>
      <c r="W59" s="1207" t="e">
        <f t="shared" si="3"/>
        <v>#VALUE!</v>
      </c>
      <c r="X59" s="1189"/>
      <c r="Y59" s="1189"/>
      <c r="Z59" s="1189"/>
      <c r="AA59" s="1189"/>
      <c r="AB59" s="1189"/>
      <c r="AC59" s="1189"/>
      <c r="AD59" s="1189"/>
      <c r="AE59" s="1189"/>
      <c r="AF59" s="1189"/>
      <c r="AG59" s="1189"/>
      <c r="AH59" s="1189"/>
      <c r="AI59" s="1189"/>
      <c r="AJ59" s="1189"/>
      <c r="AK59" s="1189"/>
      <c r="AL59" s="1189"/>
      <c r="AM59" s="1189"/>
      <c r="AN59" s="1189"/>
      <c r="AO59" s="1189"/>
      <c r="AP59" s="1189"/>
      <c r="AQ59" s="1189"/>
      <c r="AR59" s="1189"/>
      <c r="AS59" s="1189"/>
      <c r="AT59" s="1189"/>
      <c r="AU59" s="1189"/>
      <c r="AV59" s="1189"/>
      <c r="AW59" s="1189"/>
      <c r="AX59" s="1189"/>
    </row>
    <row r="60" spans="1:50" ht="12.6">
      <c r="A60" s="1123"/>
      <c r="B60" s="1510"/>
      <c r="C60" s="1511"/>
      <c r="D60" s="1510"/>
      <c r="E60" s="1513"/>
      <c r="F60" s="1511"/>
      <c r="G60" s="1517"/>
      <c r="H60" s="1518"/>
      <c r="I60" s="1519"/>
      <c r="J60" s="142"/>
      <c r="K60" s="1527">
        <f t="shared" si="1"/>
        <v>0</v>
      </c>
      <c r="L60" s="1527"/>
      <c r="M60" s="1207" t="str">
        <f t="shared" si="2"/>
        <v/>
      </c>
      <c r="N60" s="1557">
        <f>IF($E$28&gt;42,$F$28,0)</f>
        <v>0</v>
      </c>
      <c r="O60" s="1557"/>
      <c r="P60" s="1525"/>
      <c r="Q60" s="1526"/>
      <c r="R60" s="1189"/>
      <c r="S60" s="1189"/>
      <c r="T60" s="1552" t="s">
        <v>931</v>
      </c>
      <c r="U60" s="1552"/>
      <c r="V60" s="1189"/>
      <c r="W60" s="1207" t="e">
        <f t="shared" si="3"/>
        <v>#VALUE!</v>
      </c>
      <c r="X60" s="1189"/>
      <c r="Y60" s="1189"/>
      <c r="Z60" s="1189"/>
      <c r="AA60" s="1189"/>
      <c r="AB60" s="1189"/>
      <c r="AC60" s="1189"/>
      <c r="AD60" s="1189"/>
      <c r="AE60" s="1189"/>
      <c r="AF60" s="1189"/>
      <c r="AG60" s="1189"/>
      <c r="AH60" s="1189"/>
      <c r="AI60" s="1189"/>
      <c r="AJ60" s="1189"/>
      <c r="AK60" s="1189"/>
      <c r="AL60" s="1189"/>
      <c r="AM60" s="1189"/>
      <c r="AN60" s="1189"/>
      <c r="AO60" s="1189"/>
      <c r="AP60" s="1189"/>
      <c r="AQ60" s="1189"/>
      <c r="AR60" s="1189"/>
      <c r="AS60" s="1189"/>
      <c r="AT60" s="1189"/>
      <c r="AU60" s="1189"/>
      <c r="AV60" s="1189"/>
      <c r="AW60" s="1189"/>
      <c r="AX60" s="1189"/>
    </row>
    <row r="61" spans="1:50" ht="12.6">
      <c r="A61" s="1123"/>
      <c r="B61" s="1508">
        <f>FORM!O21</f>
        <v>0</v>
      </c>
      <c r="C61" s="1509"/>
      <c r="D61" s="1508">
        <f>FORM!S21</f>
        <v>0</v>
      </c>
      <c r="E61" s="1512"/>
      <c r="F61" s="1509"/>
      <c r="G61" s="1514">
        <f>FORM!V21</f>
        <v>0</v>
      </c>
      <c r="H61" s="1515"/>
      <c r="I61" s="1516"/>
      <c r="J61" s="1125"/>
      <c r="K61" s="1527">
        <f t="shared" si="1"/>
        <v>0</v>
      </c>
      <c r="L61" s="1527"/>
      <c r="M61" s="1207" t="str">
        <f t="shared" si="2"/>
        <v/>
      </c>
      <c r="N61" s="1557">
        <f>IF($E$28&gt;43,$F$28,0)</f>
        <v>0</v>
      </c>
      <c r="O61" s="1557"/>
      <c r="P61" s="1525"/>
      <c r="Q61" s="1526"/>
      <c r="R61" s="1189"/>
      <c r="S61" s="1189"/>
      <c r="T61" s="1552" t="s">
        <v>932</v>
      </c>
      <c r="U61" s="1552"/>
      <c r="V61" s="1189"/>
      <c r="W61" s="1207" t="e">
        <f t="shared" si="3"/>
        <v>#VALUE!</v>
      </c>
      <c r="X61" s="1189"/>
      <c r="Y61" s="1189"/>
      <c r="Z61" s="1189"/>
      <c r="AA61" s="1189"/>
      <c r="AB61" s="1189"/>
      <c r="AC61" s="1189"/>
      <c r="AD61" s="1189"/>
      <c r="AE61" s="1189"/>
      <c r="AF61" s="1189"/>
      <c r="AG61" s="1189"/>
      <c r="AH61" s="1189"/>
      <c r="AI61" s="1189"/>
      <c r="AJ61" s="1189"/>
      <c r="AK61" s="1189"/>
      <c r="AL61" s="1189"/>
      <c r="AM61" s="1189"/>
      <c r="AN61" s="1189"/>
      <c r="AO61" s="1189"/>
      <c r="AP61" s="1189"/>
      <c r="AQ61" s="1189"/>
      <c r="AR61" s="1189"/>
      <c r="AS61" s="1189"/>
      <c r="AT61" s="1189"/>
      <c r="AU61" s="1189"/>
      <c r="AV61" s="1189"/>
      <c r="AW61" s="1189"/>
      <c r="AX61" s="1189"/>
    </row>
    <row r="62" spans="1:50" ht="12.6" hidden="1">
      <c r="A62" s="1123"/>
      <c r="B62" s="1510"/>
      <c r="C62" s="1511"/>
      <c r="D62" s="1510"/>
      <c r="E62" s="1513"/>
      <c r="F62" s="1511"/>
      <c r="G62" s="1517"/>
      <c r="H62" s="1518"/>
      <c r="I62" s="1519"/>
      <c r="J62" s="1125"/>
      <c r="K62" s="1527">
        <f t="shared" si="1"/>
        <v>0</v>
      </c>
      <c r="L62" s="1527"/>
      <c r="M62" s="1207" t="str">
        <f t="shared" si="2"/>
        <v/>
      </c>
      <c r="N62" s="1557">
        <f>IF($E$28&gt;44,$F$28,0)</f>
        <v>0</v>
      </c>
      <c r="O62" s="1557"/>
      <c r="P62" s="1224"/>
      <c r="Q62" s="1224"/>
      <c r="R62" s="1189"/>
      <c r="S62" s="1189"/>
      <c r="T62" s="1552" t="s">
        <v>933</v>
      </c>
      <c r="U62" s="1552"/>
      <c r="V62" s="1189"/>
      <c r="W62" s="1207" t="e">
        <f>IF(AND(DAY(W61)&gt;=6,DAY(W61)&lt;=20),DATE(YEAR(W61),MONTH(W61)+1,DAY(20)),IF(AND(DAY(W61)&gt;=21,DAY(W61)&lt;=30),DATE(YEAR(W61),MONTH(W61)+1,IF(DAY(EOMONTH(W61,1))&lt;30,DAY(EOMONTH(W61,1)),DAY(30))),DATE(YEAR(W61),MONTH(W61)+1,DAY(5))))</f>
        <v>#VALUE!</v>
      </c>
      <c r="X62" s="1189"/>
      <c r="Y62" s="1189"/>
      <c r="Z62" s="1189"/>
      <c r="AA62" s="1189"/>
      <c r="AB62" s="1189"/>
      <c r="AC62" s="1189"/>
      <c r="AD62" s="1189"/>
      <c r="AE62" s="1189"/>
      <c r="AF62" s="1189"/>
      <c r="AG62" s="1189"/>
      <c r="AH62" s="1189"/>
      <c r="AI62" s="1189"/>
      <c r="AJ62" s="1189"/>
      <c r="AK62" s="1189"/>
      <c r="AL62" s="1189"/>
      <c r="AM62" s="1189"/>
      <c r="AN62" s="1189"/>
      <c r="AO62" s="1189"/>
      <c r="AP62" s="1189"/>
      <c r="AQ62" s="1189"/>
      <c r="AR62" s="1189"/>
      <c r="AS62" s="1189"/>
      <c r="AT62" s="1189"/>
      <c r="AU62" s="1189"/>
      <c r="AV62" s="1189"/>
      <c r="AW62" s="1189"/>
      <c r="AX62" s="1189"/>
    </row>
    <row r="63" spans="1:50" ht="12.6" hidden="1">
      <c r="A63" s="1123"/>
      <c r="B63" s="1508">
        <f>FORM!O25</f>
        <v>0</v>
      </c>
      <c r="C63" s="1509"/>
      <c r="D63" s="1508">
        <f>FORM!S25</f>
        <v>0</v>
      </c>
      <c r="E63" s="1512"/>
      <c r="F63" s="1509"/>
      <c r="G63" s="1514">
        <f>FORM!V25</f>
        <v>0</v>
      </c>
      <c r="H63" s="1515"/>
      <c r="I63" s="1516"/>
      <c r="J63" s="1125"/>
      <c r="K63" s="1525">
        <f t="shared" si="1"/>
        <v>0</v>
      </c>
      <c r="L63" s="1526"/>
      <c r="M63" s="1207" t="str">
        <f t="shared" si="2"/>
        <v/>
      </c>
      <c r="N63" s="1561">
        <f>IF($E$28&gt;45,$F$28,0)</f>
        <v>0</v>
      </c>
      <c r="O63" s="1562"/>
      <c r="P63" s="1224"/>
      <c r="Q63" s="1224"/>
      <c r="R63" s="1189"/>
      <c r="S63" s="1189"/>
      <c r="T63" s="1552" t="s">
        <v>934</v>
      </c>
      <c r="U63" s="1552"/>
      <c r="V63" s="1189"/>
      <c r="W63" s="1189"/>
      <c r="X63" s="1189"/>
      <c r="Y63" s="1189"/>
      <c r="Z63" s="1189"/>
      <c r="AA63" s="1189"/>
      <c r="AB63" s="1189"/>
      <c r="AC63" s="1189"/>
      <c r="AD63" s="1189"/>
      <c r="AE63" s="1189"/>
      <c r="AF63" s="1189"/>
      <c r="AG63" s="1189"/>
      <c r="AH63" s="1189"/>
      <c r="AI63" s="1189"/>
      <c r="AJ63" s="1189"/>
      <c r="AK63" s="1189"/>
      <c r="AL63" s="1189"/>
      <c r="AM63" s="1189"/>
      <c r="AN63" s="1189"/>
      <c r="AO63" s="1189"/>
      <c r="AP63" s="1189"/>
      <c r="AQ63" s="1189"/>
      <c r="AR63" s="1189"/>
      <c r="AS63" s="1189"/>
      <c r="AT63" s="1189"/>
      <c r="AU63" s="1189"/>
      <c r="AV63" s="1189"/>
      <c r="AW63" s="1189"/>
      <c r="AX63" s="1189"/>
    </row>
    <row r="64" spans="1:50" ht="12.6">
      <c r="A64" s="1123"/>
      <c r="B64" s="1510"/>
      <c r="C64" s="1511"/>
      <c r="D64" s="1510"/>
      <c r="E64" s="1513"/>
      <c r="F64" s="1511"/>
      <c r="G64" s="1517"/>
      <c r="H64" s="1518"/>
      <c r="I64" s="1519"/>
      <c r="J64" s="1123"/>
      <c r="K64" s="1563" t="s">
        <v>935</v>
      </c>
      <c r="L64" s="1563"/>
      <c r="M64" s="251" t="e">
        <f>IF(DAY(W17)=31,Y19,AA19)</f>
        <v>#VALUE!</v>
      </c>
      <c r="N64" s="1564">
        <f>F30</f>
        <v>3180193.5001408872</v>
      </c>
      <c r="O64" s="1564"/>
      <c r="P64" s="1520"/>
      <c r="Q64" s="1521"/>
      <c r="R64" s="1189"/>
      <c r="S64" s="1189"/>
      <c r="T64" s="1208"/>
      <c r="U64" s="1208"/>
      <c r="V64" s="1189"/>
      <c r="W64" s="1189"/>
      <c r="X64" s="1189"/>
      <c r="Y64" s="1189"/>
      <c r="Z64" s="1189"/>
      <c r="AA64" s="1189"/>
      <c r="AB64" s="1189"/>
      <c r="AC64" s="1189"/>
      <c r="AD64" s="1189"/>
      <c r="AE64" s="1189"/>
      <c r="AF64" s="1189"/>
      <c r="AG64" s="1189"/>
      <c r="AH64" s="1189"/>
      <c r="AI64" s="1189"/>
      <c r="AJ64" s="1189"/>
      <c r="AK64" s="1189"/>
      <c r="AL64" s="1189"/>
      <c r="AM64" s="1189"/>
      <c r="AN64" s="1189"/>
      <c r="AO64" s="1189"/>
      <c r="AP64" s="1189"/>
      <c r="AQ64" s="1189"/>
      <c r="AR64" s="1189"/>
      <c r="AS64" s="1189"/>
      <c r="AT64" s="1189"/>
      <c r="AU64" s="1189"/>
      <c r="AV64" s="1189"/>
      <c r="AW64" s="1189"/>
      <c r="AX64" s="1189"/>
    </row>
    <row r="65" spans="1:50" ht="12.6" hidden="1">
      <c r="A65" s="1123"/>
      <c r="B65" s="1508">
        <f>FORM!O27</f>
        <v>0</v>
      </c>
      <c r="C65" s="1509"/>
      <c r="D65" s="1508">
        <f>FORM!S27</f>
        <v>0</v>
      </c>
      <c r="E65" s="1512"/>
      <c r="F65" s="1509"/>
      <c r="G65" s="1514">
        <f>FORM!V27</f>
        <v>0</v>
      </c>
      <c r="H65" s="1515"/>
      <c r="I65" s="1516"/>
      <c r="J65" s="1123"/>
      <c r="K65" s="1574"/>
      <c r="L65" s="1574"/>
      <c r="M65" s="252"/>
      <c r="N65" s="1575"/>
      <c r="O65" s="1575"/>
      <c r="P65" s="253"/>
      <c r="Q65" s="100"/>
      <c r="R65" s="1189"/>
      <c r="S65" s="1189"/>
      <c r="T65" s="1208"/>
      <c r="U65" s="1208"/>
      <c r="V65" s="1189"/>
      <c r="W65" s="1189"/>
      <c r="X65" s="1189"/>
      <c r="Y65" s="1189"/>
      <c r="Z65" s="1189"/>
      <c r="AA65" s="1189"/>
      <c r="AB65" s="1189"/>
      <c r="AC65" s="1189"/>
      <c r="AD65" s="1189"/>
      <c r="AE65" s="1189"/>
      <c r="AF65" s="1189"/>
      <c r="AG65" s="1189"/>
      <c r="AH65" s="1189"/>
      <c r="AI65" s="1189"/>
      <c r="AJ65" s="1189"/>
      <c r="AK65" s="1189"/>
      <c r="AL65" s="1189"/>
      <c r="AM65" s="1189"/>
      <c r="AN65" s="1189"/>
      <c r="AO65" s="1189"/>
      <c r="AP65" s="1189"/>
      <c r="AQ65" s="1189"/>
      <c r="AR65" s="1189"/>
      <c r="AS65" s="1189"/>
      <c r="AT65" s="1189"/>
      <c r="AU65" s="1189"/>
      <c r="AV65" s="1189"/>
      <c r="AW65" s="1189"/>
      <c r="AX65" s="1189"/>
    </row>
    <row r="66" spans="1:50" ht="12.6">
      <c r="A66" s="1123"/>
      <c r="B66" s="1510"/>
      <c r="C66" s="1511"/>
      <c r="D66" s="1510"/>
      <c r="E66" s="1513"/>
      <c r="F66" s="1511"/>
      <c r="G66" s="1517"/>
      <c r="H66" s="1518"/>
      <c r="I66" s="1519"/>
      <c r="J66" s="1123"/>
      <c r="K66" s="1189"/>
      <c r="L66" s="1225"/>
      <c r="M66" s="1189"/>
      <c r="N66" s="1189"/>
      <c r="O66" s="1189"/>
      <c r="P66" s="1189"/>
      <c r="Q66" s="1189"/>
      <c r="R66" s="1189"/>
      <c r="S66" s="1189"/>
      <c r="T66" s="1208"/>
      <c r="U66" s="1208"/>
      <c r="V66" s="1189"/>
      <c r="W66" s="1189"/>
      <c r="X66" s="1189"/>
      <c r="Y66" s="1189"/>
      <c r="Z66" s="1189"/>
      <c r="AA66" s="1189"/>
      <c r="AB66" s="1189"/>
      <c r="AC66" s="1189"/>
      <c r="AD66" s="1189"/>
      <c r="AE66" s="1189"/>
      <c r="AF66" s="1189"/>
      <c r="AG66" s="1189"/>
      <c r="AH66" s="1189"/>
      <c r="AI66" s="1189"/>
      <c r="AJ66" s="1189"/>
      <c r="AK66" s="1189"/>
      <c r="AL66" s="1189"/>
      <c r="AM66" s="1189"/>
      <c r="AN66" s="1189"/>
      <c r="AO66" s="1189"/>
      <c r="AP66" s="1189"/>
      <c r="AQ66" s="1189"/>
      <c r="AR66" s="1189"/>
      <c r="AS66" s="1189"/>
      <c r="AT66" s="1189"/>
      <c r="AU66" s="1189"/>
      <c r="AV66" s="1189"/>
      <c r="AW66" s="1189"/>
      <c r="AX66" s="1189"/>
    </row>
    <row r="67" spans="1:50" ht="12" customHeight="1">
      <c r="A67" s="1123"/>
      <c r="B67" s="1508">
        <f>FORM!O31</f>
        <v>0</v>
      </c>
      <c r="C67" s="1509"/>
      <c r="D67" s="1508">
        <f>FORM!S31</f>
        <v>0</v>
      </c>
      <c r="E67" s="1512"/>
      <c r="F67" s="1509"/>
      <c r="G67" s="1514">
        <f>FORM!V31</f>
        <v>0</v>
      </c>
      <c r="H67" s="1515"/>
      <c r="I67" s="1516"/>
      <c r="J67" s="1123"/>
      <c r="K67" s="100" t="s">
        <v>936</v>
      </c>
      <c r="L67" s="1123"/>
      <c r="M67" s="1123"/>
      <c r="N67" s="1123"/>
      <c r="O67" s="100" t="s">
        <v>937</v>
      </c>
      <c r="P67" s="1123"/>
      <c r="Q67" s="1123"/>
      <c r="R67" s="1189"/>
      <c r="S67" s="1189"/>
      <c r="T67" s="1208"/>
      <c r="U67" s="1208"/>
      <c r="V67" s="1189"/>
      <c r="W67" s="1189"/>
      <c r="X67" s="1189"/>
      <c r="Y67" s="1189"/>
      <c r="Z67" s="1189"/>
      <c r="AA67" s="1189"/>
      <c r="AB67" s="1189"/>
      <c r="AC67" s="1189"/>
      <c r="AD67" s="1189"/>
      <c r="AE67" s="1189"/>
      <c r="AF67" s="1189"/>
      <c r="AG67" s="1189"/>
      <c r="AH67" s="1189"/>
      <c r="AI67" s="1189"/>
      <c r="AJ67" s="1189"/>
      <c r="AK67" s="1189"/>
      <c r="AL67" s="1189"/>
      <c r="AM67" s="1189"/>
      <c r="AN67" s="1189"/>
      <c r="AO67" s="1189"/>
      <c r="AP67" s="1189"/>
      <c r="AQ67" s="1189"/>
      <c r="AR67" s="1189"/>
      <c r="AS67" s="1189"/>
      <c r="AT67" s="1189"/>
      <c r="AU67" s="1189"/>
      <c r="AV67" s="1189"/>
      <c r="AW67" s="1189"/>
      <c r="AX67" s="1189"/>
    </row>
    <row r="68" spans="1:50" ht="12" customHeight="1">
      <c r="A68" s="1123"/>
      <c r="B68" s="1510"/>
      <c r="C68" s="1511"/>
      <c r="D68" s="1510"/>
      <c r="E68" s="1513"/>
      <c r="F68" s="1511"/>
      <c r="G68" s="1517"/>
      <c r="H68" s="1518"/>
      <c r="I68" s="1519"/>
      <c r="J68" s="1123"/>
      <c r="K68" s="1123"/>
      <c r="L68" s="1123"/>
      <c r="M68" s="705"/>
      <c r="N68" s="1123"/>
      <c r="O68" s="1123"/>
      <c r="P68" s="1123"/>
      <c r="Q68" s="1123"/>
      <c r="R68" s="1189"/>
      <c r="S68" s="1189"/>
      <c r="T68" s="1208"/>
      <c r="U68" s="1208"/>
      <c r="V68" s="1189"/>
      <c r="W68" s="1189"/>
      <c r="X68" s="1189"/>
      <c r="Y68" s="1189"/>
      <c r="Z68" s="1189"/>
      <c r="AA68" s="1189"/>
      <c r="AB68" s="1189"/>
      <c r="AC68" s="1189"/>
      <c r="AD68" s="1189"/>
      <c r="AE68" s="1189"/>
      <c r="AF68" s="1189"/>
      <c r="AG68" s="1189"/>
      <c r="AH68" s="1189"/>
      <c r="AI68" s="1189"/>
      <c r="AJ68" s="1189"/>
      <c r="AK68" s="1189"/>
      <c r="AL68" s="1189"/>
      <c r="AM68" s="1189"/>
      <c r="AN68" s="1189"/>
      <c r="AO68" s="1189"/>
      <c r="AP68" s="1189"/>
      <c r="AQ68" s="1189"/>
      <c r="AR68" s="1189"/>
      <c r="AS68" s="1189"/>
      <c r="AT68" s="1189"/>
      <c r="AU68" s="1189"/>
      <c r="AV68" s="1189"/>
      <c r="AW68" s="1189"/>
      <c r="AX68" s="1189"/>
    </row>
    <row r="69" spans="1:50" ht="12" customHeight="1">
      <c r="A69" s="1123"/>
      <c r="B69" s="1508">
        <f>FORM!O33</f>
        <v>0</v>
      </c>
      <c r="C69" s="1509"/>
      <c r="D69" s="1508">
        <f>FORM!S33</f>
        <v>0</v>
      </c>
      <c r="E69" s="1512"/>
      <c r="F69" s="1509"/>
      <c r="G69" s="1514">
        <f>FORM!V33</f>
        <v>0</v>
      </c>
      <c r="H69" s="1515"/>
      <c r="I69" s="1516"/>
      <c r="J69" s="1125"/>
      <c r="K69" s="1123"/>
      <c r="L69" s="1123"/>
      <c r="M69" s="705"/>
      <c r="N69" s="1123"/>
      <c r="O69" s="1123"/>
      <c r="P69" s="1123"/>
      <c r="Q69" s="1123"/>
      <c r="R69" s="1189"/>
      <c r="S69" s="1189"/>
      <c r="T69" s="1208"/>
      <c r="U69" s="1208"/>
      <c r="V69" s="1189"/>
      <c r="W69" s="1189"/>
      <c r="X69" s="1189"/>
      <c r="Y69" s="1189"/>
      <c r="Z69" s="1189"/>
      <c r="AA69" s="1189"/>
      <c r="AB69" s="1189"/>
      <c r="AC69" s="1189"/>
      <c r="AD69" s="1189"/>
      <c r="AE69" s="1189"/>
      <c r="AF69" s="1189"/>
      <c r="AG69" s="1189"/>
      <c r="AH69" s="1189"/>
      <c r="AI69" s="1189"/>
      <c r="AJ69" s="1189"/>
      <c r="AK69" s="1189"/>
      <c r="AL69" s="1189"/>
      <c r="AM69" s="1189"/>
      <c r="AN69" s="1189"/>
      <c r="AO69" s="1189"/>
      <c r="AP69" s="1189"/>
      <c r="AQ69" s="1189"/>
      <c r="AR69" s="1189"/>
      <c r="AS69" s="1189"/>
      <c r="AT69" s="1189"/>
      <c r="AU69" s="1189"/>
      <c r="AV69" s="1189"/>
      <c r="AW69" s="1189"/>
      <c r="AX69" s="1189"/>
    </row>
    <row r="70" spans="1:50" ht="12" customHeight="1">
      <c r="A70" s="1123"/>
      <c r="B70" s="1510"/>
      <c r="C70" s="1511"/>
      <c r="D70" s="1510"/>
      <c r="E70" s="1513"/>
      <c r="F70" s="1511"/>
      <c r="G70" s="1517"/>
      <c r="H70" s="1518"/>
      <c r="I70" s="1519"/>
      <c r="J70" s="1125"/>
      <c r="K70" s="1568" t="str">
        <f>FORM!I28</f>
        <v xml:space="preserve">agent </v>
      </c>
      <c r="L70" s="1568"/>
      <c r="M70" s="1568"/>
      <c r="N70" s="100"/>
      <c r="O70" s="1571" t="str">
        <f>FORM!I26</f>
        <v>cnc</v>
      </c>
      <c r="P70" s="1571"/>
      <c r="Q70" s="1571"/>
      <c r="R70" s="1189"/>
      <c r="S70" s="1189"/>
      <c r="T70" s="1208"/>
      <c r="U70" s="1208"/>
      <c r="V70" s="1189"/>
      <c r="W70" s="1189"/>
      <c r="X70" s="1189"/>
      <c r="Y70" s="1189"/>
      <c r="Z70" s="1189"/>
      <c r="AA70" s="1189"/>
      <c r="AB70" s="1189"/>
      <c r="AC70" s="1189"/>
      <c r="AD70" s="1189"/>
      <c r="AE70" s="1189"/>
      <c r="AF70" s="1189"/>
      <c r="AG70" s="1189"/>
      <c r="AH70" s="1189"/>
      <c r="AI70" s="1189"/>
      <c r="AJ70" s="1189"/>
      <c r="AK70" s="1189"/>
      <c r="AL70" s="1189"/>
      <c r="AM70" s="1189"/>
      <c r="AN70" s="1189"/>
      <c r="AO70" s="1189"/>
      <c r="AP70" s="1189"/>
      <c r="AQ70" s="1189"/>
      <c r="AR70" s="1189"/>
      <c r="AS70" s="1189"/>
      <c r="AT70" s="1189"/>
      <c r="AU70" s="1189"/>
      <c r="AV70" s="1189"/>
      <c r="AW70" s="1189"/>
      <c r="AX70" s="1189"/>
    </row>
    <row r="71" spans="1:50" ht="12" customHeight="1">
      <c r="A71" s="1123"/>
      <c r="B71" s="161"/>
      <c r="C71" s="1123"/>
      <c r="D71" s="1123" t="s">
        <v>819</v>
      </c>
      <c r="E71" s="1123"/>
      <c r="F71" s="1123"/>
      <c r="G71" s="1123"/>
      <c r="H71" s="1123"/>
      <c r="I71" s="1123"/>
      <c r="J71" s="1125"/>
      <c r="K71" s="1226" t="s">
        <v>938</v>
      </c>
      <c r="L71" s="1569"/>
      <c r="M71" s="1569"/>
      <c r="N71" s="1123"/>
      <c r="O71" s="1572" t="s">
        <v>939</v>
      </c>
      <c r="P71" s="1572"/>
      <c r="Q71" s="1572"/>
      <c r="R71" s="1189"/>
      <c r="S71" s="1189"/>
      <c r="T71" s="1208"/>
      <c r="U71" s="1208"/>
      <c r="V71" s="1189"/>
      <c r="W71" s="1189"/>
      <c r="X71" s="1189"/>
      <c r="Y71" s="1189"/>
      <c r="Z71" s="1189"/>
      <c r="AA71" s="1189"/>
      <c r="AB71" s="1189"/>
      <c r="AC71" s="1189"/>
      <c r="AD71" s="1189"/>
      <c r="AE71" s="1189"/>
      <c r="AF71" s="1189"/>
      <c r="AG71" s="1189"/>
      <c r="AH71" s="1189"/>
      <c r="AI71" s="1189"/>
      <c r="AJ71" s="1189"/>
      <c r="AK71" s="1189"/>
      <c r="AL71" s="1189"/>
      <c r="AM71" s="1189"/>
      <c r="AN71" s="1189"/>
      <c r="AO71" s="1189"/>
      <c r="AP71" s="1189"/>
      <c r="AQ71" s="1189"/>
      <c r="AR71" s="1189"/>
      <c r="AS71" s="1189"/>
      <c r="AT71" s="1189"/>
      <c r="AU71" s="1189"/>
      <c r="AV71" s="1189"/>
      <c r="AW71" s="1189"/>
      <c r="AX71" s="1189"/>
    </row>
    <row r="72" spans="1:50" ht="12" customHeight="1">
      <c r="A72" s="1123"/>
      <c r="B72" s="1189"/>
      <c r="C72" s="250" t="s">
        <v>940</v>
      </c>
      <c r="D72" s="1573"/>
      <c r="E72" s="1573"/>
      <c r="F72" s="1573"/>
      <c r="G72" s="1123"/>
      <c r="H72" s="1123"/>
      <c r="I72" s="1123"/>
      <c r="J72" s="1125"/>
      <c r="K72" s="1189"/>
      <c r="L72" s="1189"/>
      <c r="M72" s="1189"/>
      <c r="N72" s="1189"/>
      <c r="O72" s="1189"/>
      <c r="P72" s="1189"/>
      <c r="Q72" s="1189"/>
      <c r="R72" s="1189"/>
      <c r="S72" s="1189"/>
      <c r="T72" s="1208"/>
      <c r="U72" s="1208"/>
      <c r="V72" s="1189"/>
      <c r="W72" s="1189"/>
      <c r="X72" s="1189"/>
      <c r="Y72" s="1189"/>
      <c r="Z72" s="1189"/>
      <c r="AA72" s="1189"/>
      <c r="AB72" s="1189"/>
      <c r="AC72" s="1189"/>
      <c r="AD72" s="1189"/>
      <c r="AE72" s="1189"/>
      <c r="AF72" s="1189"/>
      <c r="AG72" s="1189"/>
      <c r="AH72" s="1189"/>
      <c r="AI72" s="1189"/>
      <c r="AJ72" s="1189"/>
      <c r="AK72" s="1189"/>
      <c r="AL72" s="1189"/>
      <c r="AM72" s="1189"/>
      <c r="AN72" s="1189"/>
      <c r="AO72" s="1189"/>
      <c r="AP72" s="1189"/>
      <c r="AQ72" s="1189"/>
      <c r="AR72" s="1189"/>
      <c r="AS72" s="1189"/>
      <c r="AT72" s="1189"/>
      <c r="AU72" s="1189"/>
      <c r="AV72" s="1189"/>
      <c r="AW72" s="1189"/>
      <c r="AX72" s="1189"/>
    </row>
    <row r="73" spans="1:50" ht="12" customHeight="1">
      <c r="A73" s="1123"/>
      <c r="B73" s="250"/>
      <c r="C73" s="1123"/>
      <c r="D73" s="1228"/>
      <c r="E73" s="1228"/>
      <c r="F73" s="1123"/>
      <c r="G73" s="1123"/>
      <c r="H73" s="1123"/>
      <c r="I73" s="1123"/>
      <c r="J73" s="1125"/>
      <c r="K73" s="156"/>
      <c r="L73" s="1123"/>
      <c r="M73" s="1205"/>
      <c r="N73" s="1123"/>
      <c r="O73" s="1123"/>
      <c r="P73" s="1123"/>
      <c r="Q73" s="1123"/>
      <c r="R73" s="1189"/>
      <c r="S73" s="1189"/>
      <c r="T73" s="1208"/>
      <c r="U73" s="1208"/>
      <c r="V73" s="1189"/>
      <c r="W73" s="1189"/>
      <c r="X73" s="1189"/>
      <c r="Y73" s="1189"/>
      <c r="Z73" s="1189"/>
      <c r="AA73" s="1189"/>
      <c r="AB73" s="1189"/>
      <c r="AC73" s="1189"/>
      <c r="AD73" s="1189"/>
      <c r="AE73" s="1189"/>
      <c r="AF73" s="1189"/>
      <c r="AG73" s="1189"/>
      <c r="AH73" s="1189"/>
      <c r="AI73" s="1189"/>
      <c r="AJ73" s="1189"/>
      <c r="AK73" s="1189"/>
      <c r="AL73" s="1189"/>
      <c r="AM73" s="1189"/>
      <c r="AN73" s="1189"/>
      <c r="AO73" s="1189"/>
      <c r="AP73" s="1189"/>
      <c r="AQ73" s="1189"/>
      <c r="AR73" s="1189"/>
      <c r="AS73" s="1189"/>
      <c r="AT73" s="1189"/>
      <c r="AU73" s="1189"/>
      <c r="AV73" s="1189"/>
      <c r="AW73" s="1189"/>
      <c r="AX73" s="1189"/>
    </row>
    <row r="74" spans="1:50" ht="12" customHeight="1">
      <c r="A74" s="1123"/>
      <c r="B74" s="250"/>
      <c r="C74" s="1123"/>
      <c r="D74" s="1228"/>
      <c r="E74" s="1228"/>
      <c r="F74" s="1123"/>
      <c r="G74" s="1123"/>
      <c r="H74" s="1123"/>
      <c r="I74" s="1123"/>
      <c r="J74" s="1125"/>
      <c r="K74" s="156"/>
      <c r="L74" s="1123"/>
      <c r="M74" s="1205"/>
      <c r="N74" s="1123"/>
      <c r="O74" s="1123"/>
      <c r="P74" s="1123"/>
      <c r="Q74" s="1123"/>
      <c r="R74" s="1189"/>
      <c r="S74" s="1189"/>
      <c r="T74" s="1208"/>
      <c r="U74" s="1208"/>
      <c r="V74" s="1189"/>
      <c r="W74" s="1189"/>
      <c r="X74" s="1189"/>
      <c r="Y74" s="1189"/>
      <c r="Z74" s="1189"/>
      <c r="AA74" s="1189"/>
      <c r="AB74" s="1189"/>
      <c r="AC74" s="1189"/>
      <c r="AD74" s="1189"/>
      <c r="AE74" s="1189"/>
      <c r="AF74" s="1189"/>
      <c r="AG74" s="1189"/>
      <c r="AH74" s="1189"/>
      <c r="AI74" s="1189"/>
      <c r="AJ74" s="1189"/>
      <c r="AK74" s="1189"/>
      <c r="AL74" s="1189"/>
      <c r="AM74" s="1189"/>
      <c r="AN74" s="1189"/>
      <c r="AO74" s="1189"/>
      <c r="AP74" s="1189"/>
      <c r="AQ74" s="1189"/>
      <c r="AR74" s="1189"/>
      <c r="AS74" s="1189"/>
      <c r="AT74" s="1189"/>
      <c r="AU74" s="1189"/>
      <c r="AV74" s="1189"/>
      <c r="AW74" s="1189"/>
      <c r="AX74" s="1189"/>
    </row>
    <row r="75" spans="1:50" ht="12" customHeight="1">
      <c r="A75" s="1123"/>
      <c r="B75" s="250"/>
      <c r="C75" s="1123"/>
      <c r="D75" s="1228"/>
      <c r="E75" s="1228"/>
      <c r="F75" s="1123"/>
      <c r="G75" s="1123"/>
      <c r="H75" s="1123"/>
      <c r="I75" s="1123"/>
      <c r="J75" s="1125"/>
      <c r="K75" s="156"/>
      <c r="L75" s="1123"/>
      <c r="M75" s="1205"/>
      <c r="N75" s="1123"/>
      <c r="O75" s="1123"/>
      <c r="P75" s="1123"/>
      <c r="Q75" s="1123"/>
      <c r="R75" s="1189"/>
      <c r="S75" s="1189"/>
      <c r="T75" s="1208"/>
      <c r="U75" s="1208"/>
      <c r="V75" s="1189"/>
      <c r="W75" s="1189"/>
      <c r="X75" s="1189"/>
      <c r="Y75" s="1189"/>
      <c r="Z75" s="1189"/>
      <c r="AA75" s="1189"/>
      <c r="AB75" s="1189"/>
      <c r="AC75" s="1189"/>
      <c r="AD75" s="1189"/>
      <c r="AE75" s="1189"/>
      <c r="AF75" s="1189"/>
      <c r="AG75" s="1189"/>
      <c r="AH75" s="1189"/>
      <c r="AI75" s="1189"/>
      <c r="AJ75" s="1189"/>
      <c r="AK75" s="1189"/>
      <c r="AL75" s="1189"/>
      <c r="AM75" s="1189"/>
      <c r="AN75" s="1189"/>
      <c r="AO75" s="1189"/>
      <c r="AP75" s="1189"/>
      <c r="AQ75" s="1189"/>
      <c r="AR75" s="1189"/>
      <c r="AS75" s="1189"/>
      <c r="AT75" s="1189"/>
      <c r="AU75" s="1189"/>
      <c r="AV75" s="1189"/>
      <c r="AW75" s="1189"/>
      <c r="AX75" s="1189"/>
    </row>
    <row r="76" spans="1:50" ht="12" customHeight="1">
      <c r="A76" s="1123"/>
      <c r="B76" s="250"/>
      <c r="C76" s="1123"/>
      <c r="D76" s="1228"/>
      <c r="E76" s="1228"/>
      <c r="F76" s="1123"/>
      <c r="G76" s="1123"/>
      <c r="H76" s="1123"/>
      <c r="I76" s="1123"/>
      <c r="J76" s="1125"/>
      <c r="K76" s="156"/>
      <c r="L76" s="1123"/>
      <c r="M76" s="1205"/>
      <c r="N76" s="1123"/>
      <c r="O76" s="1123"/>
      <c r="P76" s="1123"/>
      <c r="Q76" s="1123"/>
      <c r="R76" s="1189"/>
      <c r="S76" s="1189"/>
      <c r="T76" s="1208"/>
      <c r="U76" s="1208"/>
      <c r="V76" s="1189"/>
      <c r="W76" s="1189"/>
      <c r="X76" s="1189"/>
      <c r="Y76" s="1189"/>
      <c r="Z76" s="1189"/>
      <c r="AA76" s="1189"/>
      <c r="AB76" s="1189"/>
      <c r="AC76" s="1189"/>
      <c r="AD76" s="1189"/>
      <c r="AE76" s="1189"/>
      <c r="AF76" s="1189"/>
      <c r="AG76" s="1189"/>
      <c r="AH76" s="1189"/>
      <c r="AI76" s="1189"/>
      <c r="AJ76" s="1189"/>
      <c r="AK76" s="1189"/>
      <c r="AL76" s="1189"/>
      <c r="AM76" s="1189"/>
      <c r="AN76" s="1189"/>
      <c r="AO76" s="1189"/>
      <c r="AP76" s="1189"/>
      <c r="AQ76" s="1189"/>
      <c r="AR76" s="1189"/>
      <c r="AS76" s="1189"/>
      <c r="AT76" s="1189"/>
      <c r="AU76" s="1189"/>
      <c r="AV76" s="1189"/>
      <c r="AW76" s="1189"/>
      <c r="AX76" s="1189"/>
    </row>
    <row r="77" spans="1:50" ht="12" customHeight="1">
      <c r="A77" s="1123"/>
      <c r="B77" s="250"/>
      <c r="C77" s="1123"/>
      <c r="D77" s="1228"/>
      <c r="E77" s="1228"/>
      <c r="F77" s="1123"/>
      <c r="G77" s="1123"/>
      <c r="H77" s="1123"/>
      <c r="I77" s="1123"/>
      <c r="J77" s="1125"/>
      <c r="K77" s="156"/>
      <c r="L77" s="1123"/>
      <c r="M77" s="1205"/>
      <c r="N77" s="1123"/>
      <c r="O77" s="1123"/>
      <c r="P77" s="1123"/>
      <c r="Q77" s="1123"/>
      <c r="R77" s="1189"/>
      <c r="S77" s="1189"/>
      <c r="T77" s="1208"/>
      <c r="U77" s="1208"/>
      <c r="V77" s="1189"/>
      <c r="W77" s="1189"/>
      <c r="X77" s="1189"/>
      <c r="Y77" s="1189"/>
      <c r="Z77" s="1189"/>
      <c r="AA77" s="1189"/>
      <c r="AB77" s="1189"/>
      <c r="AC77" s="1189"/>
      <c r="AD77" s="1189"/>
      <c r="AE77" s="1189"/>
      <c r="AF77" s="1189"/>
      <c r="AG77" s="1189"/>
      <c r="AH77" s="1189"/>
      <c r="AI77" s="1189"/>
      <c r="AJ77" s="1189"/>
      <c r="AK77" s="1189"/>
      <c r="AL77" s="1189"/>
      <c r="AM77" s="1189"/>
      <c r="AN77" s="1189"/>
      <c r="AO77" s="1189"/>
      <c r="AP77" s="1189"/>
      <c r="AQ77" s="1189"/>
      <c r="AR77" s="1189"/>
      <c r="AS77" s="1189"/>
      <c r="AT77" s="1189"/>
      <c r="AU77" s="1189"/>
      <c r="AV77" s="1189"/>
      <c r="AW77" s="1189"/>
      <c r="AX77" s="1189"/>
    </row>
    <row r="78" spans="1:50" ht="12" customHeight="1">
      <c r="A78" s="1123"/>
      <c r="B78" s="100" t="s">
        <v>936</v>
      </c>
      <c r="C78" s="1123"/>
      <c r="D78" s="1123"/>
      <c r="E78" s="1123"/>
      <c r="F78" s="100" t="s">
        <v>937</v>
      </c>
      <c r="G78" s="1123"/>
      <c r="H78" s="1123"/>
      <c r="I78" s="1123"/>
      <c r="J78" s="1125"/>
      <c r="K78" s="156"/>
      <c r="L78" s="1123"/>
      <c r="M78" s="1205"/>
      <c r="N78" s="1123"/>
      <c r="O78" s="1123"/>
      <c r="P78" s="1123"/>
      <c r="Q78" s="1123"/>
      <c r="R78" s="1189"/>
      <c r="S78" s="1189"/>
      <c r="T78" s="1208"/>
      <c r="U78" s="1208"/>
      <c r="V78" s="1189"/>
      <c r="W78" s="1189"/>
      <c r="X78" s="1189"/>
      <c r="Y78" s="1189"/>
      <c r="Z78" s="1189"/>
      <c r="AA78" s="1189"/>
      <c r="AB78" s="1189"/>
      <c r="AC78" s="1189"/>
      <c r="AD78" s="1189"/>
      <c r="AE78" s="1189"/>
      <c r="AF78" s="1189"/>
      <c r="AG78" s="1189"/>
      <c r="AH78" s="1189"/>
      <c r="AI78" s="1189"/>
      <c r="AJ78" s="1189"/>
      <c r="AK78" s="1189"/>
      <c r="AL78" s="1189"/>
      <c r="AM78" s="1189"/>
      <c r="AN78" s="1189"/>
      <c r="AO78" s="1189"/>
      <c r="AP78" s="1189"/>
      <c r="AQ78" s="1189"/>
      <c r="AR78" s="1189"/>
      <c r="AS78" s="1189"/>
      <c r="AT78" s="1189"/>
      <c r="AU78" s="1189"/>
      <c r="AV78" s="1189"/>
      <c r="AW78" s="1189"/>
      <c r="AX78" s="1189"/>
    </row>
    <row r="79" spans="1:50" ht="12" customHeight="1">
      <c r="A79" s="1123"/>
      <c r="B79" s="1123"/>
      <c r="C79" s="1123"/>
      <c r="D79" s="705"/>
      <c r="E79" s="1123"/>
      <c r="F79" s="1123"/>
      <c r="G79" s="1123"/>
      <c r="H79" s="1123"/>
      <c r="I79" s="1123"/>
      <c r="J79" s="1125"/>
      <c r="K79" s="156"/>
      <c r="L79" s="1123"/>
      <c r="M79" s="1205"/>
      <c r="N79" s="1123"/>
      <c r="O79" s="1123"/>
      <c r="P79" s="1123"/>
      <c r="Q79" s="1123"/>
      <c r="R79" s="1189"/>
      <c r="S79" s="1189"/>
      <c r="T79" s="1208"/>
      <c r="U79" s="1208"/>
      <c r="V79" s="1189"/>
      <c r="W79" s="1189"/>
      <c r="X79" s="1189"/>
      <c r="Y79" s="1189"/>
      <c r="Z79" s="1189"/>
      <c r="AA79" s="1189"/>
      <c r="AB79" s="1189"/>
      <c r="AC79" s="1189"/>
      <c r="AD79" s="1189"/>
      <c r="AE79" s="1189"/>
      <c r="AF79" s="1189"/>
      <c r="AG79" s="1189"/>
      <c r="AH79" s="1189"/>
      <c r="AI79" s="1189"/>
      <c r="AJ79" s="1189"/>
      <c r="AK79" s="1189"/>
      <c r="AL79" s="1189"/>
      <c r="AM79" s="1189"/>
      <c r="AN79" s="1189"/>
      <c r="AO79" s="1189"/>
      <c r="AP79" s="1189"/>
      <c r="AQ79" s="1189"/>
      <c r="AR79" s="1189"/>
      <c r="AS79" s="1189"/>
      <c r="AT79" s="1189"/>
      <c r="AU79" s="1189"/>
      <c r="AV79" s="1189"/>
      <c r="AW79" s="1189"/>
      <c r="AX79" s="1189"/>
    </row>
    <row r="80" spans="1:50" ht="12" customHeight="1">
      <c r="A80" s="1123"/>
      <c r="B80" s="1123"/>
      <c r="C80" s="1123"/>
      <c r="D80" s="705"/>
      <c r="E80" s="1123"/>
      <c r="F80" s="1123"/>
      <c r="G80" s="1123"/>
      <c r="H80" s="1123"/>
      <c r="I80" s="1123"/>
      <c r="J80" s="1125"/>
      <c r="K80" s="156"/>
      <c r="L80" s="1123"/>
      <c r="M80" s="1205"/>
      <c r="N80" s="1123"/>
      <c r="O80" s="1123"/>
      <c r="P80" s="1123"/>
      <c r="Q80" s="1123"/>
      <c r="R80" s="1189"/>
      <c r="S80" s="1189"/>
      <c r="T80" s="1208"/>
      <c r="U80" s="1208"/>
      <c r="V80" s="1189"/>
      <c r="W80" s="1189"/>
      <c r="X80" s="1189"/>
      <c r="Y80" s="1189"/>
      <c r="Z80" s="1189"/>
      <c r="AA80" s="1189"/>
      <c r="AB80" s="1189"/>
      <c r="AC80" s="1189"/>
      <c r="AD80" s="1189"/>
      <c r="AE80" s="1189"/>
      <c r="AF80" s="1189"/>
      <c r="AG80" s="1189"/>
      <c r="AH80" s="1189"/>
      <c r="AI80" s="1189"/>
      <c r="AJ80" s="1189"/>
      <c r="AK80" s="1189"/>
      <c r="AL80" s="1189"/>
      <c r="AM80" s="1189"/>
      <c r="AN80" s="1189"/>
      <c r="AO80" s="1189"/>
      <c r="AP80" s="1189"/>
      <c r="AQ80" s="1189"/>
      <c r="AR80" s="1189"/>
      <c r="AS80" s="1189"/>
      <c r="AT80" s="1189"/>
      <c r="AU80" s="1189"/>
      <c r="AV80" s="1189"/>
      <c r="AW80" s="1189"/>
      <c r="AX80" s="1189"/>
    </row>
    <row r="81" spans="1:50" ht="12" customHeight="1">
      <c r="A81" s="1123"/>
      <c r="B81" s="1568" t="str">
        <f>FORM!I28</f>
        <v xml:space="preserve">agent </v>
      </c>
      <c r="C81" s="1568"/>
      <c r="D81" s="1568"/>
      <c r="E81" s="100"/>
      <c r="F81" s="1568" t="str">
        <f>FORM!I26</f>
        <v>cnc</v>
      </c>
      <c r="G81" s="1568"/>
      <c r="H81" s="1568"/>
      <c r="I81" s="1568"/>
      <c r="J81" s="1125"/>
      <c r="K81" s="156"/>
      <c r="L81" s="1123"/>
      <c r="M81" s="1205"/>
      <c r="N81" s="1123"/>
      <c r="O81" s="1123"/>
      <c r="P81" s="1123"/>
      <c r="Q81" s="1123"/>
      <c r="R81" s="1189"/>
      <c r="S81" s="1189"/>
      <c r="T81" s="1208"/>
      <c r="U81" s="1208"/>
      <c r="V81" s="1189"/>
      <c r="W81" s="1189"/>
      <c r="X81" s="1189"/>
      <c r="Y81" s="1189"/>
      <c r="Z81" s="1189"/>
      <c r="AA81" s="1189"/>
      <c r="AB81" s="1189"/>
      <c r="AC81" s="1189"/>
      <c r="AD81" s="1189"/>
      <c r="AE81" s="1189"/>
      <c r="AF81" s="1189"/>
      <c r="AG81" s="1189"/>
      <c r="AH81" s="1189"/>
      <c r="AI81" s="1189"/>
      <c r="AJ81" s="1189"/>
      <c r="AK81" s="1189"/>
      <c r="AL81" s="1189"/>
      <c r="AM81" s="1189"/>
      <c r="AN81" s="1189"/>
      <c r="AO81" s="1189"/>
      <c r="AP81" s="1189"/>
      <c r="AQ81" s="1189"/>
      <c r="AR81" s="1189"/>
      <c r="AS81" s="1189"/>
      <c r="AT81" s="1189"/>
      <c r="AU81" s="1189"/>
      <c r="AV81" s="1189"/>
      <c r="AW81" s="1189"/>
      <c r="AX81" s="1189"/>
    </row>
    <row r="82" spans="1:50" ht="12" customHeight="1">
      <c r="A82" s="1123"/>
      <c r="B82" s="1226" t="s">
        <v>938</v>
      </c>
      <c r="C82" s="1569"/>
      <c r="D82" s="1569"/>
      <c r="E82" s="1123"/>
      <c r="F82" s="1570" t="s">
        <v>939</v>
      </c>
      <c r="G82" s="1570"/>
      <c r="H82" s="1570"/>
      <c r="I82" s="1229"/>
      <c r="J82" s="1125"/>
      <c r="K82" s="156"/>
      <c r="L82" s="1123"/>
      <c r="M82" s="1205"/>
      <c r="N82" s="1123"/>
      <c r="O82" s="1123"/>
      <c r="P82" s="1123"/>
      <c r="Q82" s="1123"/>
      <c r="R82" s="1189"/>
      <c r="S82" s="1189"/>
      <c r="T82" s="1208"/>
      <c r="U82" s="1208"/>
      <c r="V82" s="1189"/>
      <c r="W82" s="1189"/>
      <c r="X82" s="1189"/>
      <c r="Y82" s="1189"/>
      <c r="Z82" s="1189"/>
      <c r="AA82" s="1189"/>
      <c r="AB82" s="1189"/>
      <c r="AC82" s="1189"/>
      <c r="AD82" s="1189"/>
      <c r="AE82" s="1189"/>
      <c r="AF82" s="1189"/>
      <c r="AG82" s="1189"/>
      <c r="AH82" s="1189"/>
      <c r="AI82" s="1189"/>
      <c r="AJ82" s="1189"/>
      <c r="AK82" s="1189"/>
      <c r="AL82" s="1189"/>
      <c r="AM82" s="1189"/>
      <c r="AN82" s="1189"/>
      <c r="AO82" s="1189"/>
      <c r="AP82" s="1189"/>
      <c r="AQ82" s="1189"/>
      <c r="AR82" s="1189"/>
      <c r="AS82" s="1189"/>
      <c r="AT82" s="1189"/>
      <c r="AU82" s="1189"/>
      <c r="AV82" s="1189"/>
      <c r="AW82" s="1189"/>
      <c r="AX82" s="1189"/>
    </row>
    <row r="83" spans="1:50" ht="12" customHeight="1">
      <c r="A83" s="1123"/>
      <c r="B83" s="161"/>
      <c r="C83" s="1123"/>
      <c r="D83" s="1123"/>
      <c r="E83" s="1123"/>
      <c r="F83" s="1123"/>
      <c r="G83" s="1123"/>
      <c r="H83" s="1123"/>
      <c r="I83" s="1123"/>
      <c r="J83" s="1125"/>
      <c r="K83" s="156"/>
      <c r="L83" s="1123"/>
      <c r="M83" s="1205"/>
      <c r="N83" s="1123"/>
      <c r="O83" s="1123"/>
      <c r="P83" s="1123"/>
      <c r="Q83" s="1123"/>
      <c r="R83" s="1189"/>
      <c r="S83" s="1189"/>
      <c r="T83" s="1208"/>
      <c r="U83" s="1208"/>
      <c r="V83" s="1189"/>
      <c r="W83" s="1189"/>
      <c r="X83" s="1189"/>
      <c r="Y83" s="1189"/>
      <c r="Z83" s="1189"/>
      <c r="AA83" s="1189"/>
      <c r="AB83" s="1189"/>
      <c r="AC83" s="1189"/>
      <c r="AD83" s="1189"/>
      <c r="AE83" s="1189"/>
      <c r="AF83" s="1189"/>
      <c r="AG83" s="1189"/>
      <c r="AH83" s="1189"/>
      <c r="AI83" s="1189"/>
      <c r="AJ83" s="1189"/>
      <c r="AK83" s="1189"/>
      <c r="AL83" s="1189"/>
      <c r="AM83" s="1189"/>
      <c r="AN83" s="1189"/>
      <c r="AO83" s="1189"/>
      <c r="AP83" s="1189"/>
      <c r="AQ83" s="1189"/>
      <c r="AR83" s="1189"/>
      <c r="AS83" s="1189"/>
      <c r="AT83" s="1189"/>
      <c r="AU83" s="1189"/>
      <c r="AV83" s="1189"/>
      <c r="AW83" s="1189"/>
      <c r="AX83" s="1189"/>
    </row>
    <row r="84" spans="1:50" ht="12" customHeight="1">
      <c r="A84" s="1123"/>
      <c r="B84" s="161"/>
      <c r="C84" s="1123"/>
      <c r="D84" s="1123"/>
      <c r="E84" s="1123"/>
      <c r="F84" s="1123"/>
      <c r="G84" s="1123"/>
      <c r="H84" s="1123"/>
      <c r="I84" s="1123"/>
      <c r="J84" s="1125"/>
      <c r="K84" s="156"/>
      <c r="L84" s="1123"/>
      <c r="M84" s="1205"/>
      <c r="N84" s="1123"/>
      <c r="O84" s="1123"/>
      <c r="P84" s="1123"/>
      <c r="Q84" s="1123"/>
      <c r="R84" s="1189"/>
      <c r="S84" s="1189"/>
      <c r="T84" s="1208"/>
      <c r="U84" s="1208"/>
      <c r="V84" s="1189"/>
      <c r="W84" s="1189"/>
      <c r="X84" s="1189"/>
      <c r="Y84" s="1189"/>
      <c r="Z84" s="1189"/>
      <c r="AA84" s="1189"/>
      <c r="AB84" s="1189"/>
      <c r="AC84" s="1189"/>
      <c r="AD84" s="1189"/>
      <c r="AE84" s="1189"/>
      <c r="AF84" s="1189"/>
      <c r="AG84" s="1189"/>
      <c r="AH84" s="1189"/>
      <c r="AI84" s="1189"/>
      <c r="AJ84" s="1189"/>
      <c r="AK84" s="1189"/>
      <c r="AL84" s="1189"/>
      <c r="AM84" s="1189"/>
      <c r="AN84" s="1189"/>
      <c r="AO84" s="1189"/>
      <c r="AP84" s="1189"/>
      <c r="AQ84" s="1189"/>
      <c r="AR84" s="1189"/>
      <c r="AS84" s="1189"/>
      <c r="AT84" s="1189"/>
      <c r="AU84" s="1189"/>
      <c r="AV84" s="1189"/>
      <c r="AW84" s="1189"/>
      <c r="AX84" s="1189"/>
    </row>
    <row r="85" spans="1:50" ht="12" customHeight="1">
      <c r="A85" s="1123"/>
      <c r="B85" s="161"/>
      <c r="C85" s="1123"/>
      <c r="D85" s="1123"/>
      <c r="E85" s="1123"/>
      <c r="F85" s="1123"/>
      <c r="G85" s="1123"/>
      <c r="H85" s="1123"/>
      <c r="I85" s="1123"/>
      <c r="J85" s="1125"/>
      <c r="K85" s="156"/>
      <c r="L85" s="1123"/>
      <c r="M85" s="1205"/>
      <c r="N85" s="1123"/>
      <c r="O85" s="1123"/>
      <c r="P85" s="1123"/>
      <c r="Q85" s="1123"/>
      <c r="R85" s="1189"/>
      <c r="S85" s="1189"/>
      <c r="T85" s="1208"/>
      <c r="U85" s="1208"/>
      <c r="V85" s="1189"/>
      <c r="W85" s="1189"/>
      <c r="X85" s="1189"/>
      <c r="Y85" s="1189"/>
      <c r="Z85" s="1189"/>
      <c r="AA85" s="1189"/>
      <c r="AB85" s="1189"/>
      <c r="AC85" s="1189"/>
      <c r="AD85" s="1189"/>
      <c r="AE85" s="1189"/>
      <c r="AF85" s="1189"/>
      <c r="AG85" s="1189"/>
      <c r="AH85" s="1189"/>
      <c r="AI85" s="1189"/>
      <c r="AJ85" s="1189"/>
      <c r="AK85" s="1189"/>
      <c r="AL85" s="1189"/>
      <c r="AM85" s="1189"/>
      <c r="AN85" s="1189"/>
      <c r="AO85" s="1189"/>
      <c r="AP85" s="1189"/>
      <c r="AQ85" s="1189"/>
      <c r="AR85" s="1189"/>
      <c r="AS85" s="1189"/>
      <c r="AT85" s="1189"/>
      <c r="AU85" s="1189"/>
      <c r="AV85" s="1189"/>
      <c r="AW85" s="1189"/>
      <c r="AX85" s="1189"/>
    </row>
    <row r="86" spans="1:50" ht="12" customHeight="1">
      <c r="A86" s="1123"/>
      <c r="B86" s="161"/>
      <c r="C86" s="1123"/>
      <c r="D86" s="1123"/>
      <c r="E86" s="1123"/>
      <c r="F86" s="1123"/>
      <c r="G86" s="1123"/>
      <c r="H86" s="1123"/>
      <c r="I86" s="1123"/>
      <c r="J86" s="1125"/>
      <c r="K86" s="156"/>
      <c r="L86" s="1123"/>
      <c r="M86" s="1205"/>
      <c r="N86" s="1123"/>
      <c r="O86" s="1123"/>
      <c r="P86" s="1123"/>
      <c r="Q86" s="1123"/>
      <c r="R86" s="1189"/>
      <c r="S86" s="1189"/>
      <c r="T86" s="1208"/>
      <c r="U86" s="1208"/>
      <c r="V86" s="1189"/>
      <c r="W86" s="1189"/>
      <c r="X86" s="1189"/>
      <c r="Y86" s="1189"/>
      <c r="Z86" s="1189"/>
      <c r="AA86" s="1189"/>
      <c r="AB86" s="1189"/>
      <c r="AC86" s="1189"/>
      <c r="AD86" s="1189"/>
      <c r="AE86" s="1189"/>
      <c r="AF86" s="1189"/>
      <c r="AG86" s="1189"/>
      <c r="AH86" s="1189"/>
      <c r="AI86" s="1189"/>
      <c r="AJ86" s="1189"/>
      <c r="AK86" s="1189"/>
      <c r="AL86" s="1189"/>
      <c r="AM86" s="1189"/>
      <c r="AN86" s="1189"/>
      <c r="AO86" s="1189"/>
      <c r="AP86" s="1189"/>
      <c r="AQ86" s="1189"/>
      <c r="AR86" s="1189"/>
      <c r="AS86" s="1189"/>
      <c r="AT86" s="1189"/>
      <c r="AU86" s="1189"/>
      <c r="AV86" s="1189"/>
      <c r="AW86" s="1189"/>
      <c r="AX86" s="1189"/>
    </row>
    <row r="87" spans="1:50" ht="12" customHeight="1">
      <c r="A87" s="1123"/>
      <c r="B87" s="161"/>
      <c r="C87" s="1123"/>
      <c r="D87" s="1123"/>
      <c r="E87" s="1123"/>
      <c r="F87" s="1123"/>
      <c r="G87" s="1123"/>
      <c r="H87" s="1123"/>
      <c r="I87" s="1123"/>
      <c r="J87" s="1125"/>
      <c r="K87" s="156"/>
      <c r="L87" s="1123"/>
      <c r="M87" s="1205"/>
      <c r="N87" s="1123"/>
      <c r="O87" s="1123"/>
      <c r="P87" s="1123"/>
      <c r="Q87" s="1123"/>
      <c r="R87" s="1189"/>
      <c r="S87" s="1189"/>
      <c r="T87" s="1208"/>
      <c r="U87" s="1208"/>
      <c r="V87" s="1189"/>
      <c r="W87" s="1189"/>
      <c r="X87" s="1189"/>
      <c r="Y87" s="1189"/>
      <c r="Z87" s="1189"/>
      <c r="AA87" s="1189"/>
      <c r="AB87" s="1189"/>
      <c r="AC87" s="1189"/>
      <c r="AD87" s="1189"/>
      <c r="AE87" s="1189"/>
      <c r="AF87" s="1189"/>
      <c r="AG87" s="1189"/>
      <c r="AH87" s="1189"/>
      <c r="AI87" s="1189"/>
      <c r="AJ87" s="1189"/>
      <c r="AK87" s="1189"/>
      <c r="AL87" s="1189"/>
      <c r="AM87" s="1189"/>
      <c r="AN87" s="1189"/>
      <c r="AO87" s="1189"/>
      <c r="AP87" s="1189"/>
      <c r="AQ87" s="1189"/>
      <c r="AR87" s="1189"/>
      <c r="AS87" s="1189"/>
      <c r="AT87" s="1189"/>
      <c r="AU87" s="1189"/>
      <c r="AV87" s="1189"/>
      <c r="AW87" s="1189"/>
      <c r="AX87" s="1189"/>
    </row>
    <row r="88" spans="1:50" ht="12.6">
      <c r="A88" s="1123"/>
      <c r="B88" s="161"/>
      <c r="C88" s="1123"/>
      <c r="D88" s="705"/>
      <c r="E88" s="1123"/>
      <c r="F88" s="1123"/>
      <c r="G88" s="1123"/>
      <c r="H88" s="1123"/>
      <c r="I88" s="1123"/>
      <c r="J88" s="1125"/>
      <c r="K88" s="156"/>
      <c r="L88" s="1123"/>
      <c r="M88" s="1205"/>
      <c r="N88" s="1123"/>
      <c r="O88" s="1123"/>
      <c r="P88" s="1123"/>
      <c r="Q88" s="1123"/>
      <c r="R88" s="1189"/>
      <c r="S88" s="1189"/>
      <c r="T88" s="1208"/>
      <c r="U88" s="1208"/>
      <c r="V88" s="1189"/>
      <c r="W88" s="1189"/>
      <c r="X88" s="1189"/>
      <c r="Y88" s="1189"/>
      <c r="Z88" s="1189"/>
      <c r="AA88" s="1189"/>
      <c r="AB88" s="1189"/>
      <c r="AC88" s="1189"/>
      <c r="AD88" s="1189"/>
      <c r="AE88" s="1189"/>
      <c r="AF88" s="1189"/>
      <c r="AG88" s="1189"/>
      <c r="AH88" s="1189"/>
      <c r="AI88" s="1189"/>
      <c r="AJ88" s="1189"/>
      <c r="AK88" s="1189"/>
      <c r="AL88" s="1189"/>
      <c r="AM88" s="1189"/>
      <c r="AN88" s="1189"/>
      <c r="AO88" s="1189"/>
      <c r="AP88" s="1189"/>
      <c r="AQ88" s="1189"/>
      <c r="AR88" s="1189"/>
      <c r="AS88" s="1189"/>
      <c r="AT88" s="1189"/>
      <c r="AU88" s="1189"/>
      <c r="AV88" s="1189"/>
      <c r="AW88" s="1189"/>
      <c r="AX88" s="1189"/>
    </row>
    <row r="89" spans="1:50" ht="12" customHeight="1">
      <c r="A89" s="1123"/>
      <c r="B89" s="161"/>
      <c r="C89" s="1123"/>
      <c r="D89" s="705"/>
      <c r="E89" s="1123"/>
      <c r="F89" s="1123"/>
      <c r="G89" s="1123"/>
      <c r="H89" s="1123"/>
      <c r="I89" s="1123"/>
      <c r="J89" s="1125"/>
      <c r="K89" s="156"/>
      <c r="L89" s="1123"/>
      <c r="M89" s="1205"/>
      <c r="N89" s="1123"/>
      <c r="O89" s="1123"/>
      <c r="P89" s="1123"/>
      <c r="Q89" s="1123"/>
      <c r="R89" s="1189"/>
      <c r="S89" s="1189"/>
      <c r="T89" s="1208"/>
      <c r="U89" s="1208"/>
      <c r="V89" s="1189"/>
      <c r="W89" s="1189"/>
      <c r="X89" s="1189"/>
      <c r="Y89" s="1189"/>
      <c r="Z89" s="1189"/>
      <c r="AA89" s="1189"/>
      <c r="AB89" s="1189"/>
      <c r="AC89" s="1189"/>
      <c r="AD89" s="1189"/>
      <c r="AE89" s="1189"/>
      <c r="AF89" s="1189"/>
      <c r="AG89" s="1189"/>
      <c r="AH89" s="1189"/>
      <c r="AI89" s="1189"/>
      <c r="AJ89" s="1189"/>
      <c r="AK89" s="1189"/>
      <c r="AL89" s="1189"/>
      <c r="AM89" s="1189"/>
      <c r="AN89" s="1189"/>
      <c r="AO89" s="1189"/>
      <c r="AP89" s="1189"/>
      <c r="AQ89" s="1189"/>
      <c r="AR89" s="1189"/>
      <c r="AS89" s="1189"/>
      <c r="AT89" s="1189"/>
      <c r="AU89" s="1189"/>
      <c r="AV89" s="1189"/>
      <c r="AW89" s="1189"/>
      <c r="AX89" s="1189"/>
    </row>
    <row r="90" spans="1:50" ht="12" customHeight="1">
      <c r="A90" s="1123"/>
      <c r="B90" s="161"/>
      <c r="C90" s="1123"/>
      <c r="D90" s="705"/>
      <c r="E90" s="1123"/>
      <c r="F90" s="1123"/>
      <c r="G90" s="1123"/>
      <c r="H90" s="1123"/>
      <c r="I90" s="1123"/>
      <c r="J90" s="1125"/>
      <c r="K90" s="156"/>
      <c r="L90" s="1123"/>
      <c r="M90" s="1205"/>
      <c r="N90" s="1123"/>
      <c r="O90" s="1123"/>
      <c r="P90" s="1123"/>
      <c r="Q90" s="1123"/>
      <c r="R90" s="1189"/>
      <c r="S90" s="1189"/>
      <c r="T90" s="1208"/>
      <c r="U90" s="1208"/>
      <c r="V90" s="1189"/>
      <c r="W90" s="1189"/>
      <c r="X90" s="1189"/>
      <c r="Y90" s="1189"/>
      <c r="Z90" s="1189"/>
      <c r="AA90" s="1189"/>
      <c r="AB90" s="1189"/>
      <c r="AC90" s="1189"/>
      <c r="AD90" s="1189"/>
      <c r="AE90" s="1189"/>
      <c r="AF90" s="1189"/>
      <c r="AG90" s="1189"/>
      <c r="AH90" s="1189"/>
      <c r="AI90" s="1189"/>
      <c r="AJ90" s="1189"/>
      <c r="AK90" s="1189"/>
      <c r="AL90" s="1189"/>
      <c r="AM90" s="1189"/>
      <c r="AN90" s="1189"/>
      <c r="AO90" s="1189"/>
      <c r="AP90" s="1189"/>
      <c r="AQ90" s="1189"/>
      <c r="AR90" s="1189"/>
      <c r="AS90" s="1189"/>
      <c r="AT90" s="1189"/>
      <c r="AU90" s="1189"/>
      <c r="AV90" s="1189"/>
      <c r="AW90" s="1189"/>
      <c r="AX90" s="1189"/>
    </row>
    <row r="91" spans="1:50" ht="12" customHeight="1">
      <c r="A91" s="1123"/>
      <c r="B91" s="161"/>
      <c r="C91" s="1123"/>
      <c r="D91" s="1123"/>
      <c r="E91" s="1123"/>
      <c r="F91" s="1123"/>
      <c r="G91" s="1123"/>
      <c r="H91" s="1123"/>
      <c r="I91" s="1123"/>
      <c r="J91" s="1125"/>
      <c r="K91" s="156"/>
      <c r="L91" s="1123"/>
      <c r="M91" s="1205"/>
      <c r="N91" s="1123"/>
      <c r="O91" s="1123"/>
      <c r="P91" s="1123"/>
      <c r="Q91" s="1123"/>
      <c r="R91" s="1189"/>
      <c r="S91" s="1189"/>
      <c r="T91" s="1208"/>
      <c r="U91" s="1208"/>
      <c r="V91" s="1189"/>
      <c r="W91" s="1189"/>
      <c r="X91" s="1189"/>
      <c r="Y91" s="1189"/>
      <c r="Z91" s="1189"/>
      <c r="AA91" s="1189"/>
      <c r="AB91" s="1189"/>
      <c r="AC91" s="1189"/>
      <c r="AD91" s="1189"/>
      <c r="AE91" s="1189"/>
      <c r="AF91" s="1189"/>
      <c r="AG91" s="1189"/>
      <c r="AH91" s="1189"/>
      <c r="AI91" s="1189"/>
      <c r="AJ91" s="1189"/>
      <c r="AK91" s="1189"/>
      <c r="AL91" s="1189"/>
      <c r="AM91" s="1189"/>
      <c r="AN91" s="1189"/>
      <c r="AO91" s="1189"/>
      <c r="AP91" s="1189"/>
      <c r="AQ91" s="1189"/>
      <c r="AR91" s="1189"/>
      <c r="AS91" s="1189"/>
      <c r="AT91" s="1189"/>
      <c r="AU91" s="1189"/>
      <c r="AV91" s="1189"/>
      <c r="AW91" s="1189"/>
      <c r="AX91" s="1189"/>
    </row>
    <row r="92" spans="1:50" ht="12" customHeight="1">
      <c r="A92" s="1123"/>
      <c r="B92" s="161"/>
      <c r="C92" s="1123"/>
      <c r="D92" s="1123"/>
      <c r="E92" s="1123"/>
      <c r="F92" s="1123"/>
      <c r="G92" s="1123"/>
      <c r="H92" s="1123"/>
      <c r="I92" s="1123"/>
      <c r="J92" s="1125"/>
      <c r="K92" s="156"/>
      <c r="L92" s="1123"/>
      <c r="M92" s="1205"/>
      <c r="N92" s="1123"/>
      <c r="O92" s="1123"/>
      <c r="P92" s="1123"/>
      <c r="Q92" s="1123"/>
      <c r="R92" s="1189"/>
      <c r="S92" s="1189"/>
      <c r="T92" s="1208"/>
      <c r="U92" s="1208"/>
      <c r="V92" s="1189"/>
      <c r="W92" s="1189"/>
      <c r="X92" s="1189"/>
      <c r="Y92" s="1189"/>
      <c r="Z92" s="1189"/>
      <c r="AA92" s="1189"/>
      <c r="AB92" s="1189"/>
      <c r="AC92" s="1189"/>
      <c r="AD92" s="1189"/>
      <c r="AE92" s="1189"/>
      <c r="AF92" s="1189"/>
      <c r="AG92" s="1189"/>
      <c r="AH92" s="1189"/>
      <c r="AI92" s="1189"/>
      <c r="AJ92" s="1189"/>
      <c r="AK92" s="1189"/>
      <c r="AL92" s="1189"/>
      <c r="AM92" s="1189"/>
      <c r="AN92" s="1189"/>
      <c r="AO92" s="1189"/>
      <c r="AP92" s="1189"/>
      <c r="AQ92" s="1189"/>
      <c r="AR92" s="1189"/>
      <c r="AS92" s="1189"/>
      <c r="AT92" s="1189"/>
      <c r="AU92" s="1189"/>
      <c r="AV92" s="1189"/>
      <c r="AW92" s="1189"/>
      <c r="AX92" s="1189"/>
    </row>
    <row r="93" spans="1:50" ht="12" customHeight="1">
      <c r="A93" s="1123"/>
      <c r="B93" s="161"/>
      <c r="C93" s="1123"/>
      <c r="D93" s="1123"/>
      <c r="E93" s="1123"/>
      <c r="F93" s="1123"/>
      <c r="G93" s="1123"/>
      <c r="H93" s="1123"/>
      <c r="I93" s="1123"/>
      <c r="J93" s="1125"/>
      <c r="K93" s="156"/>
      <c r="L93" s="1123"/>
      <c r="M93" s="1205"/>
      <c r="N93" s="1123"/>
      <c r="O93" s="1123"/>
      <c r="P93" s="1123"/>
      <c r="Q93" s="1123"/>
      <c r="R93" s="1189"/>
      <c r="S93" s="1189"/>
      <c r="T93" s="1208"/>
      <c r="U93" s="1208"/>
      <c r="V93" s="1189"/>
      <c r="W93" s="1189"/>
      <c r="X93" s="1189"/>
      <c r="Y93" s="1189"/>
      <c r="Z93" s="1189"/>
      <c r="AA93" s="1189"/>
      <c r="AB93" s="1189"/>
      <c r="AC93" s="1189"/>
      <c r="AD93" s="1189"/>
      <c r="AE93" s="1189"/>
      <c r="AF93" s="1189"/>
      <c r="AG93" s="1189"/>
      <c r="AH93" s="1189"/>
      <c r="AI93" s="1189"/>
      <c r="AJ93" s="1189"/>
      <c r="AK93" s="1189"/>
      <c r="AL93" s="1189"/>
      <c r="AM93" s="1189"/>
      <c r="AN93" s="1189"/>
      <c r="AO93" s="1189"/>
      <c r="AP93" s="1189"/>
      <c r="AQ93" s="1189"/>
      <c r="AR93" s="1189"/>
      <c r="AS93" s="1189"/>
      <c r="AT93" s="1189"/>
      <c r="AU93" s="1189"/>
      <c r="AV93" s="1189"/>
      <c r="AW93" s="1189"/>
      <c r="AX93" s="1189"/>
    </row>
    <row r="94" spans="1:50" ht="12" customHeight="1">
      <c r="A94" s="1123"/>
      <c r="B94" s="161"/>
      <c r="C94" s="1123"/>
      <c r="D94" s="1123"/>
      <c r="E94" s="1123"/>
      <c r="F94" s="1123"/>
      <c r="G94" s="1123"/>
      <c r="H94" s="1123"/>
      <c r="I94" s="1123"/>
      <c r="J94" s="1125"/>
      <c r="K94" s="156"/>
      <c r="L94" s="1123"/>
      <c r="M94" s="1205"/>
      <c r="N94" s="1123"/>
      <c r="O94" s="1123"/>
      <c r="P94" s="1123"/>
      <c r="Q94" s="1123"/>
      <c r="R94" s="1189"/>
      <c r="S94" s="1189"/>
      <c r="T94" s="1208"/>
      <c r="U94" s="1208"/>
      <c r="V94" s="1189"/>
      <c r="W94" s="1189"/>
      <c r="X94" s="1189"/>
      <c r="Y94" s="1189"/>
      <c r="Z94" s="1189"/>
      <c r="AA94" s="1189"/>
      <c r="AB94" s="1189"/>
      <c r="AC94" s="1189"/>
      <c r="AD94" s="1189"/>
      <c r="AE94" s="1189"/>
      <c r="AF94" s="1189"/>
      <c r="AG94" s="1189"/>
      <c r="AH94" s="1189"/>
      <c r="AI94" s="1189"/>
      <c r="AJ94" s="1189"/>
      <c r="AK94" s="1189"/>
      <c r="AL94" s="1189"/>
      <c r="AM94" s="1189"/>
      <c r="AN94" s="1189"/>
      <c r="AO94" s="1189"/>
      <c r="AP94" s="1189"/>
      <c r="AQ94" s="1189"/>
      <c r="AR94" s="1189"/>
      <c r="AS94" s="1189"/>
      <c r="AT94" s="1189"/>
      <c r="AU94" s="1189"/>
      <c r="AV94" s="1189"/>
      <c r="AW94" s="1189"/>
      <c r="AX94" s="1189"/>
    </row>
    <row r="95" spans="1:50" ht="12" customHeight="1">
      <c r="A95" s="1123"/>
      <c r="B95" s="161"/>
      <c r="C95" s="1123"/>
      <c r="D95" s="1123"/>
      <c r="E95" s="1123"/>
      <c r="F95" s="1123"/>
      <c r="G95" s="1123"/>
      <c r="H95" s="1123"/>
      <c r="I95" s="1123"/>
      <c r="J95" s="1125"/>
      <c r="K95" s="156"/>
      <c r="L95" s="1123"/>
      <c r="M95" s="1205"/>
      <c r="N95" s="1123"/>
      <c r="O95" s="1123"/>
      <c r="P95" s="1123"/>
      <c r="Q95" s="1123"/>
      <c r="R95" s="1189"/>
      <c r="S95" s="1189"/>
      <c r="T95" s="1208"/>
      <c r="U95" s="1208"/>
      <c r="V95" s="1189"/>
      <c r="W95" s="1189"/>
      <c r="X95" s="1189"/>
      <c r="Y95" s="1189"/>
      <c r="Z95" s="1189"/>
      <c r="AA95" s="1189"/>
      <c r="AB95" s="1189"/>
      <c r="AC95" s="1189"/>
      <c r="AD95" s="1189"/>
      <c r="AE95" s="1189"/>
      <c r="AF95" s="1189"/>
      <c r="AG95" s="1189"/>
      <c r="AH95" s="1189"/>
      <c r="AI95" s="1189"/>
      <c r="AJ95" s="1189"/>
      <c r="AK95" s="1189"/>
      <c r="AL95" s="1189"/>
      <c r="AM95" s="1189"/>
      <c r="AN95" s="1189"/>
      <c r="AO95" s="1189"/>
      <c r="AP95" s="1189"/>
      <c r="AQ95" s="1189"/>
      <c r="AR95" s="1189"/>
      <c r="AS95" s="1189"/>
      <c r="AT95" s="1189"/>
      <c r="AU95" s="1189"/>
      <c r="AV95" s="1189"/>
      <c r="AW95" s="1189"/>
      <c r="AX95" s="1189"/>
    </row>
    <row r="96" spans="1:50" ht="12" customHeight="1">
      <c r="A96" s="1123"/>
      <c r="B96" s="161"/>
      <c r="C96" s="1123"/>
      <c r="D96" s="1123"/>
      <c r="E96" s="1123"/>
      <c r="F96" s="1123"/>
      <c r="G96" s="1123"/>
      <c r="H96" s="1123"/>
      <c r="I96" s="1123"/>
      <c r="J96" s="1125"/>
      <c r="K96" s="156"/>
      <c r="L96" s="1123"/>
      <c r="M96" s="1205"/>
      <c r="N96" s="1123"/>
      <c r="O96" s="1123"/>
      <c r="P96" s="1123"/>
      <c r="Q96" s="1123"/>
      <c r="R96" s="1189"/>
      <c r="S96" s="1189"/>
      <c r="T96" s="1208"/>
      <c r="U96" s="1208"/>
      <c r="V96" s="1189"/>
      <c r="W96" s="1189"/>
      <c r="X96" s="1189"/>
      <c r="Y96" s="1189"/>
      <c r="Z96" s="1189"/>
      <c r="AA96" s="1189"/>
      <c r="AB96" s="1189"/>
      <c r="AC96" s="1189"/>
      <c r="AD96" s="1189"/>
      <c r="AE96" s="1189"/>
      <c r="AF96" s="1189"/>
      <c r="AG96" s="1189"/>
      <c r="AH96" s="1189"/>
      <c r="AI96" s="1189"/>
      <c r="AJ96" s="1189"/>
      <c r="AK96" s="1189"/>
      <c r="AL96" s="1189"/>
      <c r="AM96" s="1189"/>
      <c r="AN96" s="1189"/>
      <c r="AO96" s="1189"/>
      <c r="AP96" s="1189"/>
      <c r="AQ96" s="1189"/>
      <c r="AR96" s="1189"/>
      <c r="AS96" s="1189"/>
      <c r="AT96" s="1189"/>
      <c r="AU96" s="1189"/>
      <c r="AV96" s="1189"/>
      <c r="AW96" s="1189"/>
      <c r="AX96" s="1189"/>
    </row>
    <row r="97" spans="1:50" ht="12" customHeight="1">
      <c r="A97" s="1123"/>
      <c r="B97" s="161"/>
      <c r="C97" s="1123"/>
      <c r="D97" s="1123"/>
      <c r="E97" s="1123"/>
      <c r="F97" s="1123"/>
      <c r="G97" s="1123"/>
      <c r="H97" s="1123"/>
      <c r="I97" s="1123"/>
      <c r="J97" s="1125"/>
      <c r="K97" s="156"/>
      <c r="L97" s="1123"/>
      <c r="M97" s="1205"/>
      <c r="N97" s="1123"/>
      <c r="O97" s="1123"/>
      <c r="P97" s="1123"/>
      <c r="Q97" s="1123"/>
      <c r="R97" s="1189"/>
      <c r="S97" s="1189"/>
      <c r="T97" s="1208"/>
      <c r="U97" s="1208"/>
      <c r="V97" s="1189"/>
      <c r="W97" s="1189"/>
      <c r="X97" s="1189"/>
      <c r="Y97" s="1189"/>
      <c r="Z97" s="1189"/>
      <c r="AA97" s="1189"/>
      <c r="AB97" s="1189"/>
      <c r="AC97" s="1189"/>
      <c r="AD97" s="1189"/>
      <c r="AE97" s="1189"/>
      <c r="AF97" s="1189"/>
      <c r="AG97" s="1189"/>
      <c r="AH97" s="1189"/>
      <c r="AI97" s="1189"/>
      <c r="AJ97" s="1189"/>
      <c r="AK97" s="1189"/>
      <c r="AL97" s="1189"/>
      <c r="AM97" s="1189"/>
      <c r="AN97" s="1189"/>
      <c r="AO97" s="1189"/>
      <c r="AP97" s="1189"/>
      <c r="AQ97" s="1189"/>
      <c r="AR97" s="1189"/>
      <c r="AS97" s="1189"/>
      <c r="AT97" s="1189"/>
      <c r="AU97" s="1189"/>
      <c r="AV97" s="1189"/>
      <c r="AW97" s="1189"/>
      <c r="AX97" s="1189"/>
    </row>
    <row r="98" spans="1:50" ht="12" customHeight="1">
      <c r="A98" s="1123"/>
      <c r="B98" s="161"/>
      <c r="C98" s="1123"/>
      <c r="D98" s="1123"/>
      <c r="E98" s="1123"/>
      <c r="F98" s="1123"/>
      <c r="G98" s="1123"/>
      <c r="H98" s="1123"/>
      <c r="I98" s="1123"/>
      <c r="J98" s="1125"/>
      <c r="K98" s="156"/>
      <c r="L98" s="1123"/>
      <c r="M98" s="1205"/>
      <c r="N98" s="1123"/>
      <c r="O98" s="1123"/>
      <c r="P98" s="1123"/>
      <c r="Q98" s="1123"/>
      <c r="R98" s="1189"/>
      <c r="S98" s="1189"/>
      <c r="T98" s="1208"/>
      <c r="U98" s="1208"/>
      <c r="V98" s="1189"/>
      <c r="W98" s="1189"/>
      <c r="X98" s="1189"/>
      <c r="Y98" s="1189"/>
      <c r="Z98" s="1189"/>
      <c r="AA98" s="1189"/>
      <c r="AB98" s="1189"/>
      <c r="AC98" s="1189"/>
      <c r="AD98" s="1189"/>
      <c r="AE98" s="1189"/>
      <c r="AF98" s="1189"/>
      <c r="AG98" s="1189"/>
      <c r="AH98" s="1189"/>
      <c r="AI98" s="1189"/>
      <c r="AJ98" s="1189"/>
      <c r="AK98" s="1189"/>
      <c r="AL98" s="1189"/>
      <c r="AM98" s="1189"/>
      <c r="AN98" s="1189"/>
      <c r="AO98" s="1189"/>
      <c r="AP98" s="1189"/>
      <c r="AQ98" s="1189"/>
      <c r="AR98" s="1189"/>
      <c r="AS98" s="1189"/>
      <c r="AT98" s="1189"/>
      <c r="AU98" s="1189"/>
      <c r="AV98" s="1189"/>
      <c r="AW98" s="1189"/>
      <c r="AX98" s="1189"/>
    </row>
    <row r="99" spans="1:50" ht="12" customHeight="1">
      <c r="A99" s="1123"/>
      <c r="B99" s="161"/>
      <c r="C99" s="1123"/>
      <c r="D99" s="1123"/>
      <c r="E99" s="1123"/>
      <c r="F99" s="1123"/>
      <c r="G99" s="1123"/>
      <c r="H99" s="1123"/>
      <c r="I99" s="1123"/>
      <c r="J99" s="1125"/>
      <c r="K99" s="156"/>
      <c r="L99" s="1123"/>
      <c r="M99" s="1205"/>
      <c r="N99" s="1123"/>
      <c r="O99" s="1123"/>
      <c r="P99" s="1123"/>
      <c r="Q99" s="1123"/>
      <c r="R99" s="1189"/>
      <c r="S99" s="1189"/>
      <c r="T99" s="1208"/>
      <c r="U99" s="1208"/>
      <c r="V99" s="1189"/>
      <c r="W99" s="1189"/>
      <c r="X99" s="1189"/>
      <c r="Y99" s="1189"/>
      <c r="Z99" s="1189"/>
      <c r="AA99" s="1189"/>
      <c r="AB99" s="1189"/>
      <c r="AC99" s="1189"/>
      <c r="AD99" s="1189"/>
      <c r="AE99" s="1189"/>
      <c r="AF99" s="1189"/>
      <c r="AG99" s="1189"/>
      <c r="AH99" s="1189"/>
      <c r="AI99" s="1189"/>
      <c r="AJ99" s="1189"/>
      <c r="AK99" s="1189"/>
      <c r="AL99" s="1189"/>
      <c r="AM99" s="1189"/>
      <c r="AN99" s="1189"/>
      <c r="AO99" s="1189"/>
      <c r="AP99" s="1189"/>
      <c r="AQ99" s="1189"/>
      <c r="AR99" s="1189"/>
      <c r="AS99" s="1189"/>
      <c r="AT99" s="1189"/>
      <c r="AU99" s="1189"/>
      <c r="AV99" s="1189"/>
      <c r="AW99" s="1189"/>
      <c r="AX99" s="1189"/>
    </row>
    <row r="100" spans="1:50" ht="12" customHeight="1">
      <c r="A100" s="1123"/>
      <c r="B100" s="161"/>
      <c r="C100" s="1123"/>
      <c r="D100" s="1123"/>
      <c r="E100" s="1123"/>
      <c r="F100" s="1123"/>
      <c r="G100" s="1123"/>
      <c r="H100" s="1123"/>
      <c r="I100" s="1123"/>
      <c r="J100" s="1125"/>
      <c r="K100" s="156"/>
      <c r="L100" s="1123"/>
      <c r="M100" s="1205"/>
      <c r="N100" s="1123"/>
      <c r="O100" s="1123"/>
      <c r="P100" s="1123"/>
      <c r="Q100" s="1123"/>
      <c r="R100" s="1189"/>
      <c r="S100" s="1189"/>
      <c r="T100" s="1208"/>
      <c r="U100" s="1208"/>
      <c r="V100" s="1189"/>
      <c r="W100" s="1189"/>
      <c r="X100" s="1189"/>
      <c r="Y100" s="1189"/>
      <c r="Z100" s="1189"/>
      <c r="AA100" s="1189"/>
      <c r="AB100" s="1189"/>
      <c r="AC100" s="1189"/>
      <c r="AD100" s="1189"/>
      <c r="AE100" s="1189"/>
      <c r="AF100" s="1189"/>
      <c r="AG100" s="1189"/>
      <c r="AH100" s="1189"/>
      <c r="AI100" s="1189"/>
      <c r="AJ100" s="1189"/>
      <c r="AK100" s="1189"/>
      <c r="AL100" s="1189"/>
      <c r="AM100" s="1189"/>
      <c r="AN100" s="1189"/>
      <c r="AO100" s="1189"/>
      <c r="AP100" s="1189"/>
      <c r="AQ100" s="1189"/>
      <c r="AR100" s="1189"/>
      <c r="AS100" s="1189"/>
      <c r="AT100" s="1189"/>
      <c r="AU100" s="1189"/>
      <c r="AV100" s="1189"/>
      <c r="AW100" s="1189"/>
      <c r="AX100" s="1189"/>
    </row>
    <row r="101" spans="1:50" ht="12" customHeight="1">
      <c r="A101" s="1123"/>
      <c r="B101" s="161"/>
      <c r="C101" s="1123"/>
      <c r="D101" s="1123"/>
      <c r="E101" s="1123"/>
      <c r="F101" s="1123"/>
      <c r="G101" s="1123"/>
      <c r="H101" s="1123"/>
      <c r="I101" s="1123"/>
      <c r="J101" s="1125"/>
      <c r="K101" s="156"/>
      <c r="L101" s="1123"/>
      <c r="M101" s="1205"/>
      <c r="N101" s="1123"/>
      <c r="O101" s="1123"/>
      <c r="P101" s="1123"/>
      <c r="Q101" s="1123"/>
      <c r="R101" s="1189"/>
      <c r="S101" s="1189"/>
      <c r="T101" s="1208"/>
      <c r="U101" s="1208"/>
      <c r="V101" s="1189"/>
      <c r="W101" s="1189"/>
      <c r="X101" s="1189"/>
      <c r="Y101" s="1189"/>
      <c r="Z101" s="1189"/>
      <c r="AA101" s="1189"/>
      <c r="AB101" s="1189"/>
      <c r="AC101" s="1189"/>
      <c r="AD101" s="1189"/>
      <c r="AE101" s="1189"/>
      <c r="AF101" s="1189"/>
      <c r="AG101" s="1189"/>
      <c r="AH101" s="1189"/>
      <c r="AI101" s="1189"/>
      <c r="AJ101" s="1189"/>
      <c r="AK101" s="1189"/>
      <c r="AL101" s="1189"/>
      <c r="AM101" s="1189"/>
      <c r="AN101" s="1189"/>
      <c r="AO101" s="1189"/>
      <c r="AP101" s="1189"/>
      <c r="AQ101" s="1189"/>
      <c r="AR101" s="1189"/>
      <c r="AS101" s="1189"/>
      <c r="AT101" s="1189"/>
      <c r="AU101" s="1189"/>
      <c r="AV101" s="1189"/>
      <c r="AW101" s="1189"/>
      <c r="AX101" s="1189"/>
    </row>
    <row r="102" spans="1:50" ht="12" customHeight="1">
      <c r="A102" s="1123"/>
      <c r="B102" s="161"/>
      <c r="C102" s="1123"/>
      <c r="D102" s="1123"/>
      <c r="E102" s="1123"/>
      <c r="F102" s="1123"/>
      <c r="G102" s="1123"/>
      <c r="H102" s="1123"/>
      <c r="I102" s="1123"/>
      <c r="J102" s="1125"/>
      <c r="K102" s="156"/>
      <c r="L102" s="1123"/>
      <c r="M102" s="1205"/>
      <c r="N102" s="1123"/>
      <c r="O102" s="1123"/>
      <c r="P102" s="1123"/>
      <c r="Q102" s="1123"/>
      <c r="R102" s="1189"/>
      <c r="S102" s="1189"/>
      <c r="T102" s="1208"/>
      <c r="U102" s="1208"/>
      <c r="V102" s="1189"/>
      <c r="W102" s="1189"/>
      <c r="X102" s="1189"/>
      <c r="Y102" s="1189"/>
      <c r="Z102" s="1189"/>
      <c r="AA102" s="1189"/>
      <c r="AB102" s="1189"/>
      <c r="AC102" s="1189"/>
      <c r="AD102" s="1189"/>
      <c r="AE102" s="1189"/>
      <c r="AF102" s="1189"/>
      <c r="AG102" s="1189"/>
      <c r="AH102" s="1189"/>
      <c r="AI102" s="1189"/>
      <c r="AJ102" s="1189"/>
      <c r="AK102" s="1189"/>
      <c r="AL102" s="1189"/>
      <c r="AM102" s="1189"/>
      <c r="AN102" s="1189"/>
      <c r="AO102" s="1189"/>
      <c r="AP102" s="1189"/>
      <c r="AQ102" s="1189"/>
      <c r="AR102" s="1189"/>
      <c r="AS102" s="1189"/>
      <c r="AT102" s="1189"/>
      <c r="AU102" s="1189"/>
      <c r="AV102" s="1189"/>
      <c r="AW102" s="1189"/>
      <c r="AX102" s="1189"/>
    </row>
    <row r="103" spans="1:50" ht="12" customHeight="1">
      <c r="A103" s="1123"/>
      <c r="B103" s="161"/>
      <c r="C103" s="1123"/>
      <c r="D103" s="1123"/>
      <c r="E103" s="1123"/>
      <c r="F103" s="1123"/>
      <c r="G103" s="1123"/>
      <c r="H103" s="1123"/>
      <c r="I103" s="1123"/>
      <c r="J103" s="1125"/>
      <c r="K103" s="156"/>
      <c r="L103" s="1123"/>
      <c r="M103" s="1205"/>
      <c r="N103" s="1123"/>
      <c r="O103" s="1123"/>
      <c r="P103" s="1123"/>
      <c r="Q103" s="1123"/>
      <c r="R103" s="1189"/>
      <c r="S103" s="1189"/>
      <c r="T103" s="1208"/>
      <c r="U103" s="1208"/>
      <c r="V103" s="1189"/>
      <c r="W103" s="1189"/>
      <c r="X103" s="1189"/>
      <c r="Y103" s="1189"/>
      <c r="Z103" s="1189"/>
      <c r="AA103" s="1189"/>
      <c r="AB103" s="1189"/>
      <c r="AC103" s="1189"/>
      <c r="AD103" s="1189"/>
      <c r="AE103" s="1189"/>
      <c r="AF103" s="1189"/>
      <c r="AG103" s="1189"/>
      <c r="AH103" s="1189"/>
      <c r="AI103" s="1189"/>
      <c r="AJ103" s="1189"/>
      <c r="AK103" s="1189"/>
      <c r="AL103" s="1189"/>
      <c r="AM103" s="1189"/>
      <c r="AN103" s="1189"/>
      <c r="AO103" s="1189"/>
      <c r="AP103" s="1189"/>
      <c r="AQ103" s="1189"/>
      <c r="AR103" s="1189"/>
      <c r="AS103" s="1189"/>
      <c r="AT103" s="1189"/>
      <c r="AU103" s="1189"/>
      <c r="AV103" s="1189"/>
      <c r="AW103" s="1189"/>
      <c r="AX103" s="1189"/>
    </row>
    <row r="104" spans="1:50" ht="12" customHeight="1">
      <c r="A104" s="1123"/>
      <c r="B104" s="161"/>
      <c r="C104" s="1123"/>
      <c r="D104" s="1123"/>
      <c r="E104" s="1123"/>
      <c r="F104" s="1123"/>
      <c r="G104" s="1123"/>
      <c r="H104" s="1123"/>
      <c r="I104" s="1123"/>
      <c r="J104" s="1125"/>
      <c r="K104" s="156"/>
      <c r="L104" s="1123"/>
      <c r="M104" s="1205"/>
      <c r="N104" s="1123"/>
      <c r="O104" s="1123"/>
      <c r="P104" s="1123"/>
      <c r="Q104" s="1123"/>
      <c r="R104" s="1189"/>
      <c r="S104" s="1189"/>
      <c r="T104" s="1208"/>
      <c r="U104" s="1208"/>
      <c r="V104" s="1189"/>
      <c r="W104" s="1189"/>
      <c r="X104" s="1189"/>
      <c r="Y104" s="1189"/>
      <c r="Z104" s="1189"/>
      <c r="AA104" s="1189"/>
      <c r="AB104" s="1189"/>
      <c r="AC104" s="1189"/>
      <c r="AD104" s="1189"/>
      <c r="AE104" s="1189"/>
      <c r="AF104" s="1189"/>
      <c r="AG104" s="1189"/>
      <c r="AH104" s="1189"/>
      <c r="AI104" s="1189"/>
      <c r="AJ104" s="1189"/>
      <c r="AK104" s="1189"/>
      <c r="AL104" s="1189"/>
      <c r="AM104" s="1189"/>
      <c r="AN104" s="1189"/>
      <c r="AO104" s="1189"/>
      <c r="AP104" s="1189"/>
      <c r="AQ104" s="1189"/>
      <c r="AR104" s="1189"/>
      <c r="AS104" s="1189"/>
      <c r="AT104" s="1189"/>
      <c r="AU104" s="1189"/>
      <c r="AV104" s="1189"/>
      <c r="AW104" s="1189"/>
      <c r="AX104" s="1189"/>
    </row>
    <row r="105" spans="1:50" ht="12" customHeight="1">
      <c r="A105" s="1123"/>
      <c r="B105" s="161"/>
      <c r="C105" s="1123"/>
      <c r="D105" s="1123"/>
      <c r="E105" s="1123"/>
      <c r="F105" s="1123"/>
      <c r="G105" s="1123"/>
      <c r="H105" s="1123"/>
      <c r="I105" s="1123"/>
      <c r="J105" s="1125"/>
      <c r="K105" s="156"/>
      <c r="L105" s="1123"/>
      <c r="M105" s="1205"/>
      <c r="N105" s="1123"/>
      <c r="O105" s="1123"/>
      <c r="P105" s="1123"/>
      <c r="Q105" s="1123"/>
      <c r="R105" s="1189"/>
      <c r="S105" s="1189"/>
      <c r="T105" s="1208"/>
      <c r="U105" s="1208"/>
      <c r="V105" s="1189"/>
      <c r="W105" s="1189"/>
      <c r="X105" s="1189"/>
      <c r="Y105" s="1189"/>
      <c r="Z105" s="1189"/>
      <c r="AA105" s="1189"/>
      <c r="AB105" s="1189"/>
      <c r="AC105" s="1189"/>
      <c r="AD105" s="1189"/>
      <c r="AE105" s="1189"/>
      <c r="AF105" s="1189"/>
      <c r="AG105" s="1189"/>
      <c r="AH105" s="1189"/>
      <c r="AI105" s="1189"/>
      <c r="AJ105" s="1189"/>
      <c r="AK105" s="1189"/>
      <c r="AL105" s="1189"/>
      <c r="AM105" s="1189"/>
      <c r="AN105" s="1189"/>
      <c r="AO105" s="1189"/>
      <c r="AP105" s="1189"/>
      <c r="AQ105" s="1189"/>
      <c r="AR105" s="1189"/>
      <c r="AS105" s="1189"/>
      <c r="AT105" s="1189"/>
      <c r="AU105" s="1189"/>
      <c r="AV105" s="1189"/>
      <c r="AW105" s="1189"/>
      <c r="AX105" s="1189"/>
    </row>
    <row r="106" spans="1:50" ht="12" customHeight="1">
      <c r="A106" s="1123"/>
      <c r="B106" s="161"/>
      <c r="C106" s="1123"/>
      <c r="D106" s="1123"/>
      <c r="E106" s="1123"/>
      <c r="F106" s="1123"/>
      <c r="G106" s="1123"/>
      <c r="H106" s="1123"/>
      <c r="I106" s="1123"/>
      <c r="J106" s="1125"/>
      <c r="K106" s="156"/>
      <c r="L106" s="1123"/>
      <c r="M106" s="1205"/>
      <c r="N106" s="1123"/>
      <c r="O106" s="1123"/>
      <c r="P106" s="1123"/>
      <c r="Q106" s="1123"/>
      <c r="R106" s="1189"/>
      <c r="S106" s="1189"/>
      <c r="T106" s="1208"/>
      <c r="U106" s="1208"/>
      <c r="V106" s="1189"/>
      <c r="W106" s="1189"/>
      <c r="X106" s="1189"/>
      <c r="Y106" s="1189"/>
      <c r="Z106" s="1189"/>
      <c r="AA106" s="1189"/>
      <c r="AB106" s="1189"/>
      <c r="AC106" s="1189"/>
      <c r="AD106" s="1189"/>
      <c r="AE106" s="1189"/>
      <c r="AF106" s="1189"/>
      <c r="AG106" s="1189"/>
      <c r="AH106" s="1189"/>
      <c r="AI106" s="1189"/>
      <c r="AJ106" s="1189"/>
      <c r="AK106" s="1189"/>
      <c r="AL106" s="1189"/>
      <c r="AM106" s="1189"/>
      <c r="AN106" s="1189"/>
      <c r="AO106" s="1189"/>
      <c r="AP106" s="1189"/>
      <c r="AQ106" s="1189"/>
      <c r="AR106" s="1189"/>
      <c r="AS106" s="1189"/>
      <c r="AT106" s="1189"/>
      <c r="AU106" s="1189"/>
      <c r="AV106" s="1189"/>
      <c r="AW106" s="1189"/>
      <c r="AX106" s="1189"/>
    </row>
    <row r="107" spans="1:50" ht="12" customHeight="1">
      <c r="A107" s="1123"/>
      <c r="B107" s="161"/>
      <c r="C107" s="1123"/>
      <c r="D107" s="1123"/>
      <c r="E107" s="1123"/>
      <c r="F107" s="1123"/>
      <c r="G107" s="1123"/>
      <c r="H107" s="1123"/>
      <c r="I107" s="1123"/>
      <c r="J107" s="1125"/>
      <c r="K107" s="156"/>
      <c r="L107" s="1123"/>
      <c r="M107" s="1205"/>
      <c r="N107" s="1123"/>
      <c r="O107" s="1123"/>
      <c r="P107" s="1123"/>
      <c r="Q107" s="1123"/>
      <c r="R107" s="1189"/>
      <c r="S107" s="1189"/>
      <c r="T107" s="1208"/>
      <c r="U107" s="1208"/>
      <c r="V107" s="1189"/>
      <c r="W107" s="1189"/>
      <c r="X107" s="1189"/>
      <c r="Y107" s="1189"/>
      <c r="Z107" s="1189"/>
      <c r="AA107" s="1189"/>
      <c r="AB107" s="1189"/>
      <c r="AC107" s="1189"/>
      <c r="AD107" s="1189"/>
      <c r="AE107" s="1189"/>
      <c r="AF107" s="1189"/>
      <c r="AG107" s="1189"/>
      <c r="AH107" s="1189"/>
      <c r="AI107" s="1189"/>
      <c r="AJ107" s="1189"/>
      <c r="AK107" s="1189"/>
      <c r="AL107" s="1189"/>
      <c r="AM107" s="1189"/>
      <c r="AN107" s="1189"/>
      <c r="AO107" s="1189"/>
      <c r="AP107" s="1189"/>
      <c r="AQ107" s="1189"/>
      <c r="AR107" s="1189"/>
      <c r="AS107" s="1189"/>
      <c r="AT107" s="1189"/>
      <c r="AU107" s="1189"/>
      <c r="AV107" s="1189"/>
      <c r="AW107" s="1189"/>
      <c r="AX107" s="1189"/>
    </row>
    <row r="108" spans="1:50" ht="12" customHeight="1">
      <c r="A108" s="1123"/>
      <c r="B108" s="161"/>
      <c r="C108" s="1123"/>
      <c r="D108" s="1123"/>
      <c r="E108" s="1123"/>
      <c r="F108" s="1123"/>
      <c r="G108" s="1123"/>
      <c r="H108" s="1123"/>
      <c r="I108" s="1123"/>
      <c r="J108" s="1125"/>
      <c r="K108" s="156"/>
      <c r="L108" s="1123"/>
      <c r="M108" s="1205"/>
      <c r="N108" s="1123"/>
      <c r="O108" s="1123"/>
      <c r="P108" s="1123"/>
      <c r="Q108" s="1123"/>
      <c r="R108" s="1189"/>
      <c r="S108" s="1189"/>
      <c r="T108" s="1208"/>
      <c r="U108" s="1208"/>
      <c r="V108" s="1189"/>
      <c r="W108" s="1189"/>
      <c r="X108" s="1189"/>
      <c r="Y108" s="1189"/>
      <c r="Z108" s="1189"/>
      <c r="AA108" s="1189"/>
      <c r="AB108" s="1189"/>
      <c r="AC108" s="1189"/>
      <c r="AD108" s="1189"/>
      <c r="AE108" s="1189"/>
      <c r="AF108" s="1189"/>
      <c r="AG108" s="1189"/>
      <c r="AH108" s="1189"/>
      <c r="AI108" s="1189"/>
      <c r="AJ108" s="1189"/>
      <c r="AK108" s="1189"/>
      <c r="AL108" s="1189"/>
      <c r="AM108" s="1189"/>
      <c r="AN108" s="1189"/>
      <c r="AO108" s="1189"/>
      <c r="AP108" s="1189"/>
      <c r="AQ108" s="1189"/>
      <c r="AR108" s="1189"/>
      <c r="AS108" s="1189"/>
      <c r="AT108" s="1189"/>
      <c r="AU108" s="1189"/>
      <c r="AV108" s="1189"/>
      <c r="AW108" s="1189"/>
      <c r="AX108" s="1189"/>
    </row>
    <row r="109" spans="1:50" ht="12" customHeight="1">
      <c r="A109" s="1123"/>
      <c r="B109" s="161"/>
      <c r="C109" s="1123"/>
      <c r="D109" s="1123"/>
      <c r="E109" s="1123"/>
      <c r="F109" s="1123"/>
      <c r="G109" s="1123"/>
      <c r="H109" s="1123"/>
      <c r="I109" s="1123"/>
      <c r="J109" s="1125"/>
      <c r="K109" s="156"/>
      <c r="L109" s="1123"/>
      <c r="M109" s="1205"/>
      <c r="N109" s="1123"/>
      <c r="O109" s="1123"/>
      <c r="P109" s="1123"/>
      <c r="Q109" s="1123"/>
      <c r="R109" s="1189"/>
      <c r="S109" s="1189"/>
      <c r="T109" s="1208"/>
      <c r="U109" s="1208"/>
      <c r="V109" s="1189"/>
      <c r="W109" s="1189"/>
      <c r="X109" s="1189"/>
      <c r="Y109" s="1189"/>
      <c r="Z109" s="1189"/>
      <c r="AA109" s="1189"/>
      <c r="AB109" s="1189"/>
      <c r="AC109" s="1189"/>
      <c r="AD109" s="1189"/>
      <c r="AE109" s="1189"/>
      <c r="AF109" s="1189"/>
      <c r="AG109" s="1189"/>
      <c r="AH109" s="1189"/>
      <c r="AI109" s="1189"/>
      <c r="AJ109" s="1189"/>
      <c r="AK109" s="1189"/>
      <c r="AL109" s="1189"/>
      <c r="AM109" s="1189"/>
      <c r="AN109" s="1189"/>
      <c r="AO109" s="1189"/>
      <c r="AP109" s="1189"/>
      <c r="AQ109" s="1189"/>
      <c r="AR109" s="1189"/>
      <c r="AS109" s="1189"/>
      <c r="AT109" s="1189"/>
      <c r="AU109" s="1189"/>
      <c r="AV109" s="1189"/>
      <c r="AW109" s="1189"/>
      <c r="AX109" s="1189"/>
    </row>
    <row r="110" spans="1:50" ht="12" customHeight="1">
      <c r="A110" s="1123"/>
      <c r="B110" s="161"/>
      <c r="C110" s="1123"/>
      <c r="D110" s="1123"/>
      <c r="E110" s="1123"/>
      <c r="F110" s="1123"/>
      <c r="G110" s="1123"/>
      <c r="H110" s="1123"/>
      <c r="I110" s="1123"/>
      <c r="J110" s="1125"/>
      <c r="K110" s="156"/>
      <c r="L110" s="1123"/>
      <c r="M110" s="1205"/>
      <c r="N110" s="1123"/>
      <c r="O110" s="1123"/>
      <c r="P110" s="1123"/>
      <c r="Q110" s="1123"/>
      <c r="R110" s="1189"/>
      <c r="S110" s="1189"/>
      <c r="T110" s="1208"/>
      <c r="U110" s="1208"/>
      <c r="V110" s="1189"/>
      <c r="W110" s="1189"/>
      <c r="X110" s="1189"/>
      <c r="Y110" s="1189"/>
      <c r="Z110" s="1189"/>
      <c r="AA110" s="1189"/>
      <c r="AB110" s="1189"/>
      <c r="AC110" s="1189"/>
      <c r="AD110" s="1189"/>
      <c r="AE110" s="1189"/>
      <c r="AF110" s="1189"/>
      <c r="AG110" s="1189"/>
      <c r="AH110" s="1189"/>
      <c r="AI110" s="1189"/>
      <c r="AJ110" s="1189"/>
      <c r="AK110" s="1189"/>
      <c r="AL110" s="1189"/>
      <c r="AM110" s="1189"/>
      <c r="AN110" s="1189"/>
      <c r="AO110" s="1189"/>
      <c r="AP110" s="1189"/>
      <c r="AQ110" s="1189"/>
      <c r="AR110" s="1189"/>
      <c r="AS110" s="1189"/>
      <c r="AT110" s="1189"/>
      <c r="AU110" s="1189"/>
      <c r="AV110" s="1189"/>
      <c r="AW110" s="1189"/>
      <c r="AX110" s="1189"/>
    </row>
    <row r="111" spans="1:50" ht="12" customHeight="1">
      <c r="A111" s="1123"/>
      <c r="B111" s="161"/>
      <c r="C111" s="1123"/>
      <c r="D111" s="1123"/>
      <c r="E111" s="1123"/>
      <c r="F111" s="1123"/>
      <c r="G111" s="1123"/>
      <c r="H111" s="1123"/>
      <c r="I111" s="1123"/>
      <c r="J111" s="1125"/>
      <c r="K111" s="156"/>
      <c r="L111" s="1123"/>
      <c r="M111" s="1205"/>
      <c r="N111" s="1123"/>
      <c r="O111" s="1123"/>
      <c r="P111" s="1123"/>
      <c r="Q111" s="1123"/>
      <c r="R111" s="1189"/>
      <c r="S111" s="1189"/>
      <c r="T111" s="1208"/>
      <c r="U111" s="1208"/>
      <c r="V111" s="1189"/>
      <c r="W111" s="1189"/>
      <c r="X111" s="1189"/>
      <c r="Y111" s="1189"/>
      <c r="Z111" s="1189"/>
      <c r="AA111" s="1189"/>
      <c r="AB111" s="1189"/>
      <c r="AC111" s="1189"/>
      <c r="AD111" s="1189"/>
      <c r="AE111" s="1189"/>
      <c r="AF111" s="1189"/>
      <c r="AG111" s="1189"/>
      <c r="AH111" s="1189"/>
      <c r="AI111" s="1189"/>
      <c r="AJ111" s="1189"/>
      <c r="AK111" s="1189"/>
      <c r="AL111" s="1189"/>
      <c r="AM111" s="1189"/>
      <c r="AN111" s="1189"/>
      <c r="AO111" s="1189"/>
      <c r="AP111" s="1189"/>
      <c r="AQ111" s="1189"/>
      <c r="AR111" s="1189"/>
      <c r="AS111" s="1189"/>
      <c r="AT111" s="1189"/>
      <c r="AU111" s="1189"/>
      <c r="AV111" s="1189"/>
      <c r="AW111" s="1189"/>
      <c r="AX111" s="1189"/>
    </row>
    <row r="112" spans="1:50" ht="12" customHeight="1">
      <c r="A112" s="1123"/>
      <c r="B112" s="161"/>
      <c r="C112" s="1123"/>
      <c r="D112" s="1123"/>
      <c r="E112" s="1123"/>
      <c r="F112" s="1123"/>
      <c r="G112" s="1123"/>
      <c r="H112" s="1123"/>
      <c r="I112" s="1123"/>
      <c r="J112" s="1125"/>
      <c r="K112" s="156"/>
      <c r="L112" s="1123"/>
      <c r="M112" s="1205"/>
      <c r="N112" s="1123"/>
      <c r="O112" s="1123"/>
      <c r="P112" s="1123"/>
      <c r="Q112" s="1123"/>
      <c r="R112" s="1189"/>
      <c r="S112" s="1189"/>
      <c r="T112" s="1208"/>
      <c r="U112" s="1208"/>
      <c r="V112" s="1189"/>
      <c r="W112" s="1189"/>
      <c r="X112" s="1189"/>
      <c r="Y112" s="1189"/>
      <c r="Z112" s="1189"/>
      <c r="AA112" s="1189"/>
      <c r="AB112" s="1189"/>
      <c r="AC112" s="1189"/>
      <c r="AD112" s="1189"/>
      <c r="AE112" s="1189"/>
      <c r="AF112" s="1189"/>
      <c r="AG112" s="1189"/>
      <c r="AH112" s="1189"/>
      <c r="AI112" s="1189"/>
      <c r="AJ112" s="1189"/>
      <c r="AK112" s="1189"/>
      <c r="AL112" s="1189"/>
      <c r="AM112" s="1189"/>
      <c r="AN112" s="1189"/>
      <c r="AO112" s="1189"/>
      <c r="AP112" s="1189"/>
      <c r="AQ112" s="1189"/>
      <c r="AR112" s="1189"/>
      <c r="AS112" s="1189"/>
      <c r="AT112" s="1189"/>
      <c r="AU112" s="1189"/>
      <c r="AV112" s="1189"/>
      <c r="AW112" s="1189"/>
      <c r="AX112" s="1189"/>
    </row>
    <row r="113" spans="1:50" ht="12" customHeight="1">
      <c r="A113" s="1123"/>
      <c r="B113" s="161"/>
      <c r="C113" s="1123"/>
      <c r="D113" s="1123"/>
      <c r="E113" s="1123"/>
      <c r="F113" s="1123"/>
      <c r="G113" s="1123"/>
      <c r="H113" s="1123"/>
      <c r="I113" s="1123"/>
      <c r="J113" s="1125"/>
      <c r="K113" s="156"/>
      <c r="L113" s="1123"/>
      <c r="M113" s="1205"/>
      <c r="N113" s="1123"/>
      <c r="O113" s="1123"/>
      <c r="P113" s="1123"/>
      <c r="Q113" s="1123"/>
      <c r="R113" s="1189"/>
      <c r="S113" s="1189"/>
      <c r="T113" s="1208"/>
      <c r="U113" s="1208"/>
      <c r="V113" s="1189"/>
      <c r="W113" s="1189"/>
      <c r="X113" s="1189"/>
      <c r="Y113" s="1189"/>
      <c r="Z113" s="1189"/>
      <c r="AA113" s="1189"/>
      <c r="AB113" s="1189"/>
      <c r="AC113" s="1189"/>
      <c r="AD113" s="1189"/>
      <c r="AE113" s="1189"/>
      <c r="AF113" s="1189"/>
      <c r="AG113" s="1189"/>
      <c r="AH113" s="1189"/>
      <c r="AI113" s="1189"/>
      <c r="AJ113" s="1189"/>
      <c r="AK113" s="1189"/>
      <c r="AL113" s="1189"/>
      <c r="AM113" s="1189"/>
      <c r="AN113" s="1189"/>
      <c r="AO113" s="1189"/>
      <c r="AP113" s="1189"/>
      <c r="AQ113" s="1189"/>
      <c r="AR113" s="1189"/>
      <c r="AS113" s="1189"/>
      <c r="AT113" s="1189"/>
      <c r="AU113" s="1189"/>
      <c r="AV113" s="1189"/>
      <c r="AW113" s="1189"/>
      <c r="AX113" s="1189"/>
    </row>
    <row r="114" spans="1:50" ht="12" customHeight="1">
      <c r="A114" s="1123"/>
      <c r="B114" s="161"/>
      <c r="C114" s="1123"/>
      <c r="D114" s="1123"/>
      <c r="E114" s="1123"/>
      <c r="F114" s="1123"/>
      <c r="G114" s="1123"/>
      <c r="H114" s="1123"/>
      <c r="I114" s="1123"/>
      <c r="J114" s="1125"/>
      <c r="K114" s="156"/>
      <c r="L114" s="1123"/>
      <c r="M114" s="1205"/>
      <c r="N114" s="1123"/>
      <c r="O114" s="1123"/>
      <c r="P114" s="1123"/>
      <c r="Q114" s="1123"/>
      <c r="R114" s="1189"/>
      <c r="S114" s="1189"/>
      <c r="T114" s="1208"/>
      <c r="U114" s="1208"/>
      <c r="V114" s="1189"/>
      <c r="W114" s="1189"/>
      <c r="X114" s="1189"/>
      <c r="Y114" s="1189"/>
      <c r="Z114" s="1189"/>
      <c r="AA114" s="1189"/>
      <c r="AB114" s="1189"/>
      <c r="AC114" s="1189"/>
      <c r="AD114" s="1189"/>
      <c r="AE114" s="1189"/>
      <c r="AF114" s="1189"/>
      <c r="AG114" s="1189"/>
      <c r="AH114" s="1189"/>
      <c r="AI114" s="1189"/>
      <c r="AJ114" s="1189"/>
      <c r="AK114" s="1189"/>
      <c r="AL114" s="1189"/>
      <c r="AM114" s="1189"/>
      <c r="AN114" s="1189"/>
      <c r="AO114" s="1189"/>
      <c r="AP114" s="1189"/>
      <c r="AQ114" s="1189"/>
      <c r="AR114" s="1189"/>
      <c r="AS114" s="1189"/>
      <c r="AT114" s="1189"/>
      <c r="AU114" s="1189"/>
      <c r="AV114" s="1189"/>
      <c r="AW114" s="1189"/>
      <c r="AX114" s="1189"/>
    </row>
    <row r="115" spans="1:50" ht="12" customHeight="1">
      <c r="A115" s="1123"/>
      <c r="B115" s="161"/>
      <c r="C115" s="1123"/>
      <c r="D115" s="1123"/>
      <c r="E115" s="1123"/>
      <c r="F115" s="1123"/>
      <c r="G115" s="1123"/>
      <c r="H115" s="1123"/>
      <c r="I115" s="1123"/>
      <c r="J115" s="1125"/>
      <c r="K115" s="156"/>
      <c r="L115" s="1123"/>
      <c r="M115" s="1205"/>
      <c r="N115" s="1123"/>
      <c r="O115" s="1123"/>
      <c r="P115" s="1123"/>
      <c r="Q115" s="1123"/>
      <c r="R115" s="1189"/>
      <c r="S115" s="1189"/>
      <c r="T115" s="1208"/>
      <c r="U115" s="1208"/>
      <c r="V115" s="1189"/>
      <c r="W115" s="1189"/>
      <c r="X115" s="1189"/>
      <c r="Y115" s="1189"/>
      <c r="Z115" s="1189"/>
      <c r="AA115" s="1189"/>
      <c r="AB115" s="1189"/>
      <c r="AC115" s="1189"/>
      <c r="AD115" s="1189"/>
      <c r="AE115" s="1189"/>
      <c r="AF115" s="1189"/>
      <c r="AG115" s="1189"/>
      <c r="AH115" s="1189"/>
      <c r="AI115" s="1189"/>
      <c r="AJ115" s="1189"/>
      <c r="AK115" s="1189"/>
      <c r="AL115" s="1189"/>
      <c r="AM115" s="1189"/>
      <c r="AN115" s="1189"/>
      <c r="AO115" s="1189"/>
      <c r="AP115" s="1189"/>
      <c r="AQ115" s="1189"/>
      <c r="AR115" s="1189"/>
      <c r="AS115" s="1189"/>
      <c r="AT115" s="1189"/>
      <c r="AU115" s="1189"/>
      <c r="AV115" s="1189"/>
      <c r="AW115" s="1189"/>
      <c r="AX115" s="1189"/>
    </row>
    <row r="116" spans="1:50" ht="12" customHeight="1">
      <c r="A116" s="1123"/>
      <c r="B116" s="161"/>
      <c r="C116" s="1123"/>
      <c r="D116" s="1123"/>
      <c r="E116" s="1123"/>
      <c r="F116" s="1123"/>
      <c r="G116" s="1123"/>
      <c r="H116" s="1123"/>
      <c r="I116" s="1123"/>
      <c r="J116" s="1125"/>
      <c r="K116" s="156"/>
      <c r="L116" s="1123"/>
      <c r="M116" s="1205"/>
      <c r="N116" s="1123"/>
      <c r="O116" s="1123"/>
      <c r="P116" s="1123"/>
      <c r="Q116" s="1123"/>
      <c r="R116" s="1189"/>
      <c r="S116" s="1189"/>
      <c r="T116" s="1208"/>
      <c r="U116" s="1208"/>
      <c r="V116" s="1189"/>
      <c r="W116" s="1189"/>
      <c r="X116" s="1189"/>
      <c r="Y116" s="1189"/>
      <c r="Z116" s="1189"/>
      <c r="AA116" s="1189"/>
      <c r="AB116" s="1189"/>
      <c r="AC116" s="1189"/>
      <c r="AD116" s="1189"/>
      <c r="AE116" s="1189"/>
      <c r="AF116" s="1189"/>
      <c r="AG116" s="1189"/>
      <c r="AH116" s="1189"/>
      <c r="AI116" s="1189"/>
      <c r="AJ116" s="1189"/>
      <c r="AK116" s="1189"/>
      <c r="AL116" s="1189"/>
      <c r="AM116" s="1189"/>
      <c r="AN116" s="1189"/>
      <c r="AO116" s="1189"/>
      <c r="AP116" s="1189"/>
      <c r="AQ116" s="1189"/>
      <c r="AR116" s="1189"/>
      <c r="AS116" s="1189"/>
      <c r="AT116" s="1189"/>
      <c r="AU116" s="1189"/>
      <c r="AV116" s="1189"/>
      <c r="AW116" s="1189"/>
      <c r="AX116" s="1189"/>
    </row>
    <row r="117" spans="1:50" ht="12" customHeight="1">
      <c r="A117" s="1123"/>
      <c r="B117" s="161"/>
      <c r="C117" s="1123"/>
      <c r="D117" s="1123"/>
      <c r="E117" s="1123"/>
      <c r="F117" s="1123"/>
      <c r="G117" s="1123"/>
      <c r="H117" s="1123"/>
      <c r="I117" s="1123"/>
      <c r="J117" s="1125"/>
      <c r="K117" s="156"/>
      <c r="L117" s="1123"/>
      <c r="M117" s="1205"/>
      <c r="N117" s="1123"/>
      <c r="O117" s="1123"/>
      <c r="P117" s="1123"/>
      <c r="Q117" s="1123"/>
      <c r="R117" s="1189"/>
      <c r="S117" s="1189"/>
      <c r="T117" s="1208"/>
      <c r="U117" s="1208"/>
      <c r="V117" s="1189"/>
      <c r="W117" s="1189"/>
      <c r="X117" s="1189"/>
      <c r="Y117" s="1189"/>
      <c r="Z117" s="1189"/>
      <c r="AA117" s="1189"/>
      <c r="AB117" s="1189"/>
      <c r="AC117" s="1189"/>
      <c r="AD117" s="1189"/>
      <c r="AE117" s="1189"/>
      <c r="AF117" s="1189"/>
      <c r="AG117" s="1189"/>
      <c r="AH117" s="1189"/>
      <c r="AI117" s="1189"/>
      <c r="AJ117" s="1189"/>
      <c r="AK117" s="1189"/>
      <c r="AL117" s="1189"/>
      <c r="AM117" s="1189"/>
      <c r="AN117" s="1189"/>
      <c r="AO117" s="1189"/>
      <c r="AP117" s="1189"/>
      <c r="AQ117" s="1189"/>
      <c r="AR117" s="1189"/>
      <c r="AS117" s="1189"/>
      <c r="AT117" s="1189"/>
      <c r="AU117" s="1189"/>
      <c r="AV117" s="1189"/>
      <c r="AW117" s="1189"/>
      <c r="AX117" s="1189"/>
    </row>
    <row r="118" spans="1:50" ht="12" customHeight="1">
      <c r="A118" s="1123"/>
      <c r="B118" s="161"/>
      <c r="C118" s="1123"/>
      <c r="D118" s="1123"/>
      <c r="E118" s="1123"/>
      <c r="F118" s="1123"/>
      <c r="G118" s="1123"/>
      <c r="H118" s="1123"/>
      <c r="I118" s="1123"/>
      <c r="J118" s="1125"/>
      <c r="K118" s="156"/>
      <c r="L118" s="1123"/>
      <c r="M118" s="1205"/>
      <c r="N118" s="1123"/>
      <c r="O118" s="1123"/>
      <c r="P118" s="1123"/>
      <c r="Q118" s="1123"/>
      <c r="R118" s="1189"/>
      <c r="S118" s="1189"/>
      <c r="T118" s="1208"/>
      <c r="U118" s="1208"/>
      <c r="V118" s="1189"/>
      <c r="W118" s="1189"/>
      <c r="X118" s="1189"/>
      <c r="Y118" s="1189"/>
      <c r="Z118" s="1189"/>
      <c r="AA118" s="1189"/>
      <c r="AB118" s="1189"/>
      <c r="AC118" s="1189"/>
      <c r="AD118" s="1189"/>
      <c r="AE118" s="1189"/>
      <c r="AF118" s="1189"/>
      <c r="AG118" s="1189"/>
      <c r="AH118" s="1189"/>
      <c r="AI118" s="1189"/>
      <c r="AJ118" s="1189"/>
      <c r="AK118" s="1189"/>
      <c r="AL118" s="1189"/>
      <c r="AM118" s="1189"/>
      <c r="AN118" s="1189"/>
      <c r="AO118" s="1189"/>
      <c r="AP118" s="1189"/>
      <c r="AQ118" s="1189"/>
      <c r="AR118" s="1189"/>
      <c r="AS118" s="1189"/>
      <c r="AT118" s="1189"/>
      <c r="AU118" s="1189"/>
      <c r="AV118" s="1189"/>
      <c r="AW118" s="1189"/>
      <c r="AX118" s="1189"/>
    </row>
    <row r="119" spans="1:50" ht="12" customHeight="1">
      <c r="A119" s="1123"/>
      <c r="B119" s="161"/>
      <c r="C119" s="1123"/>
      <c r="D119" s="1123"/>
      <c r="E119" s="1123"/>
      <c r="F119" s="1123"/>
      <c r="G119" s="1123"/>
      <c r="H119" s="1123"/>
      <c r="I119" s="1123"/>
      <c r="J119" s="1125"/>
      <c r="K119" s="156"/>
      <c r="L119" s="1123"/>
      <c r="M119" s="1205"/>
      <c r="N119" s="1123"/>
      <c r="O119" s="1123"/>
      <c r="P119" s="1123"/>
      <c r="Q119" s="1123"/>
      <c r="R119" s="1189"/>
      <c r="S119" s="1189"/>
      <c r="T119" s="1208"/>
      <c r="U119" s="1208"/>
      <c r="V119" s="1189"/>
      <c r="W119" s="1189"/>
      <c r="X119" s="1189"/>
      <c r="Y119" s="1189"/>
      <c r="Z119" s="1189"/>
      <c r="AA119" s="1189"/>
      <c r="AB119" s="1189"/>
      <c r="AC119" s="1189"/>
      <c r="AD119" s="1189"/>
      <c r="AE119" s="1189"/>
      <c r="AF119" s="1189"/>
      <c r="AG119" s="1189"/>
      <c r="AH119" s="1189"/>
      <c r="AI119" s="1189"/>
      <c r="AJ119" s="1189"/>
      <c r="AK119" s="1189"/>
      <c r="AL119" s="1189"/>
      <c r="AM119" s="1189"/>
      <c r="AN119" s="1189"/>
      <c r="AO119" s="1189"/>
      <c r="AP119" s="1189"/>
      <c r="AQ119" s="1189"/>
      <c r="AR119" s="1189"/>
      <c r="AS119" s="1189"/>
      <c r="AT119" s="1189"/>
      <c r="AU119" s="1189"/>
      <c r="AV119" s="1189"/>
      <c r="AW119" s="1189"/>
      <c r="AX119" s="1189"/>
    </row>
    <row r="120" spans="1:50" ht="12" customHeight="1">
      <c r="A120" s="1123"/>
      <c r="B120" s="161"/>
      <c r="C120" s="1123"/>
      <c r="D120" s="1123"/>
      <c r="E120" s="1123"/>
      <c r="F120" s="1123"/>
      <c r="G120" s="1123"/>
      <c r="H120" s="1123"/>
      <c r="I120" s="1123"/>
      <c r="J120" s="1125"/>
      <c r="K120" s="156"/>
      <c r="L120" s="1123"/>
      <c r="M120" s="1205"/>
      <c r="N120" s="1123"/>
      <c r="O120" s="1123"/>
      <c r="P120" s="1123"/>
      <c r="Q120" s="1123"/>
      <c r="R120" s="1189"/>
      <c r="S120" s="1189"/>
      <c r="T120" s="1208"/>
      <c r="U120" s="1208"/>
      <c r="V120" s="1189"/>
      <c r="W120" s="1189"/>
      <c r="X120" s="1189"/>
      <c r="Y120" s="1189"/>
      <c r="Z120" s="1189"/>
      <c r="AA120" s="1189"/>
      <c r="AB120" s="1189"/>
      <c r="AC120" s="1189"/>
      <c r="AD120" s="1189"/>
      <c r="AE120" s="1189"/>
      <c r="AF120" s="1189"/>
      <c r="AG120" s="1189"/>
      <c r="AH120" s="1189"/>
      <c r="AI120" s="1189"/>
      <c r="AJ120" s="1189"/>
      <c r="AK120" s="1189"/>
      <c r="AL120" s="1189"/>
      <c r="AM120" s="1189"/>
      <c r="AN120" s="1189"/>
      <c r="AO120" s="1189"/>
      <c r="AP120" s="1189"/>
      <c r="AQ120" s="1189"/>
      <c r="AR120" s="1189"/>
      <c r="AS120" s="1189"/>
      <c r="AT120" s="1189"/>
      <c r="AU120" s="1189"/>
      <c r="AV120" s="1189"/>
      <c r="AW120" s="1189"/>
      <c r="AX120" s="1189"/>
    </row>
    <row r="121" spans="1:50" ht="12" customHeight="1">
      <c r="A121" s="1123"/>
      <c r="B121" s="161"/>
      <c r="C121" s="1123"/>
      <c r="D121" s="1123"/>
      <c r="E121" s="1123"/>
      <c r="F121" s="1123"/>
      <c r="G121" s="1123"/>
      <c r="H121" s="1123"/>
      <c r="I121" s="1123"/>
      <c r="J121" s="1125"/>
      <c r="K121" s="156"/>
      <c r="L121" s="1123"/>
      <c r="M121" s="1205"/>
      <c r="N121" s="1123"/>
      <c r="O121" s="1123"/>
      <c r="P121" s="1123"/>
      <c r="Q121" s="1123"/>
      <c r="R121" s="1189"/>
      <c r="S121" s="1189"/>
      <c r="T121" s="1208"/>
      <c r="U121" s="1208"/>
      <c r="V121" s="1189"/>
      <c r="W121" s="1189"/>
      <c r="X121" s="1189"/>
      <c r="Y121" s="1189"/>
      <c r="Z121" s="1189"/>
      <c r="AA121" s="1189"/>
      <c r="AB121" s="1189"/>
      <c r="AC121" s="1189"/>
      <c r="AD121" s="1189"/>
      <c r="AE121" s="1189"/>
      <c r="AF121" s="1189"/>
      <c r="AG121" s="1189"/>
      <c r="AH121" s="1189"/>
      <c r="AI121" s="1189"/>
      <c r="AJ121" s="1189"/>
      <c r="AK121" s="1189"/>
      <c r="AL121" s="1189"/>
      <c r="AM121" s="1189"/>
      <c r="AN121" s="1189"/>
      <c r="AO121" s="1189"/>
      <c r="AP121" s="1189"/>
      <c r="AQ121" s="1189"/>
      <c r="AR121" s="1189"/>
      <c r="AS121" s="1189"/>
      <c r="AT121" s="1189"/>
      <c r="AU121" s="1189"/>
      <c r="AV121" s="1189"/>
      <c r="AW121" s="1189"/>
      <c r="AX121" s="1189"/>
    </row>
    <row r="122" spans="1:50" ht="12" customHeight="1">
      <c r="A122" s="1123"/>
      <c r="B122" s="161"/>
      <c r="C122" s="1123"/>
      <c r="D122" s="1123"/>
      <c r="E122" s="1123"/>
      <c r="F122" s="1123"/>
      <c r="G122" s="1123"/>
      <c r="H122" s="1123"/>
      <c r="I122" s="1123"/>
      <c r="J122" s="1125"/>
      <c r="K122" s="156"/>
      <c r="L122" s="1123"/>
      <c r="M122" s="1205"/>
      <c r="N122" s="1123"/>
      <c r="O122" s="1123"/>
      <c r="P122" s="1123"/>
      <c r="Q122" s="1123"/>
      <c r="R122" s="1189"/>
      <c r="S122" s="1189"/>
      <c r="T122" s="1208"/>
      <c r="U122" s="1208"/>
      <c r="V122" s="1189"/>
      <c r="W122" s="1189"/>
      <c r="X122" s="1189"/>
      <c r="Y122" s="1189"/>
      <c r="Z122" s="1189"/>
      <c r="AA122" s="1189"/>
      <c r="AB122" s="1189"/>
      <c r="AC122" s="1189"/>
      <c r="AD122" s="1189"/>
      <c r="AE122" s="1189"/>
      <c r="AF122" s="1189"/>
      <c r="AG122" s="1189"/>
      <c r="AH122" s="1189"/>
      <c r="AI122" s="1189"/>
      <c r="AJ122" s="1189"/>
      <c r="AK122" s="1189"/>
      <c r="AL122" s="1189"/>
      <c r="AM122" s="1189"/>
      <c r="AN122" s="1189"/>
      <c r="AO122" s="1189"/>
      <c r="AP122" s="1189"/>
      <c r="AQ122" s="1189"/>
      <c r="AR122" s="1189"/>
      <c r="AS122" s="1189"/>
      <c r="AT122" s="1189"/>
      <c r="AU122" s="1189"/>
      <c r="AV122" s="1189"/>
      <c r="AW122" s="1189"/>
      <c r="AX122" s="1189"/>
    </row>
    <row r="123" spans="1:50" ht="12" customHeight="1">
      <c r="A123" s="1123"/>
      <c r="B123" s="161"/>
      <c r="C123" s="1123"/>
      <c r="D123" s="1123"/>
      <c r="E123" s="1123"/>
      <c r="F123" s="1123"/>
      <c r="G123" s="1123"/>
      <c r="H123" s="1123"/>
      <c r="I123" s="1123"/>
      <c r="J123" s="1125"/>
      <c r="K123" s="156"/>
      <c r="L123" s="1123"/>
      <c r="M123" s="1205"/>
      <c r="N123" s="1123"/>
      <c r="O123" s="1123"/>
      <c r="P123" s="1123"/>
      <c r="Q123" s="1123"/>
      <c r="R123" s="1189"/>
      <c r="S123" s="1189"/>
      <c r="T123" s="1208"/>
      <c r="U123" s="1208"/>
      <c r="V123" s="1189"/>
      <c r="W123" s="1189"/>
      <c r="X123" s="1189"/>
      <c r="Y123" s="1189"/>
      <c r="Z123" s="1189"/>
      <c r="AA123" s="1189"/>
      <c r="AB123" s="1189"/>
      <c r="AC123" s="1189"/>
      <c r="AD123" s="1189"/>
      <c r="AE123" s="1189"/>
      <c r="AF123" s="1189"/>
      <c r="AG123" s="1189"/>
      <c r="AH123" s="1189"/>
      <c r="AI123" s="1189"/>
      <c r="AJ123" s="1189"/>
      <c r="AK123" s="1189"/>
      <c r="AL123" s="1189"/>
      <c r="AM123" s="1189"/>
      <c r="AN123" s="1189"/>
      <c r="AO123" s="1189"/>
      <c r="AP123" s="1189"/>
      <c r="AQ123" s="1189"/>
      <c r="AR123" s="1189"/>
      <c r="AS123" s="1189"/>
      <c r="AT123" s="1189"/>
      <c r="AU123" s="1189"/>
      <c r="AV123" s="1189"/>
      <c r="AW123" s="1189"/>
      <c r="AX123" s="1189"/>
    </row>
    <row r="124" spans="1:50" ht="12" customHeight="1">
      <c r="A124" s="1123"/>
      <c r="B124" s="161"/>
      <c r="C124" s="1123"/>
      <c r="D124" s="1123"/>
      <c r="E124" s="1123"/>
      <c r="F124" s="1123"/>
      <c r="G124" s="1123"/>
      <c r="H124" s="1123"/>
      <c r="I124" s="1123"/>
      <c r="J124" s="1125"/>
      <c r="K124" s="156"/>
      <c r="L124" s="1123"/>
      <c r="M124" s="1205"/>
      <c r="N124" s="1123"/>
      <c r="O124" s="1123"/>
      <c r="P124" s="1123"/>
      <c r="Q124" s="1123"/>
      <c r="R124" s="1189"/>
      <c r="S124" s="1189"/>
      <c r="T124" s="1208"/>
      <c r="U124" s="1208"/>
      <c r="V124" s="1189"/>
      <c r="W124" s="1189"/>
      <c r="X124" s="1189"/>
      <c r="Y124" s="1189"/>
      <c r="Z124" s="1189"/>
      <c r="AA124" s="1189"/>
      <c r="AB124" s="1189"/>
      <c r="AC124" s="1189"/>
      <c r="AD124" s="1189"/>
      <c r="AE124" s="1189"/>
      <c r="AF124" s="1189"/>
      <c r="AG124" s="1189"/>
      <c r="AH124" s="1189"/>
      <c r="AI124" s="1189"/>
      <c r="AJ124" s="1189"/>
      <c r="AK124" s="1189"/>
      <c r="AL124" s="1189"/>
      <c r="AM124" s="1189"/>
      <c r="AN124" s="1189"/>
      <c r="AO124" s="1189"/>
      <c r="AP124" s="1189"/>
      <c r="AQ124" s="1189"/>
      <c r="AR124" s="1189"/>
      <c r="AS124" s="1189"/>
      <c r="AT124" s="1189"/>
      <c r="AU124" s="1189"/>
      <c r="AV124" s="1189"/>
      <c r="AW124" s="1189"/>
      <c r="AX124" s="1189"/>
    </row>
    <row r="125" spans="1:50" ht="12" customHeight="1">
      <c r="A125" s="1123"/>
      <c r="B125" s="161"/>
      <c r="C125" s="1123"/>
      <c r="D125" s="1123"/>
      <c r="E125" s="1123"/>
      <c r="F125" s="1123"/>
      <c r="G125" s="1123"/>
      <c r="H125" s="1123"/>
      <c r="I125" s="1123"/>
      <c r="J125" s="1125"/>
      <c r="K125" s="156"/>
      <c r="L125" s="1123"/>
      <c r="M125" s="1205"/>
      <c r="N125" s="1123"/>
      <c r="O125" s="1123"/>
      <c r="P125" s="1123"/>
      <c r="Q125" s="1123"/>
      <c r="R125" s="1189"/>
      <c r="S125" s="1189"/>
      <c r="T125" s="1208"/>
      <c r="U125" s="1208"/>
      <c r="V125" s="1189"/>
      <c r="W125" s="1189"/>
      <c r="X125" s="1189"/>
      <c r="Y125" s="1189"/>
      <c r="Z125" s="1189"/>
      <c r="AA125" s="1189"/>
      <c r="AB125" s="1189"/>
      <c r="AC125" s="1189"/>
      <c r="AD125" s="1189"/>
      <c r="AE125" s="1189"/>
      <c r="AF125" s="1189"/>
      <c r="AG125" s="1189"/>
      <c r="AH125" s="1189"/>
      <c r="AI125" s="1189"/>
      <c r="AJ125" s="1189"/>
      <c r="AK125" s="1189"/>
      <c r="AL125" s="1189"/>
      <c r="AM125" s="1189"/>
      <c r="AN125" s="1189"/>
      <c r="AO125" s="1189"/>
      <c r="AP125" s="1189"/>
      <c r="AQ125" s="1189"/>
      <c r="AR125" s="1189"/>
      <c r="AS125" s="1189"/>
      <c r="AT125" s="1189"/>
      <c r="AU125" s="1189"/>
      <c r="AV125" s="1189"/>
      <c r="AW125" s="1189"/>
      <c r="AX125" s="1189"/>
    </row>
    <row r="126" spans="1:50" ht="12" customHeight="1">
      <c r="A126" s="1123"/>
      <c r="B126" s="161"/>
      <c r="C126" s="1123"/>
      <c r="D126" s="1123"/>
      <c r="E126" s="1123"/>
      <c r="F126" s="1123"/>
      <c r="G126" s="1123"/>
      <c r="H126" s="1123"/>
      <c r="I126" s="1123"/>
      <c r="J126" s="1125"/>
      <c r="K126" s="156"/>
      <c r="L126" s="1123"/>
      <c r="M126" s="1205"/>
      <c r="N126" s="1123"/>
      <c r="O126" s="1123"/>
      <c r="P126" s="1123"/>
      <c r="Q126" s="1123"/>
      <c r="R126" s="1189"/>
      <c r="S126" s="1189"/>
      <c r="T126" s="1208"/>
      <c r="U126" s="1208"/>
      <c r="V126" s="1189"/>
      <c r="W126" s="1189"/>
      <c r="X126" s="1189"/>
      <c r="Y126" s="1189"/>
      <c r="Z126" s="1189"/>
      <c r="AA126" s="1189"/>
      <c r="AB126" s="1189"/>
      <c r="AC126" s="1189"/>
      <c r="AD126" s="1189"/>
      <c r="AE126" s="1189"/>
      <c r="AF126" s="1189"/>
      <c r="AG126" s="1189"/>
      <c r="AH126" s="1189"/>
      <c r="AI126" s="1189"/>
      <c r="AJ126" s="1189"/>
      <c r="AK126" s="1189"/>
      <c r="AL126" s="1189"/>
      <c r="AM126" s="1189"/>
      <c r="AN126" s="1189"/>
      <c r="AO126" s="1189"/>
      <c r="AP126" s="1189"/>
      <c r="AQ126" s="1189"/>
      <c r="AR126" s="1189"/>
      <c r="AS126" s="1189"/>
      <c r="AT126" s="1189"/>
      <c r="AU126" s="1189"/>
      <c r="AV126" s="1189"/>
      <c r="AW126" s="1189"/>
      <c r="AX126" s="1189"/>
    </row>
    <row r="127" spans="1:50" ht="12" customHeight="1">
      <c r="A127" s="1123"/>
      <c r="B127" s="161"/>
      <c r="C127" s="1123"/>
      <c r="D127" s="1123"/>
      <c r="E127" s="1123"/>
      <c r="F127" s="1123"/>
      <c r="G127" s="1123"/>
      <c r="H127" s="1123"/>
      <c r="I127" s="1123"/>
      <c r="J127" s="1125"/>
      <c r="K127" s="156"/>
      <c r="L127" s="1123"/>
      <c r="M127" s="1205"/>
      <c r="N127" s="1123"/>
      <c r="O127" s="1123"/>
      <c r="P127" s="1123"/>
      <c r="Q127" s="1123"/>
      <c r="R127" s="1189"/>
      <c r="S127" s="1189"/>
      <c r="T127" s="1208"/>
      <c r="U127" s="1208"/>
      <c r="V127" s="1189"/>
      <c r="W127" s="1189"/>
      <c r="X127" s="1189"/>
      <c r="Y127" s="1189"/>
      <c r="Z127" s="1189"/>
      <c r="AA127" s="1189"/>
      <c r="AB127" s="1189"/>
      <c r="AC127" s="1189"/>
      <c r="AD127" s="1189"/>
      <c r="AE127" s="1189"/>
      <c r="AF127" s="1189"/>
      <c r="AG127" s="1189"/>
      <c r="AH127" s="1189"/>
      <c r="AI127" s="1189"/>
      <c r="AJ127" s="1189"/>
      <c r="AK127" s="1189"/>
      <c r="AL127" s="1189"/>
      <c r="AM127" s="1189"/>
      <c r="AN127" s="1189"/>
      <c r="AO127" s="1189"/>
      <c r="AP127" s="1189"/>
      <c r="AQ127" s="1189"/>
      <c r="AR127" s="1189"/>
      <c r="AS127" s="1189"/>
      <c r="AT127" s="1189"/>
      <c r="AU127" s="1189"/>
      <c r="AV127" s="1189"/>
      <c r="AW127" s="1189"/>
      <c r="AX127" s="1189"/>
    </row>
    <row r="128" spans="1:50" ht="12" customHeight="1">
      <c r="A128" s="1123"/>
      <c r="B128" s="161"/>
      <c r="C128" s="1123"/>
      <c r="D128" s="1123"/>
      <c r="E128" s="1123"/>
      <c r="F128" s="1123"/>
      <c r="G128" s="1123"/>
      <c r="H128" s="1123"/>
      <c r="I128" s="1123"/>
      <c r="J128" s="1125"/>
      <c r="K128" s="156"/>
      <c r="L128" s="1123"/>
      <c r="M128" s="1205"/>
      <c r="N128" s="1123"/>
      <c r="O128" s="1123"/>
      <c r="P128" s="1123"/>
      <c r="Q128" s="1123"/>
      <c r="R128" s="1189"/>
      <c r="S128" s="1189"/>
      <c r="T128" s="1208"/>
      <c r="U128" s="1208"/>
      <c r="V128" s="1189"/>
      <c r="W128" s="1189"/>
      <c r="X128" s="1189"/>
      <c r="Y128" s="1189"/>
      <c r="Z128" s="1189"/>
      <c r="AA128" s="1189"/>
      <c r="AB128" s="1189"/>
      <c r="AC128" s="1189"/>
      <c r="AD128" s="1189"/>
      <c r="AE128" s="1189"/>
      <c r="AF128" s="1189"/>
      <c r="AG128" s="1189"/>
      <c r="AH128" s="1189"/>
      <c r="AI128" s="1189"/>
      <c r="AJ128" s="1189"/>
      <c r="AK128" s="1189"/>
      <c r="AL128" s="1189"/>
      <c r="AM128" s="1189"/>
      <c r="AN128" s="1189"/>
      <c r="AO128" s="1189"/>
      <c r="AP128" s="1189"/>
      <c r="AQ128" s="1189"/>
      <c r="AR128" s="1189"/>
      <c r="AS128" s="1189"/>
      <c r="AT128" s="1189"/>
      <c r="AU128" s="1189"/>
      <c r="AV128" s="1189"/>
      <c r="AW128" s="1189"/>
      <c r="AX128" s="1189"/>
    </row>
    <row r="129" spans="1:50" ht="12" customHeight="1">
      <c r="A129" s="1123"/>
      <c r="B129" s="161"/>
      <c r="C129" s="1123"/>
      <c r="D129" s="1123"/>
      <c r="E129" s="1123"/>
      <c r="F129" s="1123"/>
      <c r="G129" s="1123"/>
      <c r="H129" s="1123"/>
      <c r="I129" s="1123"/>
      <c r="J129" s="1125"/>
      <c r="K129" s="156"/>
      <c r="L129" s="1123"/>
      <c r="M129" s="1205"/>
      <c r="N129" s="1123"/>
      <c r="O129" s="1123"/>
      <c r="P129" s="1123"/>
      <c r="Q129" s="1123"/>
      <c r="R129" s="1189"/>
      <c r="S129" s="1189"/>
      <c r="T129" s="1208"/>
      <c r="U129" s="1208"/>
      <c r="V129" s="1189"/>
      <c r="W129" s="1189"/>
      <c r="X129" s="1189"/>
      <c r="Y129" s="1189"/>
      <c r="Z129" s="1189"/>
      <c r="AA129" s="1189"/>
      <c r="AB129" s="1189"/>
      <c r="AC129" s="1189"/>
      <c r="AD129" s="1189"/>
      <c r="AE129" s="1189"/>
      <c r="AF129" s="1189"/>
      <c r="AG129" s="1189"/>
      <c r="AH129" s="1189"/>
      <c r="AI129" s="1189"/>
      <c r="AJ129" s="1189"/>
      <c r="AK129" s="1189"/>
      <c r="AL129" s="1189"/>
      <c r="AM129" s="1189"/>
      <c r="AN129" s="1189"/>
      <c r="AO129" s="1189"/>
      <c r="AP129" s="1189"/>
      <c r="AQ129" s="1189"/>
      <c r="AR129" s="1189"/>
      <c r="AS129" s="1189"/>
      <c r="AT129" s="1189"/>
      <c r="AU129" s="1189"/>
      <c r="AV129" s="1189"/>
      <c r="AW129" s="1189"/>
      <c r="AX129" s="1189"/>
    </row>
    <row r="130" spans="1:50" ht="12" customHeight="1">
      <c r="A130" s="1123"/>
      <c r="B130" s="161"/>
      <c r="C130" s="1123"/>
      <c r="D130" s="1123"/>
      <c r="E130" s="1123"/>
      <c r="F130" s="1123"/>
      <c r="G130" s="1123"/>
      <c r="H130" s="1123"/>
      <c r="I130" s="1123"/>
      <c r="J130" s="1125"/>
      <c r="K130" s="156"/>
      <c r="L130" s="1123"/>
      <c r="M130" s="1205"/>
      <c r="N130" s="1123"/>
      <c r="O130" s="1123"/>
      <c r="P130" s="1123"/>
      <c r="Q130" s="1123"/>
      <c r="R130" s="1189"/>
      <c r="S130" s="1189"/>
      <c r="T130" s="1208"/>
      <c r="U130" s="1208"/>
      <c r="V130" s="1189"/>
      <c r="W130" s="1189"/>
      <c r="X130" s="1189"/>
      <c r="Y130" s="1189"/>
      <c r="Z130" s="1189"/>
      <c r="AA130" s="1189"/>
      <c r="AB130" s="1189"/>
      <c r="AC130" s="1189"/>
      <c r="AD130" s="1189"/>
      <c r="AE130" s="1189"/>
      <c r="AF130" s="1189"/>
      <c r="AG130" s="1189"/>
      <c r="AH130" s="1189"/>
      <c r="AI130" s="1189"/>
      <c r="AJ130" s="1189"/>
      <c r="AK130" s="1189"/>
      <c r="AL130" s="1189"/>
      <c r="AM130" s="1189"/>
      <c r="AN130" s="1189"/>
      <c r="AO130" s="1189"/>
      <c r="AP130" s="1189"/>
      <c r="AQ130" s="1189"/>
      <c r="AR130" s="1189"/>
      <c r="AS130" s="1189"/>
      <c r="AT130" s="1189"/>
      <c r="AU130" s="1189"/>
      <c r="AV130" s="1189"/>
      <c r="AW130" s="1189"/>
      <c r="AX130" s="1189"/>
    </row>
    <row r="131" spans="1:50" ht="12" customHeight="1">
      <c r="A131" s="1123"/>
      <c r="B131" s="161"/>
      <c r="C131" s="1123"/>
      <c r="D131" s="1123"/>
      <c r="E131" s="1123"/>
      <c r="F131" s="1123"/>
      <c r="G131" s="1123"/>
      <c r="H131" s="1123"/>
      <c r="I131" s="1123"/>
      <c r="J131" s="1125"/>
      <c r="K131" s="156"/>
      <c r="L131" s="1123"/>
      <c r="M131" s="1205"/>
      <c r="N131" s="1123"/>
      <c r="O131" s="1123"/>
      <c r="P131" s="1123"/>
      <c r="Q131" s="1123"/>
      <c r="R131" s="1189"/>
      <c r="S131" s="1189"/>
      <c r="T131" s="1208"/>
      <c r="U131" s="1208"/>
      <c r="V131" s="1189"/>
      <c r="W131" s="1189"/>
      <c r="X131" s="1189"/>
      <c r="Y131" s="1189"/>
      <c r="Z131" s="1189"/>
      <c r="AA131" s="1189"/>
      <c r="AB131" s="1189"/>
      <c r="AC131" s="1189"/>
      <c r="AD131" s="1189"/>
      <c r="AE131" s="1189"/>
      <c r="AF131" s="1189"/>
      <c r="AG131" s="1189"/>
      <c r="AH131" s="1189"/>
      <c r="AI131" s="1189"/>
      <c r="AJ131" s="1189"/>
      <c r="AK131" s="1189"/>
      <c r="AL131" s="1189"/>
      <c r="AM131" s="1189"/>
      <c r="AN131" s="1189"/>
      <c r="AO131" s="1189"/>
      <c r="AP131" s="1189"/>
      <c r="AQ131" s="1189"/>
      <c r="AR131" s="1189"/>
      <c r="AS131" s="1189"/>
      <c r="AT131" s="1189"/>
      <c r="AU131" s="1189"/>
      <c r="AV131" s="1189"/>
      <c r="AW131" s="1189"/>
      <c r="AX131" s="1189"/>
    </row>
    <row r="132" spans="1:50" ht="12" customHeight="1">
      <c r="A132" s="1123"/>
      <c r="B132" s="161"/>
      <c r="C132" s="1123"/>
      <c r="D132" s="1123"/>
      <c r="E132" s="1123"/>
      <c r="F132" s="1123"/>
      <c r="G132" s="1123"/>
      <c r="H132" s="1123"/>
      <c r="I132" s="1123"/>
      <c r="J132" s="1125"/>
      <c r="K132" s="156"/>
      <c r="L132" s="1123"/>
      <c r="M132" s="1205"/>
      <c r="N132" s="1123"/>
      <c r="O132" s="1123"/>
      <c r="P132" s="1123"/>
      <c r="Q132" s="1123"/>
      <c r="R132" s="1189"/>
      <c r="S132" s="1189"/>
      <c r="T132" s="1208"/>
      <c r="U132" s="1208"/>
      <c r="V132" s="1189"/>
      <c r="W132" s="1189"/>
      <c r="X132" s="1189"/>
      <c r="Y132" s="1189"/>
      <c r="Z132" s="1189"/>
      <c r="AA132" s="1189"/>
      <c r="AB132" s="1189"/>
      <c r="AC132" s="1189"/>
      <c r="AD132" s="1189"/>
      <c r="AE132" s="1189"/>
      <c r="AF132" s="1189"/>
      <c r="AG132" s="1189"/>
      <c r="AH132" s="1189"/>
      <c r="AI132" s="1189"/>
      <c r="AJ132" s="1189"/>
      <c r="AK132" s="1189"/>
      <c r="AL132" s="1189"/>
      <c r="AM132" s="1189"/>
      <c r="AN132" s="1189"/>
      <c r="AO132" s="1189"/>
      <c r="AP132" s="1189"/>
      <c r="AQ132" s="1189"/>
      <c r="AR132" s="1189"/>
      <c r="AS132" s="1189"/>
      <c r="AT132" s="1189"/>
      <c r="AU132" s="1189"/>
      <c r="AV132" s="1189"/>
      <c r="AW132" s="1189"/>
      <c r="AX132" s="1189"/>
    </row>
    <row r="133" spans="1:50" ht="12" customHeight="1">
      <c r="A133" s="1123"/>
      <c r="B133" s="161"/>
      <c r="C133" s="1123"/>
      <c r="D133" s="1123"/>
      <c r="E133" s="1123"/>
      <c r="F133" s="1123"/>
      <c r="G133" s="1123"/>
      <c r="H133" s="1123"/>
      <c r="I133" s="1123"/>
      <c r="J133" s="1125"/>
      <c r="K133" s="156"/>
      <c r="L133" s="1123"/>
      <c r="M133" s="1205"/>
      <c r="N133" s="1123"/>
      <c r="O133" s="1123"/>
      <c r="P133" s="1123"/>
      <c r="Q133" s="1123"/>
      <c r="R133" s="1189"/>
      <c r="S133" s="1189"/>
      <c r="T133" s="1208"/>
      <c r="U133" s="1208"/>
      <c r="V133" s="1189"/>
      <c r="W133" s="1189"/>
      <c r="X133" s="1189"/>
      <c r="Y133" s="1189"/>
      <c r="Z133" s="1189"/>
      <c r="AA133" s="1189"/>
      <c r="AB133" s="1189"/>
      <c r="AC133" s="1189"/>
      <c r="AD133" s="1189"/>
      <c r="AE133" s="1189"/>
      <c r="AF133" s="1189"/>
      <c r="AG133" s="1189"/>
      <c r="AH133" s="1189"/>
      <c r="AI133" s="1189"/>
      <c r="AJ133" s="1189"/>
      <c r="AK133" s="1189"/>
      <c r="AL133" s="1189"/>
      <c r="AM133" s="1189"/>
      <c r="AN133" s="1189"/>
      <c r="AO133" s="1189"/>
      <c r="AP133" s="1189"/>
      <c r="AQ133" s="1189"/>
      <c r="AR133" s="1189"/>
      <c r="AS133" s="1189"/>
      <c r="AT133" s="1189"/>
      <c r="AU133" s="1189"/>
      <c r="AV133" s="1189"/>
      <c r="AW133" s="1189"/>
      <c r="AX133" s="1189"/>
    </row>
    <row r="134" spans="1:50" ht="12" customHeight="1">
      <c r="A134" s="1123"/>
      <c r="B134" s="161"/>
      <c r="C134" s="1123"/>
      <c r="D134" s="1123"/>
      <c r="E134" s="1123"/>
      <c r="F134" s="1123"/>
      <c r="G134" s="1123"/>
      <c r="H134" s="1123"/>
      <c r="I134" s="1123"/>
      <c r="J134" s="1125"/>
      <c r="K134" s="156"/>
      <c r="L134" s="1123"/>
      <c r="M134" s="1205"/>
      <c r="N134" s="1123"/>
      <c r="O134" s="1123"/>
      <c r="P134" s="1123"/>
      <c r="Q134" s="1123"/>
      <c r="R134" s="1189"/>
      <c r="S134" s="1189"/>
      <c r="T134" s="1208"/>
      <c r="U134" s="1208"/>
      <c r="V134" s="1189"/>
      <c r="W134" s="1189"/>
      <c r="X134" s="1189"/>
      <c r="Y134" s="1189"/>
      <c r="Z134" s="1189"/>
      <c r="AA134" s="1189"/>
      <c r="AB134" s="1189"/>
      <c r="AC134" s="1189"/>
      <c r="AD134" s="1189"/>
      <c r="AE134" s="1189"/>
      <c r="AF134" s="1189"/>
      <c r="AG134" s="1189"/>
      <c r="AH134" s="1189"/>
      <c r="AI134" s="1189"/>
      <c r="AJ134" s="1189"/>
      <c r="AK134" s="1189"/>
      <c r="AL134" s="1189"/>
      <c r="AM134" s="1189"/>
      <c r="AN134" s="1189"/>
      <c r="AO134" s="1189"/>
      <c r="AP134" s="1189"/>
      <c r="AQ134" s="1189"/>
      <c r="AR134" s="1189"/>
      <c r="AS134" s="1189"/>
      <c r="AT134" s="1189"/>
      <c r="AU134" s="1189"/>
      <c r="AV134" s="1189"/>
      <c r="AW134" s="1189"/>
      <c r="AX134" s="1189"/>
    </row>
    <row r="135" spans="1:50" ht="12" customHeight="1">
      <c r="A135" s="1123"/>
      <c r="B135" s="161"/>
      <c r="C135" s="1123"/>
      <c r="D135" s="1123"/>
      <c r="E135" s="1123"/>
      <c r="F135" s="1123"/>
      <c r="G135" s="1123"/>
      <c r="H135" s="1123"/>
      <c r="I135" s="1123"/>
      <c r="J135" s="1125"/>
      <c r="K135" s="156"/>
      <c r="L135" s="1123"/>
      <c r="M135" s="1205"/>
      <c r="N135" s="1123"/>
      <c r="O135" s="1123"/>
      <c r="P135" s="1123"/>
      <c r="Q135" s="1123"/>
      <c r="R135" s="1189"/>
      <c r="S135" s="1189"/>
      <c r="T135" s="1208"/>
      <c r="U135" s="1208"/>
      <c r="V135" s="1189"/>
      <c r="W135" s="1189"/>
      <c r="X135" s="1189"/>
      <c r="Y135" s="1189"/>
      <c r="Z135" s="1189"/>
      <c r="AA135" s="1189"/>
      <c r="AB135" s="1189"/>
      <c r="AC135" s="1189"/>
      <c r="AD135" s="1189"/>
      <c r="AE135" s="1189"/>
      <c r="AF135" s="1189"/>
      <c r="AG135" s="1189"/>
      <c r="AH135" s="1189"/>
      <c r="AI135" s="1189"/>
      <c r="AJ135" s="1189"/>
      <c r="AK135" s="1189"/>
      <c r="AL135" s="1189"/>
      <c r="AM135" s="1189"/>
      <c r="AN135" s="1189"/>
      <c r="AO135" s="1189"/>
      <c r="AP135" s="1189"/>
      <c r="AQ135" s="1189"/>
      <c r="AR135" s="1189"/>
      <c r="AS135" s="1189"/>
      <c r="AT135" s="1189"/>
      <c r="AU135" s="1189"/>
      <c r="AV135" s="1189"/>
      <c r="AW135" s="1189"/>
      <c r="AX135" s="1189"/>
    </row>
    <row r="136" spans="1:50" ht="12" customHeight="1">
      <c r="A136" s="1123"/>
      <c r="B136" s="161"/>
      <c r="C136" s="1123"/>
      <c r="D136" s="1123"/>
      <c r="E136" s="1123"/>
      <c r="F136" s="1123"/>
      <c r="G136" s="1123"/>
      <c r="H136" s="1123"/>
      <c r="I136" s="1123"/>
      <c r="J136" s="1125"/>
      <c r="K136" s="156"/>
      <c r="L136" s="1123"/>
      <c r="M136" s="1205"/>
      <c r="N136" s="1123"/>
      <c r="O136" s="1123"/>
      <c r="P136" s="1123"/>
      <c r="Q136" s="1123"/>
      <c r="R136" s="1189"/>
      <c r="S136" s="1189"/>
      <c r="T136" s="1208"/>
      <c r="U136" s="1208"/>
      <c r="V136" s="1189"/>
      <c r="W136" s="1189"/>
      <c r="X136" s="1189"/>
      <c r="Y136" s="1189"/>
      <c r="Z136" s="1189"/>
      <c r="AA136" s="1189"/>
      <c r="AB136" s="1189"/>
      <c r="AC136" s="1189"/>
      <c r="AD136" s="1189"/>
      <c r="AE136" s="1189"/>
      <c r="AF136" s="1189"/>
      <c r="AG136" s="1189"/>
      <c r="AH136" s="1189"/>
      <c r="AI136" s="1189"/>
      <c r="AJ136" s="1189"/>
      <c r="AK136" s="1189"/>
      <c r="AL136" s="1189"/>
      <c r="AM136" s="1189"/>
      <c r="AN136" s="1189"/>
      <c r="AO136" s="1189"/>
      <c r="AP136" s="1189"/>
      <c r="AQ136" s="1189"/>
      <c r="AR136" s="1189"/>
      <c r="AS136" s="1189"/>
      <c r="AT136" s="1189"/>
      <c r="AU136" s="1189"/>
      <c r="AV136" s="1189"/>
      <c r="AW136" s="1189"/>
      <c r="AX136" s="1189"/>
    </row>
    <row r="137" spans="1:50" ht="12" customHeight="1">
      <c r="A137" s="1123"/>
      <c r="B137" s="161"/>
      <c r="C137" s="1123"/>
      <c r="D137" s="1123"/>
      <c r="E137" s="1123"/>
      <c r="F137" s="1123"/>
      <c r="G137" s="1123"/>
      <c r="H137" s="1123"/>
      <c r="I137" s="1123"/>
      <c r="J137" s="1125"/>
      <c r="K137" s="156"/>
      <c r="L137" s="1123"/>
      <c r="M137" s="1205"/>
      <c r="N137" s="1123"/>
      <c r="O137" s="1123"/>
      <c r="P137" s="1123"/>
      <c r="Q137" s="1123"/>
      <c r="R137" s="1189"/>
      <c r="S137" s="1189"/>
      <c r="T137" s="1208"/>
      <c r="U137" s="1208"/>
      <c r="V137" s="1189"/>
      <c r="W137" s="1189"/>
      <c r="X137" s="1189"/>
      <c r="Y137" s="1189"/>
      <c r="Z137" s="1189"/>
      <c r="AA137" s="1189"/>
      <c r="AB137" s="1189"/>
      <c r="AC137" s="1189"/>
      <c r="AD137" s="1189"/>
      <c r="AE137" s="1189"/>
      <c r="AF137" s="1189"/>
      <c r="AG137" s="1189"/>
      <c r="AH137" s="1189"/>
      <c r="AI137" s="1189"/>
      <c r="AJ137" s="1189"/>
      <c r="AK137" s="1189"/>
      <c r="AL137" s="1189"/>
      <c r="AM137" s="1189"/>
      <c r="AN137" s="1189"/>
      <c r="AO137" s="1189"/>
      <c r="AP137" s="1189"/>
      <c r="AQ137" s="1189"/>
      <c r="AR137" s="1189"/>
      <c r="AS137" s="1189"/>
      <c r="AT137" s="1189"/>
      <c r="AU137" s="1189"/>
      <c r="AV137" s="1189"/>
      <c r="AW137" s="1189"/>
      <c r="AX137" s="1189"/>
    </row>
    <row r="138" spans="1:50" ht="12" customHeight="1">
      <c r="A138" s="1123"/>
      <c r="B138" s="161"/>
      <c r="C138" s="1123"/>
      <c r="D138" s="1123"/>
      <c r="E138" s="1123"/>
      <c r="F138" s="1123"/>
      <c r="G138" s="1123"/>
      <c r="H138" s="1123"/>
      <c r="I138" s="1123"/>
      <c r="J138" s="1125"/>
      <c r="K138" s="156"/>
      <c r="L138" s="1123"/>
      <c r="M138" s="1205"/>
      <c r="N138" s="1123"/>
      <c r="O138" s="1123"/>
      <c r="P138" s="1123"/>
      <c r="Q138" s="1123"/>
      <c r="R138" s="1189"/>
      <c r="S138" s="1189"/>
      <c r="T138" s="1208"/>
      <c r="U138" s="1208"/>
      <c r="V138" s="1189"/>
      <c r="W138" s="1189"/>
      <c r="X138" s="1189"/>
      <c r="Y138" s="1189"/>
      <c r="Z138" s="1189"/>
      <c r="AA138" s="1189"/>
      <c r="AB138" s="1189"/>
      <c r="AC138" s="1189"/>
      <c r="AD138" s="1189"/>
      <c r="AE138" s="1189"/>
      <c r="AF138" s="1189"/>
      <c r="AG138" s="1189"/>
      <c r="AH138" s="1189"/>
      <c r="AI138" s="1189"/>
      <c r="AJ138" s="1189"/>
      <c r="AK138" s="1189"/>
      <c r="AL138" s="1189"/>
      <c r="AM138" s="1189"/>
      <c r="AN138" s="1189"/>
      <c r="AO138" s="1189"/>
      <c r="AP138" s="1189"/>
      <c r="AQ138" s="1189"/>
      <c r="AR138" s="1189"/>
      <c r="AS138" s="1189"/>
      <c r="AT138" s="1189"/>
      <c r="AU138" s="1189"/>
      <c r="AV138" s="1189"/>
      <c r="AW138" s="1189"/>
      <c r="AX138" s="1189"/>
    </row>
    <row r="139" spans="1:50" ht="12" customHeight="1">
      <c r="A139" s="1123"/>
      <c r="B139" s="161"/>
      <c r="C139" s="1123"/>
      <c r="D139" s="1123"/>
      <c r="E139" s="1123"/>
      <c r="F139" s="1123"/>
      <c r="G139" s="1123"/>
      <c r="H139" s="1123"/>
      <c r="I139" s="1123"/>
      <c r="J139" s="1125"/>
      <c r="K139" s="156"/>
      <c r="L139" s="1123"/>
      <c r="M139" s="1205"/>
      <c r="N139" s="1123"/>
      <c r="O139" s="1123"/>
      <c r="P139" s="1123"/>
      <c r="Q139" s="1123"/>
      <c r="R139" s="1189"/>
      <c r="S139" s="1189"/>
      <c r="T139" s="1208"/>
      <c r="U139" s="1208"/>
      <c r="V139" s="1189"/>
      <c r="W139" s="1189"/>
      <c r="X139" s="1189"/>
      <c r="Y139" s="1189"/>
      <c r="Z139" s="1189"/>
      <c r="AA139" s="1189"/>
      <c r="AB139" s="1189"/>
      <c r="AC139" s="1189"/>
      <c r="AD139" s="1189"/>
      <c r="AE139" s="1189"/>
      <c r="AF139" s="1189"/>
      <c r="AG139" s="1189"/>
      <c r="AH139" s="1189"/>
      <c r="AI139" s="1189"/>
      <c r="AJ139" s="1189"/>
      <c r="AK139" s="1189"/>
      <c r="AL139" s="1189"/>
      <c r="AM139" s="1189"/>
      <c r="AN139" s="1189"/>
      <c r="AO139" s="1189"/>
      <c r="AP139" s="1189"/>
      <c r="AQ139" s="1189"/>
      <c r="AR139" s="1189"/>
      <c r="AS139" s="1189"/>
      <c r="AT139" s="1189"/>
      <c r="AU139" s="1189"/>
      <c r="AV139" s="1189"/>
      <c r="AW139" s="1189"/>
      <c r="AX139" s="1189"/>
    </row>
    <row r="140" spans="1:50" ht="12" customHeight="1">
      <c r="A140" s="1123"/>
      <c r="B140" s="161"/>
      <c r="C140" s="1123"/>
      <c r="D140" s="1123"/>
      <c r="E140" s="1123"/>
      <c r="F140" s="1123"/>
      <c r="G140" s="1123"/>
      <c r="H140" s="1123"/>
      <c r="I140" s="1123"/>
      <c r="J140" s="1125"/>
      <c r="K140" s="156"/>
      <c r="L140" s="1123"/>
      <c r="M140" s="1205"/>
      <c r="N140" s="1123"/>
      <c r="O140" s="1123"/>
      <c r="P140" s="1123"/>
      <c r="Q140" s="1123"/>
      <c r="R140" s="1189"/>
      <c r="S140" s="1189"/>
      <c r="T140" s="1208"/>
      <c r="U140" s="1208"/>
      <c r="V140" s="1189"/>
      <c r="W140" s="1189"/>
      <c r="X140" s="1189"/>
      <c r="Y140" s="1189"/>
      <c r="Z140" s="1189"/>
      <c r="AA140" s="1189"/>
      <c r="AB140" s="1189"/>
      <c r="AC140" s="1189"/>
      <c r="AD140" s="1189"/>
      <c r="AE140" s="1189"/>
      <c r="AF140" s="1189"/>
      <c r="AG140" s="1189"/>
      <c r="AH140" s="1189"/>
      <c r="AI140" s="1189"/>
      <c r="AJ140" s="1189"/>
      <c r="AK140" s="1189"/>
      <c r="AL140" s="1189"/>
      <c r="AM140" s="1189"/>
      <c r="AN140" s="1189"/>
      <c r="AO140" s="1189"/>
      <c r="AP140" s="1189"/>
      <c r="AQ140" s="1189"/>
      <c r="AR140" s="1189"/>
      <c r="AS140" s="1189"/>
      <c r="AT140" s="1189"/>
      <c r="AU140" s="1189"/>
      <c r="AV140" s="1189"/>
      <c r="AW140" s="1189"/>
      <c r="AX140" s="1189"/>
    </row>
    <row r="141" spans="1:50" ht="12" customHeight="1">
      <c r="A141" s="1123"/>
      <c r="B141" s="161"/>
      <c r="C141" s="1123"/>
      <c r="D141" s="1123"/>
      <c r="E141" s="1123"/>
      <c r="F141" s="1123"/>
      <c r="G141" s="1123"/>
      <c r="H141" s="1123"/>
      <c r="I141" s="1123"/>
      <c r="J141" s="1125"/>
      <c r="K141" s="156"/>
      <c r="L141" s="1123"/>
      <c r="M141" s="1205"/>
      <c r="N141" s="1123"/>
      <c r="O141" s="1123"/>
      <c r="P141" s="1123"/>
      <c r="Q141" s="1123"/>
      <c r="R141" s="1189"/>
      <c r="S141" s="1189"/>
      <c r="T141" s="1208"/>
      <c r="U141" s="1208"/>
      <c r="V141" s="1189"/>
      <c r="W141" s="1189"/>
      <c r="X141" s="1189"/>
      <c r="Y141" s="1189"/>
      <c r="Z141" s="1189"/>
      <c r="AA141" s="1189"/>
      <c r="AB141" s="1189"/>
      <c r="AC141" s="1189"/>
      <c r="AD141" s="1189"/>
      <c r="AE141" s="1189"/>
      <c r="AF141" s="1189"/>
      <c r="AG141" s="1189"/>
      <c r="AH141" s="1189"/>
      <c r="AI141" s="1189"/>
      <c r="AJ141" s="1189"/>
      <c r="AK141" s="1189"/>
      <c r="AL141" s="1189"/>
      <c r="AM141" s="1189"/>
      <c r="AN141" s="1189"/>
      <c r="AO141" s="1189"/>
      <c r="AP141" s="1189"/>
      <c r="AQ141" s="1189"/>
      <c r="AR141" s="1189"/>
      <c r="AS141" s="1189"/>
      <c r="AT141" s="1189"/>
      <c r="AU141" s="1189"/>
      <c r="AV141" s="1189"/>
      <c r="AW141" s="1189"/>
      <c r="AX141" s="1189"/>
    </row>
    <row r="142" spans="1:50" ht="12" customHeight="1">
      <c r="A142" s="1123"/>
      <c r="B142" s="161"/>
      <c r="C142" s="1123"/>
      <c r="D142" s="1123"/>
      <c r="E142" s="1123"/>
      <c r="F142" s="1123"/>
      <c r="G142" s="1123"/>
      <c r="H142" s="1123"/>
      <c r="I142" s="1123"/>
      <c r="J142" s="1125"/>
      <c r="K142" s="156"/>
      <c r="L142" s="1123"/>
      <c r="M142" s="1205"/>
      <c r="N142" s="1123"/>
      <c r="O142" s="1123"/>
      <c r="P142" s="1123"/>
      <c r="Q142" s="1123"/>
      <c r="R142" s="1189"/>
      <c r="S142" s="1189"/>
      <c r="T142" s="1208"/>
      <c r="U142" s="1208"/>
      <c r="V142" s="1189"/>
      <c r="W142" s="1189"/>
      <c r="X142" s="1189"/>
      <c r="Y142" s="1189"/>
      <c r="Z142" s="1189"/>
      <c r="AA142" s="1189"/>
      <c r="AB142" s="1189"/>
      <c r="AC142" s="1189"/>
      <c r="AD142" s="1189"/>
      <c r="AE142" s="1189"/>
      <c r="AF142" s="1189"/>
      <c r="AG142" s="1189"/>
      <c r="AH142" s="1189"/>
      <c r="AI142" s="1189"/>
      <c r="AJ142" s="1189"/>
      <c r="AK142" s="1189"/>
      <c r="AL142" s="1189"/>
      <c r="AM142" s="1189"/>
      <c r="AN142" s="1189"/>
      <c r="AO142" s="1189"/>
      <c r="AP142" s="1189"/>
      <c r="AQ142" s="1189"/>
      <c r="AR142" s="1189"/>
      <c r="AS142" s="1189"/>
      <c r="AT142" s="1189"/>
      <c r="AU142" s="1189"/>
      <c r="AV142" s="1189"/>
      <c r="AW142" s="1189"/>
      <c r="AX142" s="1189"/>
    </row>
    <row r="143" spans="1:50" ht="12" customHeight="1">
      <c r="A143" s="1123"/>
      <c r="B143" s="161"/>
      <c r="C143" s="1123"/>
      <c r="D143" s="1123"/>
      <c r="E143" s="1123"/>
      <c r="F143" s="1123"/>
      <c r="G143" s="1123"/>
      <c r="H143" s="1123"/>
      <c r="I143" s="1123"/>
      <c r="J143" s="1125"/>
      <c r="K143" s="156"/>
      <c r="L143" s="1123"/>
      <c r="M143" s="1205"/>
      <c r="N143" s="1123"/>
      <c r="O143" s="1123"/>
      <c r="P143" s="1123"/>
      <c r="Q143" s="1123"/>
      <c r="R143" s="1189"/>
      <c r="S143" s="1189"/>
      <c r="T143" s="1208"/>
      <c r="U143" s="1208"/>
      <c r="V143" s="1189"/>
      <c r="W143" s="1189"/>
      <c r="X143" s="1189"/>
      <c r="Y143" s="1189"/>
      <c r="Z143" s="1189"/>
      <c r="AA143" s="1189"/>
      <c r="AB143" s="1189"/>
      <c r="AC143" s="1189"/>
      <c r="AD143" s="1189"/>
      <c r="AE143" s="1189"/>
      <c r="AF143" s="1189"/>
      <c r="AG143" s="1189"/>
      <c r="AH143" s="1189"/>
      <c r="AI143" s="1189"/>
      <c r="AJ143" s="1189"/>
      <c r="AK143" s="1189"/>
      <c r="AL143" s="1189"/>
      <c r="AM143" s="1189"/>
      <c r="AN143" s="1189"/>
      <c r="AO143" s="1189"/>
      <c r="AP143" s="1189"/>
      <c r="AQ143" s="1189"/>
      <c r="AR143" s="1189"/>
      <c r="AS143" s="1189"/>
      <c r="AT143" s="1189"/>
      <c r="AU143" s="1189"/>
      <c r="AV143" s="1189"/>
      <c r="AW143" s="1189"/>
      <c r="AX143" s="1189"/>
    </row>
    <row r="144" spans="1:50" ht="12" customHeight="1">
      <c r="A144" s="1123"/>
      <c r="B144" s="161"/>
      <c r="C144" s="1123"/>
      <c r="D144" s="1123"/>
      <c r="E144" s="1123"/>
      <c r="F144" s="1123"/>
      <c r="G144" s="1123"/>
      <c r="H144" s="1123"/>
      <c r="I144" s="1123"/>
      <c r="J144" s="1125"/>
      <c r="K144" s="156"/>
      <c r="L144" s="1123"/>
      <c r="M144" s="1205"/>
      <c r="N144" s="1123"/>
      <c r="O144" s="1123"/>
      <c r="P144" s="1123"/>
      <c r="Q144" s="1123"/>
      <c r="R144" s="1189"/>
      <c r="S144" s="1189"/>
      <c r="T144" s="1208"/>
      <c r="U144" s="1208"/>
      <c r="V144" s="1189"/>
      <c r="W144" s="1189"/>
      <c r="X144" s="1189"/>
      <c r="Y144" s="1189"/>
      <c r="Z144" s="1189"/>
      <c r="AA144" s="1189"/>
      <c r="AB144" s="1189"/>
      <c r="AC144" s="1189"/>
      <c r="AD144" s="1189"/>
      <c r="AE144" s="1189"/>
      <c r="AF144" s="1189"/>
      <c r="AG144" s="1189"/>
      <c r="AH144" s="1189"/>
      <c r="AI144" s="1189"/>
      <c r="AJ144" s="1189"/>
      <c r="AK144" s="1189"/>
      <c r="AL144" s="1189"/>
      <c r="AM144" s="1189"/>
      <c r="AN144" s="1189"/>
      <c r="AO144" s="1189"/>
      <c r="AP144" s="1189"/>
      <c r="AQ144" s="1189"/>
      <c r="AR144" s="1189"/>
      <c r="AS144" s="1189"/>
      <c r="AT144" s="1189"/>
      <c r="AU144" s="1189"/>
      <c r="AV144" s="1189"/>
      <c r="AW144" s="1189"/>
      <c r="AX144" s="1189"/>
    </row>
    <row r="145" spans="1:50" ht="12" customHeight="1">
      <c r="A145" s="1123"/>
      <c r="B145" s="161"/>
      <c r="C145" s="1123"/>
      <c r="D145" s="1123"/>
      <c r="E145" s="1123"/>
      <c r="F145" s="1123"/>
      <c r="G145" s="1123"/>
      <c r="H145" s="1123"/>
      <c r="I145" s="1123"/>
      <c r="J145" s="1125"/>
      <c r="K145" s="156"/>
      <c r="L145" s="1123"/>
      <c r="M145" s="1205"/>
      <c r="N145" s="1123"/>
      <c r="O145" s="1123"/>
      <c r="P145" s="1123"/>
      <c r="Q145" s="1123"/>
      <c r="R145" s="1189"/>
      <c r="S145" s="1189"/>
      <c r="T145" s="1208"/>
      <c r="U145" s="1208"/>
      <c r="V145" s="1189"/>
      <c r="W145" s="1189"/>
      <c r="X145" s="1189"/>
      <c r="Y145" s="1189"/>
      <c r="Z145" s="1189"/>
      <c r="AA145" s="1189"/>
      <c r="AB145" s="1189"/>
      <c r="AC145" s="1189"/>
      <c r="AD145" s="1189"/>
      <c r="AE145" s="1189"/>
      <c r="AF145" s="1189"/>
      <c r="AG145" s="1189"/>
      <c r="AH145" s="1189"/>
      <c r="AI145" s="1189"/>
      <c r="AJ145" s="1189"/>
      <c r="AK145" s="1189"/>
      <c r="AL145" s="1189"/>
      <c r="AM145" s="1189"/>
      <c r="AN145" s="1189"/>
      <c r="AO145" s="1189"/>
      <c r="AP145" s="1189"/>
      <c r="AQ145" s="1189"/>
      <c r="AR145" s="1189"/>
      <c r="AS145" s="1189"/>
      <c r="AT145" s="1189"/>
      <c r="AU145" s="1189"/>
      <c r="AV145" s="1189"/>
      <c r="AW145" s="1189"/>
      <c r="AX145" s="1189"/>
    </row>
    <row r="146" spans="1:50" ht="12" customHeight="1">
      <c r="A146" s="1123"/>
      <c r="B146" s="161"/>
      <c r="C146" s="1123"/>
      <c r="D146" s="1123"/>
      <c r="E146" s="1123"/>
      <c r="F146" s="1123"/>
      <c r="G146" s="1123"/>
      <c r="H146" s="1123"/>
      <c r="I146" s="1123"/>
      <c r="J146" s="1125"/>
      <c r="K146" s="156"/>
      <c r="L146" s="1123"/>
      <c r="M146" s="1205"/>
      <c r="N146" s="1123"/>
      <c r="O146" s="1123"/>
      <c r="P146" s="1123"/>
      <c r="Q146" s="1123"/>
      <c r="R146" s="1189"/>
      <c r="S146" s="1189"/>
      <c r="T146" s="1208"/>
      <c r="U146" s="1208"/>
      <c r="V146" s="1189"/>
      <c r="W146" s="1189"/>
      <c r="X146" s="1189"/>
      <c r="Y146" s="1189"/>
      <c r="Z146" s="1189"/>
      <c r="AA146" s="1189"/>
      <c r="AB146" s="1189"/>
      <c r="AC146" s="1189"/>
      <c r="AD146" s="1189"/>
      <c r="AE146" s="1189"/>
      <c r="AF146" s="1189"/>
      <c r="AG146" s="1189"/>
      <c r="AH146" s="1189"/>
      <c r="AI146" s="1189"/>
      <c r="AJ146" s="1189"/>
      <c r="AK146" s="1189"/>
      <c r="AL146" s="1189"/>
      <c r="AM146" s="1189"/>
      <c r="AN146" s="1189"/>
      <c r="AO146" s="1189"/>
      <c r="AP146" s="1189"/>
      <c r="AQ146" s="1189"/>
      <c r="AR146" s="1189"/>
      <c r="AS146" s="1189"/>
      <c r="AT146" s="1189"/>
      <c r="AU146" s="1189"/>
      <c r="AV146" s="1189"/>
      <c r="AW146" s="1189"/>
      <c r="AX146" s="1189"/>
    </row>
    <row r="147" spans="1:50" ht="12" customHeight="1">
      <c r="A147" s="1123"/>
      <c r="B147" s="161"/>
      <c r="C147" s="1123"/>
      <c r="D147" s="1123"/>
      <c r="E147" s="1123"/>
      <c r="F147" s="1123"/>
      <c r="G147" s="1123"/>
      <c r="H147" s="1123"/>
      <c r="I147" s="1123"/>
      <c r="J147" s="1125"/>
      <c r="K147" s="156"/>
      <c r="L147" s="1123"/>
      <c r="M147" s="1205"/>
      <c r="N147" s="1123"/>
      <c r="O147" s="1123"/>
      <c r="P147" s="1123"/>
      <c r="Q147" s="1123"/>
      <c r="R147" s="1189"/>
      <c r="S147" s="1189"/>
      <c r="T147" s="1208"/>
      <c r="U147" s="1208"/>
      <c r="V147" s="1189"/>
      <c r="W147" s="1189"/>
      <c r="X147" s="1189"/>
      <c r="Y147" s="1189"/>
      <c r="Z147" s="1189"/>
      <c r="AA147" s="1189"/>
      <c r="AB147" s="1189"/>
      <c r="AC147" s="1189"/>
      <c r="AD147" s="1189"/>
      <c r="AE147" s="1189"/>
      <c r="AF147" s="1189"/>
      <c r="AG147" s="1189"/>
      <c r="AH147" s="1189"/>
      <c r="AI147" s="1189"/>
      <c r="AJ147" s="1189"/>
      <c r="AK147" s="1189"/>
      <c r="AL147" s="1189"/>
      <c r="AM147" s="1189"/>
      <c r="AN147" s="1189"/>
      <c r="AO147" s="1189"/>
      <c r="AP147" s="1189"/>
      <c r="AQ147" s="1189"/>
      <c r="AR147" s="1189"/>
      <c r="AS147" s="1189"/>
      <c r="AT147" s="1189"/>
      <c r="AU147" s="1189"/>
      <c r="AV147" s="1189"/>
      <c r="AW147" s="1189"/>
      <c r="AX147" s="1189"/>
    </row>
    <row r="148" spans="1:50" ht="12" customHeight="1">
      <c r="A148" s="1123"/>
      <c r="B148" s="161"/>
      <c r="C148" s="1123"/>
      <c r="D148" s="1123"/>
      <c r="E148" s="1123"/>
      <c r="F148" s="1123"/>
      <c r="G148" s="1123"/>
      <c r="H148" s="1123"/>
      <c r="I148" s="1123"/>
      <c r="J148" s="1125"/>
      <c r="K148" s="156"/>
      <c r="L148" s="1123"/>
      <c r="M148" s="1205"/>
      <c r="N148" s="1123"/>
      <c r="O148" s="1123"/>
      <c r="P148" s="1123"/>
      <c r="Q148" s="1123"/>
      <c r="R148" s="1189"/>
      <c r="S148" s="1189"/>
      <c r="T148" s="1208"/>
      <c r="U148" s="1208"/>
      <c r="V148" s="1189"/>
      <c r="W148" s="1189"/>
      <c r="X148" s="1189"/>
      <c r="Y148" s="1189"/>
      <c r="Z148" s="1189"/>
      <c r="AA148" s="1189"/>
      <c r="AB148" s="1189"/>
      <c r="AC148" s="1189"/>
      <c r="AD148" s="1189"/>
      <c r="AE148" s="1189"/>
      <c r="AF148" s="1189"/>
      <c r="AG148" s="1189"/>
      <c r="AH148" s="1189"/>
      <c r="AI148" s="1189"/>
      <c r="AJ148" s="1189"/>
      <c r="AK148" s="1189"/>
      <c r="AL148" s="1189"/>
      <c r="AM148" s="1189"/>
      <c r="AN148" s="1189"/>
      <c r="AO148" s="1189"/>
      <c r="AP148" s="1189"/>
      <c r="AQ148" s="1189"/>
      <c r="AR148" s="1189"/>
      <c r="AS148" s="1189"/>
      <c r="AT148" s="1189"/>
      <c r="AU148" s="1189"/>
      <c r="AV148" s="1189"/>
      <c r="AW148" s="1189"/>
      <c r="AX148" s="1189"/>
    </row>
    <row r="149" spans="1:50" ht="12" customHeight="1">
      <c r="A149" s="1123"/>
      <c r="B149" s="161"/>
      <c r="C149" s="1123"/>
      <c r="D149" s="1123"/>
      <c r="E149" s="1123"/>
      <c r="F149" s="1123"/>
      <c r="G149" s="1123"/>
      <c r="H149" s="1123"/>
      <c r="I149" s="1123"/>
      <c r="J149" s="1125"/>
      <c r="K149" s="156"/>
      <c r="L149" s="1123"/>
      <c r="M149" s="1205"/>
      <c r="N149" s="1123"/>
      <c r="O149" s="1123"/>
      <c r="P149" s="1123"/>
      <c r="Q149" s="1123"/>
      <c r="R149" s="1189"/>
      <c r="S149" s="1189"/>
      <c r="T149" s="1208"/>
      <c r="U149" s="1208"/>
      <c r="V149" s="1189"/>
      <c r="W149" s="1189"/>
      <c r="X149" s="1189"/>
      <c r="Y149" s="1189"/>
      <c r="Z149" s="1189"/>
      <c r="AA149" s="1189"/>
      <c r="AB149" s="1189"/>
      <c r="AC149" s="1189"/>
      <c r="AD149" s="1189"/>
      <c r="AE149" s="1189"/>
      <c r="AF149" s="1189"/>
      <c r="AG149" s="1189"/>
      <c r="AH149" s="1189"/>
      <c r="AI149" s="1189"/>
      <c r="AJ149" s="1189"/>
      <c r="AK149" s="1189"/>
      <c r="AL149" s="1189"/>
      <c r="AM149" s="1189"/>
      <c r="AN149" s="1189"/>
      <c r="AO149" s="1189"/>
      <c r="AP149" s="1189"/>
      <c r="AQ149" s="1189"/>
      <c r="AR149" s="1189"/>
      <c r="AS149" s="1189"/>
      <c r="AT149" s="1189"/>
      <c r="AU149" s="1189"/>
      <c r="AV149" s="1189"/>
      <c r="AW149" s="1189"/>
      <c r="AX149" s="1189"/>
    </row>
    <row r="150" spans="1:50" ht="12" customHeight="1">
      <c r="A150" s="1123"/>
      <c r="B150" s="161"/>
      <c r="C150" s="1123"/>
      <c r="D150" s="1123"/>
      <c r="E150" s="1123"/>
      <c r="F150" s="1123"/>
      <c r="G150" s="1123"/>
      <c r="H150" s="1123"/>
      <c r="I150" s="1123"/>
      <c r="J150" s="1125"/>
      <c r="K150" s="156"/>
      <c r="L150" s="1123"/>
      <c r="M150" s="1205"/>
      <c r="N150" s="1123"/>
      <c r="O150" s="1123"/>
      <c r="P150" s="1123"/>
      <c r="Q150" s="1123"/>
      <c r="R150" s="1189"/>
      <c r="S150" s="1189"/>
      <c r="T150" s="1208"/>
      <c r="U150" s="1208"/>
      <c r="V150" s="1189"/>
      <c r="W150" s="1189"/>
      <c r="X150" s="1189"/>
      <c r="Y150" s="1189"/>
      <c r="Z150" s="1189"/>
      <c r="AA150" s="1189"/>
      <c r="AB150" s="1189"/>
      <c r="AC150" s="1189"/>
      <c r="AD150" s="1189"/>
      <c r="AE150" s="1189"/>
      <c r="AF150" s="1189"/>
      <c r="AG150" s="1189"/>
      <c r="AH150" s="1189"/>
      <c r="AI150" s="1189"/>
      <c r="AJ150" s="1189"/>
      <c r="AK150" s="1189"/>
      <c r="AL150" s="1189"/>
      <c r="AM150" s="1189"/>
      <c r="AN150" s="1189"/>
      <c r="AO150" s="1189"/>
      <c r="AP150" s="1189"/>
      <c r="AQ150" s="1189"/>
      <c r="AR150" s="1189"/>
      <c r="AS150" s="1189"/>
      <c r="AT150" s="1189"/>
      <c r="AU150" s="1189"/>
      <c r="AV150" s="1189"/>
      <c r="AW150" s="1189"/>
      <c r="AX150" s="1189"/>
    </row>
    <row r="151" spans="1:50" ht="12" customHeight="1">
      <c r="A151" s="1123"/>
      <c r="B151" s="161"/>
      <c r="C151" s="1123"/>
      <c r="D151" s="1123"/>
      <c r="E151" s="1123"/>
      <c r="F151" s="1123"/>
      <c r="G151" s="1123"/>
      <c r="H151" s="1123"/>
      <c r="I151" s="1123"/>
      <c r="J151" s="1125"/>
      <c r="K151" s="156"/>
      <c r="L151" s="1123"/>
      <c r="M151" s="1205"/>
      <c r="N151" s="1123"/>
      <c r="O151" s="1123"/>
      <c r="P151" s="1123"/>
      <c r="Q151" s="1123"/>
      <c r="R151" s="1189"/>
      <c r="S151" s="1189"/>
      <c r="T151" s="1208"/>
      <c r="U151" s="1208"/>
      <c r="V151" s="1189"/>
      <c r="W151" s="1189"/>
      <c r="X151" s="1189"/>
      <c r="Y151" s="1189"/>
      <c r="Z151" s="1189"/>
      <c r="AA151" s="1189"/>
      <c r="AB151" s="1189"/>
      <c r="AC151" s="1189"/>
      <c r="AD151" s="1189"/>
      <c r="AE151" s="1189"/>
      <c r="AF151" s="1189"/>
      <c r="AG151" s="1189"/>
      <c r="AH151" s="1189"/>
      <c r="AI151" s="1189"/>
      <c r="AJ151" s="1189"/>
      <c r="AK151" s="1189"/>
      <c r="AL151" s="1189"/>
      <c r="AM151" s="1189"/>
      <c r="AN151" s="1189"/>
      <c r="AO151" s="1189"/>
      <c r="AP151" s="1189"/>
      <c r="AQ151" s="1189"/>
      <c r="AR151" s="1189"/>
      <c r="AS151" s="1189"/>
      <c r="AT151" s="1189"/>
      <c r="AU151" s="1189"/>
      <c r="AV151" s="1189"/>
      <c r="AW151" s="1189"/>
      <c r="AX151" s="1189"/>
    </row>
    <row r="152" spans="1:50" ht="12" customHeight="1">
      <c r="A152" s="1123"/>
      <c r="B152" s="161"/>
      <c r="C152" s="1123"/>
      <c r="D152" s="1123"/>
      <c r="E152" s="1123"/>
      <c r="F152" s="1123"/>
      <c r="G152" s="1123"/>
      <c r="H152" s="1123"/>
      <c r="I152" s="1123"/>
      <c r="J152" s="1125"/>
      <c r="K152" s="156"/>
      <c r="L152" s="1123"/>
      <c r="M152" s="1205"/>
      <c r="N152" s="1123"/>
      <c r="O152" s="1123"/>
      <c r="P152" s="1123"/>
      <c r="Q152" s="1123"/>
      <c r="R152" s="1189"/>
      <c r="S152" s="1189"/>
      <c r="T152" s="1208"/>
      <c r="U152" s="1208"/>
      <c r="V152" s="1189"/>
      <c r="W152" s="1189"/>
      <c r="X152" s="1189"/>
      <c r="Y152" s="1189"/>
      <c r="Z152" s="1189"/>
      <c r="AA152" s="1189"/>
      <c r="AB152" s="1189"/>
      <c r="AC152" s="1189"/>
      <c r="AD152" s="1189"/>
      <c r="AE152" s="1189"/>
      <c r="AF152" s="1189"/>
      <c r="AG152" s="1189"/>
      <c r="AH152" s="1189"/>
      <c r="AI152" s="1189"/>
      <c r="AJ152" s="1189"/>
      <c r="AK152" s="1189"/>
      <c r="AL152" s="1189"/>
      <c r="AM152" s="1189"/>
      <c r="AN152" s="1189"/>
      <c r="AO152" s="1189"/>
      <c r="AP152" s="1189"/>
      <c r="AQ152" s="1189"/>
      <c r="AR152" s="1189"/>
      <c r="AS152" s="1189"/>
      <c r="AT152" s="1189"/>
      <c r="AU152" s="1189"/>
      <c r="AV152" s="1189"/>
      <c r="AW152" s="1189"/>
      <c r="AX152" s="1189"/>
    </row>
    <row r="153" spans="1:50" ht="12" customHeight="1">
      <c r="A153" s="1123"/>
      <c r="B153" s="161"/>
      <c r="C153" s="1123"/>
      <c r="D153" s="1123"/>
      <c r="E153" s="1123"/>
      <c r="F153" s="1123"/>
      <c r="G153" s="1123"/>
      <c r="H153" s="1123"/>
      <c r="I153" s="1123"/>
      <c r="J153" s="1125"/>
      <c r="K153" s="156"/>
      <c r="L153" s="1123"/>
      <c r="M153" s="1205"/>
      <c r="N153" s="1123"/>
      <c r="O153" s="1123"/>
      <c r="P153" s="1123"/>
      <c r="Q153" s="1123"/>
      <c r="R153" s="1189"/>
      <c r="S153" s="1189"/>
      <c r="T153" s="1208"/>
      <c r="U153" s="1208"/>
      <c r="V153" s="1189"/>
      <c r="W153" s="1189"/>
      <c r="X153" s="1189"/>
      <c r="Y153" s="1189"/>
      <c r="Z153" s="1189"/>
      <c r="AA153" s="1189"/>
      <c r="AB153" s="1189"/>
      <c r="AC153" s="1189"/>
      <c r="AD153" s="1189"/>
      <c r="AE153" s="1189"/>
      <c r="AF153" s="1189"/>
      <c r="AG153" s="1189"/>
      <c r="AH153" s="1189"/>
      <c r="AI153" s="1189"/>
      <c r="AJ153" s="1189"/>
      <c r="AK153" s="1189"/>
      <c r="AL153" s="1189"/>
      <c r="AM153" s="1189"/>
      <c r="AN153" s="1189"/>
      <c r="AO153" s="1189"/>
      <c r="AP153" s="1189"/>
      <c r="AQ153" s="1189"/>
      <c r="AR153" s="1189"/>
      <c r="AS153" s="1189"/>
      <c r="AT153" s="1189"/>
      <c r="AU153" s="1189"/>
      <c r="AV153" s="1189"/>
      <c r="AW153" s="1189"/>
      <c r="AX153" s="1189"/>
    </row>
    <row r="154" spans="1:50" ht="12" customHeight="1">
      <c r="A154" s="1123"/>
      <c r="B154" s="161"/>
      <c r="C154" s="1123"/>
      <c r="D154" s="1123"/>
      <c r="E154" s="1123"/>
      <c r="F154" s="1123"/>
      <c r="G154" s="1123"/>
      <c r="H154" s="1123"/>
      <c r="I154" s="1123"/>
      <c r="J154" s="1125"/>
      <c r="K154" s="156"/>
      <c r="L154" s="1123"/>
      <c r="M154" s="1205"/>
      <c r="N154" s="1123"/>
      <c r="O154" s="1123"/>
      <c r="P154" s="1123"/>
      <c r="Q154" s="1123"/>
      <c r="R154" s="1189"/>
      <c r="S154" s="1189"/>
      <c r="T154" s="1208"/>
      <c r="U154" s="1208"/>
      <c r="V154" s="1189"/>
      <c r="W154" s="1189"/>
      <c r="X154" s="1189"/>
      <c r="Y154" s="1189"/>
      <c r="Z154" s="1189"/>
      <c r="AA154" s="1189"/>
      <c r="AB154" s="1189"/>
      <c r="AC154" s="1189"/>
      <c r="AD154" s="1189"/>
      <c r="AE154" s="1189"/>
      <c r="AF154" s="1189"/>
      <c r="AG154" s="1189"/>
      <c r="AH154" s="1189"/>
      <c r="AI154" s="1189"/>
      <c r="AJ154" s="1189"/>
      <c r="AK154" s="1189"/>
      <c r="AL154" s="1189"/>
      <c r="AM154" s="1189"/>
      <c r="AN154" s="1189"/>
      <c r="AO154" s="1189"/>
      <c r="AP154" s="1189"/>
      <c r="AQ154" s="1189"/>
      <c r="AR154" s="1189"/>
      <c r="AS154" s="1189"/>
      <c r="AT154" s="1189"/>
      <c r="AU154" s="1189"/>
      <c r="AV154" s="1189"/>
      <c r="AW154" s="1189"/>
      <c r="AX154" s="1189"/>
    </row>
    <row r="155" spans="1:50" ht="12" customHeight="1">
      <c r="A155" s="1123"/>
      <c r="B155" s="161"/>
      <c r="C155" s="1123"/>
      <c r="D155" s="1123"/>
      <c r="E155" s="1123"/>
      <c r="F155" s="1123"/>
      <c r="G155" s="1123"/>
      <c r="H155" s="1123"/>
      <c r="I155" s="1123"/>
      <c r="J155" s="1125"/>
      <c r="K155" s="156"/>
      <c r="L155" s="1123"/>
      <c r="M155" s="1205"/>
      <c r="N155" s="1123"/>
      <c r="O155" s="1123"/>
      <c r="P155" s="1123"/>
      <c r="Q155" s="1123"/>
      <c r="R155" s="1189"/>
      <c r="S155" s="1189"/>
      <c r="T155" s="1208"/>
      <c r="U155" s="1208"/>
      <c r="V155" s="1189"/>
      <c r="W155" s="1189"/>
      <c r="X155" s="1189"/>
      <c r="Y155" s="1189"/>
      <c r="Z155" s="1189"/>
      <c r="AA155" s="1189"/>
      <c r="AB155" s="1189"/>
      <c r="AC155" s="1189"/>
      <c r="AD155" s="1189"/>
      <c r="AE155" s="1189"/>
      <c r="AF155" s="1189"/>
      <c r="AG155" s="1189"/>
      <c r="AH155" s="1189"/>
      <c r="AI155" s="1189"/>
      <c r="AJ155" s="1189"/>
      <c r="AK155" s="1189"/>
      <c r="AL155" s="1189"/>
      <c r="AM155" s="1189"/>
      <c r="AN155" s="1189"/>
      <c r="AO155" s="1189"/>
      <c r="AP155" s="1189"/>
      <c r="AQ155" s="1189"/>
      <c r="AR155" s="1189"/>
      <c r="AS155" s="1189"/>
      <c r="AT155" s="1189"/>
      <c r="AU155" s="1189"/>
      <c r="AV155" s="1189"/>
      <c r="AW155" s="1189"/>
      <c r="AX155" s="1189"/>
    </row>
    <row r="156" spans="1:50" ht="12" customHeight="1">
      <c r="A156" s="1123"/>
      <c r="B156" s="161"/>
      <c r="C156" s="1123"/>
      <c r="D156" s="1123"/>
      <c r="E156" s="1123"/>
      <c r="F156" s="1123"/>
      <c r="G156" s="1123"/>
      <c r="H156" s="1123"/>
      <c r="I156" s="1123"/>
      <c r="J156" s="1125"/>
      <c r="K156" s="156"/>
      <c r="L156" s="1123"/>
      <c r="M156" s="1205"/>
      <c r="N156" s="1123"/>
      <c r="O156" s="1123"/>
      <c r="P156" s="1123"/>
      <c r="Q156" s="1123"/>
      <c r="R156" s="1189"/>
      <c r="S156" s="1189"/>
      <c r="T156" s="1208"/>
      <c r="U156" s="1208"/>
      <c r="V156" s="1189"/>
      <c r="W156" s="1189"/>
      <c r="X156" s="1189"/>
      <c r="Y156" s="1189"/>
      <c r="Z156" s="1189"/>
      <c r="AA156" s="1189"/>
      <c r="AB156" s="1189"/>
      <c r="AC156" s="1189"/>
      <c r="AD156" s="1189"/>
      <c r="AE156" s="1189"/>
      <c r="AF156" s="1189"/>
      <c r="AG156" s="1189"/>
      <c r="AH156" s="1189"/>
      <c r="AI156" s="1189"/>
      <c r="AJ156" s="1189"/>
      <c r="AK156" s="1189"/>
      <c r="AL156" s="1189"/>
      <c r="AM156" s="1189"/>
      <c r="AN156" s="1189"/>
      <c r="AO156" s="1189"/>
      <c r="AP156" s="1189"/>
      <c r="AQ156" s="1189"/>
      <c r="AR156" s="1189"/>
      <c r="AS156" s="1189"/>
      <c r="AT156" s="1189"/>
      <c r="AU156" s="1189"/>
      <c r="AV156" s="1189"/>
      <c r="AW156" s="1189"/>
      <c r="AX156" s="1189"/>
    </row>
    <row r="157" spans="1:50" ht="12" customHeight="1">
      <c r="A157" s="1123"/>
      <c r="B157" s="161"/>
      <c r="C157" s="1123"/>
      <c r="D157" s="1123"/>
      <c r="E157" s="1123"/>
      <c r="F157" s="1123"/>
      <c r="G157" s="1123"/>
      <c r="H157" s="1123"/>
      <c r="I157" s="1123"/>
      <c r="J157" s="1125"/>
      <c r="K157" s="156"/>
      <c r="L157" s="1123"/>
      <c r="M157" s="1205"/>
      <c r="N157" s="1123"/>
      <c r="O157" s="1123"/>
      <c r="P157" s="1123"/>
      <c r="Q157" s="1123"/>
      <c r="R157" s="1189"/>
      <c r="S157" s="1189"/>
      <c r="T157" s="1208"/>
      <c r="U157" s="1208"/>
      <c r="V157" s="1189"/>
      <c r="W157" s="1189"/>
      <c r="X157" s="1189"/>
      <c r="Y157" s="1189"/>
      <c r="Z157" s="1189"/>
      <c r="AA157" s="1189"/>
      <c r="AB157" s="1189"/>
      <c r="AC157" s="1189"/>
      <c r="AD157" s="1189"/>
      <c r="AE157" s="1189"/>
      <c r="AF157" s="1189"/>
      <c r="AG157" s="1189"/>
      <c r="AH157" s="1189"/>
      <c r="AI157" s="1189"/>
      <c r="AJ157" s="1189"/>
      <c r="AK157" s="1189"/>
      <c r="AL157" s="1189"/>
      <c r="AM157" s="1189"/>
      <c r="AN157" s="1189"/>
      <c r="AO157" s="1189"/>
      <c r="AP157" s="1189"/>
      <c r="AQ157" s="1189"/>
      <c r="AR157" s="1189"/>
      <c r="AS157" s="1189"/>
      <c r="AT157" s="1189"/>
      <c r="AU157" s="1189"/>
      <c r="AV157" s="1189"/>
      <c r="AW157" s="1189"/>
      <c r="AX157" s="1189"/>
    </row>
    <row r="158" spans="1:50" ht="12" customHeight="1">
      <c r="A158" s="1123"/>
      <c r="B158" s="161"/>
      <c r="C158" s="1123"/>
      <c r="D158" s="1123"/>
      <c r="E158" s="1123"/>
      <c r="F158" s="1123"/>
      <c r="G158" s="1123"/>
      <c r="H158" s="1123"/>
      <c r="I158" s="1123"/>
      <c r="J158" s="1125"/>
      <c r="K158" s="156"/>
      <c r="L158" s="1123"/>
      <c r="M158" s="1205"/>
      <c r="N158" s="1123"/>
      <c r="O158" s="1123"/>
      <c r="P158" s="1123"/>
      <c r="Q158" s="1123"/>
      <c r="R158" s="1189"/>
      <c r="S158" s="1189"/>
      <c r="T158" s="1208"/>
      <c r="U158" s="1208"/>
      <c r="V158" s="1189"/>
      <c r="W158" s="1189"/>
      <c r="X158" s="1189"/>
      <c r="Y158" s="1189"/>
      <c r="Z158" s="1189"/>
      <c r="AA158" s="1189"/>
      <c r="AB158" s="1189"/>
      <c r="AC158" s="1189"/>
      <c r="AD158" s="1189"/>
      <c r="AE158" s="1189"/>
      <c r="AF158" s="1189"/>
      <c r="AG158" s="1189"/>
      <c r="AH158" s="1189"/>
      <c r="AI158" s="1189"/>
      <c r="AJ158" s="1189"/>
      <c r="AK158" s="1189"/>
      <c r="AL158" s="1189"/>
      <c r="AM158" s="1189"/>
      <c r="AN158" s="1189"/>
      <c r="AO158" s="1189"/>
      <c r="AP158" s="1189"/>
      <c r="AQ158" s="1189"/>
      <c r="AR158" s="1189"/>
      <c r="AS158" s="1189"/>
      <c r="AT158" s="1189"/>
      <c r="AU158" s="1189"/>
      <c r="AV158" s="1189"/>
      <c r="AW158" s="1189"/>
      <c r="AX158" s="1189"/>
    </row>
    <row r="159" spans="1:50" ht="12" customHeight="1">
      <c r="A159" s="1123"/>
      <c r="B159" s="161"/>
      <c r="C159" s="1123"/>
      <c r="D159" s="1123"/>
      <c r="E159" s="1123"/>
      <c r="F159" s="1123"/>
      <c r="G159" s="1123"/>
      <c r="H159" s="1123"/>
      <c r="I159" s="1123"/>
      <c r="J159" s="1125"/>
      <c r="K159" s="156"/>
      <c r="L159" s="1123"/>
      <c r="M159" s="1205"/>
      <c r="N159" s="1123"/>
      <c r="O159" s="1123"/>
      <c r="P159" s="1123"/>
      <c r="Q159" s="1123"/>
      <c r="R159" s="1189"/>
      <c r="S159" s="1189"/>
      <c r="T159" s="1208"/>
      <c r="U159" s="1208"/>
      <c r="V159" s="1189"/>
      <c r="W159" s="1189"/>
      <c r="X159" s="1189"/>
      <c r="Y159" s="1189"/>
      <c r="Z159" s="1189"/>
      <c r="AA159" s="1189"/>
      <c r="AB159" s="1189"/>
      <c r="AC159" s="1189"/>
      <c r="AD159" s="1189"/>
      <c r="AE159" s="1189"/>
      <c r="AF159" s="1189"/>
      <c r="AG159" s="1189"/>
      <c r="AH159" s="1189"/>
      <c r="AI159" s="1189"/>
      <c r="AJ159" s="1189"/>
      <c r="AK159" s="1189"/>
      <c r="AL159" s="1189"/>
      <c r="AM159" s="1189"/>
      <c r="AN159" s="1189"/>
      <c r="AO159" s="1189"/>
      <c r="AP159" s="1189"/>
      <c r="AQ159" s="1189"/>
      <c r="AR159" s="1189"/>
      <c r="AS159" s="1189"/>
      <c r="AT159" s="1189"/>
      <c r="AU159" s="1189"/>
      <c r="AV159" s="1189"/>
      <c r="AW159" s="1189"/>
      <c r="AX159" s="1189"/>
    </row>
    <row r="160" spans="1:50" ht="12" customHeight="1">
      <c r="A160" s="1123"/>
      <c r="B160" s="161"/>
      <c r="C160" s="1123"/>
      <c r="D160" s="1123"/>
      <c r="E160" s="1123"/>
      <c r="F160" s="1123"/>
      <c r="G160" s="1123"/>
      <c r="H160" s="1123"/>
      <c r="I160" s="1123"/>
      <c r="J160" s="1125"/>
      <c r="K160" s="156"/>
      <c r="L160" s="1123"/>
      <c r="M160" s="1205"/>
      <c r="N160" s="1123"/>
      <c r="O160" s="1123"/>
      <c r="P160" s="1123"/>
      <c r="Q160" s="1123"/>
      <c r="R160" s="1189"/>
      <c r="S160" s="1189"/>
      <c r="T160" s="1208"/>
      <c r="U160" s="1208"/>
      <c r="V160" s="1189"/>
      <c r="W160" s="1189"/>
      <c r="X160" s="1189"/>
      <c r="Y160" s="1189"/>
      <c r="Z160" s="1189"/>
      <c r="AA160" s="1189"/>
      <c r="AB160" s="1189"/>
      <c r="AC160" s="1189"/>
      <c r="AD160" s="1189"/>
      <c r="AE160" s="1189"/>
      <c r="AF160" s="1189"/>
      <c r="AG160" s="1189"/>
      <c r="AH160" s="1189"/>
      <c r="AI160" s="1189"/>
      <c r="AJ160" s="1189"/>
      <c r="AK160" s="1189"/>
      <c r="AL160" s="1189"/>
      <c r="AM160" s="1189"/>
      <c r="AN160" s="1189"/>
      <c r="AO160" s="1189"/>
      <c r="AP160" s="1189"/>
      <c r="AQ160" s="1189"/>
      <c r="AR160" s="1189"/>
      <c r="AS160" s="1189"/>
      <c r="AT160" s="1189"/>
      <c r="AU160" s="1189"/>
      <c r="AV160" s="1189"/>
      <c r="AW160" s="1189"/>
      <c r="AX160" s="1189"/>
    </row>
    <row r="161" spans="1:50" ht="12" customHeight="1">
      <c r="A161" s="1123"/>
      <c r="B161" s="161"/>
      <c r="C161" s="1123"/>
      <c r="D161" s="1123"/>
      <c r="E161" s="1123"/>
      <c r="F161" s="1123"/>
      <c r="G161" s="1123"/>
      <c r="H161" s="1123"/>
      <c r="I161" s="1123"/>
      <c r="J161" s="1125"/>
      <c r="K161" s="156"/>
      <c r="L161" s="1123"/>
      <c r="M161" s="1205"/>
      <c r="N161" s="1123"/>
      <c r="O161" s="1123"/>
      <c r="P161" s="1123"/>
      <c r="Q161" s="1123"/>
      <c r="R161" s="1189"/>
      <c r="S161" s="1189"/>
      <c r="T161" s="1208"/>
      <c r="U161" s="1208"/>
      <c r="V161" s="1189"/>
      <c r="W161" s="1189"/>
      <c r="X161" s="1189"/>
      <c r="Y161" s="1189"/>
      <c r="Z161" s="1189"/>
      <c r="AA161" s="1189"/>
      <c r="AB161" s="1189"/>
      <c r="AC161" s="1189"/>
      <c r="AD161" s="1189"/>
      <c r="AE161" s="1189"/>
      <c r="AF161" s="1189"/>
      <c r="AG161" s="1189"/>
      <c r="AH161" s="1189"/>
      <c r="AI161" s="1189"/>
      <c r="AJ161" s="1189"/>
      <c r="AK161" s="1189"/>
      <c r="AL161" s="1189"/>
      <c r="AM161" s="1189"/>
      <c r="AN161" s="1189"/>
      <c r="AO161" s="1189"/>
      <c r="AP161" s="1189"/>
      <c r="AQ161" s="1189"/>
      <c r="AR161" s="1189"/>
      <c r="AS161" s="1189"/>
      <c r="AT161" s="1189"/>
      <c r="AU161" s="1189"/>
      <c r="AV161" s="1189"/>
      <c r="AW161" s="1189"/>
      <c r="AX161" s="1189"/>
    </row>
    <row r="162" spans="1:50" ht="12" customHeight="1">
      <c r="A162" s="1123"/>
      <c r="B162" s="161"/>
      <c r="C162" s="1123"/>
      <c r="D162" s="1123"/>
      <c r="E162" s="1123"/>
      <c r="F162" s="1123"/>
      <c r="G162" s="1123"/>
      <c r="H162" s="1123"/>
      <c r="I162" s="1123"/>
      <c r="J162" s="1125"/>
      <c r="K162" s="156"/>
      <c r="L162" s="1123"/>
      <c r="M162" s="1205"/>
      <c r="N162" s="1123"/>
      <c r="O162" s="1123"/>
      <c r="P162" s="1123"/>
      <c r="Q162" s="1123"/>
      <c r="R162" s="1189"/>
      <c r="S162" s="1189"/>
      <c r="T162" s="1208"/>
      <c r="U162" s="1208"/>
      <c r="V162" s="1189"/>
      <c r="W162" s="1189"/>
      <c r="X162" s="1189"/>
      <c r="Y162" s="1189"/>
      <c r="Z162" s="1189"/>
      <c r="AA162" s="1189"/>
      <c r="AB162" s="1189"/>
      <c r="AC162" s="1189"/>
      <c r="AD162" s="1189"/>
      <c r="AE162" s="1189"/>
      <c r="AF162" s="1189"/>
      <c r="AG162" s="1189"/>
      <c r="AH162" s="1189"/>
      <c r="AI162" s="1189"/>
      <c r="AJ162" s="1189"/>
      <c r="AK162" s="1189"/>
      <c r="AL162" s="1189"/>
      <c r="AM162" s="1189"/>
      <c r="AN162" s="1189"/>
      <c r="AO162" s="1189"/>
      <c r="AP162" s="1189"/>
      <c r="AQ162" s="1189"/>
      <c r="AR162" s="1189"/>
      <c r="AS162" s="1189"/>
      <c r="AT162" s="1189"/>
      <c r="AU162" s="1189"/>
      <c r="AV162" s="1189"/>
      <c r="AW162" s="1189"/>
      <c r="AX162" s="1189"/>
    </row>
    <row r="163" spans="1:50" ht="12" customHeight="1">
      <c r="A163" s="1123"/>
      <c r="B163" s="161"/>
      <c r="C163" s="1123"/>
      <c r="D163" s="1123"/>
      <c r="E163" s="1123"/>
      <c r="F163" s="1123"/>
      <c r="G163" s="1123"/>
      <c r="H163" s="1123"/>
      <c r="I163" s="1123"/>
      <c r="J163" s="1125"/>
      <c r="K163" s="156"/>
      <c r="L163" s="1123"/>
      <c r="M163" s="1205"/>
      <c r="N163" s="1123"/>
      <c r="O163" s="1123"/>
      <c r="P163" s="1123"/>
      <c r="Q163" s="1123"/>
      <c r="R163" s="1189"/>
      <c r="S163" s="1189"/>
      <c r="T163" s="1208"/>
      <c r="U163" s="1208"/>
      <c r="V163" s="1189"/>
      <c r="W163" s="1189"/>
      <c r="X163" s="1189"/>
      <c r="Y163" s="1189"/>
      <c r="Z163" s="1189"/>
      <c r="AA163" s="1189"/>
      <c r="AB163" s="1189"/>
      <c r="AC163" s="1189"/>
      <c r="AD163" s="1189"/>
      <c r="AE163" s="1189"/>
      <c r="AF163" s="1189"/>
      <c r="AG163" s="1189"/>
      <c r="AH163" s="1189"/>
      <c r="AI163" s="1189"/>
      <c r="AJ163" s="1189"/>
      <c r="AK163" s="1189"/>
      <c r="AL163" s="1189"/>
      <c r="AM163" s="1189"/>
      <c r="AN163" s="1189"/>
      <c r="AO163" s="1189"/>
      <c r="AP163" s="1189"/>
      <c r="AQ163" s="1189"/>
      <c r="AR163" s="1189"/>
      <c r="AS163" s="1189"/>
      <c r="AT163" s="1189"/>
      <c r="AU163" s="1189"/>
      <c r="AV163" s="1189"/>
      <c r="AW163" s="1189"/>
      <c r="AX163" s="1189"/>
    </row>
    <row r="164" spans="1:50" ht="12" customHeight="1">
      <c r="A164" s="1123"/>
      <c r="B164" s="161"/>
      <c r="C164" s="1123"/>
      <c r="D164" s="1123"/>
      <c r="E164" s="1123"/>
      <c r="F164" s="1123"/>
      <c r="G164" s="1123"/>
      <c r="H164" s="1123"/>
      <c r="I164" s="1123"/>
      <c r="J164" s="1125"/>
      <c r="K164" s="156"/>
      <c r="L164" s="1123"/>
      <c r="M164" s="1205"/>
      <c r="N164" s="1123"/>
      <c r="O164" s="1123"/>
      <c r="P164" s="1123"/>
      <c r="Q164" s="1123"/>
      <c r="R164" s="1189"/>
      <c r="S164" s="1189"/>
      <c r="T164" s="1208"/>
      <c r="U164" s="1208"/>
      <c r="V164" s="1189"/>
      <c r="W164" s="1189"/>
      <c r="X164" s="1189"/>
      <c r="Y164" s="1189"/>
      <c r="Z164" s="1189"/>
      <c r="AA164" s="1189"/>
      <c r="AB164" s="1189"/>
      <c r="AC164" s="1189"/>
      <c r="AD164" s="1189"/>
      <c r="AE164" s="1189"/>
      <c r="AF164" s="1189"/>
      <c r="AG164" s="1189"/>
      <c r="AH164" s="1189"/>
      <c r="AI164" s="1189"/>
      <c r="AJ164" s="1189"/>
      <c r="AK164" s="1189"/>
      <c r="AL164" s="1189"/>
      <c r="AM164" s="1189"/>
      <c r="AN164" s="1189"/>
      <c r="AO164" s="1189"/>
      <c r="AP164" s="1189"/>
      <c r="AQ164" s="1189"/>
      <c r="AR164" s="1189"/>
      <c r="AS164" s="1189"/>
      <c r="AT164" s="1189"/>
      <c r="AU164" s="1189"/>
      <c r="AV164" s="1189"/>
      <c r="AW164" s="1189"/>
      <c r="AX164" s="1189"/>
    </row>
    <row r="165" spans="1:50" ht="12" customHeight="1">
      <c r="A165" s="1123"/>
      <c r="B165" s="161"/>
      <c r="C165" s="1123"/>
      <c r="D165" s="1123"/>
      <c r="E165" s="1123"/>
      <c r="F165" s="1123"/>
      <c r="G165" s="1123"/>
      <c r="H165" s="1123"/>
      <c r="I165" s="1123"/>
      <c r="J165" s="1125"/>
      <c r="K165" s="156"/>
      <c r="L165" s="1123"/>
      <c r="M165" s="1205"/>
      <c r="N165" s="1123"/>
      <c r="O165" s="1123"/>
      <c r="P165" s="1123"/>
      <c r="Q165" s="1123"/>
      <c r="R165" s="1189"/>
      <c r="S165" s="1189"/>
      <c r="T165" s="1208"/>
      <c r="U165" s="1208"/>
      <c r="V165" s="1189"/>
      <c r="W165" s="1189"/>
      <c r="X165" s="1189"/>
      <c r="Y165" s="1189"/>
      <c r="Z165" s="1189"/>
      <c r="AA165" s="1189"/>
      <c r="AB165" s="1189"/>
      <c r="AC165" s="1189"/>
      <c r="AD165" s="1189"/>
      <c r="AE165" s="1189"/>
      <c r="AF165" s="1189"/>
      <c r="AG165" s="1189"/>
      <c r="AH165" s="1189"/>
      <c r="AI165" s="1189"/>
      <c r="AJ165" s="1189"/>
      <c r="AK165" s="1189"/>
      <c r="AL165" s="1189"/>
      <c r="AM165" s="1189"/>
      <c r="AN165" s="1189"/>
      <c r="AO165" s="1189"/>
      <c r="AP165" s="1189"/>
      <c r="AQ165" s="1189"/>
      <c r="AR165" s="1189"/>
      <c r="AS165" s="1189"/>
      <c r="AT165" s="1189"/>
      <c r="AU165" s="1189"/>
      <c r="AV165" s="1189"/>
      <c r="AW165" s="1189"/>
      <c r="AX165" s="1189"/>
    </row>
    <row r="166" spans="1:50" ht="12" customHeight="1">
      <c r="A166" s="1123"/>
      <c r="B166" s="161"/>
      <c r="C166" s="1123"/>
      <c r="D166" s="1123"/>
      <c r="E166" s="1123"/>
      <c r="F166" s="1123"/>
      <c r="G166" s="1123"/>
      <c r="H166" s="1123"/>
      <c r="I166" s="1123"/>
      <c r="J166" s="1125"/>
      <c r="K166" s="156"/>
      <c r="L166" s="1123"/>
      <c r="M166" s="1205"/>
      <c r="N166" s="1123"/>
      <c r="O166" s="1123"/>
      <c r="P166" s="1123"/>
      <c r="Q166" s="1123"/>
      <c r="R166" s="1189"/>
      <c r="S166" s="1189"/>
      <c r="T166" s="1208"/>
      <c r="U166" s="1208"/>
      <c r="V166" s="1189"/>
      <c r="W166" s="1189"/>
      <c r="X166" s="1189"/>
      <c r="Y166" s="1189"/>
      <c r="Z166" s="1189"/>
      <c r="AA166" s="1189"/>
      <c r="AB166" s="1189"/>
      <c r="AC166" s="1189"/>
      <c r="AD166" s="1189"/>
      <c r="AE166" s="1189"/>
      <c r="AF166" s="1189"/>
      <c r="AG166" s="1189"/>
      <c r="AH166" s="1189"/>
      <c r="AI166" s="1189"/>
      <c r="AJ166" s="1189"/>
      <c r="AK166" s="1189"/>
      <c r="AL166" s="1189"/>
      <c r="AM166" s="1189"/>
      <c r="AN166" s="1189"/>
      <c r="AO166" s="1189"/>
      <c r="AP166" s="1189"/>
      <c r="AQ166" s="1189"/>
      <c r="AR166" s="1189"/>
      <c r="AS166" s="1189"/>
      <c r="AT166" s="1189"/>
      <c r="AU166" s="1189"/>
      <c r="AV166" s="1189"/>
      <c r="AW166" s="1189"/>
      <c r="AX166" s="1189"/>
    </row>
    <row r="167" spans="1:50" ht="10.5" customHeight="1">
      <c r="A167" s="1123"/>
      <c r="B167" s="161"/>
      <c r="C167" s="1123"/>
      <c r="D167" s="1123"/>
      <c r="E167" s="1123"/>
      <c r="F167" s="1123"/>
      <c r="G167" s="1123"/>
      <c r="H167" s="1123"/>
      <c r="I167" s="1123"/>
      <c r="J167" s="1125"/>
      <c r="K167" s="156"/>
      <c r="L167" s="1123"/>
      <c r="M167" s="1205"/>
      <c r="N167" s="1123"/>
      <c r="O167" s="1123"/>
      <c r="P167" s="1123"/>
      <c r="Q167" s="1123"/>
      <c r="R167" s="1189"/>
      <c r="S167" s="1189"/>
      <c r="T167" s="1208"/>
      <c r="U167" s="1208"/>
      <c r="V167" s="1189"/>
      <c r="W167" s="1189"/>
      <c r="X167" s="1189"/>
      <c r="Y167" s="1189"/>
      <c r="Z167" s="1189"/>
      <c r="AA167" s="1189"/>
      <c r="AB167" s="1189"/>
      <c r="AC167" s="1189"/>
      <c r="AD167" s="1189"/>
      <c r="AE167" s="1189"/>
      <c r="AF167" s="1189"/>
      <c r="AG167" s="1189"/>
      <c r="AH167" s="1189"/>
      <c r="AI167" s="1189"/>
      <c r="AJ167" s="1189"/>
      <c r="AK167" s="1189"/>
      <c r="AL167" s="1189"/>
      <c r="AM167" s="1189"/>
      <c r="AN167" s="1189"/>
      <c r="AO167" s="1189"/>
      <c r="AP167" s="1189"/>
      <c r="AQ167" s="1189"/>
      <c r="AR167" s="1189"/>
      <c r="AS167" s="1189"/>
      <c r="AT167" s="1189"/>
      <c r="AU167" s="1189"/>
      <c r="AV167" s="1189"/>
      <c r="AW167" s="1189"/>
      <c r="AX167" s="1189"/>
    </row>
    <row r="168" spans="1:50" ht="12" customHeight="1">
      <c r="A168" s="1123"/>
      <c r="B168" s="161"/>
      <c r="C168" s="1123"/>
      <c r="D168" s="1123"/>
      <c r="E168" s="1123"/>
      <c r="F168" s="1123"/>
      <c r="G168" s="1123"/>
      <c r="H168" s="1123"/>
      <c r="I168" s="1123"/>
      <c r="J168" s="1125"/>
      <c r="K168" s="156"/>
      <c r="L168" s="1123"/>
      <c r="M168" s="1205"/>
      <c r="N168" s="1123"/>
      <c r="O168" s="1123"/>
      <c r="P168" s="1123"/>
      <c r="Q168" s="1123"/>
      <c r="R168" s="1189"/>
      <c r="S168" s="1189"/>
      <c r="T168" s="1208"/>
      <c r="U168" s="1208"/>
      <c r="V168" s="1189"/>
      <c r="W168" s="1189"/>
      <c r="X168" s="1189"/>
      <c r="Y168" s="1189"/>
      <c r="Z168" s="1189"/>
      <c r="AA168" s="1189"/>
      <c r="AB168" s="1189"/>
      <c r="AC168" s="1189"/>
      <c r="AD168" s="1189"/>
      <c r="AE168" s="1189"/>
      <c r="AF168" s="1189"/>
      <c r="AG168" s="1189"/>
      <c r="AH168" s="1189"/>
      <c r="AI168" s="1189"/>
      <c r="AJ168" s="1189"/>
      <c r="AK168" s="1189"/>
      <c r="AL168" s="1189"/>
      <c r="AM168" s="1189"/>
      <c r="AN168" s="1189"/>
      <c r="AO168" s="1189"/>
      <c r="AP168" s="1189"/>
      <c r="AQ168" s="1189"/>
      <c r="AR168" s="1189"/>
      <c r="AS168" s="1189"/>
      <c r="AT168" s="1189"/>
      <c r="AU168" s="1189"/>
      <c r="AV168" s="1189"/>
      <c r="AW168" s="1189"/>
      <c r="AX168" s="1189"/>
    </row>
    <row r="169" spans="1:50" ht="12" customHeight="1">
      <c r="A169" s="1123"/>
      <c r="B169" s="161"/>
      <c r="C169" s="1123"/>
      <c r="D169" s="1123"/>
      <c r="E169" s="1123"/>
      <c r="F169" s="1123"/>
      <c r="G169" s="1123"/>
      <c r="H169" s="1123"/>
      <c r="I169" s="1123"/>
      <c r="J169" s="1125"/>
      <c r="K169" s="156"/>
      <c r="L169" s="1123"/>
      <c r="M169" s="1205"/>
      <c r="N169" s="1123"/>
      <c r="O169" s="1123"/>
      <c r="P169" s="1123"/>
      <c r="Q169" s="1123"/>
      <c r="R169" s="1189"/>
      <c r="S169" s="1189"/>
      <c r="T169" s="1208"/>
      <c r="U169" s="1208"/>
      <c r="V169" s="1189"/>
      <c r="W169" s="1189"/>
      <c r="X169" s="1189"/>
      <c r="Y169" s="1189"/>
      <c r="Z169" s="1189"/>
      <c r="AA169" s="1189"/>
      <c r="AB169" s="1189"/>
      <c r="AC169" s="1189"/>
      <c r="AD169" s="1189"/>
      <c r="AE169" s="1189"/>
      <c r="AF169" s="1189"/>
      <c r="AG169" s="1189"/>
      <c r="AH169" s="1189"/>
      <c r="AI169" s="1189"/>
      <c r="AJ169" s="1189"/>
      <c r="AK169" s="1189"/>
      <c r="AL169" s="1189"/>
      <c r="AM169" s="1189"/>
      <c r="AN169" s="1189"/>
      <c r="AO169" s="1189"/>
      <c r="AP169" s="1189"/>
      <c r="AQ169" s="1189"/>
      <c r="AR169" s="1189"/>
      <c r="AS169" s="1189"/>
      <c r="AT169" s="1189"/>
      <c r="AU169" s="1189"/>
      <c r="AV169" s="1189"/>
      <c r="AW169" s="1189"/>
      <c r="AX169" s="1189"/>
    </row>
    <row r="170" spans="1:50" ht="12" customHeight="1">
      <c r="A170" s="1123"/>
      <c r="B170" s="161"/>
      <c r="C170" s="1123"/>
      <c r="D170" s="1123"/>
      <c r="E170" s="1123"/>
      <c r="F170" s="1123"/>
      <c r="G170" s="1123"/>
      <c r="H170" s="1123"/>
      <c r="I170" s="1123"/>
      <c r="J170" s="1125"/>
      <c r="K170" s="156"/>
      <c r="L170" s="1123"/>
      <c r="M170" s="1205"/>
      <c r="N170" s="1123"/>
      <c r="O170" s="1123"/>
      <c r="P170" s="1123"/>
      <c r="Q170" s="1123"/>
      <c r="R170" s="1189"/>
      <c r="S170" s="1189"/>
      <c r="T170" s="1208"/>
      <c r="U170" s="1208"/>
      <c r="V170" s="1189"/>
      <c r="W170" s="1189"/>
      <c r="X170" s="1189"/>
      <c r="Y170" s="1189"/>
      <c r="Z170" s="1189"/>
      <c r="AA170" s="1189"/>
      <c r="AB170" s="1189"/>
      <c r="AC170" s="1189"/>
      <c r="AD170" s="1189"/>
      <c r="AE170" s="1189"/>
      <c r="AF170" s="1189"/>
      <c r="AG170" s="1189"/>
      <c r="AH170" s="1189"/>
      <c r="AI170" s="1189"/>
      <c r="AJ170" s="1189"/>
      <c r="AK170" s="1189"/>
      <c r="AL170" s="1189"/>
      <c r="AM170" s="1189"/>
      <c r="AN170" s="1189"/>
      <c r="AO170" s="1189"/>
      <c r="AP170" s="1189"/>
      <c r="AQ170" s="1189"/>
      <c r="AR170" s="1189"/>
      <c r="AS170" s="1189"/>
      <c r="AT170" s="1189"/>
      <c r="AU170" s="1189"/>
      <c r="AV170" s="1189"/>
      <c r="AW170" s="1189"/>
      <c r="AX170" s="1189"/>
    </row>
    <row r="171" spans="1:50" ht="12" customHeight="1">
      <c r="A171" s="1123"/>
      <c r="B171" s="161"/>
      <c r="C171" s="1123"/>
      <c r="D171" s="1123"/>
      <c r="E171" s="1123"/>
      <c r="F171" s="1123"/>
      <c r="G171" s="1123"/>
      <c r="H171" s="1123"/>
      <c r="I171" s="1123"/>
      <c r="J171" s="1125"/>
      <c r="K171" s="156"/>
      <c r="L171" s="1123"/>
      <c r="M171" s="1205"/>
      <c r="N171" s="1123"/>
      <c r="O171" s="1123"/>
      <c r="P171" s="1123"/>
      <c r="Q171" s="1123"/>
      <c r="R171" s="1189"/>
      <c r="S171" s="1189"/>
      <c r="T171" s="1208"/>
      <c r="U171" s="1208"/>
      <c r="V171" s="1189"/>
      <c r="W171" s="1189"/>
      <c r="X171" s="1189"/>
      <c r="Y171" s="1189"/>
      <c r="Z171" s="1189"/>
      <c r="AA171" s="1189"/>
      <c r="AB171" s="1189"/>
      <c r="AC171" s="1189"/>
      <c r="AD171" s="1189"/>
      <c r="AE171" s="1189"/>
      <c r="AF171" s="1189"/>
      <c r="AG171" s="1189"/>
      <c r="AH171" s="1189"/>
      <c r="AI171" s="1189"/>
      <c r="AJ171" s="1189"/>
      <c r="AK171" s="1189"/>
      <c r="AL171" s="1189"/>
      <c r="AM171" s="1189"/>
      <c r="AN171" s="1189"/>
      <c r="AO171" s="1189"/>
      <c r="AP171" s="1189"/>
      <c r="AQ171" s="1189"/>
      <c r="AR171" s="1189"/>
      <c r="AS171" s="1189"/>
      <c r="AT171" s="1189"/>
      <c r="AU171" s="1189"/>
      <c r="AV171" s="1189"/>
      <c r="AW171" s="1189"/>
      <c r="AX171" s="1189"/>
    </row>
    <row r="172" spans="1:50" ht="12" customHeight="1">
      <c r="A172" s="1123"/>
      <c r="B172" s="161"/>
      <c r="C172" s="1123"/>
      <c r="D172" s="1123"/>
      <c r="E172" s="1123"/>
      <c r="F172" s="1123"/>
      <c r="G172" s="1123"/>
      <c r="H172" s="1123"/>
      <c r="I172" s="1123"/>
      <c r="J172" s="1125"/>
      <c r="K172" s="156"/>
      <c r="L172" s="1123"/>
      <c r="M172" s="1205"/>
      <c r="N172" s="1123"/>
      <c r="O172" s="1123"/>
      <c r="P172" s="1123"/>
      <c r="Q172" s="1123"/>
      <c r="R172" s="1189"/>
      <c r="S172" s="1189"/>
      <c r="T172" s="1208"/>
      <c r="U172" s="1208"/>
      <c r="V172" s="1189"/>
      <c r="W172" s="1189"/>
      <c r="X172" s="1189"/>
      <c r="Y172" s="1189"/>
      <c r="Z172" s="1189"/>
      <c r="AA172" s="1189"/>
      <c r="AB172" s="1189"/>
      <c r="AC172" s="1189"/>
      <c r="AD172" s="1189"/>
      <c r="AE172" s="1189"/>
      <c r="AF172" s="1189"/>
      <c r="AG172" s="1189"/>
      <c r="AH172" s="1189"/>
      <c r="AI172" s="1189"/>
      <c r="AJ172" s="1189"/>
      <c r="AK172" s="1189"/>
      <c r="AL172" s="1189"/>
      <c r="AM172" s="1189"/>
      <c r="AN172" s="1189"/>
      <c r="AO172" s="1189"/>
      <c r="AP172" s="1189"/>
      <c r="AQ172" s="1189"/>
      <c r="AR172" s="1189"/>
      <c r="AS172" s="1189"/>
      <c r="AT172" s="1189"/>
      <c r="AU172" s="1189"/>
      <c r="AV172" s="1189"/>
      <c r="AW172" s="1189"/>
      <c r="AX172" s="1189"/>
    </row>
    <row r="173" spans="1:50" ht="12" customHeight="1">
      <c r="A173" s="1123"/>
      <c r="B173" s="161"/>
      <c r="C173" s="1123"/>
      <c r="D173" s="1123"/>
      <c r="E173" s="1123"/>
      <c r="F173" s="1123"/>
      <c r="G173" s="1123"/>
      <c r="H173" s="1123"/>
      <c r="I173" s="1123"/>
      <c r="J173" s="1125"/>
      <c r="K173" s="156"/>
      <c r="L173" s="1123"/>
      <c r="M173" s="1205"/>
      <c r="N173" s="1123"/>
      <c r="O173" s="1123"/>
      <c r="P173" s="1123"/>
      <c r="Q173" s="1123"/>
      <c r="R173" s="1189"/>
      <c r="S173" s="1189"/>
      <c r="T173" s="1208"/>
      <c r="U173" s="1208"/>
      <c r="V173" s="1189"/>
      <c r="W173" s="1189"/>
      <c r="X173" s="1189"/>
      <c r="Y173" s="1189"/>
      <c r="Z173" s="1189"/>
      <c r="AA173" s="1189"/>
      <c r="AB173" s="1189"/>
      <c r="AC173" s="1189"/>
      <c r="AD173" s="1189"/>
      <c r="AE173" s="1189"/>
      <c r="AF173" s="1189"/>
      <c r="AG173" s="1189"/>
      <c r="AH173" s="1189"/>
      <c r="AI173" s="1189"/>
      <c r="AJ173" s="1189"/>
      <c r="AK173" s="1189"/>
      <c r="AL173" s="1189"/>
      <c r="AM173" s="1189"/>
      <c r="AN173" s="1189"/>
      <c r="AO173" s="1189"/>
      <c r="AP173" s="1189"/>
      <c r="AQ173" s="1189"/>
      <c r="AR173" s="1189"/>
      <c r="AS173" s="1189"/>
      <c r="AT173" s="1189"/>
      <c r="AU173" s="1189"/>
      <c r="AV173" s="1189"/>
      <c r="AW173" s="1189"/>
      <c r="AX173" s="1189"/>
    </row>
    <row r="174" spans="1:50" ht="12" customHeight="1">
      <c r="A174" s="1123"/>
      <c r="B174" s="161"/>
      <c r="C174" s="1123"/>
      <c r="D174" s="1123"/>
      <c r="E174" s="1123"/>
      <c r="F174" s="1123"/>
      <c r="G174" s="1123"/>
      <c r="H174" s="1123"/>
      <c r="I174" s="1123"/>
      <c r="J174" s="1125"/>
      <c r="K174" s="156"/>
      <c r="L174" s="1123"/>
      <c r="M174" s="1205"/>
      <c r="N174" s="1123"/>
      <c r="O174" s="1123"/>
      <c r="P174" s="1123"/>
      <c r="Q174" s="1123"/>
      <c r="R174" s="1189"/>
      <c r="S174" s="1189"/>
      <c r="T174" s="1208"/>
      <c r="U174" s="1208"/>
      <c r="V174" s="1189"/>
      <c r="W174" s="1189"/>
      <c r="X174" s="1189"/>
      <c r="Y174" s="1189"/>
      <c r="Z174" s="1189"/>
      <c r="AA174" s="1189"/>
      <c r="AB174" s="1189"/>
      <c r="AC174" s="1189"/>
      <c r="AD174" s="1189"/>
      <c r="AE174" s="1189"/>
      <c r="AF174" s="1189"/>
      <c r="AG174" s="1189"/>
      <c r="AH174" s="1189"/>
      <c r="AI174" s="1189"/>
      <c r="AJ174" s="1189"/>
      <c r="AK174" s="1189"/>
      <c r="AL174" s="1189"/>
      <c r="AM174" s="1189"/>
      <c r="AN174" s="1189"/>
      <c r="AO174" s="1189"/>
      <c r="AP174" s="1189"/>
      <c r="AQ174" s="1189"/>
      <c r="AR174" s="1189"/>
      <c r="AS174" s="1189"/>
      <c r="AT174" s="1189"/>
      <c r="AU174" s="1189"/>
      <c r="AV174" s="1189"/>
      <c r="AW174" s="1189"/>
      <c r="AX174" s="1189"/>
    </row>
    <row r="175" spans="1:50" ht="12" customHeight="1">
      <c r="A175" s="1123"/>
      <c r="B175" s="161"/>
      <c r="C175" s="1123"/>
      <c r="D175" s="1123"/>
      <c r="E175" s="1123"/>
      <c r="F175" s="1123"/>
      <c r="G175" s="1123"/>
      <c r="H175" s="1123"/>
      <c r="I175" s="1123"/>
      <c r="J175" s="1125"/>
      <c r="K175" s="156"/>
      <c r="L175" s="1123"/>
      <c r="M175" s="1205"/>
      <c r="N175" s="1123"/>
      <c r="O175" s="1123"/>
      <c r="P175" s="1123"/>
      <c r="Q175" s="1123"/>
      <c r="R175" s="1189"/>
      <c r="S175" s="1189"/>
      <c r="T175" s="1208"/>
      <c r="U175" s="1208"/>
      <c r="V175" s="1189"/>
      <c r="W175" s="1189"/>
      <c r="X175" s="1189"/>
      <c r="Y175" s="1189"/>
      <c r="Z175" s="1189"/>
      <c r="AA175" s="1189"/>
      <c r="AB175" s="1189"/>
      <c r="AC175" s="1189"/>
      <c r="AD175" s="1189"/>
      <c r="AE175" s="1189"/>
      <c r="AF175" s="1189"/>
      <c r="AG175" s="1189"/>
      <c r="AH175" s="1189"/>
      <c r="AI175" s="1189"/>
      <c r="AJ175" s="1189"/>
      <c r="AK175" s="1189"/>
      <c r="AL175" s="1189"/>
      <c r="AM175" s="1189"/>
      <c r="AN175" s="1189"/>
      <c r="AO175" s="1189"/>
      <c r="AP175" s="1189"/>
      <c r="AQ175" s="1189"/>
      <c r="AR175" s="1189"/>
      <c r="AS175" s="1189"/>
      <c r="AT175" s="1189"/>
      <c r="AU175" s="1189"/>
      <c r="AV175" s="1189"/>
      <c r="AW175" s="1189"/>
      <c r="AX175" s="1189"/>
    </row>
    <row r="176" spans="1:50" ht="12" customHeight="1">
      <c r="A176" s="1123"/>
      <c r="B176" s="161"/>
      <c r="C176" s="1123"/>
      <c r="D176" s="1123"/>
      <c r="E176" s="1123"/>
      <c r="F176" s="1123"/>
      <c r="G176" s="1123"/>
      <c r="H176" s="1123"/>
      <c r="I176" s="1123"/>
      <c r="J176" s="1125"/>
      <c r="K176" s="156"/>
      <c r="L176" s="1123"/>
      <c r="M176" s="1205"/>
      <c r="N176" s="1123"/>
      <c r="O176" s="1123"/>
      <c r="P176" s="1123"/>
      <c r="Q176" s="1123"/>
      <c r="R176" s="1189"/>
      <c r="S176" s="1189"/>
      <c r="T176" s="1208"/>
      <c r="U176" s="1208"/>
      <c r="V176" s="1189"/>
      <c r="W176" s="1189"/>
      <c r="X176" s="1189"/>
      <c r="Y176" s="1189"/>
      <c r="Z176" s="1189"/>
      <c r="AA176" s="1189"/>
      <c r="AB176" s="1189"/>
      <c r="AC176" s="1189"/>
      <c r="AD176" s="1189"/>
      <c r="AE176" s="1189"/>
      <c r="AF176" s="1189"/>
      <c r="AG176" s="1189"/>
      <c r="AH176" s="1189"/>
      <c r="AI176" s="1189"/>
      <c r="AJ176" s="1189"/>
      <c r="AK176" s="1189"/>
      <c r="AL176" s="1189"/>
      <c r="AM176" s="1189"/>
      <c r="AN176" s="1189"/>
      <c r="AO176" s="1189"/>
      <c r="AP176" s="1189"/>
      <c r="AQ176" s="1189"/>
      <c r="AR176" s="1189"/>
      <c r="AS176" s="1189"/>
      <c r="AT176" s="1189"/>
      <c r="AU176" s="1189"/>
      <c r="AV176" s="1189"/>
      <c r="AW176" s="1189"/>
      <c r="AX176" s="1189"/>
    </row>
    <row r="177" spans="1:50" ht="12" customHeight="1">
      <c r="A177" s="1123"/>
      <c r="B177" s="161"/>
      <c r="C177" s="1123"/>
      <c r="D177" s="1123"/>
      <c r="E177" s="1123"/>
      <c r="F177" s="1123"/>
      <c r="G177" s="1123"/>
      <c r="H177" s="1123"/>
      <c r="I177" s="1123"/>
      <c r="J177" s="1125"/>
      <c r="K177" s="156"/>
      <c r="L177" s="1123"/>
      <c r="M177" s="1205"/>
      <c r="N177" s="1123"/>
      <c r="O177" s="1123"/>
      <c r="P177" s="1123"/>
      <c r="Q177" s="1123"/>
      <c r="R177" s="1189"/>
      <c r="S177" s="1189"/>
      <c r="T177" s="1208"/>
      <c r="U177" s="1208"/>
      <c r="V177" s="1189"/>
      <c r="W177" s="1189"/>
      <c r="X177" s="1189"/>
      <c r="Y177" s="1189"/>
      <c r="Z177" s="1189"/>
      <c r="AA177" s="1189"/>
      <c r="AB177" s="1189"/>
      <c r="AC177" s="1189"/>
      <c r="AD177" s="1189"/>
      <c r="AE177" s="1189"/>
      <c r="AF177" s="1189"/>
      <c r="AG177" s="1189"/>
      <c r="AH177" s="1189"/>
      <c r="AI177" s="1189"/>
      <c r="AJ177" s="1189"/>
      <c r="AK177" s="1189"/>
      <c r="AL177" s="1189"/>
      <c r="AM177" s="1189"/>
      <c r="AN177" s="1189"/>
      <c r="AO177" s="1189"/>
      <c r="AP177" s="1189"/>
      <c r="AQ177" s="1189"/>
      <c r="AR177" s="1189"/>
      <c r="AS177" s="1189"/>
      <c r="AT177" s="1189"/>
      <c r="AU177" s="1189"/>
      <c r="AV177" s="1189"/>
      <c r="AW177" s="1189"/>
      <c r="AX177" s="1189"/>
    </row>
    <row r="178" spans="1:50" ht="12" customHeight="1">
      <c r="A178" s="1123"/>
      <c r="B178" s="161"/>
      <c r="C178" s="1123"/>
      <c r="D178" s="1123"/>
      <c r="E178" s="1123"/>
      <c r="F178" s="1123"/>
      <c r="G178" s="1123"/>
      <c r="H178" s="1123"/>
      <c r="I178" s="1123"/>
      <c r="J178" s="1125"/>
      <c r="K178" s="156"/>
      <c r="L178" s="1123"/>
      <c r="M178" s="1205"/>
      <c r="N178" s="1123"/>
      <c r="O178" s="1123"/>
      <c r="P178" s="1123"/>
      <c r="Q178" s="1123"/>
      <c r="R178" s="1189"/>
      <c r="S178" s="1189"/>
      <c r="T178" s="1208"/>
      <c r="U178" s="1208"/>
      <c r="V178" s="1189"/>
      <c r="W178" s="1189"/>
      <c r="X178" s="1189"/>
      <c r="Y178" s="1189"/>
      <c r="Z178" s="1189"/>
      <c r="AA178" s="1189"/>
      <c r="AB178" s="1189"/>
      <c r="AC178" s="1189"/>
      <c r="AD178" s="1189"/>
      <c r="AE178" s="1189"/>
      <c r="AF178" s="1189"/>
      <c r="AG178" s="1189"/>
      <c r="AH178" s="1189"/>
      <c r="AI178" s="1189"/>
      <c r="AJ178" s="1189"/>
      <c r="AK178" s="1189"/>
      <c r="AL178" s="1189"/>
      <c r="AM178" s="1189"/>
      <c r="AN178" s="1189"/>
      <c r="AO178" s="1189"/>
      <c r="AP178" s="1189"/>
      <c r="AQ178" s="1189"/>
      <c r="AR178" s="1189"/>
      <c r="AS178" s="1189"/>
      <c r="AT178" s="1189"/>
      <c r="AU178" s="1189"/>
      <c r="AV178" s="1189"/>
      <c r="AW178" s="1189"/>
      <c r="AX178" s="1189"/>
    </row>
    <row r="179" spans="1:50" ht="12" customHeight="1">
      <c r="A179" s="1123"/>
      <c r="B179" s="161"/>
      <c r="C179" s="1123"/>
      <c r="D179" s="1123"/>
      <c r="E179" s="1123"/>
      <c r="F179" s="1123"/>
      <c r="G179" s="1123"/>
      <c r="H179" s="1123"/>
      <c r="I179" s="1123"/>
      <c r="J179" s="1125"/>
      <c r="K179" s="156"/>
      <c r="L179" s="1123"/>
      <c r="M179" s="1205"/>
      <c r="N179" s="1123"/>
      <c r="O179" s="1123"/>
      <c r="P179" s="1123"/>
      <c r="Q179" s="1123"/>
      <c r="R179" s="1189"/>
      <c r="S179" s="1189"/>
      <c r="T179" s="1208"/>
      <c r="U179" s="1208"/>
      <c r="V179" s="1189"/>
      <c r="W179" s="1189"/>
      <c r="X179" s="1189"/>
      <c r="Y179" s="1189"/>
      <c r="Z179" s="1189"/>
      <c r="AA179" s="1189"/>
      <c r="AB179" s="1189"/>
      <c r="AC179" s="1189"/>
      <c r="AD179" s="1189"/>
      <c r="AE179" s="1189"/>
      <c r="AF179" s="1189"/>
      <c r="AG179" s="1189"/>
      <c r="AH179" s="1189"/>
      <c r="AI179" s="1189"/>
      <c r="AJ179" s="1189"/>
      <c r="AK179" s="1189"/>
      <c r="AL179" s="1189"/>
      <c r="AM179" s="1189"/>
      <c r="AN179" s="1189"/>
      <c r="AO179" s="1189"/>
      <c r="AP179" s="1189"/>
      <c r="AQ179" s="1189"/>
      <c r="AR179" s="1189"/>
      <c r="AS179" s="1189"/>
      <c r="AT179" s="1189"/>
      <c r="AU179" s="1189"/>
      <c r="AV179" s="1189"/>
      <c r="AW179" s="1189"/>
      <c r="AX179" s="1189"/>
    </row>
    <row r="180" spans="1:50" ht="12" customHeight="1">
      <c r="A180" s="1123"/>
      <c r="B180" s="161"/>
      <c r="C180" s="1123"/>
      <c r="D180" s="1123"/>
      <c r="E180" s="1123"/>
      <c r="F180" s="1123"/>
      <c r="G180" s="1123"/>
      <c r="H180" s="1123"/>
      <c r="I180" s="1123"/>
      <c r="J180" s="1125"/>
      <c r="K180" s="156"/>
      <c r="L180" s="1123"/>
      <c r="M180" s="1205"/>
      <c r="N180" s="1123"/>
      <c r="O180" s="1123"/>
      <c r="P180" s="1123"/>
      <c r="Q180" s="1123"/>
      <c r="R180" s="1189"/>
      <c r="S180" s="1189"/>
      <c r="T180" s="1208"/>
      <c r="U180" s="1208"/>
      <c r="V180" s="1189"/>
      <c r="W180" s="1189"/>
      <c r="X180" s="1189"/>
      <c r="Y180" s="1189"/>
      <c r="Z180" s="1189"/>
      <c r="AA180" s="1189"/>
      <c r="AB180" s="1189"/>
      <c r="AC180" s="1189"/>
      <c r="AD180" s="1189"/>
      <c r="AE180" s="1189"/>
      <c r="AF180" s="1189"/>
      <c r="AG180" s="1189"/>
      <c r="AH180" s="1189"/>
      <c r="AI180" s="1189"/>
      <c r="AJ180" s="1189"/>
      <c r="AK180" s="1189"/>
      <c r="AL180" s="1189"/>
      <c r="AM180" s="1189"/>
      <c r="AN180" s="1189"/>
      <c r="AO180" s="1189"/>
      <c r="AP180" s="1189"/>
      <c r="AQ180" s="1189"/>
      <c r="AR180" s="1189"/>
      <c r="AS180" s="1189"/>
      <c r="AT180" s="1189"/>
      <c r="AU180" s="1189"/>
      <c r="AV180" s="1189"/>
      <c r="AW180" s="1189"/>
      <c r="AX180" s="1189"/>
    </row>
    <row r="181" spans="1:50" ht="12" customHeight="1">
      <c r="A181" s="1123"/>
      <c r="B181" s="161"/>
      <c r="C181" s="1123"/>
      <c r="D181" s="1123"/>
      <c r="E181" s="1123"/>
      <c r="F181" s="1123"/>
      <c r="G181" s="1123"/>
      <c r="H181" s="1123"/>
      <c r="I181" s="1123"/>
      <c r="J181" s="1125"/>
      <c r="K181" s="156"/>
      <c r="L181" s="1123"/>
      <c r="M181" s="1205"/>
      <c r="N181" s="1123"/>
      <c r="O181" s="1123"/>
      <c r="P181" s="1123"/>
      <c r="Q181" s="1123"/>
      <c r="R181" s="1189"/>
      <c r="S181" s="1189"/>
      <c r="T181" s="1208"/>
      <c r="U181" s="1208"/>
      <c r="V181" s="1189"/>
      <c r="W181" s="1189"/>
      <c r="X181" s="1189"/>
      <c r="Y181" s="1189"/>
      <c r="Z181" s="1189"/>
      <c r="AA181" s="1189"/>
      <c r="AB181" s="1189"/>
      <c r="AC181" s="1189"/>
      <c r="AD181" s="1189"/>
      <c r="AE181" s="1189"/>
      <c r="AF181" s="1189"/>
      <c r="AG181" s="1189"/>
      <c r="AH181" s="1189"/>
      <c r="AI181" s="1189"/>
      <c r="AJ181" s="1189"/>
      <c r="AK181" s="1189"/>
      <c r="AL181" s="1189"/>
      <c r="AM181" s="1189"/>
      <c r="AN181" s="1189"/>
      <c r="AO181" s="1189"/>
      <c r="AP181" s="1189"/>
      <c r="AQ181" s="1189"/>
      <c r="AR181" s="1189"/>
      <c r="AS181" s="1189"/>
      <c r="AT181" s="1189"/>
      <c r="AU181" s="1189"/>
      <c r="AV181" s="1189"/>
      <c r="AW181" s="1189"/>
      <c r="AX181" s="1189"/>
    </row>
    <row r="182" spans="1:50" ht="12" customHeight="1">
      <c r="A182" s="1123"/>
      <c r="B182" s="161"/>
      <c r="C182" s="1123"/>
      <c r="D182" s="1123"/>
      <c r="E182" s="1123"/>
      <c r="F182" s="1123"/>
      <c r="G182" s="1123"/>
      <c r="H182" s="1123"/>
      <c r="I182" s="1123"/>
      <c r="J182" s="1125"/>
      <c r="K182" s="156"/>
      <c r="L182" s="1123"/>
      <c r="M182" s="1205"/>
      <c r="N182" s="1123"/>
      <c r="O182" s="1123"/>
      <c r="P182" s="1123"/>
      <c r="Q182" s="1123"/>
      <c r="R182" s="1189"/>
      <c r="S182" s="1189"/>
      <c r="T182" s="1208"/>
      <c r="U182" s="1208"/>
      <c r="V182" s="1189"/>
      <c r="W182" s="1189"/>
      <c r="X182" s="1189"/>
      <c r="Y182" s="1189"/>
      <c r="Z182" s="1189"/>
      <c r="AA182" s="1189"/>
      <c r="AB182" s="1189"/>
      <c r="AC182" s="1189"/>
      <c r="AD182" s="1189"/>
      <c r="AE182" s="1189"/>
      <c r="AF182" s="1189"/>
      <c r="AG182" s="1189"/>
      <c r="AH182" s="1189"/>
      <c r="AI182" s="1189"/>
      <c r="AJ182" s="1189"/>
      <c r="AK182" s="1189"/>
      <c r="AL182" s="1189"/>
      <c r="AM182" s="1189"/>
      <c r="AN182" s="1189"/>
      <c r="AO182" s="1189"/>
      <c r="AP182" s="1189"/>
      <c r="AQ182" s="1189"/>
      <c r="AR182" s="1189"/>
      <c r="AS182" s="1189"/>
      <c r="AT182" s="1189"/>
      <c r="AU182" s="1189"/>
      <c r="AV182" s="1189"/>
      <c r="AW182" s="1189"/>
      <c r="AX182" s="1189"/>
    </row>
    <row r="183" spans="1:50" ht="12" customHeight="1">
      <c r="A183" s="1123"/>
      <c r="B183" s="161"/>
      <c r="C183" s="1123"/>
      <c r="D183" s="1123"/>
      <c r="E183" s="1123"/>
      <c r="F183" s="1123"/>
      <c r="G183" s="1123"/>
      <c r="H183" s="1123"/>
      <c r="I183" s="1123"/>
      <c r="J183" s="1125"/>
      <c r="K183" s="156"/>
      <c r="L183" s="1123"/>
      <c r="M183" s="1205"/>
      <c r="N183" s="1123"/>
      <c r="O183" s="1123"/>
      <c r="P183" s="1123"/>
      <c r="Q183" s="1123"/>
      <c r="R183" s="1189"/>
      <c r="S183" s="1189"/>
      <c r="T183" s="1208"/>
      <c r="U183" s="1208"/>
      <c r="V183" s="1189"/>
      <c r="W183" s="1189"/>
      <c r="X183" s="1189"/>
      <c r="Y183" s="1189"/>
      <c r="Z183" s="1189"/>
      <c r="AA183" s="1189"/>
      <c r="AB183" s="1189"/>
      <c r="AC183" s="1189"/>
      <c r="AD183" s="1189"/>
      <c r="AE183" s="1189"/>
      <c r="AF183" s="1189"/>
      <c r="AG183" s="1189"/>
      <c r="AH183" s="1189"/>
      <c r="AI183" s="1189"/>
      <c r="AJ183" s="1189"/>
      <c r="AK183" s="1189"/>
      <c r="AL183" s="1189"/>
      <c r="AM183" s="1189"/>
      <c r="AN183" s="1189"/>
      <c r="AO183" s="1189"/>
      <c r="AP183" s="1189"/>
      <c r="AQ183" s="1189"/>
      <c r="AR183" s="1189"/>
      <c r="AS183" s="1189"/>
      <c r="AT183" s="1189"/>
      <c r="AU183" s="1189"/>
      <c r="AV183" s="1189"/>
      <c r="AW183" s="1189"/>
      <c r="AX183" s="1189"/>
    </row>
    <row r="184" spans="1:50" ht="12" customHeight="1">
      <c r="A184" s="1123"/>
      <c r="B184" s="161"/>
      <c r="C184" s="1123"/>
      <c r="D184" s="1123"/>
      <c r="E184" s="1123"/>
      <c r="F184" s="1123"/>
      <c r="G184" s="1123"/>
      <c r="H184" s="1123"/>
      <c r="I184" s="1123"/>
      <c r="J184" s="1125"/>
      <c r="K184" s="156"/>
      <c r="L184" s="1123"/>
      <c r="M184" s="1205"/>
      <c r="N184" s="1123"/>
      <c r="O184" s="1123"/>
      <c r="P184" s="1123"/>
      <c r="Q184" s="1123"/>
      <c r="R184" s="1189"/>
      <c r="S184" s="1189"/>
      <c r="T184" s="1208"/>
      <c r="U184" s="1208"/>
      <c r="V184" s="1189"/>
      <c r="W184" s="1189"/>
      <c r="X184" s="1189"/>
      <c r="Y184" s="1189"/>
      <c r="Z184" s="1189"/>
      <c r="AA184" s="1189"/>
      <c r="AB184" s="1189"/>
      <c r="AC184" s="1189"/>
      <c r="AD184" s="1189"/>
      <c r="AE184" s="1189"/>
      <c r="AF184" s="1189"/>
      <c r="AG184" s="1189"/>
      <c r="AH184" s="1189"/>
      <c r="AI184" s="1189"/>
      <c r="AJ184" s="1189"/>
      <c r="AK184" s="1189"/>
      <c r="AL184" s="1189"/>
      <c r="AM184" s="1189"/>
      <c r="AN184" s="1189"/>
      <c r="AO184" s="1189"/>
      <c r="AP184" s="1189"/>
      <c r="AQ184" s="1189"/>
      <c r="AR184" s="1189"/>
      <c r="AS184" s="1189"/>
      <c r="AT184" s="1189"/>
      <c r="AU184" s="1189"/>
      <c r="AV184" s="1189"/>
      <c r="AW184" s="1189"/>
      <c r="AX184" s="1189"/>
    </row>
    <row r="185" spans="1:50" ht="12" customHeight="1">
      <c r="A185" s="1123"/>
      <c r="B185" s="161"/>
      <c r="C185" s="1123"/>
      <c r="D185" s="1123"/>
      <c r="E185" s="1123"/>
      <c r="F185" s="1123"/>
      <c r="G185" s="1123"/>
      <c r="H185" s="1123"/>
      <c r="I185" s="1123"/>
      <c r="J185" s="1125"/>
      <c r="K185" s="156"/>
      <c r="L185" s="1123"/>
      <c r="M185" s="1205"/>
      <c r="N185" s="1123"/>
      <c r="O185" s="1123"/>
      <c r="P185" s="1123"/>
      <c r="Q185" s="1123"/>
      <c r="R185" s="1189"/>
      <c r="S185" s="1189"/>
      <c r="T185" s="1208"/>
      <c r="U185" s="1208"/>
      <c r="V185" s="1189"/>
      <c r="W185" s="1189"/>
      <c r="X185" s="1189"/>
      <c r="Y185" s="1189"/>
      <c r="Z185" s="1189"/>
      <c r="AA185" s="1189"/>
      <c r="AB185" s="1189"/>
      <c r="AC185" s="1189"/>
      <c r="AD185" s="1189"/>
      <c r="AE185" s="1189"/>
      <c r="AF185" s="1189"/>
      <c r="AG185" s="1189"/>
      <c r="AH185" s="1189"/>
      <c r="AI185" s="1189"/>
      <c r="AJ185" s="1189"/>
      <c r="AK185" s="1189"/>
      <c r="AL185" s="1189"/>
      <c r="AM185" s="1189"/>
      <c r="AN185" s="1189"/>
      <c r="AO185" s="1189"/>
      <c r="AP185" s="1189"/>
      <c r="AQ185" s="1189"/>
      <c r="AR185" s="1189"/>
      <c r="AS185" s="1189"/>
      <c r="AT185" s="1189"/>
      <c r="AU185" s="1189"/>
      <c r="AV185" s="1189"/>
      <c r="AW185" s="1189"/>
      <c r="AX185" s="1189"/>
    </row>
    <row r="186" spans="1:50" ht="12" customHeight="1">
      <c r="A186" s="1123"/>
      <c r="B186" s="161"/>
      <c r="C186" s="1123"/>
      <c r="D186" s="1123"/>
      <c r="E186" s="1123"/>
      <c r="F186" s="1123"/>
      <c r="G186" s="1123"/>
      <c r="H186" s="1123"/>
      <c r="I186" s="1123"/>
      <c r="J186" s="1125"/>
      <c r="K186" s="156"/>
      <c r="L186" s="1123"/>
      <c r="M186" s="1205"/>
      <c r="N186" s="1123"/>
      <c r="O186" s="1123"/>
      <c r="P186" s="1123"/>
      <c r="Q186" s="1123"/>
      <c r="R186" s="1189"/>
      <c r="S186" s="1189"/>
      <c r="T186" s="1208"/>
      <c r="U186" s="1208"/>
      <c r="V186" s="1189"/>
      <c r="W186" s="1189"/>
      <c r="X186" s="1189"/>
      <c r="Y186" s="1189"/>
      <c r="Z186" s="1189"/>
      <c r="AA186" s="1189"/>
      <c r="AB186" s="1189"/>
      <c r="AC186" s="1189"/>
      <c r="AD186" s="1189"/>
      <c r="AE186" s="1189"/>
      <c r="AF186" s="1189"/>
      <c r="AG186" s="1189"/>
      <c r="AH186" s="1189"/>
      <c r="AI186" s="1189"/>
      <c r="AJ186" s="1189"/>
      <c r="AK186" s="1189"/>
      <c r="AL186" s="1189"/>
      <c r="AM186" s="1189"/>
      <c r="AN186" s="1189"/>
      <c r="AO186" s="1189"/>
      <c r="AP186" s="1189"/>
      <c r="AQ186" s="1189"/>
      <c r="AR186" s="1189"/>
      <c r="AS186" s="1189"/>
      <c r="AT186" s="1189"/>
      <c r="AU186" s="1189"/>
      <c r="AV186" s="1189"/>
      <c r="AW186" s="1189"/>
      <c r="AX186" s="1189"/>
    </row>
    <row r="187" spans="1:50" ht="12" customHeight="1">
      <c r="A187" s="1123"/>
      <c r="B187" s="161"/>
      <c r="C187" s="1123"/>
      <c r="D187" s="1123"/>
      <c r="E187" s="1123"/>
      <c r="F187" s="1123"/>
      <c r="G187" s="1123"/>
      <c r="H187" s="1123"/>
      <c r="I187" s="1123"/>
      <c r="J187" s="1125"/>
      <c r="K187" s="156"/>
      <c r="L187" s="1123"/>
      <c r="M187" s="1205"/>
      <c r="N187" s="1123"/>
      <c r="O187" s="1123"/>
      <c r="P187" s="1123"/>
      <c r="Q187" s="1123"/>
      <c r="R187" s="1189"/>
      <c r="S187" s="1189"/>
      <c r="T187" s="1208"/>
      <c r="U187" s="1208"/>
      <c r="V187" s="1189"/>
      <c r="W187" s="1189"/>
      <c r="X187" s="1189"/>
      <c r="Y187" s="1189"/>
      <c r="Z187" s="1189"/>
      <c r="AA187" s="1189"/>
      <c r="AB187" s="1189"/>
      <c r="AC187" s="1189"/>
      <c r="AD187" s="1189"/>
      <c r="AE187" s="1189"/>
      <c r="AF187" s="1189"/>
      <c r="AG187" s="1189"/>
      <c r="AH187" s="1189"/>
      <c r="AI187" s="1189"/>
      <c r="AJ187" s="1189"/>
      <c r="AK187" s="1189"/>
      <c r="AL187" s="1189"/>
      <c r="AM187" s="1189"/>
      <c r="AN187" s="1189"/>
      <c r="AO187" s="1189"/>
      <c r="AP187" s="1189"/>
      <c r="AQ187" s="1189"/>
      <c r="AR187" s="1189"/>
      <c r="AS187" s="1189"/>
      <c r="AT187" s="1189"/>
      <c r="AU187" s="1189"/>
      <c r="AV187" s="1189"/>
      <c r="AW187" s="1189"/>
      <c r="AX187" s="1189"/>
    </row>
    <row r="188" spans="1:50" ht="12" customHeight="1">
      <c r="A188" s="1123"/>
      <c r="B188" s="161"/>
      <c r="C188" s="1123"/>
      <c r="D188" s="1123"/>
      <c r="E188" s="1123"/>
      <c r="F188" s="1123"/>
      <c r="G188" s="1123"/>
      <c r="H188" s="1123"/>
      <c r="I188" s="1123"/>
      <c r="J188" s="1125"/>
      <c r="K188" s="156"/>
      <c r="L188" s="1123"/>
      <c r="M188" s="1205"/>
      <c r="N188" s="1123"/>
      <c r="O188" s="1123"/>
      <c r="P188" s="1123"/>
      <c r="Q188" s="1123"/>
      <c r="R188" s="1189"/>
      <c r="S188" s="1189"/>
      <c r="T188" s="1208"/>
      <c r="U188" s="1208"/>
      <c r="V188" s="1189"/>
      <c r="W188" s="1189"/>
      <c r="X188" s="1189"/>
      <c r="Y188" s="1189"/>
      <c r="Z188" s="1189"/>
      <c r="AA188" s="1189"/>
      <c r="AB188" s="1189"/>
      <c r="AC188" s="1189"/>
      <c r="AD188" s="1189"/>
      <c r="AE188" s="1189"/>
      <c r="AF188" s="1189"/>
      <c r="AG188" s="1189"/>
      <c r="AH188" s="1189"/>
      <c r="AI188" s="1189"/>
      <c r="AJ188" s="1189"/>
      <c r="AK188" s="1189"/>
      <c r="AL188" s="1189"/>
      <c r="AM188" s="1189"/>
      <c r="AN188" s="1189"/>
      <c r="AO188" s="1189"/>
      <c r="AP188" s="1189"/>
      <c r="AQ188" s="1189"/>
      <c r="AR188" s="1189"/>
      <c r="AS188" s="1189"/>
      <c r="AT188" s="1189"/>
      <c r="AU188" s="1189"/>
      <c r="AV188" s="1189"/>
      <c r="AW188" s="1189"/>
      <c r="AX188" s="1189"/>
    </row>
    <row r="189" spans="1:50" ht="12" customHeight="1">
      <c r="A189" s="1123"/>
      <c r="B189" s="161"/>
      <c r="C189" s="1123"/>
      <c r="D189" s="1123"/>
      <c r="E189" s="1123"/>
      <c r="F189" s="1123"/>
      <c r="G189" s="1123"/>
      <c r="H189" s="1123"/>
      <c r="I189" s="1123"/>
      <c r="J189" s="1125"/>
      <c r="K189" s="156"/>
      <c r="L189" s="1123"/>
      <c r="M189" s="1205"/>
      <c r="N189" s="1123"/>
      <c r="O189" s="1123"/>
      <c r="P189" s="1123"/>
      <c r="Q189" s="1123"/>
      <c r="R189" s="1189"/>
      <c r="S189" s="1189"/>
      <c r="T189" s="1208"/>
      <c r="U189" s="1208"/>
      <c r="V189" s="1189"/>
      <c r="W189" s="1189"/>
      <c r="X189" s="1189"/>
      <c r="Y189" s="1189"/>
      <c r="Z189" s="1189"/>
      <c r="AA189" s="1189"/>
      <c r="AB189" s="1189"/>
      <c r="AC189" s="1189"/>
      <c r="AD189" s="1189"/>
      <c r="AE189" s="1189"/>
      <c r="AF189" s="1189"/>
      <c r="AG189" s="1189"/>
      <c r="AH189" s="1189"/>
      <c r="AI189" s="1189"/>
      <c r="AJ189" s="1189"/>
      <c r="AK189" s="1189"/>
      <c r="AL189" s="1189"/>
      <c r="AM189" s="1189"/>
      <c r="AN189" s="1189"/>
      <c r="AO189" s="1189"/>
      <c r="AP189" s="1189"/>
      <c r="AQ189" s="1189"/>
      <c r="AR189" s="1189"/>
      <c r="AS189" s="1189"/>
      <c r="AT189" s="1189"/>
      <c r="AU189" s="1189"/>
      <c r="AV189" s="1189"/>
      <c r="AW189" s="1189"/>
      <c r="AX189" s="1189"/>
    </row>
    <row r="190" spans="1:50" ht="12" customHeight="1">
      <c r="A190" s="1123"/>
      <c r="B190" s="161"/>
      <c r="C190" s="1123"/>
      <c r="D190" s="1123"/>
      <c r="E190" s="1123"/>
      <c r="F190" s="1123"/>
      <c r="G190" s="1123"/>
      <c r="H190" s="1123"/>
      <c r="I190" s="1123"/>
      <c r="J190" s="1125"/>
      <c r="K190" s="156"/>
      <c r="L190" s="1123"/>
      <c r="M190" s="1205"/>
      <c r="N190" s="1123"/>
      <c r="O190" s="1123"/>
      <c r="P190" s="1123"/>
      <c r="Q190" s="1123"/>
      <c r="R190" s="1189"/>
      <c r="S190" s="1189"/>
      <c r="T190" s="1208"/>
      <c r="U190" s="1208"/>
      <c r="V190" s="1189"/>
      <c r="W190" s="1189"/>
      <c r="X190" s="1189"/>
      <c r="Y190" s="1189"/>
      <c r="Z190" s="1189"/>
      <c r="AA190" s="1189"/>
      <c r="AB190" s="1189"/>
      <c r="AC190" s="1189"/>
      <c r="AD190" s="1189"/>
      <c r="AE190" s="1189"/>
      <c r="AF190" s="1189"/>
      <c r="AG190" s="1189"/>
      <c r="AH190" s="1189"/>
      <c r="AI190" s="1189"/>
      <c r="AJ190" s="1189"/>
      <c r="AK190" s="1189"/>
      <c r="AL190" s="1189"/>
      <c r="AM190" s="1189"/>
      <c r="AN190" s="1189"/>
      <c r="AO190" s="1189"/>
      <c r="AP190" s="1189"/>
      <c r="AQ190" s="1189"/>
      <c r="AR190" s="1189"/>
      <c r="AS190" s="1189"/>
      <c r="AT190" s="1189"/>
      <c r="AU190" s="1189"/>
      <c r="AV190" s="1189"/>
      <c r="AW190" s="1189"/>
      <c r="AX190" s="1189"/>
    </row>
    <row r="191" spans="1:50" ht="12" customHeight="1">
      <c r="A191" s="1123"/>
      <c r="B191" s="161"/>
      <c r="C191" s="1123"/>
      <c r="D191" s="1123"/>
      <c r="E191" s="1123"/>
      <c r="F191" s="1123"/>
      <c r="G191" s="1123"/>
      <c r="H191" s="1123"/>
      <c r="I191" s="1123"/>
      <c r="J191" s="1125"/>
      <c r="K191" s="156"/>
      <c r="L191" s="1123"/>
      <c r="M191" s="1205"/>
      <c r="N191" s="1123"/>
      <c r="O191" s="1123"/>
      <c r="P191" s="1123"/>
      <c r="Q191" s="1123"/>
      <c r="R191" s="1189"/>
      <c r="S191" s="1189"/>
      <c r="T191" s="1208"/>
      <c r="U191" s="1208"/>
      <c r="V191" s="1189"/>
      <c r="W191" s="1189"/>
      <c r="X191" s="1189"/>
      <c r="Y191" s="1189"/>
      <c r="Z191" s="1189"/>
      <c r="AA191" s="1189"/>
      <c r="AB191" s="1189"/>
      <c r="AC191" s="1189"/>
      <c r="AD191" s="1189"/>
      <c r="AE191" s="1189"/>
      <c r="AF191" s="1189"/>
      <c r="AG191" s="1189"/>
      <c r="AH191" s="1189"/>
      <c r="AI191" s="1189"/>
      <c r="AJ191" s="1189"/>
      <c r="AK191" s="1189"/>
      <c r="AL191" s="1189"/>
      <c r="AM191" s="1189"/>
      <c r="AN191" s="1189"/>
      <c r="AO191" s="1189"/>
      <c r="AP191" s="1189"/>
      <c r="AQ191" s="1189"/>
      <c r="AR191" s="1189"/>
      <c r="AS191" s="1189"/>
      <c r="AT191" s="1189"/>
      <c r="AU191" s="1189"/>
      <c r="AV191" s="1189"/>
      <c r="AW191" s="1189"/>
      <c r="AX191" s="1189"/>
    </row>
    <row r="192" spans="1:50" ht="12" customHeight="1">
      <c r="A192" s="1123"/>
      <c r="B192" s="161"/>
      <c r="C192" s="1123"/>
      <c r="D192" s="1123"/>
      <c r="E192" s="1123"/>
      <c r="F192" s="1123"/>
      <c r="G192" s="1123"/>
      <c r="H192" s="1123"/>
      <c r="I192" s="1123"/>
      <c r="J192" s="1125"/>
      <c r="K192" s="156"/>
      <c r="L192" s="1123"/>
      <c r="M192" s="1205"/>
      <c r="N192" s="1123"/>
      <c r="O192" s="1123"/>
      <c r="P192" s="1123"/>
      <c r="Q192" s="1123"/>
      <c r="R192" s="1189"/>
      <c r="S192" s="1189"/>
      <c r="T192" s="1208"/>
      <c r="U192" s="1208"/>
      <c r="V192" s="1189"/>
      <c r="W192" s="1189"/>
      <c r="X192" s="1189"/>
      <c r="Y192" s="1189"/>
      <c r="Z192" s="1189"/>
      <c r="AA192" s="1189"/>
      <c r="AB192" s="1189"/>
      <c r="AC192" s="1189"/>
      <c r="AD192" s="1189"/>
      <c r="AE192" s="1189"/>
      <c r="AF192" s="1189"/>
      <c r="AG192" s="1189"/>
      <c r="AH192" s="1189"/>
      <c r="AI192" s="1189"/>
      <c r="AJ192" s="1189"/>
      <c r="AK192" s="1189"/>
      <c r="AL192" s="1189"/>
      <c r="AM192" s="1189"/>
      <c r="AN192" s="1189"/>
      <c r="AO192" s="1189"/>
      <c r="AP192" s="1189"/>
      <c r="AQ192" s="1189"/>
      <c r="AR192" s="1189"/>
      <c r="AS192" s="1189"/>
      <c r="AT192" s="1189"/>
      <c r="AU192" s="1189"/>
      <c r="AV192" s="1189"/>
      <c r="AW192" s="1189"/>
      <c r="AX192" s="1189"/>
    </row>
    <row r="193" spans="1:50" ht="12" customHeight="1">
      <c r="A193" s="1123"/>
      <c r="B193" s="161"/>
      <c r="C193" s="1123"/>
      <c r="D193" s="1123"/>
      <c r="E193" s="1123"/>
      <c r="F193" s="1123"/>
      <c r="G193" s="1123"/>
      <c r="H193" s="1123"/>
      <c r="I193" s="1123"/>
      <c r="J193" s="1125"/>
      <c r="K193" s="156"/>
      <c r="L193" s="1123"/>
      <c r="M193" s="1205"/>
      <c r="N193" s="1123"/>
      <c r="O193" s="1123"/>
      <c r="P193" s="1123"/>
      <c r="Q193" s="1123"/>
      <c r="R193" s="1189"/>
      <c r="S193" s="1189"/>
      <c r="T193" s="1208"/>
      <c r="U193" s="1208"/>
      <c r="V193" s="1189"/>
      <c r="W193" s="1189"/>
      <c r="X193" s="1189"/>
      <c r="Y193" s="1189"/>
      <c r="Z193" s="1189"/>
      <c r="AA193" s="1189"/>
      <c r="AB193" s="1189"/>
      <c r="AC193" s="1189"/>
      <c r="AD193" s="1189"/>
      <c r="AE193" s="1189"/>
      <c r="AF193" s="1189"/>
      <c r="AG193" s="1189"/>
      <c r="AH193" s="1189"/>
      <c r="AI193" s="1189"/>
      <c r="AJ193" s="1189"/>
      <c r="AK193" s="1189"/>
      <c r="AL193" s="1189"/>
      <c r="AM193" s="1189"/>
      <c r="AN193" s="1189"/>
      <c r="AO193" s="1189"/>
      <c r="AP193" s="1189"/>
      <c r="AQ193" s="1189"/>
      <c r="AR193" s="1189"/>
      <c r="AS193" s="1189"/>
      <c r="AT193" s="1189"/>
      <c r="AU193" s="1189"/>
      <c r="AV193" s="1189"/>
      <c r="AW193" s="1189"/>
      <c r="AX193" s="1189"/>
    </row>
    <row r="194" spans="1:50" ht="12" customHeight="1">
      <c r="A194" s="1123"/>
      <c r="B194" s="161"/>
      <c r="C194" s="1123"/>
      <c r="D194" s="1123"/>
      <c r="E194" s="1123"/>
      <c r="F194" s="1123"/>
      <c r="G194" s="1123"/>
      <c r="H194" s="1123"/>
      <c r="I194" s="1123"/>
      <c r="J194" s="1125"/>
      <c r="K194" s="156"/>
      <c r="L194" s="1123"/>
      <c r="M194" s="1205"/>
      <c r="N194" s="1123"/>
      <c r="O194" s="1123"/>
      <c r="P194" s="1123"/>
      <c r="Q194" s="1123"/>
      <c r="R194" s="1189"/>
      <c r="S194" s="1189"/>
      <c r="T194" s="1208"/>
      <c r="U194" s="1208"/>
      <c r="V194" s="1189"/>
      <c r="W194" s="1189"/>
      <c r="X194" s="1189"/>
      <c r="Y194" s="1189"/>
      <c r="Z194" s="1189"/>
      <c r="AA194" s="1189"/>
      <c r="AB194" s="1189"/>
      <c r="AC194" s="1189"/>
      <c r="AD194" s="1189"/>
      <c r="AE194" s="1189"/>
      <c r="AF194" s="1189"/>
      <c r="AG194" s="1189"/>
      <c r="AH194" s="1189"/>
      <c r="AI194" s="1189"/>
      <c r="AJ194" s="1189"/>
      <c r="AK194" s="1189"/>
      <c r="AL194" s="1189"/>
      <c r="AM194" s="1189"/>
      <c r="AN194" s="1189"/>
      <c r="AO194" s="1189"/>
      <c r="AP194" s="1189"/>
      <c r="AQ194" s="1189"/>
      <c r="AR194" s="1189"/>
      <c r="AS194" s="1189"/>
      <c r="AT194" s="1189"/>
      <c r="AU194" s="1189"/>
      <c r="AV194" s="1189"/>
      <c r="AW194" s="1189"/>
      <c r="AX194" s="1189"/>
    </row>
    <row r="195" spans="1:50" ht="12" customHeight="1">
      <c r="A195" s="1123"/>
      <c r="B195" s="161"/>
      <c r="C195" s="1123"/>
      <c r="D195" s="1123"/>
      <c r="E195" s="1123"/>
      <c r="F195" s="1123"/>
      <c r="G195" s="1123"/>
      <c r="H195" s="1123"/>
      <c r="I195" s="1123"/>
      <c r="J195" s="1125"/>
      <c r="K195" s="156"/>
      <c r="L195" s="1123"/>
      <c r="M195" s="1205"/>
      <c r="N195" s="1123"/>
      <c r="O195" s="1123"/>
      <c r="P195" s="1123"/>
      <c r="Q195" s="1123"/>
      <c r="R195" s="1189"/>
      <c r="S195" s="1189"/>
      <c r="T195" s="1208"/>
      <c r="U195" s="1208"/>
      <c r="V195" s="1189"/>
      <c r="W195" s="1189"/>
      <c r="X195" s="1189"/>
      <c r="Y195" s="1189"/>
      <c r="Z195" s="1189"/>
      <c r="AA195" s="1189"/>
      <c r="AB195" s="1189"/>
      <c r="AC195" s="1189"/>
      <c r="AD195" s="1189"/>
      <c r="AE195" s="1189"/>
      <c r="AF195" s="1189"/>
      <c r="AG195" s="1189"/>
      <c r="AH195" s="1189"/>
      <c r="AI195" s="1189"/>
      <c r="AJ195" s="1189"/>
      <c r="AK195" s="1189"/>
      <c r="AL195" s="1189"/>
      <c r="AM195" s="1189"/>
      <c r="AN195" s="1189"/>
      <c r="AO195" s="1189"/>
      <c r="AP195" s="1189"/>
      <c r="AQ195" s="1189"/>
      <c r="AR195" s="1189"/>
      <c r="AS195" s="1189"/>
      <c r="AT195" s="1189"/>
      <c r="AU195" s="1189"/>
      <c r="AV195" s="1189"/>
      <c r="AW195" s="1189"/>
      <c r="AX195" s="1189"/>
    </row>
    <row r="196" spans="1:50" ht="12" customHeight="1">
      <c r="A196" s="1123"/>
      <c r="B196" s="161"/>
      <c r="C196" s="1123"/>
      <c r="D196" s="1123"/>
      <c r="E196" s="1123"/>
      <c r="F196" s="1123"/>
      <c r="G196" s="1123"/>
      <c r="H196" s="1123"/>
      <c r="I196" s="1123"/>
      <c r="J196" s="1125"/>
      <c r="K196" s="156"/>
      <c r="L196" s="1123"/>
      <c r="M196" s="1205"/>
      <c r="N196" s="1123"/>
      <c r="O196" s="1123"/>
      <c r="P196" s="1123"/>
      <c r="Q196" s="1123"/>
      <c r="R196" s="1189"/>
      <c r="S196" s="1189"/>
      <c r="T196" s="1208"/>
      <c r="U196" s="1208"/>
      <c r="V196" s="1189"/>
      <c r="W196" s="1189"/>
      <c r="X196" s="1189"/>
      <c r="Y196" s="1189"/>
      <c r="Z196" s="1189"/>
      <c r="AA196" s="1189"/>
      <c r="AB196" s="1189"/>
      <c r="AC196" s="1189"/>
      <c r="AD196" s="1189"/>
      <c r="AE196" s="1189"/>
      <c r="AF196" s="1189"/>
      <c r="AG196" s="1189"/>
      <c r="AH196" s="1189"/>
      <c r="AI196" s="1189"/>
      <c r="AJ196" s="1189"/>
      <c r="AK196" s="1189"/>
      <c r="AL196" s="1189"/>
      <c r="AM196" s="1189"/>
      <c r="AN196" s="1189"/>
      <c r="AO196" s="1189"/>
      <c r="AP196" s="1189"/>
      <c r="AQ196" s="1189"/>
      <c r="AR196" s="1189"/>
      <c r="AS196" s="1189"/>
      <c r="AT196" s="1189"/>
      <c r="AU196" s="1189"/>
      <c r="AV196" s="1189"/>
      <c r="AW196" s="1189"/>
      <c r="AX196" s="1189"/>
    </row>
    <row r="197" spans="1:50" ht="12" customHeight="1">
      <c r="A197" s="1123"/>
      <c r="B197" s="161"/>
      <c r="C197" s="1123"/>
      <c r="D197" s="1123"/>
      <c r="E197" s="1123"/>
      <c r="F197" s="1123"/>
      <c r="G197" s="1123"/>
      <c r="H197" s="1123"/>
      <c r="I197" s="1123"/>
      <c r="J197" s="1125"/>
      <c r="K197" s="156"/>
      <c r="L197" s="1123"/>
      <c r="M197" s="1205"/>
      <c r="N197" s="1123"/>
      <c r="O197" s="1123"/>
      <c r="P197" s="1123"/>
      <c r="Q197" s="1123"/>
      <c r="R197" s="1189"/>
      <c r="S197" s="1189"/>
      <c r="T197" s="1208"/>
      <c r="U197" s="1208"/>
      <c r="V197" s="1189"/>
      <c r="W197" s="1189"/>
      <c r="X197" s="1189"/>
      <c r="Y197" s="1189"/>
      <c r="Z197" s="1189"/>
      <c r="AA197" s="1189"/>
      <c r="AB197" s="1189"/>
      <c r="AC197" s="1189"/>
      <c r="AD197" s="1189"/>
      <c r="AE197" s="1189"/>
      <c r="AF197" s="1189"/>
      <c r="AG197" s="1189"/>
      <c r="AH197" s="1189"/>
      <c r="AI197" s="1189"/>
      <c r="AJ197" s="1189"/>
      <c r="AK197" s="1189"/>
      <c r="AL197" s="1189"/>
      <c r="AM197" s="1189"/>
      <c r="AN197" s="1189"/>
      <c r="AO197" s="1189"/>
      <c r="AP197" s="1189"/>
      <c r="AQ197" s="1189"/>
      <c r="AR197" s="1189"/>
      <c r="AS197" s="1189"/>
      <c r="AT197" s="1189"/>
      <c r="AU197" s="1189"/>
      <c r="AV197" s="1189"/>
      <c r="AW197" s="1189"/>
      <c r="AX197" s="1189"/>
    </row>
    <row r="198" spans="1:50" ht="12" customHeight="1">
      <c r="A198" s="1123"/>
      <c r="B198" s="161"/>
      <c r="C198" s="1123"/>
      <c r="D198" s="1123"/>
      <c r="E198" s="1123"/>
      <c r="F198" s="1123"/>
      <c r="G198" s="1123"/>
      <c r="H198" s="1123"/>
      <c r="I198" s="1123"/>
      <c r="J198" s="1125"/>
      <c r="K198" s="156"/>
      <c r="L198" s="1123"/>
      <c r="M198" s="1205"/>
      <c r="N198" s="1123"/>
      <c r="O198" s="1123"/>
      <c r="P198" s="1123"/>
      <c r="Q198" s="1123"/>
      <c r="R198" s="1189"/>
      <c r="S198" s="1189"/>
      <c r="T198" s="1208"/>
      <c r="U198" s="1208"/>
      <c r="V198" s="1189"/>
      <c r="W198" s="1189"/>
      <c r="X198" s="1189"/>
      <c r="Y198" s="1189"/>
      <c r="Z198" s="1189"/>
      <c r="AA198" s="1189"/>
      <c r="AB198" s="1189"/>
      <c r="AC198" s="1189"/>
      <c r="AD198" s="1189"/>
      <c r="AE198" s="1189"/>
      <c r="AF198" s="1189"/>
      <c r="AG198" s="1189"/>
      <c r="AH198" s="1189"/>
      <c r="AI198" s="1189"/>
      <c r="AJ198" s="1189"/>
      <c r="AK198" s="1189"/>
      <c r="AL198" s="1189"/>
      <c r="AM198" s="1189"/>
      <c r="AN198" s="1189"/>
      <c r="AO198" s="1189"/>
      <c r="AP198" s="1189"/>
      <c r="AQ198" s="1189"/>
      <c r="AR198" s="1189"/>
      <c r="AS198" s="1189"/>
      <c r="AT198" s="1189"/>
      <c r="AU198" s="1189"/>
      <c r="AV198" s="1189"/>
      <c r="AW198" s="1189"/>
      <c r="AX198" s="1189"/>
    </row>
    <row r="199" spans="1:50" ht="12" customHeight="1">
      <c r="A199" s="1123"/>
      <c r="B199" s="161"/>
      <c r="C199" s="1123"/>
      <c r="D199" s="1123"/>
      <c r="E199" s="1123"/>
      <c r="F199" s="1123"/>
      <c r="G199" s="1123"/>
      <c r="H199" s="1123"/>
      <c r="I199" s="1123"/>
      <c r="J199" s="1125"/>
      <c r="K199" s="156"/>
      <c r="L199" s="1123"/>
      <c r="M199" s="1205"/>
      <c r="N199" s="1123"/>
      <c r="O199" s="1123"/>
      <c r="P199" s="1123"/>
      <c r="Q199" s="1123"/>
      <c r="R199" s="1189"/>
      <c r="S199" s="1189"/>
      <c r="T199" s="1208"/>
      <c r="U199" s="1208"/>
      <c r="V199" s="1189"/>
      <c r="W199" s="1189"/>
      <c r="X199" s="1189"/>
      <c r="Y199" s="1189"/>
      <c r="Z199" s="1189"/>
      <c r="AA199" s="1189"/>
      <c r="AB199" s="1189"/>
      <c r="AC199" s="1189"/>
      <c r="AD199" s="1189"/>
      <c r="AE199" s="1189"/>
      <c r="AF199" s="1189"/>
      <c r="AG199" s="1189"/>
      <c r="AH199" s="1189"/>
      <c r="AI199" s="1189"/>
      <c r="AJ199" s="1189"/>
      <c r="AK199" s="1189"/>
      <c r="AL199" s="1189"/>
      <c r="AM199" s="1189"/>
      <c r="AN199" s="1189"/>
      <c r="AO199" s="1189"/>
      <c r="AP199" s="1189"/>
      <c r="AQ199" s="1189"/>
      <c r="AR199" s="1189"/>
      <c r="AS199" s="1189"/>
      <c r="AT199" s="1189"/>
      <c r="AU199" s="1189"/>
      <c r="AV199" s="1189"/>
      <c r="AW199" s="1189"/>
      <c r="AX199" s="1189"/>
    </row>
    <row r="200" spans="1:50" ht="12" customHeight="1">
      <c r="A200" s="1123"/>
      <c r="B200" s="161"/>
      <c r="C200" s="1123"/>
      <c r="D200" s="1123"/>
      <c r="E200" s="1123"/>
      <c r="F200" s="1123"/>
      <c r="G200" s="1123"/>
      <c r="H200" s="1123"/>
      <c r="I200" s="1123"/>
      <c r="J200" s="1125"/>
      <c r="K200" s="156"/>
      <c r="L200" s="1123"/>
      <c r="M200" s="1205"/>
      <c r="N200" s="1123"/>
      <c r="O200" s="1123"/>
      <c r="P200" s="1123"/>
      <c r="Q200" s="1123"/>
      <c r="R200" s="1189"/>
      <c r="S200" s="1189"/>
      <c r="T200" s="1208"/>
      <c r="U200" s="1208"/>
      <c r="V200" s="1189"/>
      <c r="W200" s="1189"/>
      <c r="X200" s="1189"/>
      <c r="Y200" s="1189"/>
      <c r="Z200" s="1189"/>
      <c r="AA200" s="1189"/>
      <c r="AB200" s="1189"/>
      <c r="AC200" s="1189"/>
      <c r="AD200" s="1189"/>
      <c r="AE200" s="1189"/>
      <c r="AF200" s="1189"/>
      <c r="AG200" s="1189"/>
      <c r="AH200" s="1189"/>
      <c r="AI200" s="1189"/>
      <c r="AJ200" s="1189"/>
      <c r="AK200" s="1189"/>
      <c r="AL200" s="1189"/>
      <c r="AM200" s="1189"/>
      <c r="AN200" s="1189"/>
      <c r="AO200" s="1189"/>
      <c r="AP200" s="1189"/>
      <c r="AQ200" s="1189"/>
      <c r="AR200" s="1189"/>
      <c r="AS200" s="1189"/>
      <c r="AT200" s="1189"/>
      <c r="AU200" s="1189"/>
      <c r="AV200" s="1189"/>
      <c r="AW200" s="1189"/>
      <c r="AX200" s="1189"/>
    </row>
    <row r="201" spans="1:50" ht="12" customHeight="1">
      <c r="A201" s="1123"/>
      <c r="B201" s="161"/>
      <c r="C201" s="1123"/>
      <c r="D201" s="1123"/>
      <c r="E201" s="1123"/>
      <c r="F201" s="1123"/>
      <c r="G201" s="1123"/>
      <c r="H201" s="1123"/>
      <c r="I201" s="1123"/>
      <c r="J201" s="1125"/>
      <c r="K201" s="156"/>
      <c r="L201" s="1123"/>
      <c r="M201" s="1205"/>
      <c r="N201" s="1123"/>
      <c r="O201" s="1123"/>
      <c r="P201" s="1123"/>
      <c r="Q201" s="1123"/>
      <c r="R201" s="1189"/>
      <c r="S201" s="1189"/>
      <c r="T201" s="1208"/>
      <c r="U201" s="1208"/>
      <c r="V201" s="1189"/>
      <c r="W201" s="1189"/>
      <c r="X201" s="1189"/>
      <c r="Y201" s="1189"/>
      <c r="Z201" s="1189"/>
      <c r="AA201" s="1189"/>
      <c r="AB201" s="1189"/>
      <c r="AC201" s="1189"/>
      <c r="AD201" s="1189"/>
      <c r="AE201" s="1189"/>
      <c r="AF201" s="1189"/>
      <c r="AG201" s="1189"/>
      <c r="AH201" s="1189"/>
      <c r="AI201" s="1189"/>
      <c r="AJ201" s="1189"/>
      <c r="AK201" s="1189"/>
      <c r="AL201" s="1189"/>
      <c r="AM201" s="1189"/>
      <c r="AN201" s="1189"/>
      <c r="AO201" s="1189"/>
      <c r="AP201" s="1189"/>
      <c r="AQ201" s="1189"/>
      <c r="AR201" s="1189"/>
      <c r="AS201" s="1189"/>
      <c r="AT201" s="1189"/>
      <c r="AU201" s="1189"/>
      <c r="AV201" s="1189"/>
      <c r="AW201" s="1189"/>
      <c r="AX201" s="1189"/>
    </row>
    <row r="202" spans="1:50" ht="12" customHeight="1">
      <c r="A202" s="1123"/>
      <c r="B202" s="161"/>
      <c r="C202" s="1123"/>
      <c r="D202" s="1123"/>
      <c r="E202" s="1123"/>
      <c r="F202" s="1123"/>
      <c r="G202" s="1123"/>
      <c r="H202" s="1123"/>
      <c r="I202" s="1123"/>
      <c r="J202" s="1125"/>
      <c r="K202" s="156"/>
      <c r="L202" s="1123"/>
      <c r="M202" s="1205"/>
      <c r="N202" s="1123"/>
      <c r="O202" s="1123"/>
      <c r="P202" s="1123"/>
      <c r="Q202" s="1123"/>
      <c r="R202" s="1189"/>
      <c r="S202" s="1189"/>
      <c r="T202" s="1208"/>
      <c r="U202" s="1208"/>
      <c r="V202" s="1189"/>
      <c r="W202" s="1189"/>
      <c r="X202" s="1189"/>
      <c r="Y202" s="1189"/>
      <c r="Z202" s="1189"/>
      <c r="AA202" s="1189"/>
      <c r="AB202" s="1189"/>
      <c r="AC202" s="1189"/>
      <c r="AD202" s="1189"/>
      <c r="AE202" s="1189"/>
      <c r="AF202" s="1189"/>
      <c r="AG202" s="1189"/>
      <c r="AH202" s="1189"/>
      <c r="AI202" s="1189"/>
      <c r="AJ202" s="1189"/>
      <c r="AK202" s="1189"/>
      <c r="AL202" s="1189"/>
      <c r="AM202" s="1189"/>
      <c r="AN202" s="1189"/>
      <c r="AO202" s="1189"/>
      <c r="AP202" s="1189"/>
      <c r="AQ202" s="1189"/>
      <c r="AR202" s="1189"/>
      <c r="AS202" s="1189"/>
      <c r="AT202" s="1189"/>
      <c r="AU202" s="1189"/>
      <c r="AV202" s="1189"/>
      <c r="AW202" s="1189"/>
      <c r="AX202" s="1189"/>
    </row>
    <row r="203" spans="1:50" ht="12" customHeight="1">
      <c r="A203" s="1123"/>
      <c r="B203" s="161"/>
      <c r="C203" s="1123"/>
      <c r="D203" s="1123"/>
      <c r="E203" s="1123"/>
      <c r="F203" s="1123"/>
      <c r="G203" s="1123"/>
      <c r="H203" s="1123"/>
      <c r="I203" s="1123"/>
      <c r="J203" s="1125"/>
      <c r="K203" s="156"/>
      <c r="L203" s="1123"/>
      <c r="M203" s="1205"/>
      <c r="N203" s="1123"/>
      <c r="O203" s="1123"/>
      <c r="P203" s="1123"/>
      <c r="Q203" s="1123"/>
      <c r="R203" s="1189"/>
      <c r="S203" s="1189"/>
      <c r="T203" s="1208"/>
      <c r="U203" s="1208"/>
      <c r="V203" s="1189"/>
      <c r="W203" s="1189"/>
      <c r="X203" s="1189"/>
      <c r="Y203" s="1189"/>
      <c r="Z203" s="1189"/>
      <c r="AA203" s="1189"/>
      <c r="AB203" s="1189"/>
      <c r="AC203" s="1189"/>
      <c r="AD203" s="1189"/>
      <c r="AE203" s="1189"/>
      <c r="AF203" s="1189"/>
      <c r="AG203" s="1189"/>
      <c r="AH203" s="1189"/>
      <c r="AI203" s="1189"/>
      <c r="AJ203" s="1189"/>
      <c r="AK203" s="1189"/>
      <c r="AL203" s="1189"/>
      <c r="AM203" s="1189"/>
      <c r="AN203" s="1189"/>
      <c r="AO203" s="1189"/>
      <c r="AP203" s="1189"/>
      <c r="AQ203" s="1189"/>
      <c r="AR203" s="1189"/>
      <c r="AS203" s="1189"/>
      <c r="AT203" s="1189"/>
      <c r="AU203" s="1189"/>
      <c r="AV203" s="1189"/>
      <c r="AW203" s="1189"/>
      <c r="AX203" s="1189"/>
    </row>
    <row r="204" spans="1:50" ht="12" customHeight="1">
      <c r="A204" s="1123"/>
      <c r="B204" s="161"/>
      <c r="C204" s="1123"/>
      <c r="D204" s="1123"/>
      <c r="E204" s="1123"/>
      <c r="F204" s="1123"/>
      <c r="G204" s="1123"/>
      <c r="H204" s="1123"/>
      <c r="I204" s="1123"/>
      <c r="J204" s="1125"/>
      <c r="K204" s="156"/>
      <c r="L204" s="1123"/>
      <c r="M204" s="1205"/>
      <c r="N204" s="1123"/>
      <c r="O204" s="1123"/>
      <c r="P204" s="1123"/>
      <c r="Q204" s="1123"/>
      <c r="R204" s="1189"/>
      <c r="S204" s="1189"/>
      <c r="T204" s="1208"/>
      <c r="U204" s="1208"/>
      <c r="V204" s="1189"/>
      <c r="W204" s="1189"/>
      <c r="X204" s="1189"/>
      <c r="Y204" s="1189"/>
      <c r="Z204" s="1189"/>
      <c r="AA204" s="1189"/>
      <c r="AB204" s="1189"/>
      <c r="AC204" s="1189"/>
      <c r="AD204" s="1189"/>
      <c r="AE204" s="1189"/>
      <c r="AF204" s="1189"/>
      <c r="AG204" s="1189"/>
      <c r="AH204" s="1189"/>
      <c r="AI204" s="1189"/>
      <c r="AJ204" s="1189"/>
      <c r="AK204" s="1189"/>
      <c r="AL204" s="1189"/>
      <c r="AM204" s="1189"/>
      <c r="AN204" s="1189"/>
      <c r="AO204" s="1189"/>
      <c r="AP204" s="1189"/>
      <c r="AQ204" s="1189"/>
      <c r="AR204" s="1189"/>
      <c r="AS204" s="1189"/>
      <c r="AT204" s="1189"/>
      <c r="AU204" s="1189"/>
      <c r="AV204" s="1189"/>
      <c r="AW204" s="1189"/>
      <c r="AX204" s="1189"/>
    </row>
    <row r="205" spans="1:50" ht="12" customHeight="1">
      <c r="A205" s="1123"/>
      <c r="B205" s="161"/>
      <c r="C205" s="1123"/>
      <c r="D205" s="1123"/>
      <c r="E205" s="1123"/>
      <c r="F205" s="1123"/>
      <c r="G205" s="1123"/>
      <c r="H205" s="1123"/>
      <c r="I205" s="1123"/>
      <c r="J205" s="1125"/>
      <c r="K205" s="156"/>
      <c r="L205" s="1123"/>
      <c r="M205" s="1205"/>
      <c r="N205" s="1123"/>
      <c r="O205" s="1123"/>
      <c r="P205" s="1123"/>
      <c r="Q205" s="1123"/>
      <c r="R205" s="1189"/>
      <c r="S205" s="1189"/>
      <c r="T205" s="1208"/>
      <c r="U205" s="1208"/>
      <c r="V205" s="1189"/>
      <c r="W205" s="1189"/>
      <c r="X205" s="1189"/>
      <c r="Y205" s="1189"/>
      <c r="Z205" s="1189"/>
      <c r="AA205" s="1189"/>
      <c r="AB205" s="1189"/>
      <c r="AC205" s="1189"/>
      <c r="AD205" s="1189"/>
      <c r="AE205" s="1189"/>
      <c r="AF205" s="1189"/>
      <c r="AG205" s="1189"/>
      <c r="AH205" s="1189"/>
      <c r="AI205" s="1189"/>
      <c r="AJ205" s="1189"/>
      <c r="AK205" s="1189"/>
      <c r="AL205" s="1189"/>
      <c r="AM205" s="1189"/>
      <c r="AN205" s="1189"/>
      <c r="AO205" s="1189"/>
      <c r="AP205" s="1189"/>
      <c r="AQ205" s="1189"/>
      <c r="AR205" s="1189"/>
      <c r="AS205" s="1189"/>
      <c r="AT205" s="1189"/>
      <c r="AU205" s="1189"/>
      <c r="AV205" s="1189"/>
      <c r="AW205" s="1189"/>
      <c r="AX205" s="1189"/>
    </row>
    <row r="206" spans="1:50" ht="12" customHeight="1">
      <c r="A206" s="1123"/>
      <c r="B206" s="161"/>
      <c r="C206" s="1123"/>
      <c r="D206" s="1123"/>
      <c r="E206" s="1123"/>
      <c r="F206" s="1123"/>
      <c r="G206" s="1123"/>
      <c r="H206" s="1123"/>
      <c r="I206" s="1123"/>
      <c r="J206" s="1125"/>
      <c r="K206" s="156"/>
      <c r="L206" s="1123"/>
      <c r="M206" s="1205"/>
      <c r="N206" s="1123"/>
      <c r="O206" s="1123"/>
      <c r="P206" s="1123"/>
      <c r="Q206" s="1123"/>
      <c r="R206" s="1189"/>
      <c r="S206" s="1189"/>
      <c r="T206" s="1208"/>
      <c r="U206" s="1208"/>
      <c r="V206" s="1189"/>
      <c r="W206" s="1189"/>
      <c r="X206" s="1189"/>
      <c r="Y206" s="1189"/>
      <c r="Z206" s="1189"/>
      <c r="AA206" s="1189"/>
      <c r="AB206" s="1189"/>
      <c r="AC206" s="1189"/>
      <c r="AD206" s="1189"/>
      <c r="AE206" s="1189"/>
      <c r="AF206" s="1189"/>
      <c r="AG206" s="1189"/>
      <c r="AH206" s="1189"/>
      <c r="AI206" s="1189"/>
      <c r="AJ206" s="1189"/>
      <c r="AK206" s="1189"/>
      <c r="AL206" s="1189"/>
      <c r="AM206" s="1189"/>
      <c r="AN206" s="1189"/>
      <c r="AO206" s="1189"/>
      <c r="AP206" s="1189"/>
      <c r="AQ206" s="1189"/>
      <c r="AR206" s="1189"/>
      <c r="AS206" s="1189"/>
      <c r="AT206" s="1189"/>
      <c r="AU206" s="1189"/>
      <c r="AV206" s="1189"/>
      <c r="AW206" s="1189"/>
      <c r="AX206" s="1189"/>
    </row>
    <row r="207" spans="1:50" ht="12" customHeight="1">
      <c r="A207" s="1123"/>
      <c r="B207" s="161"/>
      <c r="C207" s="1123"/>
      <c r="D207" s="1123"/>
      <c r="E207" s="1123"/>
      <c r="F207" s="1123"/>
      <c r="G207" s="1123"/>
      <c r="H207" s="1123"/>
      <c r="I207" s="1123"/>
      <c r="J207" s="1125"/>
      <c r="K207" s="156"/>
      <c r="L207" s="1123"/>
      <c r="M207" s="1205"/>
      <c r="N207" s="1123"/>
      <c r="O207" s="1123"/>
      <c r="P207" s="1123"/>
      <c r="Q207" s="1123"/>
      <c r="R207" s="1189"/>
      <c r="S207" s="1189"/>
      <c r="T207" s="1208"/>
      <c r="U207" s="1208"/>
      <c r="V207" s="1189"/>
      <c r="W207" s="1189"/>
      <c r="X207" s="1189"/>
      <c r="Y207" s="1189"/>
      <c r="Z207" s="1189"/>
      <c r="AA207" s="1189"/>
      <c r="AB207" s="1189"/>
      <c r="AC207" s="1189"/>
      <c r="AD207" s="1189"/>
      <c r="AE207" s="1189"/>
      <c r="AF207" s="1189"/>
      <c r="AG207" s="1189"/>
      <c r="AH207" s="1189"/>
      <c r="AI207" s="1189"/>
      <c r="AJ207" s="1189"/>
      <c r="AK207" s="1189"/>
      <c r="AL207" s="1189"/>
      <c r="AM207" s="1189"/>
      <c r="AN207" s="1189"/>
      <c r="AO207" s="1189"/>
      <c r="AP207" s="1189"/>
      <c r="AQ207" s="1189"/>
      <c r="AR207" s="1189"/>
      <c r="AS207" s="1189"/>
      <c r="AT207" s="1189"/>
      <c r="AU207" s="1189"/>
      <c r="AV207" s="1189"/>
      <c r="AW207" s="1189"/>
      <c r="AX207" s="1189"/>
    </row>
    <row r="208" spans="1:50" ht="12" customHeight="1">
      <c r="A208" s="1123"/>
      <c r="B208" s="161"/>
      <c r="C208" s="1123"/>
      <c r="D208" s="1123"/>
      <c r="E208" s="1123"/>
      <c r="F208" s="1123"/>
      <c r="G208" s="1123"/>
      <c r="H208" s="1123"/>
      <c r="I208" s="1123"/>
      <c r="J208" s="1125"/>
      <c r="K208" s="156"/>
      <c r="L208" s="1123"/>
      <c r="M208" s="1205"/>
      <c r="N208" s="1123"/>
      <c r="O208" s="1123"/>
      <c r="P208" s="1123"/>
      <c r="Q208" s="1123"/>
      <c r="R208" s="1189"/>
      <c r="S208" s="1189"/>
      <c r="T208" s="1208"/>
      <c r="U208" s="1208"/>
      <c r="V208" s="1189"/>
      <c r="W208" s="1189"/>
      <c r="X208" s="1189"/>
      <c r="Y208" s="1189"/>
      <c r="Z208" s="1189"/>
      <c r="AA208" s="1189"/>
      <c r="AB208" s="1189"/>
      <c r="AC208" s="1189"/>
      <c r="AD208" s="1189"/>
      <c r="AE208" s="1189"/>
      <c r="AF208" s="1189"/>
      <c r="AG208" s="1189"/>
      <c r="AH208" s="1189"/>
      <c r="AI208" s="1189"/>
      <c r="AJ208" s="1189"/>
      <c r="AK208" s="1189"/>
      <c r="AL208" s="1189"/>
      <c r="AM208" s="1189"/>
      <c r="AN208" s="1189"/>
      <c r="AO208" s="1189"/>
      <c r="AP208" s="1189"/>
      <c r="AQ208" s="1189"/>
      <c r="AR208" s="1189"/>
      <c r="AS208" s="1189"/>
      <c r="AT208" s="1189"/>
      <c r="AU208" s="1189"/>
      <c r="AV208" s="1189"/>
      <c r="AW208" s="1189"/>
      <c r="AX208" s="1189"/>
    </row>
    <row r="209" spans="1:50" ht="12" customHeight="1">
      <c r="A209" s="1123"/>
      <c r="B209" s="161"/>
      <c r="C209" s="1123"/>
      <c r="D209" s="1123"/>
      <c r="E209" s="1123"/>
      <c r="F209" s="1123"/>
      <c r="G209" s="1123"/>
      <c r="H209" s="1123"/>
      <c r="I209" s="1123"/>
      <c r="J209" s="1125"/>
      <c r="K209" s="156"/>
      <c r="L209" s="1123"/>
      <c r="M209" s="1205"/>
      <c r="N209" s="1123"/>
      <c r="O209" s="1123"/>
      <c r="P209" s="1123"/>
      <c r="Q209" s="1123"/>
      <c r="R209" s="1189"/>
      <c r="S209" s="1189"/>
      <c r="T209" s="1208"/>
      <c r="U209" s="1208"/>
      <c r="V209" s="1189"/>
      <c r="W209" s="1189"/>
      <c r="X209" s="1189"/>
      <c r="Y209" s="1189"/>
      <c r="Z209" s="1189"/>
      <c r="AA209" s="1189"/>
      <c r="AB209" s="1189"/>
      <c r="AC209" s="1189"/>
      <c r="AD209" s="1189"/>
      <c r="AE209" s="1189"/>
      <c r="AF209" s="1189"/>
      <c r="AG209" s="1189"/>
      <c r="AH209" s="1189"/>
      <c r="AI209" s="1189"/>
      <c r="AJ209" s="1189"/>
      <c r="AK209" s="1189"/>
      <c r="AL209" s="1189"/>
      <c r="AM209" s="1189"/>
      <c r="AN209" s="1189"/>
      <c r="AO209" s="1189"/>
      <c r="AP209" s="1189"/>
      <c r="AQ209" s="1189"/>
      <c r="AR209" s="1189"/>
      <c r="AS209" s="1189"/>
      <c r="AT209" s="1189"/>
      <c r="AU209" s="1189"/>
      <c r="AV209" s="1189"/>
      <c r="AW209" s="1189"/>
      <c r="AX209" s="1189"/>
    </row>
    <row r="210" spans="1:50" ht="12" customHeight="1">
      <c r="A210" s="1123"/>
      <c r="B210" s="161"/>
      <c r="C210" s="1123"/>
      <c r="D210" s="1123"/>
      <c r="E210" s="1123"/>
      <c r="F210" s="1123"/>
      <c r="G210" s="1123"/>
      <c r="H210" s="1123"/>
      <c r="I210" s="1123"/>
      <c r="J210" s="1125"/>
      <c r="K210" s="156"/>
      <c r="L210" s="1123"/>
      <c r="M210" s="1205"/>
      <c r="N210" s="1123"/>
      <c r="O210" s="1123"/>
      <c r="P210" s="1123"/>
      <c r="Q210" s="1123"/>
      <c r="R210" s="1189"/>
      <c r="S210" s="1189"/>
      <c r="T210" s="1208"/>
      <c r="U210" s="1208"/>
      <c r="V210" s="1189"/>
      <c r="W210" s="1189"/>
      <c r="X210" s="1189"/>
      <c r="Y210" s="1189"/>
      <c r="Z210" s="1189"/>
      <c r="AA210" s="1189"/>
      <c r="AB210" s="1189"/>
      <c r="AC210" s="1189"/>
      <c r="AD210" s="1189"/>
      <c r="AE210" s="1189"/>
      <c r="AF210" s="1189"/>
      <c r="AG210" s="1189"/>
      <c r="AH210" s="1189"/>
      <c r="AI210" s="1189"/>
      <c r="AJ210" s="1189"/>
      <c r="AK210" s="1189"/>
      <c r="AL210" s="1189"/>
      <c r="AM210" s="1189"/>
      <c r="AN210" s="1189"/>
      <c r="AO210" s="1189"/>
      <c r="AP210" s="1189"/>
      <c r="AQ210" s="1189"/>
      <c r="AR210" s="1189"/>
      <c r="AS210" s="1189"/>
      <c r="AT210" s="1189"/>
      <c r="AU210" s="1189"/>
      <c r="AV210" s="1189"/>
      <c r="AW210" s="1189"/>
      <c r="AX210" s="1189"/>
    </row>
    <row r="211" spans="1:50" ht="12" customHeight="1">
      <c r="A211" s="1123"/>
      <c r="B211" s="161"/>
      <c r="C211" s="1123"/>
      <c r="D211" s="1123"/>
      <c r="E211" s="1123"/>
      <c r="F211" s="1123"/>
      <c r="G211" s="1123"/>
      <c r="H211" s="1123"/>
      <c r="I211" s="1123"/>
      <c r="J211" s="1125"/>
      <c r="K211" s="156"/>
      <c r="L211" s="1123"/>
      <c r="M211" s="1205"/>
      <c r="N211" s="1123"/>
      <c r="O211" s="1123"/>
      <c r="P211" s="1123"/>
      <c r="Q211" s="1123"/>
      <c r="R211" s="1189"/>
      <c r="S211" s="1189"/>
      <c r="T211" s="1208"/>
      <c r="U211" s="1208"/>
      <c r="V211" s="1189"/>
      <c r="W211" s="1189"/>
      <c r="X211" s="1189"/>
      <c r="Y211" s="1189"/>
      <c r="Z211" s="1189"/>
      <c r="AA211" s="1189"/>
      <c r="AB211" s="1189"/>
      <c r="AC211" s="1189"/>
      <c r="AD211" s="1189"/>
      <c r="AE211" s="1189"/>
      <c r="AF211" s="1189"/>
      <c r="AG211" s="1189"/>
      <c r="AH211" s="1189"/>
      <c r="AI211" s="1189"/>
      <c r="AJ211" s="1189"/>
      <c r="AK211" s="1189"/>
      <c r="AL211" s="1189"/>
      <c r="AM211" s="1189"/>
      <c r="AN211" s="1189"/>
      <c r="AO211" s="1189"/>
      <c r="AP211" s="1189"/>
      <c r="AQ211" s="1189"/>
      <c r="AR211" s="1189"/>
      <c r="AS211" s="1189"/>
      <c r="AT211" s="1189"/>
      <c r="AU211" s="1189"/>
      <c r="AV211" s="1189"/>
      <c r="AW211" s="1189"/>
      <c r="AX211" s="1189"/>
    </row>
    <row r="212" spans="1:50" ht="12" customHeight="1">
      <c r="A212" s="1123"/>
      <c r="B212" s="161"/>
      <c r="C212" s="1123"/>
      <c r="D212" s="1123"/>
      <c r="E212" s="1123"/>
      <c r="F212" s="1123"/>
      <c r="G212" s="1123"/>
      <c r="H212" s="1123"/>
      <c r="I212" s="1123"/>
      <c r="J212" s="1125"/>
      <c r="K212" s="156"/>
      <c r="L212" s="1123"/>
      <c r="M212" s="1205"/>
      <c r="N212" s="1123"/>
      <c r="O212" s="1123"/>
      <c r="P212" s="1123"/>
      <c r="Q212" s="1123"/>
      <c r="R212" s="1189"/>
      <c r="S212" s="1189"/>
      <c r="T212" s="1208"/>
      <c r="U212" s="1208"/>
      <c r="V212" s="1189"/>
      <c r="W212" s="1189"/>
      <c r="X212" s="1189"/>
      <c r="Y212" s="1189"/>
      <c r="Z212" s="1189"/>
      <c r="AA212" s="1189"/>
      <c r="AB212" s="1189"/>
      <c r="AC212" s="1189"/>
      <c r="AD212" s="1189"/>
      <c r="AE212" s="1189"/>
      <c r="AF212" s="1189"/>
      <c r="AG212" s="1189"/>
      <c r="AH212" s="1189"/>
      <c r="AI212" s="1189"/>
      <c r="AJ212" s="1189"/>
      <c r="AK212" s="1189"/>
      <c r="AL212" s="1189"/>
      <c r="AM212" s="1189"/>
      <c r="AN212" s="1189"/>
      <c r="AO212" s="1189"/>
      <c r="AP212" s="1189"/>
      <c r="AQ212" s="1189"/>
      <c r="AR212" s="1189"/>
      <c r="AS212" s="1189"/>
      <c r="AT212" s="1189"/>
      <c r="AU212" s="1189"/>
      <c r="AV212" s="1189"/>
      <c r="AW212" s="1189"/>
      <c r="AX212" s="1189"/>
    </row>
    <row r="213" spans="1:50" ht="12" customHeight="1">
      <c r="A213" s="1123"/>
      <c r="B213" s="161"/>
      <c r="C213" s="1123"/>
      <c r="D213" s="1123"/>
      <c r="E213" s="1123"/>
      <c r="F213" s="1123"/>
      <c r="G213" s="1123"/>
      <c r="H213" s="1123"/>
      <c r="I213" s="1123"/>
      <c r="J213" s="1125"/>
      <c r="K213" s="156"/>
      <c r="L213" s="1123"/>
      <c r="M213" s="1205"/>
      <c r="N213" s="1123"/>
      <c r="O213" s="1123"/>
      <c r="P213" s="1123"/>
      <c r="Q213" s="1123"/>
      <c r="R213" s="1189"/>
      <c r="S213" s="1189"/>
      <c r="T213" s="1208"/>
      <c r="U213" s="1208"/>
      <c r="V213" s="1189"/>
      <c r="W213" s="1189"/>
      <c r="X213" s="1189"/>
      <c r="Y213" s="1189"/>
      <c r="Z213" s="1189"/>
      <c r="AA213" s="1189"/>
      <c r="AB213" s="1189"/>
      <c r="AC213" s="1189"/>
      <c r="AD213" s="1189"/>
      <c r="AE213" s="1189"/>
      <c r="AF213" s="1189"/>
      <c r="AG213" s="1189"/>
      <c r="AH213" s="1189"/>
      <c r="AI213" s="1189"/>
      <c r="AJ213" s="1189"/>
      <c r="AK213" s="1189"/>
      <c r="AL213" s="1189"/>
      <c r="AM213" s="1189"/>
      <c r="AN213" s="1189"/>
      <c r="AO213" s="1189"/>
      <c r="AP213" s="1189"/>
      <c r="AQ213" s="1189"/>
      <c r="AR213" s="1189"/>
      <c r="AS213" s="1189"/>
      <c r="AT213" s="1189"/>
      <c r="AU213" s="1189"/>
      <c r="AV213" s="1189"/>
      <c r="AW213" s="1189"/>
      <c r="AX213" s="1189"/>
    </row>
    <row r="214" spans="1:50" ht="12" customHeight="1">
      <c r="A214" s="1123"/>
      <c r="B214" s="161"/>
      <c r="C214" s="1123"/>
      <c r="D214" s="1123"/>
      <c r="E214" s="1123"/>
      <c r="F214" s="1123"/>
      <c r="G214" s="1123"/>
      <c r="H214" s="1123"/>
      <c r="I214" s="1123"/>
      <c r="J214" s="1125"/>
      <c r="K214" s="156"/>
      <c r="L214" s="1123"/>
      <c r="M214" s="1205"/>
      <c r="N214" s="1123"/>
      <c r="O214" s="1123"/>
      <c r="P214" s="1123"/>
      <c r="Q214" s="1123"/>
      <c r="R214" s="1189"/>
      <c r="S214" s="1189"/>
      <c r="T214" s="1208"/>
      <c r="U214" s="1208"/>
      <c r="V214" s="1189"/>
      <c r="W214" s="1189"/>
      <c r="X214" s="1189"/>
      <c r="Y214" s="1189"/>
      <c r="Z214" s="1189"/>
      <c r="AA214" s="1189"/>
      <c r="AB214" s="1189"/>
      <c r="AC214" s="1189"/>
      <c r="AD214" s="1189"/>
      <c r="AE214" s="1189"/>
      <c r="AF214" s="1189"/>
      <c r="AG214" s="1189"/>
      <c r="AH214" s="1189"/>
      <c r="AI214" s="1189"/>
      <c r="AJ214" s="1189"/>
      <c r="AK214" s="1189"/>
      <c r="AL214" s="1189"/>
      <c r="AM214" s="1189"/>
      <c r="AN214" s="1189"/>
      <c r="AO214" s="1189"/>
      <c r="AP214" s="1189"/>
      <c r="AQ214" s="1189"/>
      <c r="AR214" s="1189"/>
      <c r="AS214" s="1189"/>
      <c r="AT214" s="1189"/>
      <c r="AU214" s="1189"/>
      <c r="AV214" s="1189"/>
      <c r="AW214" s="1189"/>
      <c r="AX214" s="1189"/>
    </row>
    <row r="215" spans="1:50" ht="12" customHeight="1">
      <c r="A215" s="1123"/>
      <c r="B215" s="161"/>
      <c r="C215" s="1123"/>
      <c r="D215" s="1123"/>
      <c r="E215" s="1123"/>
      <c r="F215" s="1123"/>
      <c r="G215" s="1123"/>
      <c r="H215" s="1123"/>
      <c r="I215" s="1123"/>
      <c r="J215" s="1125"/>
      <c r="K215" s="156"/>
      <c r="L215" s="1123"/>
      <c r="M215" s="1205"/>
      <c r="N215" s="1123"/>
      <c r="O215" s="1123"/>
      <c r="P215" s="1123"/>
      <c r="Q215" s="1123"/>
      <c r="R215" s="1189"/>
      <c r="S215" s="1189"/>
      <c r="T215" s="1208"/>
      <c r="U215" s="1208"/>
      <c r="V215" s="1189"/>
      <c r="W215" s="1189"/>
      <c r="X215" s="1189"/>
      <c r="Y215" s="1189"/>
      <c r="Z215" s="1189"/>
      <c r="AA215" s="1189"/>
      <c r="AB215" s="1189"/>
      <c r="AC215" s="1189"/>
      <c r="AD215" s="1189"/>
      <c r="AE215" s="1189"/>
      <c r="AF215" s="1189"/>
      <c r="AG215" s="1189"/>
      <c r="AH215" s="1189"/>
      <c r="AI215" s="1189"/>
      <c r="AJ215" s="1189"/>
      <c r="AK215" s="1189"/>
      <c r="AL215" s="1189"/>
      <c r="AM215" s="1189"/>
      <c r="AN215" s="1189"/>
      <c r="AO215" s="1189"/>
      <c r="AP215" s="1189"/>
      <c r="AQ215" s="1189"/>
      <c r="AR215" s="1189"/>
      <c r="AS215" s="1189"/>
      <c r="AT215" s="1189"/>
      <c r="AU215" s="1189"/>
      <c r="AV215" s="1189"/>
      <c r="AW215" s="1189"/>
      <c r="AX215" s="1189"/>
    </row>
    <row r="216" spans="1:50" ht="12" customHeight="1">
      <c r="A216" s="1123"/>
      <c r="B216" s="161"/>
      <c r="C216" s="1123"/>
      <c r="D216" s="1123"/>
      <c r="E216" s="1123"/>
      <c r="F216" s="1123"/>
      <c r="G216" s="1123"/>
      <c r="H216" s="1123"/>
      <c r="I216" s="1123"/>
      <c r="J216" s="1125"/>
      <c r="K216" s="156"/>
      <c r="L216" s="1123"/>
      <c r="M216" s="1205"/>
      <c r="N216" s="1123"/>
      <c r="O216" s="1123"/>
      <c r="P216" s="1123"/>
      <c r="Q216" s="1123"/>
      <c r="R216" s="1189"/>
      <c r="S216" s="1189"/>
      <c r="T216" s="1208"/>
      <c r="U216" s="1208"/>
      <c r="V216" s="1189"/>
      <c r="W216" s="1189"/>
      <c r="X216" s="1189"/>
      <c r="Y216" s="1189"/>
      <c r="Z216" s="1189"/>
      <c r="AA216" s="1189"/>
      <c r="AB216" s="1189"/>
      <c r="AC216" s="1189"/>
      <c r="AD216" s="1189"/>
      <c r="AE216" s="1189"/>
      <c r="AF216" s="1189"/>
      <c r="AG216" s="1189"/>
      <c r="AH216" s="1189"/>
      <c r="AI216" s="1189"/>
      <c r="AJ216" s="1189"/>
      <c r="AK216" s="1189"/>
      <c r="AL216" s="1189"/>
      <c r="AM216" s="1189"/>
      <c r="AN216" s="1189"/>
      <c r="AO216" s="1189"/>
      <c r="AP216" s="1189"/>
      <c r="AQ216" s="1189"/>
      <c r="AR216" s="1189"/>
      <c r="AS216" s="1189"/>
      <c r="AT216" s="1189"/>
      <c r="AU216" s="1189"/>
      <c r="AV216" s="1189"/>
      <c r="AW216" s="1189"/>
      <c r="AX216" s="1189"/>
    </row>
    <row r="217" spans="1:50" ht="12" customHeight="1">
      <c r="A217" s="1123"/>
      <c r="B217" s="161"/>
      <c r="C217" s="1123"/>
      <c r="D217" s="1123"/>
      <c r="E217" s="1123"/>
      <c r="F217" s="1123"/>
      <c r="G217" s="1123"/>
      <c r="H217" s="1123"/>
      <c r="I217" s="1123"/>
      <c r="J217" s="1125"/>
      <c r="K217" s="156"/>
      <c r="L217" s="1123"/>
      <c r="M217" s="1205"/>
      <c r="N217" s="1123"/>
      <c r="O217" s="1123"/>
      <c r="P217" s="1123"/>
      <c r="Q217" s="1123"/>
      <c r="R217" s="1189"/>
      <c r="S217" s="1189"/>
      <c r="T217" s="1208"/>
      <c r="U217" s="1208"/>
      <c r="V217" s="1189"/>
      <c r="W217" s="1189"/>
      <c r="X217" s="1189"/>
      <c r="Y217" s="1189"/>
      <c r="Z217" s="1189"/>
      <c r="AA217" s="1189"/>
      <c r="AB217" s="1189"/>
      <c r="AC217" s="1189"/>
      <c r="AD217" s="1189"/>
      <c r="AE217" s="1189"/>
      <c r="AF217" s="1189"/>
      <c r="AG217" s="1189"/>
      <c r="AH217" s="1189"/>
      <c r="AI217" s="1189"/>
      <c r="AJ217" s="1189"/>
      <c r="AK217" s="1189"/>
      <c r="AL217" s="1189"/>
      <c r="AM217" s="1189"/>
      <c r="AN217" s="1189"/>
      <c r="AO217" s="1189"/>
      <c r="AP217" s="1189"/>
      <c r="AQ217" s="1189"/>
      <c r="AR217" s="1189"/>
      <c r="AS217" s="1189"/>
      <c r="AT217" s="1189"/>
      <c r="AU217" s="1189"/>
      <c r="AV217" s="1189"/>
      <c r="AW217" s="1189"/>
      <c r="AX217" s="1189"/>
    </row>
    <row r="218" spans="1:50" ht="12" customHeight="1">
      <c r="A218" s="1123"/>
      <c r="B218" s="161"/>
      <c r="C218" s="1123"/>
      <c r="D218" s="1123"/>
      <c r="E218" s="1123"/>
      <c r="F218" s="1123"/>
      <c r="G218" s="1123"/>
      <c r="H218" s="1123"/>
      <c r="I218" s="1123"/>
      <c r="J218" s="1125"/>
      <c r="K218" s="156"/>
      <c r="L218" s="1123"/>
      <c r="M218" s="1205"/>
      <c r="N218" s="1123"/>
      <c r="O218" s="1123"/>
      <c r="P218" s="1123"/>
      <c r="Q218" s="1123"/>
      <c r="R218" s="1189"/>
      <c r="S218" s="1189"/>
      <c r="T218" s="1208"/>
      <c r="U218" s="1208"/>
      <c r="V218" s="1189"/>
      <c r="W218" s="1189"/>
      <c r="X218" s="1189"/>
      <c r="Y218" s="1189"/>
      <c r="Z218" s="1189"/>
      <c r="AA218" s="1189"/>
      <c r="AB218" s="1189"/>
      <c r="AC218" s="1189"/>
      <c r="AD218" s="1189"/>
      <c r="AE218" s="1189"/>
      <c r="AF218" s="1189"/>
      <c r="AG218" s="1189"/>
      <c r="AH218" s="1189"/>
      <c r="AI218" s="1189"/>
      <c r="AJ218" s="1189"/>
      <c r="AK218" s="1189"/>
      <c r="AL218" s="1189"/>
      <c r="AM218" s="1189"/>
      <c r="AN218" s="1189"/>
      <c r="AO218" s="1189"/>
      <c r="AP218" s="1189"/>
      <c r="AQ218" s="1189"/>
      <c r="AR218" s="1189"/>
      <c r="AS218" s="1189"/>
      <c r="AT218" s="1189"/>
      <c r="AU218" s="1189"/>
      <c r="AV218" s="1189"/>
      <c r="AW218" s="1189"/>
      <c r="AX218" s="1189"/>
    </row>
    <row r="219" spans="1:50" ht="13.5" customHeight="1">
      <c r="A219" s="1123"/>
      <c r="B219" s="161"/>
      <c r="C219" s="1123"/>
      <c r="D219" s="1123"/>
      <c r="E219" s="1123"/>
      <c r="F219" s="1123"/>
      <c r="G219" s="1123"/>
      <c r="H219" s="1123"/>
      <c r="I219" s="1123"/>
      <c r="J219" s="1125"/>
      <c r="K219" s="156"/>
      <c r="L219" s="1123"/>
      <c r="M219" s="1205"/>
      <c r="N219" s="1123"/>
      <c r="O219" s="1123"/>
      <c r="P219" s="1123"/>
      <c r="Q219" s="1123"/>
      <c r="R219" s="1189"/>
      <c r="S219" s="1189"/>
      <c r="T219" s="1208"/>
      <c r="U219" s="1208"/>
      <c r="V219" s="1189"/>
      <c r="W219" s="1189"/>
      <c r="X219" s="1189"/>
      <c r="Y219" s="1189"/>
      <c r="Z219" s="1189"/>
      <c r="AA219" s="1189"/>
      <c r="AB219" s="1189"/>
      <c r="AC219" s="1189"/>
      <c r="AD219" s="1189"/>
      <c r="AE219" s="1189"/>
      <c r="AF219" s="1189"/>
      <c r="AG219" s="1189"/>
      <c r="AH219" s="1189"/>
      <c r="AI219" s="1189"/>
      <c r="AJ219" s="1189"/>
      <c r="AK219" s="1189"/>
      <c r="AL219" s="1189"/>
      <c r="AM219" s="1189"/>
      <c r="AN219" s="1189"/>
      <c r="AO219" s="1189"/>
      <c r="AP219" s="1189"/>
      <c r="AQ219" s="1189"/>
      <c r="AR219" s="1189"/>
      <c r="AS219" s="1189"/>
      <c r="AT219" s="1189"/>
      <c r="AU219" s="1189"/>
      <c r="AV219" s="1189"/>
      <c r="AW219" s="1189"/>
      <c r="AX219" s="1189"/>
    </row>
    <row r="220" spans="1:50" ht="12" customHeight="1">
      <c r="A220" s="1123"/>
      <c r="B220" s="161"/>
      <c r="C220" s="1123"/>
      <c r="D220" s="1123"/>
      <c r="E220" s="1123"/>
      <c r="F220" s="1123"/>
      <c r="G220" s="1123"/>
      <c r="H220" s="1123"/>
      <c r="I220" s="1123"/>
      <c r="J220" s="1125"/>
      <c r="K220" s="156"/>
      <c r="L220" s="1123"/>
      <c r="M220" s="1205"/>
      <c r="N220" s="1123"/>
      <c r="O220" s="1123"/>
      <c r="P220" s="1123"/>
      <c r="Q220" s="1123"/>
      <c r="R220" s="1189"/>
      <c r="S220" s="1189"/>
      <c r="T220" s="1208"/>
      <c r="U220" s="1208"/>
      <c r="V220" s="1189"/>
      <c r="W220" s="1189"/>
      <c r="X220" s="1189"/>
      <c r="Y220" s="1189"/>
      <c r="Z220" s="1189"/>
      <c r="AA220" s="1189"/>
      <c r="AB220" s="1189"/>
      <c r="AC220" s="1189"/>
      <c r="AD220" s="1189"/>
      <c r="AE220" s="1189"/>
      <c r="AF220" s="1189"/>
      <c r="AG220" s="1189"/>
      <c r="AH220" s="1189"/>
      <c r="AI220" s="1189"/>
      <c r="AJ220" s="1189"/>
      <c r="AK220" s="1189"/>
      <c r="AL220" s="1189"/>
      <c r="AM220" s="1189"/>
      <c r="AN220" s="1189"/>
      <c r="AO220" s="1189"/>
      <c r="AP220" s="1189"/>
      <c r="AQ220" s="1189"/>
      <c r="AR220" s="1189"/>
      <c r="AS220" s="1189"/>
      <c r="AT220" s="1189"/>
      <c r="AU220" s="1189"/>
      <c r="AV220" s="1189"/>
      <c r="AW220" s="1189"/>
      <c r="AX220" s="1189"/>
    </row>
    <row r="221" spans="1:50" ht="12" customHeight="1">
      <c r="A221" s="1123"/>
      <c r="B221" s="161"/>
      <c r="C221" s="1123"/>
      <c r="D221" s="1123"/>
      <c r="E221" s="1123"/>
      <c r="F221" s="1123"/>
      <c r="G221" s="1123"/>
      <c r="H221" s="1123"/>
      <c r="I221" s="1123"/>
      <c r="J221" s="1125"/>
      <c r="K221" s="156"/>
      <c r="L221" s="1123"/>
      <c r="M221" s="1205"/>
      <c r="N221" s="1123"/>
      <c r="O221" s="1123"/>
      <c r="P221" s="1123"/>
      <c r="Q221" s="1123"/>
      <c r="R221" s="1189"/>
      <c r="S221" s="1189"/>
      <c r="T221" s="1208"/>
      <c r="U221" s="1208"/>
      <c r="V221" s="1189"/>
      <c r="W221" s="1189"/>
      <c r="X221" s="1189"/>
      <c r="Y221" s="1189"/>
      <c r="Z221" s="1189"/>
      <c r="AA221" s="1189"/>
      <c r="AB221" s="1189"/>
      <c r="AC221" s="1189"/>
      <c r="AD221" s="1189"/>
      <c r="AE221" s="1189"/>
      <c r="AF221" s="1189"/>
      <c r="AG221" s="1189"/>
      <c r="AH221" s="1189"/>
      <c r="AI221" s="1189"/>
      <c r="AJ221" s="1189"/>
      <c r="AK221" s="1189"/>
      <c r="AL221" s="1189"/>
      <c r="AM221" s="1189"/>
      <c r="AN221" s="1189"/>
      <c r="AO221" s="1189"/>
      <c r="AP221" s="1189"/>
      <c r="AQ221" s="1189"/>
      <c r="AR221" s="1189"/>
      <c r="AS221" s="1189"/>
      <c r="AT221" s="1189"/>
      <c r="AU221" s="1189"/>
      <c r="AV221" s="1189"/>
      <c r="AW221" s="1189"/>
      <c r="AX221" s="1189"/>
    </row>
    <row r="222" spans="1:50" ht="12" customHeight="1">
      <c r="A222" s="1123"/>
      <c r="B222" s="161"/>
      <c r="C222" s="1123"/>
      <c r="D222" s="1123"/>
      <c r="E222" s="1123"/>
      <c r="F222" s="1123"/>
      <c r="G222" s="1123"/>
      <c r="H222" s="1123"/>
      <c r="I222" s="1123"/>
      <c r="J222" s="1125"/>
      <c r="K222" s="156"/>
      <c r="L222" s="1123"/>
      <c r="M222" s="1205"/>
      <c r="N222" s="1123"/>
      <c r="O222" s="1123"/>
      <c r="P222" s="1123"/>
      <c r="Q222" s="1123"/>
      <c r="R222" s="1189"/>
      <c r="S222" s="1189"/>
      <c r="T222" s="1208"/>
      <c r="U222" s="1208"/>
      <c r="V222" s="1189"/>
      <c r="W222" s="1189"/>
      <c r="X222" s="1189"/>
      <c r="Y222" s="1189"/>
      <c r="Z222" s="1189"/>
      <c r="AA222" s="1189"/>
      <c r="AB222" s="1189"/>
      <c r="AC222" s="1189"/>
      <c r="AD222" s="1189"/>
      <c r="AE222" s="1189"/>
      <c r="AF222" s="1189"/>
      <c r="AG222" s="1189"/>
      <c r="AH222" s="1189"/>
      <c r="AI222" s="1189"/>
      <c r="AJ222" s="1189"/>
      <c r="AK222" s="1189"/>
      <c r="AL222" s="1189"/>
      <c r="AM222" s="1189"/>
      <c r="AN222" s="1189"/>
      <c r="AO222" s="1189"/>
      <c r="AP222" s="1189"/>
      <c r="AQ222" s="1189"/>
      <c r="AR222" s="1189"/>
      <c r="AS222" s="1189"/>
      <c r="AT222" s="1189"/>
      <c r="AU222" s="1189"/>
      <c r="AV222" s="1189"/>
      <c r="AW222" s="1189"/>
      <c r="AX222" s="1189"/>
    </row>
    <row r="223" spans="1:50" ht="12" customHeight="1">
      <c r="A223" s="1123"/>
      <c r="B223" s="161"/>
      <c r="C223" s="1123"/>
      <c r="D223" s="1123"/>
      <c r="E223" s="1123"/>
      <c r="F223" s="1123"/>
      <c r="G223" s="1123"/>
      <c r="H223" s="1123"/>
      <c r="I223" s="1123"/>
      <c r="J223" s="1125"/>
      <c r="K223" s="156"/>
      <c r="L223" s="1123"/>
      <c r="M223" s="1205"/>
      <c r="N223" s="1123"/>
      <c r="O223" s="1123"/>
      <c r="P223" s="1123"/>
      <c r="Q223" s="1123"/>
      <c r="R223" s="1189"/>
      <c r="S223" s="1189"/>
      <c r="T223" s="1208"/>
      <c r="U223" s="1208"/>
      <c r="V223" s="1189"/>
      <c r="W223" s="1189"/>
      <c r="X223" s="1189"/>
      <c r="Y223" s="1189"/>
      <c r="Z223" s="1189"/>
      <c r="AA223" s="1189"/>
      <c r="AB223" s="1189"/>
      <c r="AC223" s="1189"/>
      <c r="AD223" s="1189"/>
      <c r="AE223" s="1189"/>
      <c r="AF223" s="1189"/>
      <c r="AG223" s="1189"/>
      <c r="AH223" s="1189"/>
      <c r="AI223" s="1189"/>
      <c r="AJ223" s="1189"/>
      <c r="AK223" s="1189"/>
      <c r="AL223" s="1189"/>
      <c r="AM223" s="1189"/>
      <c r="AN223" s="1189"/>
      <c r="AO223" s="1189"/>
      <c r="AP223" s="1189"/>
      <c r="AQ223" s="1189"/>
      <c r="AR223" s="1189"/>
      <c r="AS223" s="1189"/>
      <c r="AT223" s="1189"/>
      <c r="AU223" s="1189"/>
      <c r="AV223" s="1189"/>
      <c r="AW223" s="1189"/>
      <c r="AX223" s="1189"/>
    </row>
    <row r="224" spans="1:50" ht="12" customHeight="1">
      <c r="A224" s="1123"/>
      <c r="B224" s="161"/>
      <c r="C224" s="1123"/>
      <c r="D224" s="1123"/>
      <c r="E224" s="1123"/>
      <c r="F224" s="1123"/>
      <c r="G224" s="1123"/>
      <c r="H224" s="1123"/>
      <c r="I224" s="1123"/>
      <c r="J224" s="1125"/>
      <c r="K224" s="156"/>
      <c r="L224" s="1123"/>
      <c r="M224" s="1205"/>
      <c r="N224" s="1123"/>
      <c r="O224" s="1123"/>
      <c r="P224" s="1123"/>
      <c r="Q224" s="1123"/>
      <c r="R224" s="1189"/>
      <c r="S224" s="1189"/>
      <c r="T224" s="1208"/>
      <c r="U224" s="1208"/>
      <c r="V224" s="1189"/>
      <c r="W224" s="1189"/>
      <c r="X224" s="1189"/>
      <c r="Y224" s="1189"/>
      <c r="Z224" s="1189"/>
      <c r="AA224" s="1189"/>
      <c r="AB224" s="1189"/>
      <c r="AC224" s="1189"/>
      <c r="AD224" s="1189"/>
      <c r="AE224" s="1189"/>
      <c r="AF224" s="1189"/>
      <c r="AG224" s="1189"/>
      <c r="AH224" s="1189"/>
      <c r="AI224" s="1189"/>
      <c r="AJ224" s="1189"/>
      <c r="AK224" s="1189"/>
      <c r="AL224" s="1189"/>
      <c r="AM224" s="1189"/>
      <c r="AN224" s="1189"/>
      <c r="AO224" s="1189"/>
      <c r="AP224" s="1189"/>
      <c r="AQ224" s="1189"/>
      <c r="AR224" s="1189"/>
      <c r="AS224" s="1189"/>
      <c r="AT224" s="1189"/>
      <c r="AU224" s="1189"/>
      <c r="AV224" s="1189"/>
      <c r="AW224" s="1189"/>
      <c r="AX224" s="1189"/>
    </row>
    <row r="225" spans="1:50" ht="12" customHeight="1">
      <c r="A225" s="1123"/>
      <c r="B225" s="161"/>
      <c r="C225" s="1123"/>
      <c r="D225" s="1123"/>
      <c r="E225" s="1123"/>
      <c r="F225" s="1123"/>
      <c r="G225" s="1123"/>
      <c r="H225" s="1123"/>
      <c r="I225" s="1123"/>
      <c r="J225" s="1125"/>
      <c r="K225" s="156"/>
      <c r="L225" s="1123"/>
      <c r="M225" s="1205"/>
      <c r="N225" s="1123"/>
      <c r="O225" s="1123"/>
      <c r="P225" s="1123"/>
      <c r="Q225" s="1123"/>
      <c r="R225" s="1189"/>
      <c r="S225" s="1189"/>
      <c r="T225" s="1208"/>
      <c r="U225" s="1208"/>
      <c r="V225" s="1189"/>
      <c r="W225" s="1189"/>
      <c r="X225" s="1189"/>
      <c r="Y225" s="1189"/>
      <c r="Z225" s="1189"/>
      <c r="AA225" s="1189"/>
      <c r="AB225" s="1189"/>
      <c r="AC225" s="1189"/>
      <c r="AD225" s="1189"/>
      <c r="AE225" s="1189"/>
      <c r="AF225" s="1189"/>
      <c r="AG225" s="1189"/>
      <c r="AH225" s="1189"/>
      <c r="AI225" s="1189"/>
      <c r="AJ225" s="1189"/>
      <c r="AK225" s="1189"/>
      <c r="AL225" s="1189"/>
      <c r="AM225" s="1189"/>
      <c r="AN225" s="1189"/>
      <c r="AO225" s="1189"/>
      <c r="AP225" s="1189"/>
      <c r="AQ225" s="1189"/>
      <c r="AR225" s="1189"/>
      <c r="AS225" s="1189"/>
      <c r="AT225" s="1189"/>
      <c r="AU225" s="1189"/>
      <c r="AV225" s="1189"/>
      <c r="AW225" s="1189"/>
      <c r="AX225" s="1189"/>
    </row>
    <row r="226" spans="1:50" ht="12" customHeight="1">
      <c r="A226" s="1123"/>
      <c r="B226" s="161"/>
      <c r="C226" s="1123"/>
      <c r="D226" s="1123"/>
      <c r="E226" s="1123"/>
      <c r="F226" s="1123"/>
      <c r="G226" s="1123"/>
      <c r="H226" s="1123"/>
      <c r="I226" s="1123"/>
      <c r="J226" s="1125"/>
      <c r="K226" s="156"/>
      <c r="L226" s="1123"/>
      <c r="M226" s="1205"/>
      <c r="N226" s="1123"/>
      <c r="O226" s="1123"/>
      <c r="P226" s="1123"/>
      <c r="Q226" s="1123"/>
      <c r="R226" s="1189"/>
      <c r="S226" s="1189"/>
      <c r="T226" s="1208"/>
      <c r="U226" s="1208"/>
      <c r="V226" s="1189"/>
      <c r="W226" s="1189"/>
      <c r="X226" s="1189"/>
      <c r="Y226" s="1189"/>
      <c r="Z226" s="1189"/>
      <c r="AA226" s="1189"/>
      <c r="AB226" s="1189"/>
      <c r="AC226" s="1189"/>
      <c r="AD226" s="1189"/>
      <c r="AE226" s="1189"/>
      <c r="AF226" s="1189"/>
      <c r="AG226" s="1189"/>
      <c r="AH226" s="1189"/>
      <c r="AI226" s="1189"/>
      <c r="AJ226" s="1189"/>
      <c r="AK226" s="1189"/>
      <c r="AL226" s="1189"/>
      <c r="AM226" s="1189"/>
      <c r="AN226" s="1189"/>
      <c r="AO226" s="1189"/>
      <c r="AP226" s="1189"/>
      <c r="AQ226" s="1189"/>
      <c r="AR226" s="1189"/>
      <c r="AS226" s="1189"/>
      <c r="AT226" s="1189"/>
      <c r="AU226" s="1189"/>
      <c r="AV226" s="1189"/>
      <c r="AW226" s="1189"/>
      <c r="AX226" s="1189"/>
    </row>
    <row r="227" spans="1:50" ht="12" customHeight="1">
      <c r="A227" s="1123"/>
      <c r="B227" s="161"/>
      <c r="C227" s="1123"/>
      <c r="D227" s="1123"/>
      <c r="E227" s="1123"/>
      <c r="F227" s="1123"/>
      <c r="G227" s="1123"/>
      <c r="H227" s="1123"/>
      <c r="I227" s="1123"/>
      <c r="J227" s="1125"/>
      <c r="K227" s="156"/>
      <c r="L227" s="1123"/>
      <c r="M227" s="1205"/>
      <c r="N227" s="1123"/>
      <c r="O227" s="1123"/>
      <c r="P227" s="1123"/>
      <c r="Q227" s="1123"/>
      <c r="R227" s="1189"/>
      <c r="S227" s="1189"/>
      <c r="T227" s="1208"/>
      <c r="U227" s="1208"/>
      <c r="V227" s="1189"/>
      <c r="W227" s="1189"/>
      <c r="X227" s="1189"/>
      <c r="Y227" s="1189"/>
      <c r="Z227" s="1189"/>
      <c r="AA227" s="1189"/>
      <c r="AB227" s="1189"/>
      <c r="AC227" s="1189"/>
      <c r="AD227" s="1189"/>
      <c r="AE227" s="1189"/>
      <c r="AF227" s="1189"/>
      <c r="AG227" s="1189"/>
      <c r="AH227" s="1189"/>
      <c r="AI227" s="1189"/>
      <c r="AJ227" s="1189"/>
      <c r="AK227" s="1189"/>
      <c r="AL227" s="1189"/>
      <c r="AM227" s="1189"/>
      <c r="AN227" s="1189"/>
      <c r="AO227" s="1189"/>
      <c r="AP227" s="1189"/>
      <c r="AQ227" s="1189"/>
      <c r="AR227" s="1189"/>
      <c r="AS227" s="1189"/>
      <c r="AT227" s="1189"/>
      <c r="AU227" s="1189"/>
      <c r="AV227" s="1189"/>
      <c r="AW227" s="1189"/>
      <c r="AX227" s="1189"/>
    </row>
    <row r="228" spans="1:50" ht="12" customHeight="1">
      <c r="A228" s="1123"/>
      <c r="B228" s="161"/>
      <c r="C228" s="1123"/>
      <c r="D228" s="1123"/>
      <c r="E228" s="1123"/>
      <c r="F228" s="1123"/>
      <c r="G228" s="1123"/>
      <c r="H228" s="1123"/>
      <c r="I228" s="1123"/>
      <c r="J228" s="1125"/>
      <c r="K228" s="156"/>
      <c r="L228" s="1123"/>
      <c r="M228" s="1205"/>
      <c r="N228" s="1123"/>
      <c r="O228" s="1123"/>
      <c r="P228" s="1123"/>
      <c r="Q228" s="1123"/>
      <c r="R228" s="1189"/>
      <c r="S228" s="1189"/>
      <c r="T228" s="1208"/>
      <c r="U228" s="1208"/>
      <c r="V228" s="1189"/>
      <c r="W228" s="1189"/>
      <c r="X228" s="1189"/>
      <c r="Y228" s="1189"/>
      <c r="Z228" s="1189"/>
      <c r="AA228" s="1189"/>
      <c r="AB228" s="1189"/>
      <c r="AC228" s="1189"/>
      <c r="AD228" s="1189"/>
      <c r="AE228" s="1189"/>
      <c r="AF228" s="1189"/>
      <c r="AG228" s="1189"/>
      <c r="AH228" s="1189"/>
      <c r="AI228" s="1189"/>
      <c r="AJ228" s="1189"/>
      <c r="AK228" s="1189"/>
      <c r="AL228" s="1189"/>
      <c r="AM228" s="1189"/>
      <c r="AN228" s="1189"/>
      <c r="AO228" s="1189"/>
      <c r="AP228" s="1189"/>
      <c r="AQ228" s="1189"/>
      <c r="AR228" s="1189"/>
      <c r="AS228" s="1189"/>
      <c r="AT228" s="1189"/>
      <c r="AU228" s="1189"/>
      <c r="AV228" s="1189"/>
      <c r="AW228" s="1189"/>
      <c r="AX228" s="1189"/>
    </row>
    <row r="229" spans="1:50" ht="12" customHeight="1">
      <c r="A229" s="1123"/>
      <c r="B229" s="161"/>
      <c r="C229" s="1123"/>
      <c r="D229" s="1123"/>
      <c r="E229" s="1123"/>
      <c r="F229" s="1123"/>
      <c r="G229" s="1123"/>
      <c r="H229" s="1123"/>
      <c r="I229" s="1123"/>
      <c r="J229" s="1125"/>
      <c r="K229" s="156"/>
      <c r="L229" s="1123"/>
      <c r="M229" s="1205"/>
      <c r="N229" s="1123"/>
      <c r="O229" s="1123"/>
      <c r="P229" s="1123"/>
      <c r="Q229" s="1123"/>
      <c r="R229" s="1189"/>
      <c r="S229" s="1189"/>
      <c r="T229" s="1208"/>
      <c r="U229" s="1208"/>
      <c r="V229" s="1189"/>
      <c r="W229" s="1189"/>
      <c r="X229" s="1189"/>
      <c r="Y229" s="1189"/>
      <c r="Z229" s="1189"/>
      <c r="AA229" s="1189"/>
      <c r="AB229" s="1189"/>
      <c r="AC229" s="1189"/>
      <c r="AD229" s="1189"/>
      <c r="AE229" s="1189"/>
      <c r="AF229" s="1189"/>
      <c r="AG229" s="1189"/>
      <c r="AH229" s="1189"/>
      <c r="AI229" s="1189"/>
      <c r="AJ229" s="1189"/>
      <c r="AK229" s="1189"/>
      <c r="AL229" s="1189"/>
      <c r="AM229" s="1189"/>
      <c r="AN229" s="1189"/>
      <c r="AO229" s="1189"/>
      <c r="AP229" s="1189"/>
      <c r="AQ229" s="1189"/>
      <c r="AR229" s="1189"/>
      <c r="AS229" s="1189"/>
      <c r="AT229" s="1189"/>
      <c r="AU229" s="1189"/>
      <c r="AV229" s="1189"/>
      <c r="AW229" s="1189"/>
      <c r="AX229" s="1189"/>
    </row>
    <row r="230" spans="1:50" ht="12" customHeight="1">
      <c r="A230" s="1123"/>
      <c r="B230" s="161"/>
      <c r="C230" s="1123"/>
      <c r="D230" s="1123"/>
      <c r="E230" s="1123"/>
      <c r="F230" s="1123"/>
      <c r="G230" s="1123"/>
      <c r="H230" s="1123"/>
      <c r="I230" s="1123"/>
      <c r="J230" s="1125"/>
      <c r="K230" s="156"/>
      <c r="L230" s="1123"/>
      <c r="M230" s="1205"/>
      <c r="N230" s="1123"/>
      <c r="O230" s="1123"/>
      <c r="P230" s="1123"/>
      <c r="Q230" s="1123"/>
      <c r="R230" s="1189"/>
      <c r="S230" s="1189"/>
      <c r="T230" s="1208"/>
      <c r="U230" s="1208"/>
      <c r="V230" s="1189"/>
      <c r="W230" s="1189"/>
      <c r="X230" s="1189"/>
      <c r="Y230" s="1189"/>
      <c r="Z230" s="1189"/>
      <c r="AA230" s="1189"/>
      <c r="AB230" s="1189"/>
      <c r="AC230" s="1189"/>
      <c r="AD230" s="1189"/>
      <c r="AE230" s="1189"/>
      <c r="AF230" s="1189"/>
      <c r="AG230" s="1189"/>
      <c r="AH230" s="1189"/>
      <c r="AI230" s="1189"/>
      <c r="AJ230" s="1189"/>
      <c r="AK230" s="1189"/>
      <c r="AL230" s="1189"/>
      <c r="AM230" s="1189"/>
      <c r="AN230" s="1189"/>
      <c r="AO230" s="1189"/>
      <c r="AP230" s="1189"/>
      <c r="AQ230" s="1189"/>
      <c r="AR230" s="1189"/>
      <c r="AS230" s="1189"/>
      <c r="AT230" s="1189"/>
      <c r="AU230" s="1189"/>
      <c r="AV230" s="1189"/>
      <c r="AW230" s="1189"/>
      <c r="AX230" s="1189"/>
    </row>
    <row r="231" spans="1:50" ht="12" customHeight="1">
      <c r="A231" s="1123"/>
      <c r="B231" s="161"/>
      <c r="C231" s="1123"/>
      <c r="D231" s="1123"/>
      <c r="E231" s="1123"/>
      <c r="F231" s="1123"/>
      <c r="G231" s="1123"/>
      <c r="H231" s="1123"/>
      <c r="I231" s="1123"/>
      <c r="J231" s="1125"/>
      <c r="K231" s="156"/>
      <c r="L231" s="1123"/>
      <c r="M231" s="1205"/>
      <c r="N231" s="1123"/>
      <c r="O231" s="1123"/>
      <c r="P231" s="1123"/>
      <c r="Q231" s="1123"/>
      <c r="R231" s="1189"/>
      <c r="S231" s="1189"/>
      <c r="T231" s="1208"/>
      <c r="U231" s="1208"/>
      <c r="V231" s="1189"/>
      <c r="W231" s="1189"/>
      <c r="X231" s="1189"/>
      <c r="Y231" s="1189"/>
      <c r="Z231" s="1189"/>
      <c r="AA231" s="1189"/>
      <c r="AB231" s="1189"/>
      <c r="AC231" s="1189"/>
      <c r="AD231" s="1189"/>
      <c r="AE231" s="1189"/>
      <c r="AF231" s="1189"/>
      <c r="AG231" s="1189"/>
      <c r="AH231" s="1189"/>
      <c r="AI231" s="1189"/>
      <c r="AJ231" s="1189"/>
      <c r="AK231" s="1189"/>
      <c r="AL231" s="1189"/>
      <c r="AM231" s="1189"/>
      <c r="AN231" s="1189"/>
      <c r="AO231" s="1189"/>
      <c r="AP231" s="1189"/>
      <c r="AQ231" s="1189"/>
      <c r="AR231" s="1189"/>
      <c r="AS231" s="1189"/>
      <c r="AT231" s="1189"/>
      <c r="AU231" s="1189"/>
      <c r="AV231" s="1189"/>
      <c r="AW231" s="1189"/>
      <c r="AX231" s="1189"/>
    </row>
    <row r="232" spans="1:50" ht="12" customHeight="1">
      <c r="A232" s="1123"/>
      <c r="B232" s="161"/>
      <c r="C232" s="1123"/>
      <c r="D232" s="1123"/>
      <c r="E232" s="1123"/>
      <c r="F232" s="1123"/>
      <c r="G232" s="1123"/>
      <c r="H232" s="1123"/>
      <c r="I232" s="1123"/>
      <c r="J232" s="1125"/>
      <c r="K232" s="156"/>
      <c r="L232" s="1123"/>
      <c r="M232" s="1205"/>
      <c r="N232" s="1123"/>
      <c r="O232" s="1123"/>
      <c r="P232" s="1123"/>
      <c r="Q232" s="1123"/>
      <c r="R232" s="1189"/>
      <c r="S232" s="1189"/>
      <c r="T232" s="1208"/>
      <c r="U232" s="1208"/>
      <c r="V232" s="1189"/>
      <c r="W232" s="1189"/>
      <c r="X232" s="1189"/>
      <c r="Y232" s="1189"/>
      <c r="Z232" s="1189"/>
      <c r="AA232" s="1189"/>
      <c r="AB232" s="1189"/>
      <c r="AC232" s="1189"/>
      <c r="AD232" s="1189"/>
      <c r="AE232" s="1189"/>
      <c r="AF232" s="1189"/>
      <c r="AG232" s="1189"/>
      <c r="AH232" s="1189"/>
      <c r="AI232" s="1189"/>
      <c r="AJ232" s="1189"/>
      <c r="AK232" s="1189"/>
      <c r="AL232" s="1189"/>
      <c r="AM232" s="1189"/>
      <c r="AN232" s="1189"/>
      <c r="AO232" s="1189"/>
      <c r="AP232" s="1189"/>
      <c r="AQ232" s="1189"/>
      <c r="AR232" s="1189"/>
      <c r="AS232" s="1189"/>
      <c r="AT232" s="1189"/>
      <c r="AU232" s="1189"/>
      <c r="AV232" s="1189"/>
      <c r="AW232" s="1189"/>
      <c r="AX232" s="1189"/>
    </row>
    <row r="233" spans="1:50" ht="12" customHeight="1">
      <c r="A233" s="1123"/>
      <c r="B233" s="161"/>
      <c r="C233" s="1123"/>
      <c r="D233" s="1123"/>
      <c r="E233" s="1123"/>
      <c r="F233" s="1123"/>
      <c r="G233" s="1123"/>
      <c r="H233" s="1123"/>
      <c r="I233" s="1123"/>
      <c r="J233" s="1125"/>
      <c r="K233" s="156"/>
      <c r="L233" s="1123"/>
      <c r="M233" s="1205"/>
      <c r="N233" s="1123"/>
      <c r="O233" s="1123"/>
      <c r="P233" s="1123"/>
      <c r="Q233" s="1123"/>
      <c r="R233" s="1189"/>
      <c r="S233" s="1189"/>
      <c r="T233" s="1208"/>
      <c r="U233" s="1208"/>
      <c r="V233" s="1189"/>
      <c r="W233" s="1189"/>
      <c r="X233" s="1189"/>
      <c r="Y233" s="1189"/>
      <c r="Z233" s="1189"/>
      <c r="AA233" s="1189"/>
      <c r="AB233" s="1189"/>
      <c r="AC233" s="1189"/>
      <c r="AD233" s="1189"/>
      <c r="AE233" s="1189"/>
      <c r="AF233" s="1189"/>
      <c r="AG233" s="1189"/>
      <c r="AH233" s="1189"/>
      <c r="AI233" s="1189"/>
      <c r="AJ233" s="1189"/>
      <c r="AK233" s="1189"/>
      <c r="AL233" s="1189"/>
      <c r="AM233" s="1189"/>
      <c r="AN233" s="1189"/>
      <c r="AO233" s="1189"/>
      <c r="AP233" s="1189"/>
      <c r="AQ233" s="1189"/>
      <c r="AR233" s="1189"/>
      <c r="AS233" s="1189"/>
      <c r="AT233" s="1189"/>
      <c r="AU233" s="1189"/>
      <c r="AV233" s="1189"/>
      <c r="AW233" s="1189"/>
      <c r="AX233" s="1189"/>
    </row>
    <row r="234" spans="1:50" ht="12" customHeight="1">
      <c r="A234" s="1123"/>
      <c r="B234" s="161"/>
      <c r="C234" s="1123"/>
      <c r="D234" s="1123"/>
      <c r="E234" s="1123"/>
      <c r="F234" s="1123"/>
      <c r="G234" s="1123"/>
      <c r="H234" s="1123"/>
      <c r="I234" s="1123"/>
      <c r="J234" s="1125"/>
      <c r="K234" s="156"/>
      <c r="L234" s="1123"/>
      <c r="M234" s="1205"/>
      <c r="N234" s="1123"/>
      <c r="O234" s="1123"/>
      <c r="P234" s="1123"/>
      <c r="Q234" s="1123"/>
      <c r="R234" s="1189"/>
      <c r="S234" s="1189"/>
      <c r="T234" s="1208"/>
      <c r="U234" s="1208"/>
      <c r="V234" s="1189"/>
      <c r="W234" s="1189"/>
      <c r="X234" s="1189"/>
      <c r="Y234" s="1189"/>
      <c r="Z234" s="1189"/>
      <c r="AA234" s="1189"/>
      <c r="AB234" s="1189"/>
      <c r="AC234" s="1189"/>
      <c r="AD234" s="1189"/>
      <c r="AE234" s="1189"/>
      <c r="AF234" s="1189"/>
      <c r="AG234" s="1189"/>
      <c r="AH234" s="1189"/>
      <c r="AI234" s="1189"/>
      <c r="AJ234" s="1189"/>
      <c r="AK234" s="1189"/>
      <c r="AL234" s="1189"/>
      <c r="AM234" s="1189"/>
      <c r="AN234" s="1189"/>
      <c r="AO234" s="1189"/>
      <c r="AP234" s="1189"/>
      <c r="AQ234" s="1189"/>
      <c r="AR234" s="1189"/>
      <c r="AS234" s="1189"/>
      <c r="AT234" s="1189"/>
      <c r="AU234" s="1189"/>
      <c r="AV234" s="1189"/>
      <c r="AW234" s="1189"/>
      <c r="AX234" s="1189"/>
    </row>
    <row r="235" spans="1:50" ht="12" customHeight="1">
      <c r="A235" s="1123"/>
      <c r="B235" s="161"/>
      <c r="C235" s="1123"/>
      <c r="D235" s="1123"/>
      <c r="E235" s="1123"/>
      <c r="F235" s="1123"/>
      <c r="G235" s="1123"/>
      <c r="H235" s="1123"/>
      <c r="I235" s="1123"/>
      <c r="J235" s="1125"/>
      <c r="K235" s="156"/>
      <c r="L235" s="1123"/>
      <c r="M235" s="1205"/>
      <c r="N235" s="1123"/>
      <c r="O235" s="1123"/>
      <c r="P235" s="1123"/>
      <c r="Q235" s="1123"/>
      <c r="R235" s="1189"/>
      <c r="S235" s="1189"/>
      <c r="T235" s="1208"/>
      <c r="U235" s="1208"/>
      <c r="V235" s="1189"/>
      <c r="W235" s="1189"/>
      <c r="X235" s="1189"/>
      <c r="Y235" s="1189"/>
      <c r="Z235" s="1189"/>
      <c r="AA235" s="1189"/>
      <c r="AB235" s="1189"/>
      <c r="AC235" s="1189"/>
      <c r="AD235" s="1189"/>
      <c r="AE235" s="1189"/>
      <c r="AF235" s="1189"/>
      <c r="AG235" s="1189"/>
      <c r="AH235" s="1189"/>
      <c r="AI235" s="1189"/>
      <c r="AJ235" s="1189"/>
      <c r="AK235" s="1189"/>
      <c r="AL235" s="1189"/>
      <c r="AM235" s="1189"/>
      <c r="AN235" s="1189"/>
      <c r="AO235" s="1189"/>
      <c r="AP235" s="1189"/>
      <c r="AQ235" s="1189"/>
      <c r="AR235" s="1189"/>
      <c r="AS235" s="1189"/>
      <c r="AT235" s="1189"/>
      <c r="AU235" s="1189"/>
      <c r="AV235" s="1189"/>
      <c r="AW235" s="1189"/>
      <c r="AX235" s="1189"/>
    </row>
    <row r="236" spans="1:50" ht="12" customHeight="1">
      <c r="A236" s="1123"/>
      <c r="B236" s="161"/>
      <c r="C236" s="1123"/>
      <c r="D236" s="1123"/>
      <c r="E236" s="1123"/>
      <c r="F236" s="1123"/>
      <c r="G236" s="1123"/>
      <c r="H236" s="1123"/>
      <c r="I236" s="1123"/>
      <c r="J236" s="1125"/>
      <c r="K236" s="156"/>
      <c r="L236" s="1123"/>
      <c r="M236" s="1205"/>
      <c r="N236" s="1123"/>
      <c r="O236" s="1123"/>
      <c r="P236" s="1123"/>
      <c r="Q236" s="1123"/>
      <c r="R236" s="1189"/>
      <c r="S236" s="1189"/>
      <c r="T236" s="1208"/>
      <c r="U236" s="1208"/>
      <c r="V236" s="1189"/>
      <c r="W236" s="1189"/>
      <c r="X236" s="1189"/>
      <c r="Y236" s="1189"/>
      <c r="Z236" s="1189"/>
      <c r="AA236" s="1189"/>
      <c r="AB236" s="1189"/>
      <c r="AC236" s="1189"/>
      <c r="AD236" s="1189"/>
      <c r="AE236" s="1189"/>
      <c r="AF236" s="1189"/>
      <c r="AG236" s="1189"/>
      <c r="AH236" s="1189"/>
      <c r="AI236" s="1189"/>
      <c r="AJ236" s="1189"/>
      <c r="AK236" s="1189"/>
      <c r="AL236" s="1189"/>
      <c r="AM236" s="1189"/>
      <c r="AN236" s="1189"/>
      <c r="AO236" s="1189"/>
      <c r="AP236" s="1189"/>
      <c r="AQ236" s="1189"/>
      <c r="AR236" s="1189"/>
      <c r="AS236" s="1189"/>
      <c r="AT236" s="1189"/>
      <c r="AU236" s="1189"/>
      <c r="AV236" s="1189"/>
      <c r="AW236" s="1189"/>
      <c r="AX236" s="1189"/>
    </row>
    <row r="237" spans="1:50" ht="12" customHeight="1">
      <c r="A237" s="1123"/>
      <c r="B237" s="161"/>
      <c r="C237" s="1123"/>
      <c r="D237" s="1123"/>
      <c r="E237" s="1123"/>
      <c r="F237" s="1123"/>
      <c r="G237" s="1123"/>
      <c r="H237" s="1123"/>
      <c r="I237" s="1123"/>
      <c r="J237" s="1125"/>
      <c r="K237" s="156"/>
      <c r="L237" s="1123"/>
      <c r="M237" s="1205"/>
      <c r="N237" s="1123"/>
      <c r="O237" s="1123"/>
      <c r="P237" s="1123"/>
      <c r="Q237" s="1123"/>
      <c r="R237" s="1189"/>
      <c r="S237" s="1189"/>
      <c r="T237" s="1208"/>
      <c r="U237" s="1208"/>
      <c r="V237" s="1189"/>
      <c r="W237" s="1189"/>
      <c r="X237" s="1189"/>
      <c r="Y237" s="1189"/>
      <c r="Z237" s="1189"/>
      <c r="AA237" s="1189"/>
      <c r="AB237" s="1189"/>
      <c r="AC237" s="1189"/>
      <c r="AD237" s="1189"/>
      <c r="AE237" s="1189"/>
      <c r="AF237" s="1189"/>
      <c r="AG237" s="1189"/>
      <c r="AH237" s="1189"/>
      <c r="AI237" s="1189"/>
      <c r="AJ237" s="1189"/>
      <c r="AK237" s="1189"/>
      <c r="AL237" s="1189"/>
      <c r="AM237" s="1189"/>
      <c r="AN237" s="1189"/>
      <c r="AO237" s="1189"/>
      <c r="AP237" s="1189"/>
      <c r="AQ237" s="1189"/>
      <c r="AR237" s="1189"/>
      <c r="AS237" s="1189"/>
      <c r="AT237" s="1189"/>
      <c r="AU237" s="1189"/>
      <c r="AV237" s="1189"/>
      <c r="AW237" s="1189"/>
      <c r="AX237" s="1189"/>
    </row>
    <row r="238" spans="1:50" ht="12" customHeight="1">
      <c r="A238" s="1123"/>
      <c r="B238" s="161"/>
      <c r="C238" s="1123"/>
      <c r="D238" s="1123"/>
      <c r="E238" s="1123"/>
      <c r="F238" s="1123"/>
      <c r="G238" s="1123"/>
      <c r="H238" s="1123"/>
      <c r="I238" s="1123"/>
      <c r="J238" s="1125"/>
      <c r="K238" s="156"/>
      <c r="L238" s="1123"/>
      <c r="M238" s="1205"/>
      <c r="N238" s="1123"/>
      <c r="O238" s="1123"/>
      <c r="P238" s="1123"/>
      <c r="Q238" s="1123"/>
      <c r="R238" s="1189"/>
      <c r="S238" s="1189"/>
      <c r="T238" s="1208"/>
      <c r="U238" s="1208"/>
      <c r="V238" s="1189"/>
      <c r="W238" s="1189"/>
      <c r="X238" s="1189"/>
      <c r="Y238" s="1189"/>
      <c r="Z238" s="1189"/>
      <c r="AA238" s="1189"/>
      <c r="AB238" s="1189"/>
      <c r="AC238" s="1189"/>
      <c r="AD238" s="1189"/>
      <c r="AE238" s="1189"/>
      <c r="AF238" s="1189"/>
      <c r="AG238" s="1189"/>
      <c r="AH238" s="1189"/>
      <c r="AI238" s="1189"/>
      <c r="AJ238" s="1189"/>
      <c r="AK238" s="1189"/>
      <c r="AL238" s="1189"/>
      <c r="AM238" s="1189"/>
      <c r="AN238" s="1189"/>
      <c r="AO238" s="1189"/>
      <c r="AP238" s="1189"/>
      <c r="AQ238" s="1189"/>
      <c r="AR238" s="1189"/>
      <c r="AS238" s="1189"/>
      <c r="AT238" s="1189"/>
      <c r="AU238" s="1189"/>
      <c r="AV238" s="1189"/>
      <c r="AW238" s="1189"/>
      <c r="AX238" s="1189"/>
    </row>
    <row r="239" spans="1:50" ht="12" customHeight="1">
      <c r="A239" s="1123"/>
      <c r="B239" s="161"/>
      <c r="C239" s="1123"/>
      <c r="D239" s="1123"/>
      <c r="E239" s="1123"/>
      <c r="F239" s="1123"/>
      <c r="G239" s="1123"/>
      <c r="H239" s="1123"/>
      <c r="I239" s="1123"/>
      <c r="J239" s="1125"/>
      <c r="K239" s="156"/>
      <c r="L239" s="1123"/>
      <c r="M239" s="1205"/>
      <c r="N239" s="1123"/>
      <c r="O239" s="1123"/>
      <c r="P239" s="1123"/>
      <c r="Q239" s="1123"/>
      <c r="R239" s="1189"/>
      <c r="S239" s="1189"/>
      <c r="T239" s="1208"/>
      <c r="U239" s="1208"/>
      <c r="V239" s="1189"/>
      <c r="W239" s="1189"/>
      <c r="X239" s="1189"/>
      <c r="Y239" s="1189"/>
      <c r="Z239" s="1189"/>
      <c r="AA239" s="1189"/>
      <c r="AB239" s="1189"/>
      <c r="AC239" s="1189"/>
      <c r="AD239" s="1189"/>
      <c r="AE239" s="1189"/>
      <c r="AF239" s="1189"/>
      <c r="AG239" s="1189"/>
      <c r="AH239" s="1189"/>
      <c r="AI239" s="1189"/>
      <c r="AJ239" s="1189"/>
      <c r="AK239" s="1189"/>
      <c r="AL239" s="1189"/>
      <c r="AM239" s="1189"/>
      <c r="AN239" s="1189"/>
      <c r="AO239" s="1189"/>
      <c r="AP239" s="1189"/>
      <c r="AQ239" s="1189"/>
      <c r="AR239" s="1189"/>
      <c r="AS239" s="1189"/>
      <c r="AT239" s="1189"/>
      <c r="AU239" s="1189"/>
      <c r="AV239" s="1189"/>
      <c r="AW239" s="1189"/>
      <c r="AX239" s="1189"/>
    </row>
    <row r="240" spans="1:50" ht="12" customHeight="1">
      <c r="A240" s="1123"/>
      <c r="B240" s="161"/>
      <c r="C240" s="1123"/>
      <c r="D240" s="1123"/>
      <c r="E240" s="1123"/>
      <c r="F240" s="1123"/>
      <c r="G240" s="1123"/>
      <c r="H240" s="1123"/>
      <c r="I240" s="1123"/>
      <c r="J240" s="1125"/>
      <c r="K240" s="156"/>
      <c r="L240" s="1123"/>
      <c r="M240" s="1205"/>
      <c r="N240" s="1123"/>
      <c r="O240" s="1123"/>
      <c r="P240" s="1123"/>
      <c r="Q240" s="1123"/>
      <c r="R240" s="1189"/>
      <c r="S240" s="1189"/>
      <c r="T240" s="1208"/>
      <c r="U240" s="1208"/>
      <c r="V240" s="1189"/>
      <c r="W240" s="1189"/>
      <c r="X240" s="1189"/>
      <c r="Y240" s="1189"/>
      <c r="Z240" s="1189"/>
      <c r="AA240" s="1189"/>
      <c r="AB240" s="1189"/>
      <c r="AC240" s="1189"/>
      <c r="AD240" s="1189"/>
      <c r="AE240" s="1189"/>
      <c r="AF240" s="1189"/>
      <c r="AG240" s="1189"/>
      <c r="AH240" s="1189"/>
      <c r="AI240" s="1189"/>
      <c r="AJ240" s="1189"/>
      <c r="AK240" s="1189"/>
      <c r="AL240" s="1189"/>
      <c r="AM240" s="1189"/>
      <c r="AN240" s="1189"/>
      <c r="AO240" s="1189"/>
      <c r="AP240" s="1189"/>
      <c r="AQ240" s="1189"/>
      <c r="AR240" s="1189"/>
      <c r="AS240" s="1189"/>
      <c r="AT240" s="1189"/>
      <c r="AU240" s="1189"/>
      <c r="AV240" s="1189"/>
      <c r="AW240" s="1189"/>
      <c r="AX240" s="1189"/>
    </row>
    <row r="241" spans="1:50" ht="12" customHeight="1">
      <c r="A241" s="1123"/>
      <c r="B241" s="161"/>
      <c r="C241" s="1123"/>
      <c r="D241" s="1123"/>
      <c r="E241" s="1123"/>
      <c r="F241" s="1123"/>
      <c r="G241" s="1123"/>
      <c r="H241" s="1123"/>
      <c r="I241" s="1123"/>
      <c r="J241" s="1125"/>
      <c r="K241" s="156"/>
      <c r="L241" s="1123"/>
      <c r="M241" s="1205"/>
      <c r="N241" s="1123"/>
      <c r="O241" s="1123"/>
      <c r="P241" s="1123"/>
      <c r="Q241" s="1123"/>
      <c r="R241" s="1189"/>
      <c r="S241" s="1189"/>
      <c r="T241" s="1208"/>
      <c r="U241" s="1208"/>
      <c r="V241" s="1189"/>
      <c r="W241" s="1189"/>
      <c r="X241" s="1189"/>
      <c r="Y241" s="1189"/>
      <c r="Z241" s="1189"/>
      <c r="AA241" s="1189"/>
      <c r="AB241" s="1189"/>
      <c r="AC241" s="1189"/>
      <c r="AD241" s="1189"/>
      <c r="AE241" s="1189"/>
      <c r="AF241" s="1189"/>
      <c r="AG241" s="1189"/>
      <c r="AH241" s="1189"/>
      <c r="AI241" s="1189"/>
      <c r="AJ241" s="1189"/>
      <c r="AK241" s="1189"/>
      <c r="AL241" s="1189"/>
      <c r="AM241" s="1189"/>
      <c r="AN241" s="1189"/>
      <c r="AO241" s="1189"/>
      <c r="AP241" s="1189"/>
      <c r="AQ241" s="1189"/>
      <c r="AR241" s="1189"/>
      <c r="AS241" s="1189"/>
      <c r="AT241" s="1189"/>
      <c r="AU241" s="1189"/>
      <c r="AV241" s="1189"/>
      <c r="AW241" s="1189"/>
      <c r="AX241" s="1189"/>
    </row>
    <row r="242" spans="1:50" ht="17.25" customHeight="1">
      <c r="A242" s="1123"/>
      <c r="B242" s="161"/>
      <c r="C242" s="1123"/>
      <c r="D242" s="1123"/>
      <c r="E242" s="1123"/>
      <c r="F242" s="1123"/>
      <c r="G242" s="1123"/>
      <c r="H242" s="1123"/>
      <c r="I242" s="1123"/>
      <c r="J242" s="1125"/>
      <c r="K242" s="156"/>
      <c r="L242" s="1123"/>
      <c r="M242" s="1205"/>
      <c r="N242" s="1123"/>
      <c r="O242" s="1123"/>
      <c r="P242" s="1123"/>
      <c r="Q242" s="1123"/>
      <c r="R242" s="1189"/>
      <c r="S242" s="1189"/>
      <c r="T242" s="1208"/>
      <c r="U242" s="1208"/>
      <c r="V242" s="1189"/>
      <c r="W242" s="1189"/>
      <c r="X242" s="1189"/>
      <c r="Y242" s="1189"/>
      <c r="Z242" s="1189"/>
      <c r="AA242" s="1189"/>
      <c r="AB242" s="1189"/>
      <c r="AC242" s="1189"/>
      <c r="AD242" s="1189"/>
      <c r="AE242" s="1189"/>
      <c r="AF242" s="1189"/>
      <c r="AG242" s="1189"/>
      <c r="AH242" s="1189"/>
      <c r="AI242" s="1189"/>
      <c r="AJ242" s="1189"/>
      <c r="AK242" s="1189"/>
      <c r="AL242" s="1189"/>
      <c r="AM242" s="1189"/>
      <c r="AN242" s="1189"/>
      <c r="AO242" s="1189"/>
      <c r="AP242" s="1189"/>
      <c r="AQ242" s="1189"/>
      <c r="AR242" s="1189"/>
      <c r="AS242" s="1189"/>
      <c r="AT242" s="1189"/>
      <c r="AU242" s="1189"/>
      <c r="AV242" s="1189"/>
      <c r="AW242" s="1189"/>
      <c r="AX242" s="1189"/>
    </row>
    <row r="243" spans="1:50" ht="15.75" customHeight="1">
      <c r="A243" s="88"/>
      <c r="B243" s="161"/>
      <c r="C243" s="1123"/>
      <c r="D243" s="1123"/>
      <c r="E243" s="1123"/>
      <c r="F243" s="1123"/>
      <c r="G243" s="1123"/>
      <c r="H243" s="1123"/>
      <c r="I243" s="1123"/>
      <c r="J243" s="1125"/>
      <c r="K243" s="156"/>
      <c r="L243" s="1123"/>
      <c r="M243" s="1205"/>
      <c r="N243" s="1123"/>
      <c r="O243" s="1123"/>
      <c r="P243" s="1123"/>
      <c r="Q243" s="1123"/>
      <c r="R243" s="1189"/>
      <c r="S243" s="1189"/>
      <c r="T243" s="1208"/>
      <c r="U243" s="1208"/>
      <c r="V243" s="1189"/>
      <c r="W243" s="1189"/>
      <c r="X243" s="1189"/>
      <c r="Y243" s="1189"/>
      <c r="Z243" s="1189"/>
      <c r="AA243" s="1189"/>
      <c r="AB243" s="1189"/>
      <c r="AC243" s="1189"/>
      <c r="AD243" s="1189"/>
      <c r="AE243" s="1189"/>
      <c r="AF243" s="1189"/>
      <c r="AG243" s="1189"/>
      <c r="AH243" s="1189"/>
      <c r="AI243" s="1189"/>
      <c r="AJ243" s="1189"/>
      <c r="AK243" s="1189"/>
      <c r="AL243" s="1189"/>
      <c r="AM243" s="1189"/>
      <c r="AN243" s="1189"/>
      <c r="AO243" s="1189"/>
      <c r="AP243" s="1189"/>
      <c r="AQ243" s="1189"/>
      <c r="AR243" s="1189"/>
      <c r="AS243" s="1189"/>
      <c r="AT243" s="1189"/>
      <c r="AU243" s="1189"/>
      <c r="AV243" s="1189"/>
      <c r="AW243" s="1189"/>
      <c r="AX243" s="1189"/>
    </row>
    <row r="244" spans="1:50" ht="12.75" customHeight="1">
      <c r="A244" s="88"/>
      <c r="B244" s="161"/>
      <c r="C244" s="1123"/>
      <c r="D244" s="1123"/>
      <c r="E244" s="1123"/>
      <c r="F244" s="1123"/>
      <c r="G244" s="1123"/>
      <c r="H244" s="1123"/>
      <c r="I244" s="1123"/>
      <c r="J244" s="1125"/>
      <c r="K244" s="156"/>
      <c r="L244" s="1123"/>
      <c r="M244" s="1205"/>
      <c r="N244" s="1123"/>
      <c r="O244" s="1123"/>
      <c r="P244" s="1123"/>
      <c r="Q244" s="1123"/>
      <c r="R244" s="1189"/>
      <c r="S244" s="1189"/>
      <c r="T244" s="1208"/>
      <c r="U244" s="1208"/>
      <c r="V244" s="1189"/>
      <c r="W244" s="1189"/>
      <c r="X244" s="1189"/>
      <c r="Y244" s="1189"/>
      <c r="Z244" s="1189"/>
      <c r="AA244" s="1189"/>
      <c r="AB244" s="1189"/>
      <c r="AC244" s="1189"/>
      <c r="AD244" s="1189"/>
      <c r="AE244" s="1189"/>
      <c r="AF244" s="1189"/>
      <c r="AG244" s="1189"/>
      <c r="AH244" s="1189"/>
      <c r="AI244" s="1189"/>
      <c r="AJ244" s="1189"/>
      <c r="AK244" s="1189"/>
      <c r="AL244" s="1189"/>
      <c r="AM244" s="1189"/>
      <c r="AN244" s="1189"/>
      <c r="AO244" s="1189"/>
      <c r="AP244" s="1189"/>
      <c r="AQ244" s="1189"/>
      <c r="AR244" s="1189"/>
      <c r="AS244" s="1189"/>
      <c r="AT244" s="1189"/>
      <c r="AU244" s="1189"/>
      <c r="AV244" s="1189"/>
      <c r="AW244" s="1189"/>
      <c r="AX244" s="1189"/>
    </row>
    <row r="245" spans="1:50" ht="12.75" customHeight="1">
      <c r="A245" s="88"/>
      <c r="B245" s="88"/>
      <c r="C245" s="88"/>
      <c r="D245" s="92"/>
      <c r="E245" s="1123"/>
      <c r="F245" s="1123"/>
      <c r="G245" s="1123"/>
      <c r="H245" s="1123"/>
      <c r="I245" s="1123"/>
      <c r="J245" s="1125"/>
      <c r="K245" s="156"/>
      <c r="L245" s="1123"/>
      <c r="M245" s="1205"/>
      <c r="N245" s="1123"/>
      <c r="O245" s="1123"/>
      <c r="P245" s="1123"/>
      <c r="Q245" s="1123"/>
      <c r="R245" s="1189"/>
      <c r="S245" s="1189"/>
      <c r="T245" s="1208"/>
      <c r="U245" s="1208"/>
      <c r="V245" s="1189"/>
      <c r="W245" s="1189"/>
      <c r="X245" s="1189"/>
      <c r="Y245" s="1189"/>
      <c r="Z245" s="1189"/>
      <c r="AA245" s="1189"/>
      <c r="AB245" s="1189"/>
      <c r="AC245" s="1189"/>
      <c r="AD245" s="1189"/>
      <c r="AE245" s="1189"/>
      <c r="AF245" s="1189"/>
      <c r="AG245" s="1189"/>
      <c r="AH245" s="1189"/>
      <c r="AI245" s="1189"/>
      <c r="AJ245" s="1189"/>
      <c r="AK245" s="1189"/>
      <c r="AL245" s="1189"/>
      <c r="AM245" s="1189"/>
      <c r="AN245" s="1189"/>
      <c r="AO245" s="1189"/>
      <c r="AP245" s="1189"/>
      <c r="AQ245" s="1189"/>
      <c r="AR245" s="1189"/>
      <c r="AS245" s="1189"/>
      <c r="AT245" s="1189"/>
      <c r="AU245" s="1189"/>
      <c r="AV245" s="1189"/>
      <c r="AW245" s="1189"/>
      <c r="AX245" s="1189"/>
    </row>
    <row r="246" spans="1:50" ht="12.75" customHeight="1">
      <c r="A246" s="88"/>
      <c r="B246" s="88"/>
      <c r="C246" s="88"/>
      <c r="D246" s="92"/>
      <c r="E246" s="1123"/>
      <c r="F246" s="1123"/>
      <c r="G246" s="1123"/>
      <c r="H246" s="1123"/>
      <c r="I246" s="1123"/>
      <c r="J246" s="1125"/>
      <c r="K246" s="156"/>
      <c r="L246" s="1123"/>
      <c r="M246" s="1205"/>
      <c r="N246" s="1123"/>
      <c r="O246" s="1123"/>
      <c r="P246" s="1123"/>
      <c r="Q246" s="1123"/>
      <c r="R246" s="1189"/>
      <c r="S246" s="1189"/>
      <c r="T246" s="1208"/>
      <c r="U246" s="1208"/>
      <c r="V246" s="1189"/>
      <c r="W246" s="1189"/>
      <c r="X246" s="1189"/>
      <c r="Y246" s="1189"/>
      <c r="Z246" s="1189"/>
      <c r="AA246" s="1189"/>
      <c r="AB246" s="1189"/>
      <c r="AC246" s="1189"/>
      <c r="AD246" s="1189"/>
      <c r="AE246" s="1189"/>
      <c r="AF246" s="1189"/>
      <c r="AG246" s="1189"/>
      <c r="AH246" s="1189"/>
      <c r="AI246" s="1189"/>
      <c r="AJ246" s="1189"/>
      <c r="AK246" s="1189"/>
      <c r="AL246" s="1189"/>
      <c r="AM246" s="1189"/>
      <c r="AN246" s="1189"/>
      <c r="AO246" s="1189"/>
      <c r="AP246" s="1189"/>
      <c r="AQ246" s="1189"/>
      <c r="AR246" s="1189"/>
      <c r="AS246" s="1189"/>
      <c r="AT246" s="1189"/>
      <c r="AU246" s="1189"/>
      <c r="AV246" s="1189"/>
      <c r="AW246" s="1189"/>
      <c r="AX246" s="1189"/>
    </row>
    <row r="247" spans="1:50" ht="12.75" customHeight="1">
      <c r="A247" s="88"/>
      <c r="B247" s="88"/>
      <c r="C247" s="88"/>
      <c r="D247" s="92"/>
      <c r="E247" s="1123"/>
      <c r="F247" s="1123"/>
      <c r="G247" s="1123"/>
      <c r="H247" s="1123"/>
      <c r="I247" s="1123"/>
      <c r="J247" s="1125"/>
      <c r="K247" s="156"/>
      <c r="L247" s="1123"/>
      <c r="M247" s="1205"/>
      <c r="N247" s="1123"/>
      <c r="O247" s="1123"/>
      <c r="P247" s="1123"/>
      <c r="Q247" s="1123"/>
      <c r="R247" s="1189"/>
      <c r="S247" s="1189"/>
      <c r="T247" s="1208"/>
      <c r="U247" s="1208"/>
      <c r="V247" s="1189"/>
      <c r="W247" s="1189"/>
      <c r="X247" s="1189"/>
      <c r="Y247" s="1189"/>
      <c r="Z247" s="1189"/>
      <c r="AA247" s="1189"/>
      <c r="AB247" s="1189"/>
      <c r="AC247" s="1189"/>
      <c r="AD247" s="1189"/>
      <c r="AE247" s="1189"/>
      <c r="AF247" s="1189"/>
      <c r="AG247" s="1189"/>
      <c r="AH247" s="1189"/>
      <c r="AI247" s="1189"/>
      <c r="AJ247" s="1189"/>
      <c r="AK247" s="1189"/>
      <c r="AL247" s="1189"/>
      <c r="AM247" s="1189"/>
      <c r="AN247" s="1189"/>
      <c r="AO247" s="1189"/>
      <c r="AP247" s="1189"/>
      <c r="AQ247" s="1189"/>
      <c r="AR247" s="1189"/>
      <c r="AS247" s="1189"/>
      <c r="AT247" s="1189"/>
      <c r="AU247" s="1189"/>
      <c r="AV247" s="1189"/>
      <c r="AW247" s="1189"/>
      <c r="AX247" s="1189"/>
    </row>
    <row r="248" spans="1:50" ht="12.75" customHeight="1">
      <c r="A248" s="88"/>
      <c r="B248" s="88"/>
      <c r="C248" s="88"/>
      <c r="D248" s="92"/>
      <c r="E248" s="1123"/>
      <c r="F248" s="1123"/>
      <c r="G248" s="1123"/>
      <c r="H248" s="1123"/>
      <c r="I248" s="1123"/>
      <c r="J248" s="1125"/>
      <c r="K248" s="156"/>
      <c r="L248" s="1123"/>
      <c r="M248" s="1205"/>
      <c r="N248" s="1123"/>
      <c r="O248" s="1123"/>
      <c r="P248" s="1123"/>
      <c r="Q248" s="1123"/>
      <c r="R248" s="1189"/>
      <c r="S248" s="1189"/>
      <c r="T248" s="1208"/>
      <c r="U248" s="1208"/>
      <c r="V248" s="1189"/>
      <c r="W248" s="1189"/>
      <c r="X248" s="1189"/>
      <c r="Y248" s="1189"/>
      <c r="Z248" s="1189"/>
      <c r="AA248" s="1189"/>
      <c r="AB248" s="1189"/>
      <c r="AC248" s="1189"/>
      <c r="AD248" s="1189"/>
      <c r="AE248" s="1189"/>
      <c r="AF248" s="1189"/>
      <c r="AG248" s="1189"/>
      <c r="AH248" s="1189"/>
      <c r="AI248" s="1189"/>
      <c r="AJ248" s="1189"/>
      <c r="AK248" s="1189"/>
      <c r="AL248" s="1189"/>
      <c r="AM248" s="1189"/>
      <c r="AN248" s="1189"/>
      <c r="AO248" s="1189"/>
      <c r="AP248" s="1189"/>
      <c r="AQ248" s="1189"/>
      <c r="AR248" s="1189"/>
      <c r="AS248" s="1189"/>
      <c r="AT248" s="1189"/>
      <c r="AU248" s="1189"/>
      <c r="AV248" s="1189"/>
      <c r="AW248" s="1189"/>
      <c r="AX248" s="1189"/>
    </row>
    <row r="249" spans="1:50" ht="12.75" customHeight="1">
      <c r="A249" s="88"/>
      <c r="B249" s="88"/>
      <c r="C249" s="88"/>
      <c r="D249" s="88"/>
      <c r="E249" s="1123"/>
      <c r="F249" s="705"/>
      <c r="G249" s="705"/>
      <c r="H249" s="705"/>
      <c r="I249" s="705"/>
      <c r="J249" s="1123"/>
      <c r="K249" s="156"/>
      <c r="L249" s="1123"/>
      <c r="M249" s="1205"/>
      <c r="N249" s="1123"/>
      <c r="O249" s="1123"/>
      <c r="P249" s="1123"/>
      <c r="Q249" s="1123"/>
      <c r="R249" s="1189"/>
      <c r="S249" s="1189"/>
      <c r="T249" s="1208"/>
      <c r="U249" s="1208"/>
      <c r="V249" s="1189"/>
      <c r="W249" s="1189"/>
      <c r="X249" s="1189"/>
      <c r="Y249" s="1189"/>
      <c r="Z249" s="1189"/>
      <c r="AA249" s="1189"/>
      <c r="AB249" s="1189"/>
      <c r="AC249" s="1189"/>
      <c r="AD249" s="1189"/>
      <c r="AE249" s="1189"/>
      <c r="AF249" s="1189"/>
      <c r="AG249" s="1189"/>
      <c r="AH249" s="1189"/>
      <c r="AI249" s="1189"/>
      <c r="AJ249" s="1189"/>
      <c r="AK249" s="1189"/>
      <c r="AL249" s="1189"/>
      <c r="AM249" s="1189"/>
      <c r="AN249" s="1189"/>
      <c r="AO249" s="1189"/>
      <c r="AP249" s="1189"/>
      <c r="AQ249" s="1189"/>
      <c r="AR249" s="1189"/>
      <c r="AS249" s="1189"/>
      <c r="AT249" s="1189"/>
      <c r="AU249" s="1189"/>
      <c r="AV249" s="1189"/>
      <c r="AW249" s="1189"/>
      <c r="AX249" s="1189"/>
    </row>
    <row r="250" spans="1:50" ht="12.75" customHeight="1">
      <c r="A250" s="86"/>
      <c r="B250" s="88"/>
      <c r="C250" s="88"/>
      <c r="D250" s="88"/>
      <c r="E250" s="1123"/>
      <c r="F250" s="1123"/>
      <c r="G250" s="1123"/>
      <c r="H250" s="1123"/>
      <c r="I250" s="1123"/>
      <c r="J250" s="1123"/>
      <c r="K250" s="156"/>
      <c r="L250" s="1123"/>
      <c r="M250" s="1205"/>
      <c r="N250" s="1123"/>
      <c r="O250" s="1123"/>
      <c r="P250" s="1123"/>
      <c r="Q250" s="1123"/>
      <c r="R250" s="1189"/>
      <c r="S250" s="1189"/>
      <c r="T250" s="1208"/>
      <c r="U250" s="1208"/>
      <c r="V250" s="1189"/>
      <c r="W250" s="1189"/>
      <c r="X250" s="1189"/>
      <c r="Y250" s="1189"/>
      <c r="Z250" s="1189"/>
      <c r="AA250" s="1189"/>
      <c r="AB250" s="1189"/>
      <c r="AC250" s="1189"/>
      <c r="AD250" s="1189"/>
      <c r="AE250" s="1189"/>
      <c r="AF250" s="1189"/>
      <c r="AG250" s="1189"/>
      <c r="AH250" s="1189"/>
      <c r="AI250" s="1189"/>
      <c r="AJ250" s="1189"/>
      <c r="AK250" s="1189"/>
      <c r="AL250" s="1189"/>
      <c r="AM250" s="1189"/>
      <c r="AN250" s="1189"/>
      <c r="AO250" s="1189"/>
      <c r="AP250" s="1189"/>
      <c r="AQ250" s="1189"/>
      <c r="AR250" s="1189"/>
      <c r="AS250" s="1189"/>
      <c r="AT250" s="1189"/>
      <c r="AU250" s="1189"/>
      <c r="AV250" s="1189"/>
      <c r="AW250" s="1189"/>
      <c r="AX250" s="1189"/>
    </row>
    <row r="251" spans="1:50" ht="12.75" customHeight="1">
      <c r="A251" s="254" t="e">
        <f>(F15-#REF!)*12%</f>
        <v>#REF!</v>
      </c>
      <c r="B251" s="88"/>
      <c r="C251" s="88"/>
      <c r="D251" s="180"/>
      <c r="E251" s="181"/>
      <c r="F251" s="181"/>
      <c r="G251" s="181"/>
      <c r="H251" s="181"/>
      <c r="I251" s="182"/>
      <c r="J251" s="1123"/>
      <c r="K251" s="156"/>
      <c r="L251" s="1123"/>
      <c r="M251" s="1205"/>
      <c r="N251" s="1123"/>
      <c r="O251" s="1123"/>
      <c r="P251" s="1123"/>
      <c r="Q251" s="1123"/>
      <c r="R251" s="1189"/>
      <c r="S251" s="1189"/>
      <c r="T251" s="1208"/>
      <c r="U251" s="1208"/>
      <c r="V251" s="1189"/>
      <c r="W251" s="1189"/>
      <c r="X251" s="1189"/>
      <c r="Y251" s="1189"/>
      <c r="Z251" s="1189"/>
      <c r="AA251" s="1189"/>
      <c r="AB251" s="1189"/>
      <c r="AC251" s="1189"/>
      <c r="AD251" s="1189"/>
      <c r="AE251" s="1189"/>
      <c r="AF251" s="1189"/>
      <c r="AG251" s="1189"/>
      <c r="AH251" s="1189"/>
      <c r="AI251" s="1189"/>
      <c r="AJ251" s="1189"/>
      <c r="AK251" s="1189"/>
      <c r="AL251" s="1189"/>
      <c r="AM251" s="1189"/>
      <c r="AN251" s="1189"/>
      <c r="AO251" s="1189"/>
      <c r="AP251" s="1189"/>
      <c r="AQ251" s="1189"/>
      <c r="AR251" s="1189"/>
      <c r="AS251" s="1189"/>
      <c r="AT251" s="1189"/>
      <c r="AU251" s="1189"/>
      <c r="AV251" s="1189"/>
      <c r="AW251" s="1189"/>
      <c r="AX251" s="1189"/>
    </row>
    <row r="252" spans="1:50" ht="12.75" customHeight="1">
      <c r="A252" s="255"/>
      <c r="B252" s="88"/>
      <c r="C252" s="88"/>
      <c r="D252" s="180"/>
      <c r="E252" s="181"/>
      <c r="F252" s="181"/>
      <c r="G252" s="181"/>
      <c r="H252" s="181"/>
      <c r="I252" s="170"/>
      <c r="J252" s="1123"/>
      <c r="K252" s="156"/>
      <c r="L252" s="1123"/>
      <c r="M252" s="1205"/>
      <c r="N252" s="1123"/>
      <c r="O252" s="1123"/>
      <c r="P252" s="1123"/>
      <c r="Q252" s="1123"/>
      <c r="R252" s="1189"/>
      <c r="S252" s="1189"/>
      <c r="T252" s="1208"/>
      <c r="U252" s="1208"/>
      <c r="V252" s="1189"/>
      <c r="W252" s="1189"/>
      <c r="X252" s="1189"/>
      <c r="Y252" s="1189"/>
      <c r="Z252" s="1189"/>
      <c r="AA252" s="1189"/>
      <c r="AB252" s="1189"/>
      <c r="AC252" s="1189"/>
      <c r="AD252" s="1189"/>
      <c r="AE252" s="1189"/>
      <c r="AF252" s="1189"/>
      <c r="AG252" s="1189"/>
      <c r="AH252" s="1189"/>
      <c r="AI252" s="1189"/>
      <c r="AJ252" s="1189"/>
      <c r="AK252" s="1189"/>
      <c r="AL252" s="1189"/>
      <c r="AM252" s="1189"/>
      <c r="AN252" s="1189"/>
      <c r="AO252" s="1189"/>
      <c r="AP252" s="1189"/>
      <c r="AQ252" s="1189"/>
      <c r="AR252" s="1189"/>
      <c r="AS252" s="1189"/>
      <c r="AT252" s="1189"/>
      <c r="AU252" s="1189"/>
      <c r="AV252" s="1189"/>
      <c r="AW252" s="1189"/>
      <c r="AX252" s="1189"/>
    </row>
    <row r="253" spans="1:50" ht="12.75" customHeight="1">
      <c r="A253" s="86"/>
      <c r="B253" s="254"/>
      <c r="C253" s="86"/>
      <c r="D253" s="183"/>
      <c r="E253" s="1230"/>
      <c r="F253" s="184"/>
      <c r="G253" s="184"/>
      <c r="H253" s="184"/>
      <c r="I253" s="182"/>
      <c r="J253" s="1123"/>
      <c r="K253" s="1123"/>
      <c r="L253" s="1123"/>
      <c r="M253" s="1205"/>
      <c r="N253" s="1123"/>
      <c r="O253" s="1123"/>
      <c r="P253" s="1123"/>
      <c r="Q253" s="1123"/>
      <c r="R253" s="1189"/>
      <c r="S253" s="1189"/>
      <c r="T253" s="1208"/>
      <c r="U253" s="1208"/>
      <c r="V253" s="1189"/>
      <c r="W253" s="1189"/>
      <c r="X253" s="1189"/>
      <c r="Y253" s="1189"/>
      <c r="Z253" s="1189"/>
      <c r="AA253" s="1189"/>
      <c r="AB253" s="1189"/>
      <c r="AC253" s="1189"/>
      <c r="AD253" s="1189"/>
      <c r="AE253" s="1189"/>
      <c r="AF253" s="1189"/>
      <c r="AG253" s="1189"/>
      <c r="AH253" s="1189"/>
      <c r="AI253" s="1189"/>
      <c r="AJ253" s="1189"/>
      <c r="AK253" s="1189"/>
      <c r="AL253" s="1189"/>
      <c r="AM253" s="1189"/>
      <c r="AN253" s="1189"/>
      <c r="AO253" s="1189"/>
      <c r="AP253" s="1189"/>
      <c r="AQ253" s="1189"/>
      <c r="AR253" s="1189"/>
      <c r="AS253" s="1189"/>
      <c r="AT253" s="1189"/>
      <c r="AU253" s="1189"/>
      <c r="AV253" s="1189"/>
      <c r="AW253" s="1189"/>
      <c r="AX253" s="1189"/>
    </row>
    <row r="254" spans="1:50" ht="12.75" customHeight="1">
      <c r="A254" s="1189"/>
      <c r="B254" s="86"/>
      <c r="C254" s="86"/>
      <c r="D254" s="183"/>
      <c r="E254" s="1189"/>
      <c r="F254" s="184"/>
      <c r="G254" s="184"/>
      <c r="H254" s="184"/>
      <c r="I254" s="185"/>
      <c r="J254" s="1123"/>
      <c r="K254" s="1123"/>
      <c r="L254" s="1123"/>
      <c r="M254" s="705"/>
      <c r="N254" s="1123"/>
      <c r="O254" s="1123"/>
      <c r="P254" s="1123"/>
      <c r="Q254" s="1123"/>
      <c r="R254" s="1189"/>
      <c r="S254" s="1189"/>
      <c r="T254" s="1208"/>
      <c r="U254" s="1208"/>
      <c r="V254" s="1189"/>
      <c r="W254" s="1189"/>
      <c r="X254" s="1189"/>
      <c r="Y254" s="1189"/>
      <c r="Z254" s="1189"/>
      <c r="AA254" s="1189"/>
      <c r="AB254" s="1189"/>
      <c r="AC254" s="1189"/>
      <c r="AD254" s="1189"/>
      <c r="AE254" s="1189"/>
      <c r="AF254" s="1189"/>
      <c r="AG254" s="1189"/>
      <c r="AH254" s="1189"/>
      <c r="AI254" s="1189"/>
      <c r="AJ254" s="1189"/>
      <c r="AK254" s="1189"/>
      <c r="AL254" s="1189"/>
      <c r="AM254" s="1189"/>
      <c r="AN254" s="1189"/>
      <c r="AO254" s="1189"/>
      <c r="AP254" s="1189"/>
      <c r="AQ254" s="1189"/>
      <c r="AR254" s="1189"/>
      <c r="AS254" s="1189"/>
      <c r="AT254" s="1189"/>
      <c r="AU254" s="1189"/>
      <c r="AV254" s="1189"/>
      <c r="AW254" s="1189"/>
      <c r="AX254" s="1189"/>
    </row>
    <row r="255" spans="1:50" ht="12.75" customHeight="1">
      <c r="A255" s="1189"/>
      <c r="B255" s="86"/>
      <c r="C255" s="86"/>
      <c r="D255" s="183"/>
      <c r="E255" s="1230"/>
      <c r="F255" s="1230"/>
      <c r="G255" s="1230"/>
      <c r="H255" s="1230"/>
      <c r="I255" s="1189"/>
      <c r="J255" s="1123"/>
      <c r="K255" s="1123"/>
      <c r="L255" s="1123"/>
      <c r="M255" s="705"/>
      <c r="N255" s="1123"/>
      <c r="O255" s="1123"/>
      <c r="P255" s="1123"/>
      <c r="Q255" s="1123"/>
      <c r="R255" s="1189"/>
      <c r="S255" s="1189"/>
      <c r="T255" s="1208"/>
      <c r="U255" s="1208"/>
      <c r="V255" s="1189"/>
      <c r="W255" s="1189"/>
      <c r="X255" s="1189"/>
      <c r="Y255" s="1189"/>
      <c r="Z255" s="1189"/>
      <c r="AA255" s="1189"/>
      <c r="AB255" s="1189"/>
      <c r="AC255" s="1189"/>
      <c r="AD255" s="1189"/>
      <c r="AE255" s="1189"/>
      <c r="AF255" s="1189"/>
      <c r="AG255" s="1189"/>
      <c r="AH255" s="1189"/>
      <c r="AI255" s="1189"/>
      <c r="AJ255" s="1189"/>
      <c r="AK255" s="1189"/>
      <c r="AL255" s="1189"/>
      <c r="AM255" s="1189"/>
      <c r="AN255" s="1189"/>
      <c r="AO255" s="1189"/>
      <c r="AP255" s="1189"/>
      <c r="AQ255" s="1189"/>
      <c r="AR255" s="1189"/>
      <c r="AS255" s="1189"/>
      <c r="AT255" s="1189"/>
      <c r="AU255" s="1189"/>
      <c r="AV255" s="1189"/>
      <c r="AW255" s="1189"/>
      <c r="AX255" s="1189"/>
    </row>
    <row r="256" spans="1:50" ht="12.75" customHeight="1">
      <c r="A256" s="1189"/>
      <c r="B256" s="1189"/>
      <c r="C256" s="1189"/>
      <c r="D256" s="1231"/>
      <c r="E256" s="1230"/>
      <c r="F256" s="1230"/>
      <c r="G256" s="1230"/>
      <c r="H256" s="1230"/>
      <c r="I256" s="1189"/>
      <c r="J256" s="1123"/>
      <c r="K256" s="1123"/>
      <c r="L256" s="1123"/>
      <c r="M256" s="705"/>
      <c r="N256" s="1123"/>
      <c r="O256" s="1123"/>
      <c r="P256" s="1123"/>
      <c r="Q256" s="1123"/>
      <c r="R256" s="1189"/>
      <c r="S256" s="1189"/>
      <c r="T256" s="1208"/>
      <c r="U256" s="1208"/>
      <c r="V256" s="1189"/>
      <c r="W256" s="1189"/>
      <c r="X256" s="1189"/>
      <c r="Y256" s="1189"/>
      <c r="Z256" s="1189"/>
      <c r="AA256" s="1189"/>
      <c r="AB256" s="1189"/>
      <c r="AC256" s="1189"/>
      <c r="AD256" s="1189"/>
      <c r="AE256" s="1189"/>
      <c r="AF256" s="1189"/>
      <c r="AG256" s="1189"/>
      <c r="AH256" s="1189"/>
      <c r="AI256" s="1189"/>
      <c r="AJ256" s="1189"/>
      <c r="AK256" s="1189"/>
      <c r="AL256" s="1189"/>
      <c r="AM256" s="1189"/>
      <c r="AN256" s="1189"/>
      <c r="AO256" s="1189"/>
      <c r="AP256" s="1189"/>
      <c r="AQ256" s="1189"/>
      <c r="AR256" s="1189"/>
      <c r="AS256" s="1189"/>
      <c r="AT256" s="1189"/>
      <c r="AU256" s="1189"/>
      <c r="AV256" s="1189"/>
      <c r="AW256" s="1189"/>
      <c r="AX256" s="1189"/>
    </row>
    <row r="257" spans="4:50" ht="12.75" customHeight="1">
      <c r="D257" s="1231"/>
      <c r="E257" s="1230"/>
      <c r="F257" s="1230"/>
      <c r="G257" s="1230"/>
      <c r="H257" s="1230"/>
      <c r="I257" s="1189"/>
      <c r="J257" s="1189"/>
      <c r="K257" s="1567"/>
      <c r="L257" s="1567"/>
      <c r="M257" s="1567"/>
      <c r="N257" s="1123"/>
      <c r="O257" s="1123"/>
      <c r="P257" s="1567"/>
      <c r="Q257" s="1567"/>
      <c r="R257" s="1189"/>
      <c r="S257" s="1189"/>
      <c r="T257" s="1208"/>
      <c r="U257" s="1208"/>
      <c r="V257" s="1189"/>
      <c r="W257" s="1189"/>
      <c r="X257" s="1189"/>
      <c r="Y257" s="1189"/>
      <c r="Z257" s="1189"/>
      <c r="AA257" s="1189"/>
      <c r="AB257" s="1189"/>
      <c r="AC257" s="1189"/>
      <c r="AD257" s="1189"/>
      <c r="AE257" s="1189"/>
      <c r="AF257" s="1189"/>
      <c r="AG257" s="1189"/>
      <c r="AH257" s="1189"/>
      <c r="AI257" s="1189"/>
      <c r="AJ257" s="1189"/>
      <c r="AK257" s="1189"/>
      <c r="AL257" s="1189"/>
      <c r="AM257" s="1189"/>
      <c r="AN257" s="1189"/>
      <c r="AO257" s="1189"/>
      <c r="AP257" s="1189"/>
      <c r="AQ257" s="1189"/>
      <c r="AR257" s="1189"/>
      <c r="AS257" s="1189"/>
      <c r="AT257" s="1189"/>
      <c r="AU257" s="1189"/>
      <c r="AV257" s="1189"/>
      <c r="AW257" s="1189"/>
      <c r="AX257" s="1189"/>
    </row>
    <row r="258" spans="4:50" ht="12.75" customHeight="1">
      <c r="D258" s="1231"/>
      <c r="E258" s="1230"/>
      <c r="F258" s="1230"/>
      <c r="G258" s="1230"/>
      <c r="H258" s="1230"/>
      <c r="I258" s="1189"/>
      <c r="J258" s="1189"/>
      <c r="K258" s="1123"/>
      <c r="L258" s="1566"/>
      <c r="M258" s="1566"/>
      <c r="N258" s="1123"/>
      <c r="O258" s="1123"/>
      <c r="P258" s="1123"/>
      <c r="Q258" s="1123"/>
      <c r="R258" s="1189"/>
      <c r="S258" s="1189"/>
      <c r="T258" s="1208"/>
      <c r="U258" s="1208"/>
      <c r="V258" s="1189"/>
      <c r="W258" s="1189"/>
      <c r="X258" s="1189"/>
      <c r="Y258" s="1189"/>
      <c r="Z258" s="1189"/>
      <c r="AA258" s="1189"/>
      <c r="AB258" s="1189"/>
      <c r="AC258" s="1189"/>
      <c r="AD258" s="1189"/>
      <c r="AE258" s="1189"/>
      <c r="AF258" s="1189"/>
      <c r="AG258" s="1189"/>
      <c r="AH258" s="1189"/>
      <c r="AI258" s="1189"/>
      <c r="AJ258" s="1189"/>
      <c r="AK258" s="1189"/>
      <c r="AL258" s="1189"/>
      <c r="AM258" s="1189"/>
      <c r="AN258" s="1189"/>
      <c r="AO258" s="1189"/>
      <c r="AP258" s="1189"/>
      <c r="AQ258" s="1189"/>
      <c r="AR258" s="1189"/>
      <c r="AS258" s="1189"/>
      <c r="AT258" s="1189"/>
      <c r="AU258" s="1189"/>
      <c r="AV258" s="1189"/>
      <c r="AW258" s="1189"/>
      <c r="AX258" s="1189"/>
    </row>
    <row r="259" spans="4:50" ht="12.75" customHeight="1">
      <c r="D259" s="1231"/>
      <c r="E259" s="1230"/>
      <c r="F259" s="1230"/>
      <c r="G259" s="1230"/>
      <c r="H259" s="1230"/>
      <c r="I259" s="1189"/>
      <c r="J259" s="186"/>
      <c r="K259" s="182"/>
      <c r="L259" s="94"/>
      <c r="M259" s="1123"/>
      <c r="N259" s="1123"/>
      <c r="O259" s="1123"/>
      <c r="P259" s="1123"/>
      <c r="Q259" s="1123"/>
      <c r="R259" s="1189"/>
      <c r="S259" s="1189"/>
      <c r="T259" s="1208"/>
      <c r="U259" s="1208"/>
      <c r="V259" s="1189"/>
      <c r="W259" s="1189"/>
      <c r="X259" s="1189"/>
      <c r="Y259" s="1189"/>
      <c r="Z259" s="1189"/>
      <c r="AA259" s="1189"/>
      <c r="AB259" s="1189"/>
      <c r="AC259" s="1189"/>
      <c r="AD259" s="1189"/>
      <c r="AE259" s="1189"/>
      <c r="AF259" s="1189"/>
      <c r="AG259" s="1189"/>
      <c r="AH259" s="1189"/>
      <c r="AI259" s="1189"/>
      <c r="AJ259" s="1189"/>
      <c r="AK259" s="1189"/>
      <c r="AL259" s="1189"/>
      <c r="AM259" s="1189"/>
      <c r="AN259" s="1189"/>
      <c r="AO259" s="1189"/>
      <c r="AP259" s="1189"/>
      <c r="AQ259" s="1189"/>
      <c r="AR259" s="1189"/>
      <c r="AS259" s="1189"/>
      <c r="AT259" s="1189"/>
      <c r="AU259" s="1189"/>
      <c r="AV259" s="1189"/>
      <c r="AW259" s="1189"/>
      <c r="AX259" s="1189"/>
    </row>
    <row r="260" spans="4:50" ht="12.75" customHeight="1">
      <c r="D260" s="1231"/>
      <c r="E260" s="1230"/>
      <c r="F260" s="1230"/>
      <c r="G260" s="1230"/>
      <c r="H260" s="1230"/>
      <c r="I260" s="1189"/>
      <c r="J260" s="182"/>
      <c r="K260" s="170"/>
      <c r="L260" s="94"/>
      <c r="M260" s="1123"/>
      <c r="N260" s="1123"/>
      <c r="O260" s="1123"/>
      <c r="P260" s="1123"/>
      <c r="Q260" s="1123"/>
      <c r="R260" s="1189"/>
      <c r="S260" s="1189"/>
      <c r="T260" s="1208"/>
      <c r="U260" s="1208"/>
      <c r="V260" s="1189"/>
      <c r="W260" s="1189"/>
      <c r="X260" s="1189"/>
      <c r="Y260" s="1189"/>
      <c r="Z260" s="1189"/>
      <c r="AA260" s="1189"/>
      <c r="AB260" s="1189"/>
      <c r="AC260" s="1189"/>
      <c r="AD260" s="1189"/>
      <c r="AE260" s="1189"/>
      <c r="AF260" s="1189"/>
      <c r="AG260" s="1189"/>
      <c r="AH260" s="1189"/>
      <c r="AI260" s="1189"/>
      <c r="AJ260" s="1189"/>
      <c r="AK260" s="1189"/>
      <c r="AL260" s="1189"/>
      <c r="AM260" s="1189"/>
      <c r="AN260" s="1189"/>
      <c r="AO260" s="1189"/>
      <c r="AP260" s="1189"/>
      <c r="AQ260" s="1189"/>
      <c r="AR260" s="1189"/>
      <c r="AS260" s="1189"/>
      <c r="AT260" s="1189"/>
      <c r="AU260" s="1189"/>
      <c r="AV260" s="1189"/>
      <c r="AW260" s="1189"/>
      <c r="AX260" s="1189"/>
    </row>
    <row r="261" spans="4:50" ht="12.75" customHeight="1">
      <c r="D261" s="1231"/>
      <c r="E261" s="1230"/>
      <c r="F261" s="1230"/>
      <c r="G261" s="1230"/>
      <c r="H261" s="1230"/>
      <c r="I261" s="1189"/>
      <c r="J261" s="170"/>
      <c r="K261" s="182"/>
      <c r="L261" s="185"/>
      <c r="M261" s="1189"/>
      <c r="N261" s="1189"/>
      <c r="O261" s="1189"/>
      <c r="P261" s="1189"/>
      <c r="Q261" s="1189"/>
      <c r="R261" s="1189"/>
      <c r="S261" s="1189"/>
      <c r="T261" s="1208"/>
      <c r="U261" s="1208"/>
      <c r="V261" s="1189"/>
      <c r="W261" s="1189"/>
      <c r="X261" s="1189"/>
      <c r="Y261" s="1189"/>
      <c r="Z261" s="1189"/>
      <c r="AA261" s="1189"/>
      <c r="AB261" s="1189"/>
      <c r="AC261" s="1189"/>
      <c r="AD261" s="1189"/>
      <c r="AE261" s="1189"/>
      <c r="AF261" s="1189"/>
      <c r="AG261" s="1189"/>
      <c r="AH261" s="1189"/>
      <c r="AI261" s="1189"/>
      <c r="AJ261" s="1189"/>
      <c r="AK261" s="1189"/>
      <c r="AL261" s="1189"/>
      <c r="AM261" s="1189"/>
      <c r="AN261" s="1189"/>
      <c r="AO261" s="1189"/>
      <c r="AP261" s="1189"/>
      <c r="AQ261" s="1189"/>
      <c r="AR261" s="1189"/>
      <c r="AS261" s="1189"/>
      <c r="AT261" s="1189"/>
      <c r="AU261" s="1189"/>
      <c r="AV261" s="1189"/>
      <c r="AW261" s="1189"/>
      <c r="AX261" s="1189"/>
    </row>
    <row r="262" spans="4:50" ht="12.75" customHeight="1">
      <c r="D262" s="1231"/>
      <c r="E262" s="1230"/>
      <c r="F262" s="1230"/>
      <c r="G262" s="1230"/>
      <c r="H262" s="1230"/>
      <c r="I262" s="1189"/>
      <c r="J262" s="182"/>
      <c r="K262" s="186"/>
      <c r="L262" s="185"/>
      <c r="M262" s="1189"/>
      <c r="N262" s="1189"/>
      <c r="O262" s="1189"/>
      <c r="P262" s="1189"/>
      <c r="Q262" s="1189"/>
      <c r="R262" s="1189"/>
      <c r="S262" s="1189"/>
      <c r="T262" s="1208"/>
      <c r="U262" s="1208"/>
      <c r="V262" s="1189"/>
      <c r="W262" s="1189"/>
      <c r="X262" s="1189"/>
      <c r="Y262" s="1189"/>
      <c r="Z262" s="1189"/>
      <c r="AA262" s="1189"/>
      <c r="AB262" s="1189"/>
      <c r="AC262" s="1189"/>
      <c r="AD262" s="1189"/>
      <c r="AE262" s="1189"/>
      <c r="AF262" s="1189"/>
      <c r="AG262" s="1189"/>
      <c r="AH262" s="1189"/>
      <c r="AI262" s="1189"/>
      <c r="AJ262" s="1189"/>
      <c r="AK262" s="1189"/>
      <c r="AL262" s="1189"/>
      <c r="AM262" s="1189"/>
      <c r="AN262" s="1189"/>
      <c r="AO262" s="1189"/>
      <c r="AP262" s="1189"/>
      <c r="AQ262" s="1189"/>
      <c r="AR262" s="1189"/>
      <c r="AS262" s="1189"/>
      <c r="AT262" s="1189"/>
      <c r="AU262" s="1189"/>
      <c r="AV262" s="1189"/>
      <c r="AW262" s="1189"/>
      <c r="AX262" s="1189"/>
    </row>
    <row r="263" spans="4:50" ht="12.75" customHeight="1">
      <c r="D263" s="1231"/>
      <c r="E263" s="1230"/>
      <c r="F263" s="1230"/>
      <c r="G263" s="1230"/>
      <c r="H263" s="1230"/>
      <c r="I263" s="1189"/>
      <c r="J263" s="185"/>
      <c r="K263" s="1225"/>
      <c r="L263" s="1189"/>
      <c r="M263" s="1189"/>
      <c r="N263" s="1189"/>
      <c r="O263" s="1189"/>
      <c r="P263" s="1189"/>
      <c r="Q263" s="1189"/>
      <c r="R263" s="1189"/>
      <c r="S263" s="1189"/>
      <c r="T263" s="1208"/>
      <c r="U263" s="1208"/>
      <c r="V263" s="1189"/>
      <c r="W263" s="1189"/>
      <c r="X263" s="1189"/>
      <c r="Y263" s="1189"/>
      <c r="Z263" s="1189"/>
      <c r="AA263" s="1189"/>
      <c r="AB263" s="1189"/>
      <c r="AC263" s="1189"/>
      <c r="AD263" s="1189"/>
      <c r="AE263" s="1189"/>
      <c r="AF263" s="1189"/>
      <c r="AG263" s="1189"/>
      <c r="AH263" s="1189"/>
      <c r="AI263" s="1189"/>
      <c r="AJ263" s="1189"/>
      <c r="AK263" s="1189"/>
      <c r="AL263" s="1189"/>
      <c r="AM263" s="1189"/>
      <c r="AN263" s="1189"/>
      <c r="AO263" s="1189"/>
      <c r="AP263" s="1189"/>
      <c r="AQ263" s="1189"/>
      <c r="AR263" s="1189"/>
      <c r="AS263" s="1189"/>
      <c r="AT263" s="1189"/>
      <c r="AU263" s="1189"/>
      <c r="AV263" s="1189"/>
      <c r="AW263" s="1189"/>
      <c r="AX263" s="1189"/>
    </row>
    <row r="264" spans="4:50" ht="12.75" customHeight="1">
      <c r="D264" s="1231"/>
      <c r="E264" s="1230"/>
      <c r="F264" s="1230"/>
      <c r="G264" s="1230"/>
      <c r="H264" s="1230"/>
      <c r="I264" s="1189"/>
      <c r="J264" s="1189"/>
      <c r="K264" s="1225"/>
      <c r="L264" s="1189"/>
      <c r="M264" s="1189"/>
      <c r="N264" s="1189"/>
      <c r="O264" s="1189"/>
      <c r="P264" s="1189"/>
      <c r="Q264" s="1189"/>
      <c r="R264" s="1189"/>
      <c r="S264" s="1189"/>
      <c r="T264" s="1208"/>
      <c r="U264" s="1208"/>
      <c r="V264" s="1189"/>
      <c r="W264" s="1189"/>
      <c r="X264" s="1189"/>
      <c r="Y264" s="1189"/>
      <c r="Z264" s="1189"/>
      <c r="AA264" s="1189"/>
      <c r="AB264" s="1189"/>
      <c r="AC264" s="1189"/>
      <c r="AD264" s="1189"/>
      <c r="AE264" s="1189"/>
      <c r="AF264" s="1189"/>
      <c r="AG264" s="1189"/>
      <c r="AH264" s="1189"/>
      <c r="AI264" s="1189"/>
      <c r="AJ264" s="1189"/>
      <c r="AK264" s="1189"/>
      <c r="AL264" s="1189"/>
      <c r="AM264" s="1189"/>
      <c r="AN264" s="1189"/>
      <c r="AO264" s="1189"/>
      <c r="AP264" s="1189"/>
      <c r="AQ264" s="1189"/>
      <c r="AR264" s="1189"/>
      <c r="AS264" s="1189"/>
      <c r="AT264" s="1189"/>
      <c r="AU264" s="1189"/>
      <c r="AV264" s="1189"/>
      <c r="AW264" s="1189"/>
      <c r="AX264" s="1189"/>
    </row>
    <row r="265" spans="4:50" ht="12.75" customHeight="1">
      <c r="D265" s="1231"/>
      <c r="E265" s="1230"/>
      <c r="F265" s="1230"/>
      <c r="G265" s="1230"/>
      <c r="H265" s="1230"/>
      <c r="I265" s="1189"/>
      <c r="J265" s="1189"/>
      <c r="K265" s="1225"/>
      <c r="L265" s="1189"/>
      <c r="M265" s="1189"/>
      <c r="N265" s="1189"/>
      <c r="O265" s="1189"/>
      <c r="P265" s="1189"/>
      <c r="Q265" s="1189"/>
      <c r="R265" s="1189"/>
      <c r="S265" s="1189"/>
      <c r="T265" s="1208"/>
      <c r="U265" s="1208"/>
      <c r="V265" s="1189"/>
      <c r="W265" s="1189"/>
      <c r="X265" s="1189"/>
      <c r="Y265" s="1189"/>
      <c r="Z265" s="1189"/>
      <c r="AA265" s="1189"/>
      <c r="AB265" s="1189"/>
      <c r="AC265" s="1189"/>
      <c r="AD265" s="1189"/>
      <c r="AE265" s="1189"/>
      <c r="AF265" s="1189"/>
      <c r="AG265" s="1189"/>
      <c r="AH265" s="1189"/>
      <c r="AI265" s="1189"/>
      <c r="AJ265" s="1189"/>
      <c r="AK265" s="1189"/>
      <c r="AL265" s="1189"/>
      <c r="AM265" s="1189"/>
      <c r="AN265" s="1189"/>
      <c r="AO265" s="1189"/>
      <c r="AP265" s="1189"/>
      <c r="AQ265" s="1189"/>
      <c r="AR265" s="1189"/>
      <c r="AS265" s="1189"/>
      <c r="AT265" s="1189"/>
      <c r="AU265" s="1189"/>
      <c r="AV265" s="1189"/>
      <c r="AW265" s="1189"/>
      <c r="AX265" s="1189"/>
    </row>
    <row r="266" spans="4:50" ht="12.75" customHeight="1">
      <c r="D266" s="1231"/>
      <c r="E266" s="1230"/>
      <c r="F266" s="1230"/>
      <c r="G266" s="1230"/>
      <c r="H266" s="1230"/>
      <c r="I266" s="1189"/>
      <c r="J266" s="1189"/>
      <c r="K266" s="1225"/>
      <c r="L266" s="1189"/>
      <c r="M266" s="1189"/>
      <c r="N266" s="1189"/>
      <c r="O266" s="1189"/>
      <c r="P266" s="1189"/>
      <c r="Q266" s="1189"/>
      <c r="R266" s="1189"/>
      <c r="S266" s="1189"/>
      <c r="T266" s="1208"/>
      <c r="U266" s="1208"/>
      <c r="V266" s="1189"/>
      <c r="W266" s="1189"/>
      <c r="X266" s="1189"/>
      <c r="Y266" s="1189"/>
      <c r="Z266" s="1189"/>
      <c r="AA266" s="1189"/>
      <c r="AB266" s="1189"/>
      <c r="AC266" s="1189"/>
      <c r="AD266" s="1189"/>
      <c r="AE266" s="1189"/>
      <c r="AF266" s="1189"/>
      <c r="AG266" s="1189"/>
      <c r="AH266" s="1189"/>
      <c r="AI266" s="1189"/>
      <c r="AJ266" s="1189"/>
      <c r="AK266" s="1189"/>
      <c r="AL266" s="1189"/>
      <c r="AM266" s="1189"/>
      <c r="AN266" s="1189"/>
      <c r="AO266" s="1189"/>
      <c r="AP266" s="1189"/>
      <c r="AQ266" s="1189"/>
      <c r="AR266" s="1189"/>
      <c r="AS266" s="1189"/>
      <c r="AT266" s="1189"/>
      <c r="AU266" s="1189"/>
      <c r="AV266" s="1189"/>
      <c r="AW266" s="1189"/>
      <c r="AX266" s="1189"/>
    </row>
    <row r="267" spans="4:50" ht="12.75" customHeight="1">
      <c r="D267" s="1231"/>
      <c r="E267" s="1230"/>
      <c r="F267" s="1230"/>
      <c r="G267" s="1230"/>
      <c r="H267" s="1230"/>
      <c r="I267" s="1189"/>
      <c r="J267" s="1189"/>
      <c r="K267" s="1225"/>
      <c r="L267" s="1189"/>
      <c r="M267" s="1189"/>
      <c r="N267" s="1189"/>
      <c r="O267" s="1189"/>
      <c r="P267" s="1189"/>
      <c r="Q267" s="1189"/>
      <c r="R267" s="1189"/>
      <c r="S267" s="1189"/>
      <c r="T267" s="1208"/>
      <c r="U267" s="1208"/>
      <c r="V267" s="1189"/>
      <c r="W267" s="1189"/>
      <c r="X267" s="1189"/>
      <c r="Y267" s="1189"/>
      <c r="Z267" s="1189"/>
      <c r="AA267" s="1189"/>
      <c r="AB267" s="1189"/>
      <c r="AC267" s="1189"/>
      <c r="AD267" s="1189"/>
      <c r="AE267" s="1189"/>
      <c r="AF267" s="1189"/>
      <c r="AG267" s="1189"/>
      <c r="AH267" s="1189"/>
      <c r="AI267" s="1189"/>
      <c r="AJ267" s="1189"/>
      <c r="AK267" s="1189"/>
      <c r="AL267" s="1189"/>
      <c r="AM267" s="1189"/>
      <c r="AN267" s="1189"/>
      <c r="AO267" s="1189"/>
      <c r="AP267" s="1189"/>
      <c r="AQ267" s="1189"/>
      <c r="AR267" s="1189"/>
      <c r="AS267" s="1189"/>
      <c r="AT267" s="1189"/>
      <c r="AU267" s="1189"/>
      <c r="AV267" s="1189"/>
      <c r="AW267" s="1189"/>
      <c r="AX267" s="1189"/>
    </row>
    <row r="268" spans="4:50" ht="12.75" customHeight="1">
      <c r="D268" s="1231"/>
      <c r="E268" s="1230"/>
      <c r="F268" s="1230"/>
      <c r="G268" s="1230"/>
      <c r="H268" s="1230"/>
      <c r="I268" s="1189"/>
      <c r="J268" s="1189"/>
      <c r="K268" s="1225"/>
      <c r="L268" s="1189"/>
      <c r="M268" s="1189"/>
      <c r="N268" s="1189"/>
      <c r="O268" s="1189"/>
      <c r="P268" s="1189"/>
      <c r="Q268" s="1189"/>
      <c r="R268" s="1189"/>
      <c r="S268" s="1189"/>
      <c r="T268" s="1208"/>
      <c r="U268" s="1208"/>
      <c r="V268" s="1189"/>
      <c r="W268" s="1189"/>
      <c r="X268" s="1189"/>
      <c r="Y268" s="1189"/>
      <c r="Z268" s="1189"/>
      <c r="AA268" s="1189"/>
      <c r="AB268" s="1189"/>
      <c r="AC268" s="1189"/>
      <c r="AD268" s="1189"/>
      <c r="AE268" s="1189"/>
      <c r="AF268" s="1189"/>
      <c r="AG268" s="1189"/>
      <c r="AH268" s="1189"/>
      <c r="AI268" s="1189"/>
      <c r="AJ268" s="1189"/>
      <c r="AK268" s="1189"/>
      <c r="AL268" s="1189"/>
      <c r="AM268" s="1189"/>
      <c r="AN268" s="1189"/>
      <c r="AO268" s="1189"/>
      <c r="AP268" s="1189"/>
      <c r="AQ268" s="1189"/>
      <c r="AR268" s="1189"/>
      <c r="AS268" s="1189"/>
      <c r="AT268" s="1189"/>
      <c r="AU268" s="1189"/>
      <c r="AV268" s="1189"/>
      <c r="AW268" s="1189"/>
      <c r="AX268" s="1189"/>
    </row>
    <row r="269" spans="4:50" ht="12.75" customHeight="1">
      <c r="D269" s="1231"/>
      <c r="E269" s="1230"/>
      <c r="F269" s="1230"/>
      <c r="G269" s="1230"/>
      <c r="H269" s="1230"/>
      <c r="I269" s="1189"/>
      <c r="J269" s="1189"/>
      <c r="K269" s="1225"/>
      <c r="L269" s="1189"/>
      <c r="M269" s="1189"/>
      <c r="N269" s="1189"/>
      <c r="O269" s="1189"/>
      <c r="P269" s="1189"/>
      <c r="Q269" s="1189"/>
      <c r="R269" s="1189"/>
      <c r="S269" s="1189"/>
      <c r="T269" s="1208"/>
      <c r="U269" s="1208"/>
      <c r="V269" s="1189"/>
      <c r="W269" s="1189"/>
      <c r="X269" s="1189"/>
      <c r="Y269" s="1189"/>
      <c r="Z269" s="1189"/>
      <c r="AA269" s="1189"/>
      <c r="AB269" s="1189"/>
      <c r="AC269" s="1189"/>
      <c r="AD269" s="1189"/>
      <c r="AE269" s="1189"/>
      <c r="AF269" s="1189"/>
      <c r="AG269" s="1189"/>
      <c r="AH269" s="1189"/>
      <c r="AI269" s="1189"/>
      <c r="AJ269" s="1189"/>
      <c r="AK269" s="1189"/>
      <c r="AL269" s="1189"/>
      <c r="AM269" s="1189"/>
      <c r="AN269" s="1189"/>
      <c r="AO269" s="1189"/>
      <c r="AP269" s="1189"/>
      <c r="AQ269" s="1189"/>
      <c r="AR269" s="1189"/>
      <c r="AS269" s="1189"/>
      <c r="AT269" s="1189"/>
      <c r="AU269" s="1189"/>
      <c r="AV269" s="1189"/>
      <c r="AW269" s="1189"/>
      <c r="AX269" s="1189"/>
    </row>
    <row r="270" spans="4:50" ht="12.75" customHeight="1">
      <c r="D270" s="1231"/>
      <c r="E270" s="1230"/>
      <c r="F270" s="1230"/>
      <c r="G270" s="1230"/>
      <c r="H270" s="1230"/>
      <c r="I270" s="1189"/>
      <c r="J270" s="1189"/>
      <c r="K270" s="1225"/>
      <c r="L270" s="1189"/>
      <c r="M270" s="1189"/>
      <c r="N270" s="1189"/>
      <c r="O270" s="1189"/>
      <c r="P270" s="1189"/>
      <c r="Q270" s="1189"/>
      <c r="R270" s="1189"/>
      <c r="S270" s="1189"/>
      <c r="T270" s="1208"/>
      <c r="U270" s="1208"/>
      <c r="V270" s="1189"/>
      <c r="W270" s="1189"/>
      <c r="X270" s="1189"/>
      <c r="Y270" s="1189"/>
      <c r="Z270" s="1189"/>
      <c r="AA270" s="1189"/>
      <c r="AB270" s="1189"/>
      <c r="AC270" s="1189"/>
      <c r="AD270" s="1189"/>
      <c r="AE270" s="1189"/>
      <c r="AF270" s="1189"/>
      <c r="AG270" s="1189"/>
      <c r="AH270" s="1189"/>
      <c r="AI270" s="1189"/>
      <c r="AJ270" s="1189"/>
      <c r="AK270" s="1189"/>
      <c r="AL270" s="1189"/>
      <c r="AM270" s="1189"/>
      <c r="AN270" s="1189"/>
      <c r="AO270" s="1189"/>
      <c r="AP270" s="1189"/>
      <c r="AQ270" s="1189"/>
      <c r="AR270" s="1189"/>
      <c r="AS270" s="1189"/>
      <c r="AT270" s="1189"/>
      <c r="AU270" s="1189"/>
      <c r="AV270" s="1189"/>
      <c r="AW270" s="1189"/>
      <c r="AX270" s="1189"/>
    </row>
    <row r="271" spans="4:50" ht="12.75" customHeight="1">
      <c r="D271" s="1231"/>
      <c r="E271" s="1230"/>
      <c r="F271" s="1230"/>
      <c r="G271" s="1230"/>
      <c r="H271" s="1230"/>
      <c r="I271" s="1189"/>
      <c r="J271" s="1189"/>
      <c r="K271" s="1225"/>
      <c r="L271" s="1189"/>
      <c r="M271" s="1189"/>
      <c r="N271" s="1189"/>
      <c r="O271" s="1189"/>
      <c r="P271" s="1189"/>
      <c r="Q271" s="1189"/>
      <c r="R271" s="1189"/>
      <c r="S271" s="1189"/>
      <c r="T271" s="1208"/>
      <c r="U271" s="1208"/>
      <c r="V271" s="1189"/>
      <c r="W271" s="1189"/>
      <c r="X271" s="1189"/>
      <c r="Y271" s="1189"/>
      <c r="Z271" s="1189"/>
      <c r="AA271" s="1189"/>
      <c r="AB271" s="1189"/>
      <c r="AC271" s="1189"/>
      <c r="AD271" s="1189"/>
      <c r="AE271" s="1189"/>
      <c r="AF271" s="1189"/>
      <c r="AG271" s="1189"/>
      <c r="AH271" s="1189"/>
      <c r="AI271" s="1189"/>
      <c r="AJ271" s="1189"/>
      <c r="AK271" s="1189"/>
      <c r="AL271" s="1189"/>
      <c r="AM271" s="1189"/>
      <c r="AN271" s="1189"/>
      <c r="AO271" s="1189"/>
      <c r="AP271" s="1189"/>
      <c r="AQ271" s="1189"/>
      <c r="AR271" s="1189"/>
      <c r="AS271" s="1189"/>
      <c r="AT271" s="1189"/>
      <c r="AU271" s="1189"/>
      <c r="AV271" s="1189"/>
      <c r="AW271" s="1189"/>
      <c r="AX271" s="1189"/>
    </row>
    <row r="272" spans="4:50" ht="12.75" customHeight="1">
      <c r="D272" s="1231"/>
      <c r="E272" s="1230"/>
      <c r="F272" s="1230"/>
      <c r="G272" s="1230"/>
      <c r="H272" s="1230"/>
      <c r="I272" s="1189"/>
      <c r="J272" s="1189"/>
      <c r="K272" s="1225"/>
      <c r="L272" s="1189"/>
      <c r="M272" s="1189"/>
      <c r="N272" s="1189"/>
      <c r="O272" s="1189"/>
      <c r="P272" s="1189"/>
      <c r="Q272" s="1189"/>
      <c r="R272" s="1189"/>
      <c r="S272" s="1189"/>
      <c r="T272" s="1208"/>
      <c r="U272" s="1208"/>
      <c r="V272" s="1189"/>
      <c r="W272" s="1189"/>
      <c r="X272" s="1189"/>
      <c r="Y272" s="1189"/>
      <c r="Z272" s="1189"/>
      <c r="AA272" s="1189"/>
      <c r="AB272" s="1189"/>
      <c r="AC272" s="1189"/>
      <c r="AD272" s="1189"/>
      <c r="AE272" s="1189"/>
      <c r="AF272" s="1189"/>
      <c r="AG272" s="1189"/>
      <c r="AH272" s="1189"/>
      <c r="AI272" s="1189"/>
      <c r="AJ272" s="1189"/>
      <c r="AK272" s="1189"/>
      <c r="AL272" s="1189"/>
      <c r="AM272" s="1189"/>
      <c r="AN272" s="1189"/>
      <c r="AO272" s="1189"/>
      <c r="AP272" s="1189"/>
      <c r="AQ272" s="1189"/>
      <c r="AR272" s="1189"/>
      <c r="AS272" s="1189"/>
      <c r="AT272" s="1189"/>
      <c r="AU272" s="1189"/>
      <c r="AV272" s="1189"/>
      <c r="AW272" s="1189"/>
      <c r="AX272" s="1189"/>
    </row>
    <row r="273" spans="4:50" ht="12.75" customHeight="1">
      <c r="D273" s="1231"/>
      <c r="E273" s="1230"/>
      <c r="F273" s="1230"/>
      <c r="G273" s="1230"/>
      <c r="H273" s="1230"/>
      <c r="I273" s="1189"/>
      <c r="J273" s="1189"/>
      <c r="K273" s="1225"/>
      <c r="L273" s="1189"/>
      <c r="M273" s="1189"/>
      <c r="N273" s="1189"/>
      <c r="O273" s="1189"/>
      <c r="P273" s="1189"/>
      <c r="Q273" s="1189"/>
      <c r="R273" s="1189"/>
      <c r="S273" s="1189"/>
      <c r="T273" s="1208"/>
      <c r="U273" s="1208"/>
      <c r="V273" s="1189"/>
      <c r="W273" s="1189"/>
      <c r="X273" s="1189"/>
      <c r="Y273" s="1189"/>
      <c r="Z273" s="1189"/>
      <c r="AA273" s="1189"/>
      <c r="AB273" s="1189"/>
      <c r="AC273" s="1189"/>
      <c r="AD273" s="1189"/>
      <c r="AE273" s="1189"/>
      <c r="AF273" s="1189"/>
      <c r="AG273" s="1189"/>
      <c r="AH273" s="1189"/>
      <c r="AI273" s="1189"/>
      <c r="AJ273" s="1189"/>
      <c r="AK273" s="1189"/>
      <c r="AL273" s="1189"/>
      <c r="AM273" s="1189"/>
      <c r="AN273" s="1189"/>
      <c r="AO273" s="1189"/>
      <c r="AP273" s="1189"/>
      <c r="AQ273" s="1189"/>
      <c r="AR273" s="1189"/>
      <c r="AS273" s="1189"/>
      <c r="AT273" s="1189"/>
      <c r="AU273" s="1189"/>
      <c r="AV273" s="1189"/>
      <c r="AW273" s="1189"/>
      <c r="AX273" s="1189"/>
    </row>
    <row r="274" spans="4:50" ht="12.75" customHeight="1">
      <c r="D274" s="1231"/>
      <c r="E274" s="1230"/>
      <c r="F274" s="1230"/>
      <c r="G274" s="1230"/>
      <c r="H274" s="1230"/>
      <c r="I274" s="1189"/>
      <c r="J274" s="1189"/>
      <c r="K274" s="1225"/>
      <c r="L274" s="1189"/>
      <c r="M274" s="1189"/>
      <c r="N274" s="1189"/>
      <c r="O274" s="1189"/>
      <c r="P274" s="1189"/>
      <c r="Q274" s="1189"/>
      <c r="R274" s="1189"/>
      <c r="S274" s="1189"/>
      <c r="T274" s="1208"/>
      <c r="U274" s="1208"/>
      <c r="V274" s="1189"/>
      <c r="W274" s="1189"/>
      <c r="X274" s="1189"/>
      <c r="Y274" s="1189"/>
      <c r="Z274" s="1189"/>
      <c r="AA274" s="1189"/>
      <c r="AB274" s="1189"/>
      <c r="AC274" s="1189"/>
      <c r="AD274" s="1189"/>
      <c r="AE274" s="1189"/>
      <c r="AF274" s="1189"/>
      <c r="AG274" s="1189"/>
      <c r="AH274" s="1189"/>
      <c r="AI274" s="1189"/>
      <c r="AJ274" s="1189"/>
      <c r="AK274" s="1189"/>
      <c r="AL274" s="1189"/>
      <c r="AM274" s="1189"/>
      <c r="AN274" s="1189"/>
      <c r="AO274" s="1189"/>
      <c r="AP274" s="1189"/>
      <c r="AQ274" s="1189"/>
      <c r="AR274" s="1189"/>
      <c r="AS274" s="1189"/>
      <c r="AT274" s="1189"/>
      <c r="AU274" s="1189"/>
      <c r="AV274" s="1189"/>
      <c r="AW274" s="1189"/>
      <c r="AX274" s="1189"/>
    </row>
    <row r="275" spans="4:50" ht="12.75" customHeight="1">
      <c r="D275" s="1231"/>
      <c r="E275" s="1230"/>
      <c r="F275" s="1230"/>
      <c r="G275" s="1230"/>
      <c r="H275" s="1230"/>
      <c r="I275" s="1189"/>
      <c r="J275" s="1189"/>
      <c r="K275" s="1189"/>
      <c r="L275" s="1225"/>
      <c r="M275" s="1189"/>
      <c r="N275" s="1189"/>
      <c r="O275" s="1189"/>
      <c r="P275" s="1189"/>
      <c r="Q275" s="1189"/>
      <c r="R275" s="1189"/>
      <c r="S275" s="1189"/>
      <c r="T275" s="1208"/>
      <c r="U275" s="1208"/>
      <c r="V275" s="1189"/>
      <c r="W275" s="1189"/>
      <c r="X275" s="1189"/>
      <c r="Y275" s="1189"/>
      <c r="Z275" s="1189"/>
      <c r="AA275" s="1189"/>
      <c r="AB275" s="1189"/>
      <c r="AC275" s="1189"/>
      <c r="AD275" s="1189"/>
      <c r="AE275" s="1189"/>
      <c r="AF275" s="1189"/>
      <c r="AG275" s="1189"/>
      <c r="AH275" s="1189"/>
      <c r="AI275" s="1189"/>
      <c r="AJ275" s="1189"/>
      <c r="AK275" s="1189"/>
      <c r="AL275" s="1189"/>
      <c r="AM275" s="1189"/>
      <c r="AN275" s="1189"/>
      <c r="AO275" s="1189"/>
      <c r="AP275" s="1189"/>
      <c r="AQ275" s="1189"/>
      <c r="AR275" s="1189"/>
      <c r="AS275" s="1189"/>
      <c r="AT275" s="1189"/>
      <c r="AU275" s="1189"/>
      <c r="AV275" s="1189"/>
      <c r="AW275" s="1189"/>
      <c r="AX275" s="1189"/>
    </row>
    <row r="276" spans="4:50" ht="12.75" customHeight="1">
      <c r="D276" s="1231"/>
      <c r="E276" s="1230"/>
      <c r="F276" s="1230"/>
      <c r="G276" s="1230"/>
      <c r="H276" s="1230"/>
      <c r="I276" s="1189"/>
      <c r="J276" s="1189"/>
      <c r="K276" s="1189"/>
      <c r="L276" s="1225"/>
      <c r="M276" s="1189"/>
      <c r="N276" s="1189"/>
      <c r="O276" s="1189"/>
      <c r="P276" s="1189"/>
      <c r="Q276" s="1189"/>
      <c r="R276" s="1189"/>
      <c r="S276" s="1189"/>
      <c r="T276" s="1208"/>
      <c r="U276" s="1208"/>
      <c r="V276" s="1189"/>
      <c r="W276" s="1189"/>
      <c r="X276" s="1189"/>
      <c r="Y276" s="1189"/>
      <c r="Z276" s="1189"/>
      <c r="AA276" s="1189"/>
      <c r="AB276" s="1189"/>
      <c r="AC276" s="1189"/>
      <c r="AD276" s="1189"/>
      <c r="AE276" s="1189"/>
      <c r="AF276" s="1189"/>
      <c r="AG276" s="1189"/>
      <c r="AH276" s="1189"/>
      <c r="AI276" s="1189"/>
      <c r="AJ276" s="1189"/>
      <c r="AK276" s="1189"/>
      <c r="AL276" s="1189"/>
      <c r="AM276" s="1189"/>
      <c r="AN276" s="1189"/>
      <c r="AO276" s="1189"/>
      <c r="AP276" s="1189"/>
      <c r="AQ276" s="1189"/>
      <c r="AR276" s="1189"/>
      <c r="AS276" s="1189"/>
      <c r="AT276" s="1189"/>
      <c r="AU276" s="1189"/>
      <c r="AV276" s="1189"/>
      <c r="AW276" s="1189"/>
      <c r="AX276" s="1189"/>
    </row>
    <row r="277" spans="4:50" ht="12.75" customHeight="1">
      <c r="D277" s="1231"/>
      <c r="E277" s="1230"/>
      <c r="F277" s="1230"/>
      <c r="G277" s="1230"/>
      <c r="H277" s="1230"/>
      <c r="I277" s="1189"/>
      <c r="J277" s="1189"/>
      <c r="K277" s="1189"/>
      <c r="L277" s="1225"/>
      <c r="M277" s="1189"/>
      <c r="N277" s="1189"/>
      <c r="O277" s="1189"/>
      <c r="P277" s="1189"/>
      <c r="Q277" s="1189"/>
      <c r="R277" s="1189"/>
      <c r="S277" s="1189"/>
      <c r="T277" s="1208"/>
      <c r="U277" s="1208"/>
      <c r="V277" s="1189"/>
      <c r="W277" s="1189"/>
      <c r="X277" s="1189"/>
      <c r="Y277" s="1189"/>
      <c r="Z277" s="1189"/>
      <c r="AA277" s="1189"/>
      <c r="AB277" s="1189"/>
      <c r="AC277" s="1189"/>
      <c r="AD277" s="1189"/>
      <c r="AE277" s="1189"/>
      <c r="AF277" s="1189"/>
      <c r="AG277" s="1189"/>
      <c r="AH277" s="1189"/>
      <c r="AI277" s="1189"/>
      <c r="AJ277" s="1189"/>
      <c r="AK277" s="1189"/>
      <c r="AL277" s="1189"/>
      <c r="AM277" s="1189"/>
      <c r="AN277" s="1189"/>
      <c r="AO277" s="1189"/>
      <c r="AP277" s="1189"/>
      <c r="AQ277" s="1189"/>
      <c r="AR277" s="1189"/>
      <c r="AS277" s="1189"/>
      <c r="AT277" s="1189"/>
      <c r="AU277" s="1189"/>
      <c r="AV277" s="1189"/>
      <c r="AW277" s="1189"/>
      <c r="AX277" s="1189"/>
    </row>
    <row r="278" spans="4:50" ht="12.75" customHeight="1">
      <c r="D278" s="1231"/>
      <c r="E278" s="1230"/>
      <c r="F278" s="1230"/>
      <c r="G278" s="1230"/>
      <c r="H278" s="1230"/>
      <c r="I278" s="1189"/>
      <c r="J278" s="1189"/>
      <c r="K278" s="1189"/>
      <c r="L278" s="1225"/>
      <c r="M278" s="1189"/>
      <c r="N278" s="1189"/>
      <c r="O278" s="1189"/>
      <c r="P278" s="1189"/>
      <c r="Q278" s="1189"/>
      <c r="R278" s="1189"/>
      <c r="S278" s="1189"/>
      <c r="T278" s="1208"/>
      <c r="U278" s="1208"/>
      <c r="V278" s="1189"/>
      <c r="W278" s="1189"/>
      <c r="X278" s="1189"/>
      <c r="Y278" s="1189"/>
      <c r="Z278" s="1189"/>
      <c r="AA278" s="1189"/>
      <c r="AB278" s="1189"/>
      <c r="AC278" s="1189"/>
      <c r="AD278" s="1189"/>
      <c r="AE278" s="1189"/>
      <c r="AF278" s="1189"/>
      <c r="AG278" s="1189"/>
      <c r="AH278" s="1189"/>
      <c r="AI278" s="1189"/>
      <c r="AJ278" s="1189"/>
      <c r="AK278" s="1189"/>
      <c r="AL278" s="1189"/>
      <c r="AM278" s="1189"/>
      <c r="AN278" s="1189"/>
      <c r="AO278" s="1189"/>
      <c r="AP278" s="1189"/>
      <c r="AQ278" s="1189"/>
      <c r="AR278" s="1189"/>
      <c r="AS278" s="1189"/>
      <c r="AT278" s="1189"/>
      <c r="AU278" s="1189"/>
      <c r="AV278" s="1189"/>
      <c r="AW278" s="1189"/>
      <c r="AX278" s="1189"/>
    </row>
    <row r="279" spans="4:50" ht="12.75" customHeight="1">
      <c r="D279" s="1231"/>
      <c r="E279" s="1230"/>
      <c r="F279" s="1230"/>
      <c r="G279" s="1230"/>
      <c r="H279" s="1230"/>
      <c r="I279" s="1189"/>
      <c r="J279" s="1189"/>
      <c r="K279" s="1189"/>
      <c r="L279" s="1225"/>
      <c r="M279" s="1189"/>
      <c r="N279" s="1189"/>
      <c r="O279" s="1189"/>
      <c r="P279" s="1189"/>
      <c r="Q279" s="1189"/>
      <c r="R279" s="1189"/>
      <c r="S279" s="1189"/>
      <c r="T279" s="1208"/>
      <c r="U279" s="1208"/>
      <c r="V279" s="1189"/>
      <c r="W279" s="1189"/>
      <c r="X279" s="1189"/>
      <c r="Y279" s="1189"/>
      <c r="Z279" s="1189"/>
      <c r="AA279" s="1189"/>
      <c r="AB279" s="1189"/>
      <c r="AC279" s="1189"/>
      <c r="AD279" s="1189"/>
      <c r="AE279" s="1189"/>
      <c r="AF279" s="1189"/>
      <c r="AG279" s="1189"/>
      <c r="AH279" s="1189"/>
      <c r="AI279" s="1189"/>
      <c r="AJ279" s="1189"/>
      <c r="AK279" s="1189"/>
      <c r="AL279" s="1189"/>
      <c r="AM279" s="1189"/>
      <c r="AN279" s="1189"/>
      <c r="AO279" s="1189"/>
      <c r="AP279" s="1189"/>
      <c r="AQ279" s="1189"/>
      <c r="AR279" s="1189"/>
      <c r="AS279" s="1189"/>
      <c r="AT279" s="1189"/>
      <c r="AU279" s="1189"/>
      <c r="AV279" s="1189"/>
      <c r="AW279" s="1189"/>
      <c r="AX279" s="1189"/>
    </row>
    <row r="280" spans="4:50" ht="12.75" customHeight="1">
      <c r="D280" s="1231"/>
      <c r="E280" s="1230"/>
      <c r="F280" s="1230"/>
      <c r="G280" s="1230"/>
      <c r="H280" s="1230"/>
      <c r="I280" s="1189"/>
      <c r="J280" s="1189"/>
      <c r="K280" s="1189"/>
      <c r="L280" s="1225"/>
      <c r="M280" s="1189"/>
      <c r="N280" s="1189"/>
      <c r="O280" s="1189"/>
      <c r="P280" s="1189"/>
      <c r="Q280" s="1189"/>
      <c r="R280" s="1189"/>
      <c r="S280" s="1189"/>
      <c r="T280" s="1208"/>
      <c r="U280" s="1208"/>
      <c r="V280" s="1189"/>
      <c r="W280" s="1189"/>
      <c r="X280" s="1189"/>
      <c r="Y280" s="1189"/>
      <c r="Z280" s="1189"/>
      <c r="AA280" s="1189"/>
      <c r="AB280" s="1189"/>
      <c r="AC280" s="1189"/>
      <c r="AD280" s="1189"/>
      <c r="AE280" s="1189"/>
      <c r="AF280" s="1189"/>
      <c r="AG280" s="1189"/>
      <c r="AH280" s="1189"/>
      <c r="AI280" s="1189"/>
      <c r="AJ280" s="1189"/>
      <c r="AK280" s="1189"/>
      <c r="AL280" s="1189"/>
      <c r="AM280" s="1189"/>
      <c r="AN280" s="1189"/>
      <c r="AO280" s="1189"/>
      <c r="AP280" s="1189"/>
      <c r="AQ280" s="1189"/>
      <c r="AR280" s="1189"/>
      <c r="AS280" s="1189"/>
      <c r="AT280" s="1189"/>
      <c r="AU280" s="1189"/>
      <c r="AV280" s="1189"/>
      <c r="AW280" s="1189"/>
      <c r="AX280" s="1189"/>
    </row>
    <row r="281" spans="4:50" ht="12.75" customHeight="1">
      <c r="D281" s="1231"/>
      <c r="E281" s="1230"/>
      <c r="F281" s="1230"/>
      <c r="G281" s="1230"/>
      <c r="H281" s="1230"/>
      <c r="I281" s="1189"/>
      <c r="J281" s="1189"/>
      <c r="K281" s="1189"/>
      <c r="L281" s="1225"/>
      <c r="M281" s="1189"/>
      <c r="N281" s="1189"/>
      <c r="O281" s="1189"/>
      <c r="P281" s="1189"/>
      <c r="Q281" s="1189"/>
      <c r="R281" s="1189"/>
      <c r="S281" s="1189"/>
      <c r="T281" s="1208"/>
      <c r="U281" s="1208"/>
      <c r="V281" s="1189"/>
      <c r="W281" s="1189"/>
      <c r="X281" s="1189"/>
      <c r="Y281" s="1189"/>
      <c r="Z281" s="1189"/>
      <c r="AA281" s="1189"/>
      <c r="AB281" s="1189"/>
      <c r="AC281" s="1189"/>
      <c r="AD281" s="1189"/>
      <c r="AE281" s="1189"/>
      <c r="AF281" s="1189"/>
      <c r="AG281" s="1189"/>
      <c r="AH281" s="1189"/>
      <c r="AI281" s="1189"/>
      <c r="AJ281" s="1189"/>
      <c r="AK281" s="1189"/>
      <c r="AL281" s="1189"/>
      <c r="AM281" s="1189"/>
      <c r="AN281" s="1189"/>
      <c r="AO281" s="1189"/>
      <c r="AP281" s="1189"/>
      <c r="AQ281" s="1189"/>
      <c r="AR281" s="1189"/>
      <c r="AS281" s="1189"/>
      <c r="AT281" s="1189"/>
      <c r="AU281" s="1189"/>
      <c r="AV281" s="1189"/>
      <c r="AW281" s="1189"/>
      <c r="AX281" s="1189"/>
    </row>
    <row r="282" spans="4:50" ht="12.75" customHeight="1">
      <c r="D282" s="1231"/>
      <c r="E282" s="1230"/>
      <c r="F282" s="1230"/>
      <c r="G282" s="1230"/>
      <c r="H282" s="1230"/>
      <c r="I282" s="1189"/>
      <c r="J282" s="1189"/>
      <c r="K282" s="1189"/>
      <c r="L282" s="1225"/>
      <c r="M282" s="1189"/>
      <c r="N282" s="1189"/>
      <c r="O282" s="1189"/>
      <c r="P282" s="1189"/>
      <c r="Q282" s="1189"/>
      <c r="R282" s="1189"/>
      <c r="S282" s="1189"/>
      <c r="T282" s="1208"/>
      <c r="U282" s="1208"/>
      <c r="V282" s="1189"/>
      <c r="W282" s="1189"/>
      <c r="X282" s="1189"/>
      <c r="Y282" s="1189"/>
      <c r="Z282" s="1189"/>
      <c r="AA282" s="1189"/>
      <c r="AB282" s="1189"/>
      <c r="AC282" s="1189"/>
      <c r="AD282" s="1189"/>
      <c r="AE282" s="1189"/>
      <c r="AF282" s="1189"/>
      <c r="AG282" s="1189"/>
      <c r="AH282" s="1189"/>
      <c r="AI282" s="1189"/>
      <c r="AJ282" s="1189"/>
      <c r="AK282" s="1189"/>
      <c r="AL282" s="1189"/>
      <c r="AM282" s="1189"/>
      <c r="AN282" s="1189"/>
      <c r="AO282" s="1189"/>
      <c r="AP282" s="1189"/>
      <c r="AQ282" s="1189"/>
      <c r="AR282" s="1189"/>
      <c r="AS282" s="1189"/>
      <c r="AT282" s="1189"/>
      <c r="AU282" s="1189"/>
      <c r="AV282" s="1189"/>
      <c r="AW282" s="1189"/>
      <c r="AX282" s="1189"/>
    </row>
    <row r="283" spans="4:50" ht="12.75" customHeight="1">
      <c r="D283" s="1231"/>
      <c r="E283" s="1230"/>
      <c r="F283" s="1230"/>
      <c r="G283" s="1230"/>
      <c r="H283" s="1230"/>
      <c r="I283" s="1189"/>
      <c r="J283" s="1189"/>
      <c r="K283" s="1189"/>
      <c r="L283" s="1225"/>
      <c r="M283" s="1189"/>
      <c r="N283" s="1189"/>
      <c r="O283" s="1189"/>
      <c r="P283" s="1189"/>
      <c r="Q283" s="1189"/>
      <c r="R283" s="1189"/>
      <c r="S283" s="1189"/>
      <c r="T283" s="1208"/>
      <c r="U283" s="1208"/>
      <c r="V283" s="1189"/>
      <c r="W283" s="1189"/>
      <c r="X283" s="1189"/>
      <c r="Y283" s="1189"/>
      <c r="Z283" s="1189"/>
      <c r="AA283" s="1189"/>
      <c r="AB283" s="1189"/>
      <c r="AC283" s="1189"/>
      <c r="AD283" s="1189"/>
      <c r="AE283" s="1189"/>
      <c r="AF283" s="1189"/>
      <c r="AG283" s="1189"/>
      <c r="AH283" s="1189"/>
      <c r="AI283" s="1189"/>
      <c r="AJ283" s="1189"/>
      <c r="AK283" s="1189"/>
      <c r="AL283" s="1189"/>
      <c r="AM283" s="1189"/>
      <c r="AN283" s="1189"/>
      <c r="AO283" s="1189"/>
      <c r="AP283" s="1189"/>
      <c r="AQ283" s="1189"/>
      <c r="AR283" s="1189"/>
      <c r="AS283" s="1189"/>
      <c r="AT283" s="1189"/>
      <c r="AU283" s="1189"/>
      <c r="AV283" s="1189"/>
      <c r="AW283" s="1189"/>
      <c r="AX283" s="1189"/>
    </row>
    <row r="284" spans="4:50" ht="12.75" customHeight="1">
      <c r="D284" s="1231"/>
      <c r="E284" s="1230"/>
      <c r="F284" s="1230"/>
      <c r="G284" s="1230"/>
      <c r="H284" s="1230"/>
      <c r="I284" s="1189"/>
      <c r="J284" s="1189"/>
      <c r="K284" s="1189"/>
      <c r="L284" s="1225"/>
      <c r="M284" s="1189"/>
      <c r="N284" s="1189"/>
      <c r="O284" s="1189"/>
      <c r="P284" s="1189"/>
      <c r="Q284" s="1189"/>
      <c r="R284" s="1189"/>
      <c r="S284" s="1189"/>
      <c r="T284" s="1208"/>
      <c r="U284" s="1208"/>
      <c r="V284" s="1189"/>
      <c r="W284" s="1189"/>
      <c r="X284" s="1189"/>
      <c r="Y284" s="1189"/>
      <c r="Z284" s="1189"/>
      <c r="AA284" s="1189"/>
      <c r="AB284" s="1189"/>
      <c r="AC284" s="1189"/>
      <c r="AD284" s="1189"/>
      <c r="AE284" s="1189"/>
      <c r="AF284" s="1189"/>
      <c r="AG284" s="1189"/>
      <c r="AH284" s="1189"/>
      <c r="AI284" s="1189"/>
      <c r="AJ284" s="1189"/>
      <c r="AK284" s="1189"/>
      <c r="AL284" s="1189"/>
      <c r="AM284" s="1189"/>
      <c r="AN284" s="1189"/>
      <c r="AO284" s="1189"/>
      <c r="AP284" s="1189"/>
      <c r="AQ284" s="1189"/>
      <c r="AR284" s="1189"/>
      <c r="AS284" s="1189"/>
      <c r="AT284" s="1189"/>
      <c r="AU284" s="1189"/>
      <c r="AV284" s="1189"/>
      <c r="AW284" s="1189"/>
      <c r="AX284" s="1189"/>
    </row>
    <row r="285" spans="4:50" ht="12.75" customHeight="1">
      <c r="D285" s="1231"/>
      <c r="E285" s="1230"/>
      <c r="F285" s="1230"/>
      <c r="G285" s="1230"/>
      <c r="H285" s="1230"/>
      <c r="I285" s="1189"/>
      <c r="J285" s="1189"/>
      <c r="K285" s="1189"/>
      <c r="L285" s="1225"/>
      <c r="M285" s="1189"/>
      <c r="N285" s="1189"/>
      <c r="O285" s="1189"/>
      <c r="P285" s="1189"/>
      <c r="Q285" s="1189"/>
      <c r="R285" s="1189"/>
      <c r="S285" s="1189"/>
      <c r="T285" s="1208"/>
      <c r="U285" s="1208"/>
      <c r="V285" s="1189"/>
      <c r="W285" s="1189"/>
      <c r="X285" s="1189"/>
      <c r="Y285" s="1189"/>
      <c r="Z285" s="1189"/>
      <c r="AA285" s="1189"/>
      <c r="AB285" s="1189"/>
      <c r="AC285" s="1189"/>
      <c r="AD285" s="1189"/>
      <c r="AE285" s="1189"/>
      <c r="AF285" s="1189"/>
      <c r="AG285" s="1189"/>
      <c r="AH285" s="1189"/>
      <c r="AI285" s="1189"/>
      <c r="AJ285" s="1189"/>
      <c r="AK285" s="1189"/>
      <c r="AL285" s="1189"/>
      <c r="AM285" s="1189"/>
      <c r="AN285" s="1189"/>
      <c r="AO285" s="1189"/>
      <c r="AP285" s="1189"/>
      <c r="AQ285" s="1189"/>
      <c r="AR285" s="1189"/>
      <c r="AS285" s="1189"/>
      <c r="AT285" s="1189"/>
      <c r="AU285" s="1189"/>
      <c r="AV285" s="1189"/>
      <c r="AW285" s="1189"/>
      <c r="AX285" s="1189"/>
    </row>
    <row r="286" spans="4:50" ht="12.75" customHeight="1">
      <c r="D286" s="1231"/>
      <c r="E286" s="1230"/>
      <c r="F286" s="1230"/>
      <c r="G286" s="1230"/>
      <c r="H286" s="1230"/>
      <c r="I286" s="1189"/>
      <c r="J286" s="1189"/>
      <c r="K286" s="1189"/>
      <c r="L286" s="1225"/>
      <c r="M286" s="1189"/>
      <c r="N286" s="1189"/>
      <c r="O286" s="1189"/>
      <c r="P286" s="1189"/>
      <c r="Q286" s="1189"/>
      <c r="R286" s="1189"/>
      <c r="S286" s="1189"/>
      <c r="T286" s="1208"/>
      <c r="U286" s="1208"/>
      <c r="V286" s="1189"/>
      <c r="W286" s="1189"/>
      <c r="X286" s="1189"/>
      <c r="Y286" s="1189"/>
      <c r="Z286" s="1189"/>
      <c r="AA286" s="1189"/>
      <c r="AB286" s="1189"/>
      <c r="AC286" s="1189"/>
      <c r="AD286" s="1189"/>
      <c r="AE286" s="1189"/>
      <c r="AF286" s="1189"/>
      <c r="AG286" s="1189"/>
      <c r="AH286" s="1189"/>
      <c r="AI286" s="1189"/>
      <c r="AJ286" s="1189"/>
      <c r="AK286" s="1189"/>
      <c r="AL286" s="1189"/>
      <c r="AM286" s="1189"/>
      <c r="AN286" s="1189"/>
      <c r="AO286" s="1189"/>
      <c r="AP286" s="1189"/>
      <c r="AQ286" s="1189"/>
      <c r="AR286" s="1189"/>
      <c r="AS286" s="1189"/>
      <c r="AT286" s="1189"/>
      <c r="AU286" s="1189"/>
      <c r="AV286" s="1189"/>
      <c r="AW286" s="1189"/>
      <c r="AX286" s="1189"/>
    </row>
    <row r="287" spans="4:50" ht="12.75" customHeight="1">
      <c r="D287" s="1231"/>
      <c r="E287" s="1230"/>
      <c r="F287" s="1230"/>
      <c r="G287" s="1230"/>
      <c r="H287" s="1230"/>
      <c r="I287" s="1189"/>
      <c r="J287" s="1189"/>
      <c r="K287" s="1189"/>
      <c r="L287" s="1225"/>
      <c r="M287" s="1189"/>
      <c r="N287" s="1189"/>
      <c r="O287" s="1189"/>
      <c r="P287" s="1189"/>
      <c r="Q287" s="1189"/>
      <c r="R287" s="1189"/>
      <c r="S287" s="1189"/>
      <c r="T287" s="1208"/>
      <c r="U287" s="1208"/>
      <c r="V287" s="1189"/>
      <c r="W287" s="1189"/>
      <c r="X287" s="1189"/>
      <c r="Y287" s="1189"/>
      <c r="Z287" s="1189"/>
      <c r="AA287" s="1189"/>
      <c r="AB287" s="1189"/>
      <c r="AC287" s="1189"/>
      <c r="AD287" s="1189"/>
      <c r="AE287" s="1189"/>
      <c r="AF287" s="1189"/>
      <c r="AG287" s="1189"/>
      <c r="AH287" s="1189"/>
      <c r="AI287" s="1189"/>
      <c r="AJ287" s="1189"/>
      <c r="AK287" s="1189"/>
      <c r="AL287" s="1189"/>
      <c r="AM287" s="1189"/>
      <c r="AN287" s="1189"/>
      <c r="AO287" s="1189"/>
      <c r="AP287" s="1189"/>
      <c r="AQ287" s="1189"/>
      <c r="AR287" s="1189"/>
      <c r="AS287" s="1189"/>
      <c r="AT287" s="1189"/>
      <c r="AU287" s="1189"/>
      <c r="AV287" s="1189"/>
      <c r="AW287" s="1189"/>
      <c r="AX287" s="1189"/>
    </row>
    <row r="288" spans="4:50" ht="12.75" customHeight="1">
      <c r="D288" s="1231"/>
      <c r="E288" s="1230"/>
      <c r="F288" s="1230"/>
      <c r="G288" s="1230"/>
      <c r="H288" s="1230"/>
      <c r="I288" s="1189"/>
      <c r="J288" s="1189"/>
      <c r="K288" s="1189"/>
      <c r="L288" s="1225"/>
      <c r="M288" s="1189"/>
      <c r="N288" s="1189"/>
      <c r="O288" s="1189"/>
      <c r="P288" s="1189"/>
      <c r="Q288" s="1189"/>
      <c r="R288" s="1189"/>
      <c r="S288" s="1189"/>
      <c r="T288" s="1208"/>
      <c r="U288" s="1208"/>
      <c r="V288" s="1189"/>
      <c r="W288" s="1189"/>
      <c r="X288" s="1189"/>
      <c r="Y288" s="1189"/>
      <c r="Z288" s="1189"/>
      <c r="AA288" s="1189"/>
      <c r="AB288" s="1189"/>
      <c r="AC288" s="1189"/>
      <c r="AD288" s="1189"/>
      <c r="AE288" s="1189"/>
      <c r="AF288" s="1189"/>
      <c r="AG288" s="1189"/>
      <c r="AH288" s="1189"/>
      <c r="AI288" s="1189"/>
      <c r="AJ288" s="1189"/>
      <c r="AK288" s="1189"/>
      <c r="AL288" s="1189"/>
      <c r="AM288" s="1189"/>
      <c r="AN288" s="1189"/>
      <c r="AO288" s="1189"/>
      <c r="AP288" s="1189"/>
      <c r="AQ288" s="1189"/>
      <c r="AR288" s="1189"/>
      <c r="AS288" s="1189"/>
      <c r="AT288" s="1189"/>
      <c r="AU288" s="1189"/>
      <c r="AV288" s="1189"/>
      <c r="AW288" s="1189"/>
      <c r="AX288" s="1189"/>
    </row>
    <row r="289" spans="4:50" ht="12.75" customHeight="1">
      <c r="D289" s="1231"/>
      <c r="E289" s="1230"/>
      <c r="F289" s="1230"/>
      <c r="G289" s="1230"/>
      <c r="H289" s="1230"/>
      <c r="I289" s="1189"/>
      <c r="J289" s="1189"/>
      <c r="K289" s="1189"/>
      <c r="L289" s="1225"/>
      <c r="M289" s="1189"/>
      <c r="N289" s="1189"/>
      <c r="O289" s="1189"/>
      <c r="P289" s="1189"/>
      <c r="Q289" s="1189"/>
      <c r="R289" s="1189"/>
      <c r="S289" s="1189"/>
      <c r="T289" s="1208"/>
      <c r="U289" s="1208"/>
      <c r="V289" s="1189"/>
      <c r="W289" s="1189"/>
      <c r="X289" s="1189"/>
      <c r="Y289" s="1189"/>
      <c r="Z289" s="1189"/>
      <c r="AA289" s="1189"/>
      <c r="AB289" s="1189"/>
      <c r="AC289" s="1189"/>
      <c r="AD289" s="1189"/>
      <c r="AE289" s="1189"/>
      <c r="AF289" s="1189"/>
      <c r="AG289" s="1189"/>
      <c r="AH289" s="1189"/>
      <c r="AI289" s="1189"/>
      <c r="AJ289" s="1189"/>
      <c r="AK289" s="1189"/>
      <c r="AL289" s="1189"/>
      <c r="AM289" s="1189"/>
      <c r="AN289" s="1189"/>
      <c r="AO289" s="1189"/>
      <c r="AP289" s="1189"/>
      <c r="AQ289" s="1189"/>
      <c r="AR289" s="1189"/>
      <c r="AS289" s="1189"/>
      <c r="AT289" s="1189"/>
      <c r="AU289" s="1189"/>
      <c r="AV289" s="1189"/>
      <c r="AW289" s="1189"/>
      <c r="AX289" s="1189"/>
    </row>
    <row r="290" spans="4:50" ht="12.75" customHeight="1">
      <c r="D290" s="1231"/>
      <c r="E290" s="1230"/>
      <c r="F290" s="1230"/>
      <c r="G290" s="1230"/>
      <c r="H290" s="1230"/>
      <c r="I290" s="1189"/>
      <c r="J290" s="1189"/>
      <c r="K290" s="1189"/>
      <c r="L290" s="1225"/>
      <c r="M290" s="1189"/>
      <c r="N290" s="1189"/>
      <c r="O290" s="1189"/>
      <c r="P290" s="1189"/>
      <c r="Q290" s="1189"/>
      <c r="R290" s="1189"/>
      <c r="S290" s="1189"/>
      <c r="T290" s="1208"/>
      <c r="U290" s="1208"/>
      <c r="V290" s="1189"/>
      <c r="W290" s="1189"/>
      <c r="X290" s="1189"/>
      <c r="Y290" s="1189"/>
      <c r="Z290" s="1189"/>
      <c r="AA290" s="1189"/>
      <c r="AB290" s="1189"/>
      <c r="AC290" s="1189"/>
      <c r="AD290" s="1189"/>
      <c r="AE290" s="1189"/>
      <c r="AF290" s="1189"/>
      <c r="AG290" s="1189"/>
      <c r="AH290" s="1189"/>
      <c r="AI290" s="1189"/>
      <c r="AJ290" s="1189"/>
      <c r="AK290" s="1189"/>
      <c r="AL290" s="1189"/>
      <c r="AM290" s="1189"/>
      <c r="AN290" s="1189"/>
      <c r="AO290" s="1189"/>
      <c r="AP290" s="1189"/>
      <c r="AQ290" s="1189"/>
      <c r="AR290" s="1189"/>
      <c r="AS290" s="1189"/>
      <c r="AT290" s="1189"/>
      <c r="AU290" s="1189"/>
      <c r="AV290" s="1189"/>
      <c r="AW290" s="1189"/>
      <c r="AX290" s="1189"/>
    </row>
    <row r="291" spans="4:50" ht="12.75" customHeight="1">
      <c r="D291" s="1231"/>
      <c r="E291" s="1230"/>
      <c r="F291" s="1230"/>
      <c r="G291" s="1230"/>
      <c r="H291" s="1230"/>
      <c r="I291" s="1189"/>
      <c r="J291" s="1189"/>
      <c r="K291" s="1189"/>
      <c r="L291" s="1225"/>
      <c r="M291" s="1189"/>
      <c r="N291" s="1189"/>
      <c r="O291" s="1189"/>
      <c r="P291" s="1189"/>
      <c r="Q291" s="1189"/>
      <c r="R291" s="1189"/>
      <c r="S291" s="1189"/>
      <c r="T291" s="1208"/>
      <c r="U291" s="1208"/>
      <c r="V291" s="1189"/>
      <c r="W291" s="1189"/>
      <c r="X291" s="1189"/>
      <c r="Y291" s="1189"/>
      <c r="Z291" s="1189"/>
      <c r="AA291" s="1189"/>
      <c r="AB291" s="1189"/>
      <c r="AC291" s="1189"/>
      <c r="AD291" s="1189"/>
      <c r="AE291" s="1189"/>
      <c r="AF291" s="1189"/>
      <c r="AG291" s="1189"/>
      <c r="AH291" s="1189"/>
      <c r="AI291" s="1189"/>
      <c r="AJ291" s="1189"/>
      <c r="AK291" s="1189"/>
      <c r="AL291" s="1189"/>
      <c r="AM291" s="1189"/>
      <c r="AN291" s="1189"/>
      <c r="AO291" s="1189"/>
      <c r="AP291" s="1189"/>
      <c r="AQ291" s="1189"/>
      <c r="AR291" s="1189"/>
      <c r="AS291" s="1189"/>
      <c r="AT291" s="1189"/>
      <c r="AU291" s="1189"/>
      <c r="AV291" s="1189"/>
      <c r="AW291" s="1189"/>
      <c r="AX291" s="1189"/>
    </row>
    <row r="292" spans="4:50" ht="12.75" customHeight="1">
      <c r="D292" s="1231"/>
      <c r="E292" s="1230"/>
      <c r="F292" s="1230"/>
      <c r="G292" s="1230"/>
      <c r="H292" s="1230"/>
      <c r="I292" s="1189"/>
      <c r="J292" s="1189"/>
      <c r="K292" s="1189"/>
      <c r="L292" s="1225"/>
      <c r="M292" s="1189"/>
      <c r="N292" s="1189"/>
      <c r="O292" s="1189"/>
      <c r="P292" s="1189"/>
      <c r="Q292" s="1189"/>
      <c r="R292" s="1189"/>
      <c r="S292" s="1189"/>
      <c r="T292" s="1208"/>
      <c r="U292" s="1208"/>
      <c r="V292" s="1189"/>
      <c r="W292" s="1189"/>
      <c r="X292" s="1189"/>
      <c r="Y292" s="1189"/>
      <c r="Z292" s="1189"/>
      <c r="AA292" s="1189"/>
      <c r="AB292" s="1189"/>
      <c r="AC292" s="1189"/>
      <c r="AD292" s="1189"/>
      <c r="AE292" s="1189"/>
      <c r="AF292" s="1189"/>
      <c r="AG292" s="1189"/>
      <c r="AH292" s="1189"/>
      <c r="AI292" s="1189"/>
      <c r="AJ292" s="1189"/>
      <c r="AK292" s="1189"/>
      <c r="AL292" s="1189"/>
      <c r="AM292" s="1189"/>
      <c r="AN292" s="1189"/>
      <c r="AO292" s="1189"/>
      <c r="AP292" s="1189"/>
      <c r="AQ292" s="1189"/>
      <c r="AR292" s="1189"/>
      <c r="AS292" s="1189"/>
      <c r="AT292" s="1189"/>
      <c r="AU292" s="1189"/>
      <c r="AV292" s="1189"/>
      <c r="AW292" s="1189"/>
      <c r="AX292" s="1189"/>
    </row>
    <row r="293" spans="4:50" ht="12.75" customHeight="1">
      <c r="D293" s="1231"/>
      <c r="E293" s="1230"/>
      <c r="F293" s="1230"/>
      <c r="G293" s="1230"/>
      <c r="H293" s="1230"/>
      <c r="I293" s="1189"/>
      <c r="J293" s="1189"/>
      <c r="K293" s="1189"/>
      <c r="L293" s="1225"/>
      <c r="M293" s="1189"/>
      <c r="N293" s="1189"/>
      <c r="O293" s="1189"/>
      <c r="P293" s="1189"/>
      <c r="Q293" s="1189"/>
      <c r="R293" s="1189"/>
      <c r="S293" s="1189"/>
      <c r="T293" s="1208"/>
      <c r="U293" s="1208"/>
      <c r="V293" s="1189"/>
      <c r="W293" s="1189"/>
      <c r="X293" s="1189"/>
      <c r="Y293" s="1189"/>
      <c r="Z293" s="1189"/>
      <c r="AA293" s="1189"/>
      <c r="AB293" s="1189"/>
      <c r="AC293" s="1189"/>
      <c r="AD293" s="1189"/>
      <c r="AE293" s="1189"/>
      <c r="AF293" s="1189"/>
      <c r="AG293" s="1189"/>
      <c r="AH293" s="1189"/>
      <c r="AI293" s="1189"/>
      <c r="AJ293" s="1189"/>
      <c r="AK293" s="1189"/>
      <c r="AL293" s="1189"/>
      <c r="AM293" s="1189"/>
      <c r="AN293" s="1189"/>
      <c r="AO293" s="1189"/>
      <c r="AP293" s="1189"/>
      <c r="AQ293" s="1189"/>
      <c r="AR293" s="1189"/>
      <c r="AS293" s="1189"/>
      <c r="AT293" s="1189"/>
      <c r="AU293" s="1189"/>
      <c r="AV293" s="1189"/>
      <c r="AW293" s="1189"/>
      <c r="AX293" s="1189"/>
    </row>
    <row r="294" spans="4:50" ht="12.75" customHeight="1">
      <c r="D294" s="1231"/>
      <c r="E294" s="1230"/>
      <c r="F294" s="1230"/>
      <c r="G294" s="1230"/>
      <c r="H294" s="1230"/>
      <c r="I294" s="1189"/>
      <c r="J294" s="1189"/>
      <c r="K294" s="1189"/>
      <c r="L294" s="1225"/>
      <c r="M294" s="1189"/>
      <c r="N294" s="1189"/>
      <c r="O294" s="1189"/>
      <c r="P294" s="1189"/>
      <c r="Q294" s="1189"/>
      <c r="R294" s="1189"/>
      <c r="S294" s="1189"/>
      <c r="T294" s="1208"/>
      <c r="U294" s="1208"/>
      <c r="V294" s="1189"/>
      <c r="W294" s="1189"/>
      <c r="X294" s="1189"/>
      <c r="Y294" s="1189"/>
      <c r="Z294" s="1189"/>
      <c r="AA294" s="1189"/>
      <c r="AB294" s="1189"/>
      <c r="AC294" s="1189"/>
      <c r="AD294" s="1189"/>
      <c r="AE294" s="1189"/>
      <c r="AF294" s="1189"/>
      <c r="AG294" s="1189"/>
      <c r="AH294" s="1189"/>
      <c r="AI294" s="1189"/>
      <c r="AJ294" s="1189"/>
      <c r="AK294" s="1189"/>
      <c r="AL294" s="1189"/>
      <c r="AM294" s="1189"/>
      <c r="AN294" s="1189"/>
      <c r="AO294" s="1189"/>
      <c r="AP294" s="1189"/>
      <c r="AQ294" s="1189"/>
      <c r="AR294" s="1189"/>
      <c r="AS294" s="1189"/>
      <c r="AT294" s="1189"/>
      <c r="AU294" s="1189"/>
      <c r="AV294" s="1189"/>
      <c r="AW294" s="1189"/>
      <c r="AX294" s="1189"/>
    </row>
    <row r="295" spans="4:50" ht="12.75" customHeight="1">
      <c r="D295" s="1231"/>
      <c r="E295" s="1230"/>
      <c r="F295" s="1230"/>
      <c r="G295" s="1230"/>
      <c r="H295" s="1230"/>
      <c r="I295" s="1189"/>
      <c r="J295" s="1189"/>
      <c r="K295" s="1189"/>
      <c r="L295" s="1225"/>
      <c r="M295" s="1189"/>
      <c r="N295" s="1189"/>
      <c r="O295" s="1189"/>
      <c r="P295" s="1189"/>
      <c r="Q295" s="1189"/>
      <c r="R295" s="1189"/>
      <c r="S295" s="1189"/>
      <c r="T295" s="1208"/>
      <c r="U295" s="1208"/>
      <c r="V295" s="1189"/>
      <c r="W295" s="1189"/>
      <c r="X295" s="1189"/>
      <c r="Y295" s="1189"/>
      <c r="Z295" s="1189"/>
      <c r="AA295" s="1189"/>
      <c r="AB295" s="1189"/>
      <c r="AC295" s="1189"/>
      <c r="AD295" s="1189"/>
      <c r="AE295" s="1189"/>
      <c r="AF295" s="1189"/>
      <c r="AG295" s="1189"/>
      <c r="AH295" s="1189"/>
      <c r="AI295" s="1189"/>
      <c r="AJ295" s="1189"/>
      <c r="AK295" s="1189"/>
      <c r="AL295" s="1189"/>
      <c r="AM295" s="1189"/>
      <c r="AN295" s="1189"/>
      <c r="AO295" s="1189"/>
      <c r="AP295" s="1189"/>
      <c r="AQ295" s="1189"/>
      <c r="AR295" s="1189"/>
      <c r="AS295" s="1189"/>
      <c r="AT295" s="1189"/>
      <c r="AU295" s="1189"/>
      <c r="AV295" s="1189"/>
      <c r="AW295" s="1189"/>
      <c r="AX295" s="1189"/>
    </row>
    <row r="296" spans="4:50" ht="12.75" customHeight="1">
      <c r="D296" s="1231"/>
      <c r="E296" s="1230"/>
      <c r="F296" s="1230"/>
      <c r="G296" s="1230"/>
      <c r="H296" s="1230"/>
      <c r="I296" s="1189"/>
      <c r="J296" s="1189"/>
      <c r="K296" s="1189"/>
      <c r="L296" s="1225"/>
      <c r="M296" s="1189"/>
      <c r="N296" s="1189"/>
      <c r="O296" s="1189"/>
      <c r="P296" s="1189"/>
      <c r="Q296" s="1189"/>
      <c r="R296" s="1189"/>
      <c r="S296" s="1189"/>
      <c r="T296" s="1208"/>
      <c r="U296" s="1208"/>
      <c r="V296" s="1189"/>
      <c r="W296" s="1189"/>
      <c r="X296" s="1189"/>
      <c r="Y296" s="1189"/>
      <c r="Z296" s="1189"/>
      <c r="AA296" s="1189"/>
      <c r="AB296" s="1189"/>
      <c r="AC296" s="1189"/>
      <c r="AD296" s="1189"/>
      <c r="AE296" s="1189"/>
      <c r="AF296" s="1189"/>
      <c r="AG296" s="1189"/>
      <c r="AH296" s="1189"/>
      <c r="AI296" s="1189"/>
      <c r="AJ296" s="1189"/>
      <c r="AK296" s="1189"/>
      <c r="AL296" s="1189"/>
      <c r="AM296" s="1189"/>
      <c r="AN296" s="1189"/>
      <c r="AO296" s="1189"/>
      <c r="AP296" s="1189"/>
      <c r="AQ296" s="1189"/>
      <c r="AR296" s="1189"/>
      <c r="AS296" s="1189"/>
      <c r="AT296" s="1189"/>
      <c r="AU296" s="1189"/>
      <c r="AV296" s="1189"/>
      <c r="AW296" s="1189"/>
      <c r="AX296" s="1189"/>
    </row>
    <row r="297" spans="4:50" ht="12.75" customHeight="1">
      <c r="D297" s="1231"/>
      <c r="E297" s="1230"/>
      <c r="F297" s="1230"/>
      <c r="G297" s="1230"/>
      <c r="H297" s="1230"/>
      <c r="I297" s="1189"/>
      <c r="J297" s="1189"/>
      <c r="K297" s="1189"/>
      <c r="L297" s="1225"/>
      <c r="M297" s="1189"/>
      <c r="N297" s="1189"/>
      <c r="O297" s="1189"/>
      <c r="P297" s="1189"/>
      <c r="Q297" s="1189"/>
      <c r="R297" s="1189"/>
      <c r="S297" s="1189"/>
      <c r="T297" s="1208"/>
      <c r="U297" s="1208"/>
      <c r="V297" s="1189"/>
      <c r="W297" s="1189"/>
      <c r="X297" s="1189"/>
      <c r="Y297" s="1189"/>
      <c r="Z297" s="1189"/>
      <c r="AA297" s="1189"/>
      <c r="AB297" s="1189"/>
      <c r="AC297" s="1189"/>
      <c r="AD297" s="1189"/>
      <c r="AE297" s="1189"/>
      <c r="AF297" s="1189"/>
      <c r="AG297" s="1189"/>
      <c r="AH297" s="1189"/>
      <c r="AI297" s="1189"/>
      <c r="AJ297" s="1189"/>
      <c r="AK297" s="1189"/>
      <c r="AL297" s="1189"/>
      <c r="AM297" s="1189"/>
      <c r="AN297" s="1189"/>
      <c r="AO297" s="1189"/>
      <c r="AP297" s="1189"/>
      <c r="AQ297" s="1189"/>
      <c r="AR297" s="1189"/>
      <c r="AS297" s="1189"/>
      <c r="AT297" s="1189"/>
      <c r="AU297" s="1189"/>
      <c r="AV297" s="1189"/>
      <c r="AW297" s="1189"/>
      <c r="AX297" s="1189"/>
    </row>
    <row r="298" spans="4:50" ht="12.75" customHeight="1">
      <c r="D298" s="1231"/>
      <c r="E298" s="1230"/>
      <c r="F298" s="1230"/>
      <c r="G298" s="1230"/>
      <c r="H298" s="1230"/>
      <c r="I298" s="1189"/>
      <c r="J298" s="1189"/>
      <c r="K298" s="1189"/>
      <c r="L298" s="1225"/>
      <c r="M298" s="1189"/>
      <c r="N298" s="1189"/>
      <c r="O298" s="1189"/>
      <c r="P298" s="1189"/>
      <c r="Q298" s="1189"/>
      <c r="R298" s="1189"/>
      <c r="S298" s="1189"/>
      <c r="T298" s="1208"/>
      <c r="U298" s="1208"/>
      <c r="V298" s="1189"/>
      <c r="W298" s="1189"/>
      <c r="X298" s="1189"/>
      <c r="Y298" s="1189"/>
      <c r="Z298" s="1189"/>
      <c r="AA298" s="1189"/>
      <c r="AB298" s="1189"/>
      <c r="AC298" s="1189"/>
      <c r="AD298" s="1189"/>
      <c r="AE298" s="1189"/>
      <c r="AF298" s="1189"/>
      <c r="AG298" s="1189"/>
      <c r="AH298" s="1189"/>
      <c r="AI298" s="1189"/>
      <c r="AJ298" s="1189"/>
      <c r="AK298" s="1189"/>
      <c r="AL298" s="1189"/>
      <c r="AM298" s="1189"/>
      <c r="AN298" s="1189"/>
      <c r="AO298" s="1189"/>
      <c r="AP298" s="1189"/>
      <c r="AQ298" s="1189"/>
      <c r="AR298" s="1189"/>
      <c r="AS298" s="1189"/>
      <c r="AT298" s="1189"/>
      <c r="AU298" s="1189"/>
      <c r="AV298" s="1189"/>
      <c r="AW298" s="1189"/>
      <c r="AX298" s="1189"/>
    </row>
    <row r="299" spans="4:50" ht="12.75" customHeight="1">
      <c r="D299" s="1231"/>
      <c r="E299" s="1230"/>
      <c r="F299" s="1230"/>
      <c r="G299" s="1230"/>
      <c r="H299" s="1230"/>
      <c r="I299" s="1189"/>
      <c r="J299" s="1189"/>
      <c r="K299" s="1189"/>
      <c r="L299" s="1225"/>
      <c r="M299" s="1189"/>
      <c r="N299" s="1189"/>
      <c r="O299" s="1189"/>
      <c r="P299" s="1189"/>
      <c r="Q299" s="1189"/>
      <c r="R299" s="1189"/>
      <c r="S299" s="1189"/>
      <c r="T299" s="1208"/>
      <c r="U299" s="1208"/>
      <c r="V299" s="1189"/>
      <c r="W299" s="1189"/>
      <c r="X299" s="1189"/>
      <c r="Y299" s="1189"/>
      <c r="Z299" s="1189"/>
      <c r="AA299" s="1189"/>
      <c r="AB299" s="1189"/>
      <c r="AC299" s="1189"/>
      <c r="AD299" s="1189"/>
      <c r="AE299" s="1189"/>
      <c r="AF299" s="1189"/>
      <c r="AG299" s="1189"/>
      <c r="AH299" s="1189"/>
      <c r="AI299" s="1189"/>
      <c r="AJ299" s="1189"/>
      <c r="AK299" s="1189"/>
      <c r="AL299" s="1189"/>
      <c r="AM299" s="1189"/>
      <c r="AN299" s="1189"/>
      <c r="AO299" s="1189"/>
      <c r="AP299" s="1189"/>
      <c r="AQ299" s="1189"/>
      <c r="AR299" s="1189"/>
      <c r="AS299" s="1189"/>
      <c r="AT299" s="1189"/>
      <c r="AU299" s="1189"/>
      <c r="AV299" s="1189"/>
      <c r="AW299" s="1189"/>
      <c r="AX299" s="1189"/>
    </row>
    <row r="300" spans="4:50" ht="12.75" customHeight="1">
      <c r="D300" s="1231"/>
      <c r="E300" s="1230"/>
      <c r="F300" s="1230"/>
      <c r="G300" s="1230"/>
      <c r="H300" s="1230"/>
      <c r="I300" s="1189"/>
      <c r="J300" s="1189"/>
      <c r="K300" s="1189"/>
      <c r="L300" s="1225"/>
      <c r="M300" s="1189"/>
      <c r="N300" s="1189"/>
      <c r="O300" s="1189"/>
      <c r="P300" s="1189"/>
      <c r="Q300" s="1189"/>
      <c r="R300" s="1189"/>
      <c r="S300" s="1189"/>
      <c r="T300" s="1208"/>
      <c r="U300" s="1208"/>
      <c r="V300" s="1189"/>
      <c r="W300" s="1189"/>
      <c r="X300" s="1189"/>
      <c r="Y300" s="1189"/>
      <c r="Z300" s="1189"/>
      <c r="AA300" s="1189"/>
      <c r="AB300" s="1189"/>
      <c r="AC300" s="1189"/>
      <c r="AD300" s="1189"/>
      <c r="AE300" s="1189"/>
      <c r="AF300" s="1189"/>
      <c r="AG300" s="1189"/>
      <c r="AH300" s="1189"/>
      <c r="AI300" s="1189"/>
      <c r="AJ300" s="1189"/>
      <c r="AK300" s="1189"/>
      <c r="AL300" s="1189"/>
      <c r="AM300" s="1189"/>
      <c r="AN300" s="1189"/>
      <c r="AO300" s="1189"/>
      <c r="AP300" s="1189"/>
      <c r="AQ300" s="1189"/>
      <c r="AR300" s="1189"/>
      <c r="AS300" s="1189"/>
      <c r="AT300" s="1189"/>
      <c r="AU300" s="1189"/>
      <c r="AV300" s="1189"/>
      <c r="AW300" s="1189"/>
      <c r="AX300" s="1189"/>
    </row>
    <row r="301" spans="4:50" ht="12.75" customHeight="1">
      <c r="D301" s="1231"/>
      <c r="E301" s="1230"/>
      <c r="F301" s="1230"/>
      <c r="G301" s="1230"/>
      <c r="H301" s="1230"/>
      <c r="I301" s="1189"/>
      <c r="J301" s="1189"/>
      <c r="K301" s="1189"/>
      <c r="L301" s="1225"/>
      <c r="M301" s="1189"/>
      <c r="N301" s="1189"/>
      <c r="O301" s="1189"/>
      <c r="P301" s="1189"/>
      <c r="Q301" s="1189"/>
      <c r="R301" s="1189"/>
      <c r="S301" s="1189"/>
      <c r="T301" s="1208"/>
      <c r="U301" s="1208"/>
      <c r="V301" s="1189"/>
      <c r="W301" s="1189"/>
      <c r="X301" s="1189"/>
      <c r="Y301" s="1189"/>
      <c r="Z301" s="1189"/>
      <c r="AA301" s="1189"/>
      <c r="AB301" s="1189"/>
      <c r="AC301" s="1189"/>
      <c r="AD301" s="1189"/>
      <c r="AE301" s="1189"/>
      <c r="AF301" s="1189"/>
      <c r="AG301" s="1189"/>
      <c r="AH301" s="1189"/>
      <c r="AI301" s="1189"/>
      <c r="AJ301" s="1189"/>
      <c r="AK301" s="1189"/>
      <c r="AL301" s="1189"/>
      <c r="AM301" s="1189"/>
      <c r="AN301" s="1189"/>
      <c r="AO301" s="1189"/>
      <c r="AP301" s="1189"/>
      <c r="AQ301" s="1189"/>
      <c r="AR301" s="1189"/>
      <c r="AS301" s="1189"/>
      <c r="AT301" s="1189"/>
      <c r="AU301" s="1189"/>
      <c r="AV301" s="1189"/>
      <c r="AW301" s="1189"/>
      <c r="AX301" s="1189"/>
    </row>
    <row r="302" spans="4:50" ht="12.75" customHeight="1">
      <c r="D302" s="1231"/>
      <c r="E302" s="1230"/>
      <c r="F302" s="1230"/>
      <c r="G302" s="1230"/>
      <c r="H302" s="1230"/>
      <c r="I302" s="1189"/>
      <c r="J302" s="1189"/>
      <c r="K302" s="1189"/>
      <c r="L302" s="1225"/>
      <c r="M302" s="1189"/>
      <c r="N302" s="1189"/>
      <c r="O302" s="1189"/>
      <c r="P302" s="1189"/>
      <c r="Q302" s="1189"/>
      <c r="R302" s="1189"/>
      <c r="S302" s="1189"/>
      <c r="T302" s="1208"/>
      <c r="U302" s="1208"/>
      <c r="V302" s="1189"/>
      <c r="W302" s="1189"/>
      <c r="X302" s="1189"/>
      <c r="Y302" s="1189"/>
      <c r="Z302" s="1189"/>
      <c r="AA302" s="1189"/>
      <c r="AB302" s="1189"/>
      <c r="AC302" s="1189"/>
      <c r="AD302" s="1189"/>
      <c r="AE302" s="1189"/>
      <c r="AF302" s="1189"/>
      <c r="AG302" s="1189"/>
      <c r="AH302" s="1189"/>
      <c r="AI302" s="1189"/>
      <c r="AJ302" s="1189"/>
      <c r="AK302" s="1189"/>
      <c r="AL302" s="1189"/>
      <c r="AM302" s="1189"/>
      <c r="AN302" s="1189"/>
      <c r="AO302" s="1189"/>
      <c r="AP302" s="1189"/>
      <c r="AQ302" s="1189"/>
      <c r="AR302" s="1189"/>
      <c r="AS302" s="1189"/>
      <c r="AT302" s="1189"/>
      <c r="AU302" s="1189"/>
      <c r="AV302" s="1189"/>
      <c r="AW302" s="1189"/>
      <c r="AX302" s="1189"/>
    </row>
    <row r="303" spans="4:50" ht="12.75" customHeight="1">
      <c r="D303" s="1231"/>
      <c r="E303" s="1230"/>
      <c r="F303" s="1230"/>
      <c r="G303" s="1230"/>
      <c r="H303" s="1230"/>
      <c r="I303" s="1189"/>
      <c r="J303" s="1189"/>
      <c r="K303" s="1189"/>
      <c r="L303" s="1225"/>
      <c r="M303" s="1189"/>
      <c r="N303" s="1189"/>
      <c r="O303" s="1189"/>
      <c r="P303" s="1189"/>
      <c r="Q303" s="1189"/>
      <c r="R303" s="1189"/>
      <c r="S303" s="1189"/>
      <c r="T303" s="1208"/>
      <c r="U303" s="1208"/>
      <c r="V303" s="1189"/>
      <c r="W303" s="1189"/>
      <c r="X303" s="1189"/>
      <c r="Y303" s="1189"/>
      <c r="Z303" s="1189"/>
      <c r="AA303" s="1189"/>
      <c r="AB303" s="1189"/>
      <c r="AC303" s="1189"/>
      <c r="AD303" s="1189"/>
      <c r="AE303" s="1189"/>
      <c r="AF303" s="1189"/>
      <c r="AG303" s="1189"/>
      <c r="AH303" s="1189"/>
      <c r="AI303" s="1189"/>
      <c r="AJ303" s="1189"/>
      <c r="AK303" s="1189"/>
      <c r="AL303" s="1189"/>
      <c r="AM303" s="1189"/>
      <c r="AN303" s="1189"/>
      <c r="AO303" s="1189"/>
      <c r="AP303" s="1189"/>
      <c r="AQ303" s="1189"/>
      <c r="AR303" s="1189"/>
      <c r="AS303" s="1189"/>
      <c r="AT303" s="1189"/>
      <c r="AU303" s="1189"/>
      <c r="AV303" s="1189"/>
      <c r="AW303" s="1189"/>
      <c r="AX303" s="1189"/>
    </row>
    <row r="304" spans="4:50" ht="12.75" customHeight="1">
      <c r="D304" s="1231"/>
      <c r="E304" s="1230"/>
      <c r="F304" s="1230"/>
      <c r="G304" s="1230"/>
      <c r="H304" s="1230"/>
      <c r="I304" s="1189"/>
      <c r="J304" s="1189"/>
      <c r="K304" s="1189"/>
      <c r="L304" s="1225"/>
      <c r="M304" s="1189"/>
      <c r="N304" s="1189"/>
      <c r="O304" s="1189"/>
      <c r="P304" s="1189"/>
      <c r="Q304" s="1189"/>
      <c r="R304" s="1189"/>
      <c r="S304" s="1189"/>
      <c r="T304" s="1208"/>
      <c r="U304" s="1208"/>
      <c r="V304" s="1189"/>
      <c r="W304" s="1189"/>
      <c r="X304" s="1189"/>
      <c r="Y304" s="1189"/>
      <c r="Z304" s="1189"/>
      <c r="AA304" s="1189"/>
      <c r="AB304" s="1189"/>
      <c r="AC304" s="1189"/>
      <c r="AD304" s="1189"/>
      <c r="AE304" s="1189"/>
      <c r="AF304" s="1189"/>
      <c r="AG304" s="1189"/>
      <c r="AH304" s="1189"/>
      <c r="AI304" s="1189"/>
      <c r="AJ304" s="1189"/>
      <c r="AK304" s="1189"/>
      <c r="AL304" s="1189"/>
      <c r="AM304" s="1189"/>
      <c r="AN304" s="1189"/>
      <c r="AO304" s="1189"/>
      <c r="AP304" s="1189"/>
      <c r="AQ304" s="1189"/>
      <c r="AR304" s="1189"/>
      <c r="AS304" s="1189"/>
      <c r="AT304" s="1189"/>
      <c r="AU304" s="1189"/>
      <c r="AV304" s="1189"/>
      <c r="AW304" s="1189"/>
      <c r="AX304" s="1189"/>
    </row>
    <row r="305" spans="4:50" ht="12.75" customHeight="1">
      <c r="D305" s="1231"/>
      <c r="E305" s="1230"/>
      <c r="F305" s="1230"/>
      <c r="G305" s="1230"/>
      <c r="H305" s="1230"/>
      <c r="I305" s="1189"/>
      <c r="J305" s="1189"/>
      <c r="K305" s="1189"/>
      <c r="L305" s="1225"/>
      <c r="M305" s="1189"/>
      <c r="N305" s="1189"/>
      <c r="O305" s="1189"/>
      <c r="P305" s="1189"/>
      <c r="Q305" s="1189"/>
      <c r="R305" s="1189"/>
      <c r="S305" s="1189"/>
      <c r="T305" s="1208"/>
      <c r="U305" s="1208"/>
      <c r="V305" s="1189"/>
      <c r="W305" s="1189"/>
      <c r="X305" s="1189"/>
      <c r="Y305" s="1189"/>
      <c r="Z305" s="1189"/>
      <c r="AA305" s="1189"/>
      <c r="AB305" s="1189"/>
      <c r="AC305" s="1189"/>
      <c r="AD305" s="1189"/>
      <c r="AE305" s="1189"/>
      <c r="AF305" s="1189"/>
      <c r="AG305" s="1189"/>
      <c r="AH305" s="1189"/>
      <c r="AI305" s="1189"/>
      <c r="AJ305" s="1189"/>
      <c r="AK305" s="1189"/>
      <c r="AL305" s="1189"/>
      <c r="AM305" s="1189"/>
      <c r="AN305" s="1189"/>
      <c r="AO305" s="1189"/>
      <c r="AP305" s="1189"/>
      <c r="AQ305" s="1189"/>
      <c r="AR305" s="1189"/>
      <c r="AS305" s="1189"/>
      <c r="AT305" s="1189"/>
      <c r="AU305" s="1189"/>
      <c r="AV305" s="1189"/>
      <c r="AW305" s="1189"/>
      <c r="AX305" s="1189"/>
    </row>
    <row r="306" spans="4:50" ht="12.75" customHeight="1">
      <c r="D306" s="1231"/>
      <c r="E306" s="1230"/>
      <c r="F306" s="1230"/>
      <c r="G306" s="1230"/>
      <c r="H306" s="1230"/>
      <c r="I306" s="1189"/>
      <c r="J306" s="1189"/>
      <c r="K306" s="1189"/>
      <c r="L306" s="1225"/>
      <c r="M306" s="1189"/>
      <c r="N306" s="1189"/>
      <c r="O306" s="1189"/>
      <c r="P306" s="1189"/>
      <c r="Q306" s="1189"/>
      <c r="R306" s="1189"/>
      <c r="S306" s="1189"/>
      <c r="T306" s="1208"/>
      <c r="U306" s="1208"/>
      <c r="V306" s="1189"/>
      <c r="W306" s="1189"/>
      <c r="X306" s="1189"/>
      <c r="Y306" s="1189"/>
      <c r="Z306" s="1189"/>
      <c r="AA306" s="1189"/>
      <c r="AB306" s="1189"/>
      <c r="AC306" s="1189"/>
      <c r="AD306" s="1189"/>
      <c r="AE306" s="1189"/>
      <c r="AF306" s="1189"/>
      <c r="AG306" s="1189"/>
      <c r="AH306" s="1189"/>
      <c r="AI306" s="1189"/>
      <c r="AJ306" s="1189"/>
      <c r="AK306" s="1189"/>
      <c r="AL306" s="1189"/>
      <c r="AM306" s="1189"/>
      <c r="AN306" s="1189"/>
      <c r="AO306" s="1189"/>
      <c r="AP306" s="1189"/>
      <c r="AQ306" s="1189"/>
      <c r="AR306" s="1189"/>
      <c r="AS306" s="1189"/>
      <c r="AT306" s="1189"/>
      <c r="AU306" s="1189"/>
      <c r="AV306" s="1189"/>
      <c r="AW306" s="1189"/>
      <c r="AX306" s="1189"/>
    </row>
    <row r="307" spans="4:50" ht="12.75" customHeight="1">
      <c r="D307" s="1231"/>
      <c r="E307" s="1230"/>
      <c r="F307" s="1230"/>
      <c r="G307" s="1230"/>
      <c r="H307" s="1230"/>
      <c r="I307" s="1189"/>
      <c r="J307" s="1189"/>
      <c r="K307" s="1189"/>
      <c r="L307" s="1225"/>
      <c r="M307" s="1189"/>
      <c r="N307" s="1189"/>
      <c r="O307" s="1189"/>
      <c r="P307" s="1189"/>
      <c r="Q307" s="1189"/>
      <c r="R307" s="1189"/>
      <c r="S307" s="1189"/>
      <c r="T307" s="1208"/>
      <c r="U307" s="1208"/>
      <c r="V307" s="1189"/>
      <c r="W307" s="1189"/>
      <c r="X307" s="1189"/>
      <c r="Y307" s="1189"/>
      <c r="Z307" s="1189"/>
      <c r="AA307" s="1189"/>
      <c r="AB307" s="1189"/>
      <c r="AC307" s="1189"/>
      <c r="AD307" s="1189"/>
      <c r="AE307" s="1189"/>
      <c r="AF307" s="1189"/>
      <c r="AG307" s="1189"/>
      <c r="AH307" s="1189"/>
      <c r="AI307" s="1189"/>
      <c r="AJ307" s="1189"/>
      <c r="AK307" s="1189"/>
      <c r="AL307" s="1189"/>
      <c r="AM307" s="1189"/>
      <c r="AN307" s="1189"/>
      <c r="AO307" s="1189"/>
      <c r="AP307" s="1189"/>
      <c r="AQ307" s="1189"/>
      <c r="AR307" s="1189"/>
      <c r="AS307" s="1189"/>
      <c r="AT307" s="1189"/>
      <c r="AU307" s="1189"/>
      <c r="AV307" s="1189"/>
      <c r="AW307" s="1189"/>
      <c r="AX307" s="1189"/>
    </row>
    <row r="308" spans="4:50" ht="12.75" customHeight="1">
      <c r="D308" s="1231"/>
      <c r="E308" s="1230"/>
      <c r="F308" s="1230"/>
      <c r="G308" s="1230"/>
      <c r="H308" s="1230"/>
      <c r="I308" s="1189"/>
      <c r="J308" s="1189"/>
      <c r="K308" s="1189"/>
      <c r="L308" s="1225"/>
      <c r="M308" s="1189"/>
      <c r="N308" s="1189"/>
      <c r="O308" s="1189"/>
      <c r="P308" s="1189"/>
      <c r="Q308" s="1189"/>
      <c r="R308" s="1189"/>
      <c r="S308" s="1189"/>
      <c r="T308" s="1208"/>
      <c r="U308" s="1208"/>
      <c r="V308" s="1189"/>
      <c r="W308" s="1189"/>
      <c r="X308" s="1189"/>
      <c r="Y308" s="1189"/>
      <c r="Z308" s="1189"/>
      <c r="AA308" s="1189"/>
      <c r="AB308" s="1189"/>
      <c r="AC308" s="1189"/>
      <c r="AD308" s="1189"/>
      <c r="AE308" s="1189"/>
      <c r="AF308" s="1189"/>
      <c r="AG308" s="1189"/>
      <c r="AH308" s="1189"/>
      <c r="AI308" s="1189"/>
      <c r="AJ308" s="1189"/>
      <c r="AK308" s="1189"/>
      <c r="AL308" s="1189"/>
      <c r="AM308" s="1189"/>
      <c r="AN308" s="1189"/>
      <c r="AO308" s="1189"/>
      <c r="AP308" s="1189"/>
      <c r="AQ308" s="1189"/>
      <c r="AR308" s="1189"/>
      <c r="AS308" s="1189"/>
      <c r="AT308" s="1189"/>
      <c r="AU308" s="1189"/>
      <c r="AV308" s="1189"/>
      <c r="AW308" s="1189"/>
      <c r="AX308" s="1189"/>
    </row>
    <row r="309" spans="4:50" ht="12.75" customHeight="1">
      <c r="D309" s="1231"/>
      <c r="E309" s="1230"/>
      <c r="F309" s="1230"/>
      <c r="G309" s="1230"/>
      <c r="H309" s="1230"/>
      <c r="I309" s="1189"/>
      <c r="J309" s="1189"/>
      <c r="K309" s="1189"/>
      <c r="L309" s="1225"/>
      <c r="M309" s="1189"/>
      <c r="N309" s="1189"/>
      <c r="O309" s="1189"/>
      <c r="P309" s="1189"/>
      <c r="Q309" s="1189"/>
      <c r="R309" s="1189"/>
      <c r="S309" s="1189"/>
      <c r="T309" s="1208"/>
      <c r="U309" s="1208"/>
      <c r="V309" s="1189"/>
      <c r="W309" s="1189"/>
      <c r="X309" s="1189"/>
      <c r="Y309" s="1189"/>
      <c r="Z309" s="1189"/>
      <c r="AA309" s="1189"/>
      <c r="AB309" s="1189"/>
      <c r="AC309" s="1189"/>
      <c r="AD309" s="1189"/>
      <c r="AE309" s="1189"/>
      <c r="AF309" s="1189"/>
      <c r="AG309" s="1189"/>
      <c r="AH309" s="1189"/>
      <c r="AI309" s="1189"/>
      <c r="AJ309" s="1189"/>
      <c r="AK309" s="1189"/>
      <c r="AL309" s="1189"/>
      <c r="AM309" s="1189"/>
      <c r="AN309" s="1189"/>
      <c r="AO309" s="1189"/>
      <c r="AP309" s="1189"/>
      <c r="AQ309" s="1189"/>
      <c r="AR309" s="1189"/>
      <c r="AS309" s="1189"/>
      <c r="AT309" s="1189"/>
      <c r="AU309" s="1189"/>
      <c r="AV309" s="1189"/>
      <c r="AW309" s="1189"/>
      <c r="AX309" s="1189"/>
    </row>
    <row r="310" spans="4:50" ht="12.75" customHeight="1">
      <c r="D310" s="1231"/>
      <c r="E310" s="1230"/>
      <c r="F310" s="1230"/>
      <c r="G310" s="1230"/>
      <c r="H310" s="1230"/>
      <c r="I310" s="1189"/>
      <c r="J310" s="1189"/>
      <c r="K310" s="1189"/>
      <c r="L310" s="1225"/>
      <c r="M310" s="1189"/>
      <c r="N310" s="1189"/>
      <c r="O310" s="1189"/>
      <c r="P310" s="1189"/>
      <c r="Q310" s="1189"/>
      <c r="R310" s="1189"/>
      <c r="S310" s="1189"/>
      <c r="T310" s="1208"/>
      <c r="U310" s="1208"/>
      <c r="V310" s="1189"/>
      <c r="W310" s="1189"/>
      <c r="X310" s="1189"/>
      <c r="Y310" s="1189"/>
      <c r="Z310" s="1189"/>
      <c r="AA310" s="1189"/>
      <c r="AB310" s="1189"/>
      <c r="AC310" s="1189"/>
      <c r="AD310" s="1189"/>
      <c r="AE310" s="1189"/>
      <c r="AF310" s="1189"/>
      <c r="AG310" s="1189"/>
      <c r="AH310" s="1189"/>
      <c r="AI310" s="1189"/>
      <c r="AJ310" s="1189"/>
      <c r="AK310" s="1189"/>
      <c r="AL310" s="1189"/>
      <c r="AM310" s="1189"/>
      <c r="AN310" s="1189"/>
      <c r="AO310" s="1189"/>
      <c r="AP310" s="1189"/>
      <c r="AQ310" s="1189"/>
      <c r="AR310" s="1189"/>
      <c r="AS310" s="1189"/>
      <c r="AT310" s="1189"/>
      <c r="AU310" s="1189"/>
      <c r="AV310" s="1189"/>
      <c r="AW310" s="1189"/>
      <c r="AX310" s="1189"/>
    </row>
    <row r="311" spans="4:50" ht="12.75" customHeight="1">
      <c r="D311" s="1231"/>
      <c r="E311" s="1230"/>
      <c r="F311" s="1230"/>
      <c r="G311" s="1230"/>
      <c r="H311" s="1230"/>
      <c r="I311" s="1189"/>
      <c r="J311" s="1189"/>
      <c r="K311" s="1189"/>
      <c r="L311" s="1225"/>
      <c r="M311" s="1189"/>
      <c r="N311" s="1189"/>
      <c r="O311" s="1189"/>
      <c r="P311" s="1189"/>
      <c r="Q311" s="1189"/>
      <c r="R311" s="1189"/>
      <c r="S311" s="1189"/>
      <c r="T311" s="1208"/>
      <c r="U311" s="1208"/>
      <c r="V311" s="1189"/>
      <c r="W311" s="1189"/>
      <c r="X311" s="1189"/>
      <c r="Y311" s="1189"/>
      <c r="Z311" s="1189"/>
      <c r="AA311" s="1189"/>
      <c r="AB311" s="1189"/>
      <c r="AC311" s="1189"/>
      <c r="AD311" s="1189"/>
      <c r="AE311" s="1189"/>
      <c r="AF311" s="1189"/>
      <c r="AG311" s="1189"/>
      <c r="AH311" s="1189"/>
      <c r="AI311" s="1189"/>
      <c r="AJ311" s="1189"/>
      <c r="AK311" s="1189"/>
      <c r="AL311" s="1189"/>
      <c r="AM311" s="1189"/>
      <c r="AN311" s="1189"/>
      <c r="AO311" s="1189"/>
      <c r="AP311" s="1189"/>
      <c r="AQ311" s="1189"/>
      <c r="AR311" s="1189"/>
      <c r="AS311" s="1189"/>
      <c r="AT311" s="1189"/>
      <c r="AU311" s="1189"/>
      <c r="AV311" s="1189"/>
      <c r="AW311" s="1189"/>
      <c r="AX311" s="1189"/>
    </row>
    <row r="312" spans="4:50" ht="12.75" customHeight="1">
      <c r="D312" s="1231"/>
      <c r="E312" s="1230"/>
      <c r="F312" s="1230"/>
      <c r="G312" s="1230"/>
      <c r="H312" s="1230"/>
      <c r="I312" s="1189"/>
      <c r="J312" s="1189"/>
      <c r="K312" s="1189"/>
      <c r="L312" s="1225"/>
      <c r="M312" s="1189"/>
      <c r="N312" s="1189"/>
      <c r="O312" s="1189"/>
      <c r="P312" s="1189"/>
      <c r="Q312" s="1189"/>
      <c r="R312" s="1189"/>
      <c r="S312" s="1189"/>
      <c r="T312" s="1208"/>
      <c r="U312" s="1208"/>
      <c r="V312" s="1189"/>
      <c r="W312" s="1189"/>
      <c r="X312" s="1189"/>
      <c r="Y312" s="1189"/>
      <c r="Z312" s="1189"/>
      <c r="AA312" s="1189"/>
      <c r="AB312" s="1189"/>
      <c r="AC312" s="1189"/>
      <c r="AD312" s="1189"/>
      <c r="AE312" s="1189"/>
      <c r="AF312" s="1189"/>
      <c r="AG312" s="1189"/>
      <c r="AH312" s="1189"/>
      <c r="AI312" s="1189"/>
      <c r="AJ312" s="1189"/>
      <c r="AK312" s="1189"/>
      <c r="AL312" s="1189"/>
      <c r="AM312" s="1189"/>
      <c r="AN312" s="1189"/>
      <c r="AO312" s="1189"/>
      <c r="AP312" s="1189"/>
      <c r="AQ312" s="1189"/>
      <c r="AR312" s="1189"/>
      <c r="AS312" s="1189"/>
      <c r="AT312" s="1189"/>
      <c r="AU312" s="1189"/>
      <c r="AV312" s="1189"/>
      <c r="AW312" s="1189"/>
      <c r="AX312" s="1189"/>
    </row>
    <row r="313" spans="4:50" ht="12.75" customHeight="1">
      <c r="D313" s="1231"/>
      <c r="E313" s="1230"/>
      <c r="F313" s="1230"/>
      <c r="G313" s="1230"/>
      <c r="H313" s="1230"/>
      <c r="I313" s="1189"/>
      <c r="J313" s="1189"/>
      <c r="K313" s="1189"/>
      <c r="L313" s="1225"/>
      <c r="M313" s="1189"/>
      <c r="N313" s="1189"/>
      <c r="O313" s="1189"/>
      <c r="P313" s="1189"/>
      <c r="Q313" s="1189"/>
      <c r="R313" s="1189"/>
      <c r="S313" s="1189"/>
      <c r="T313" s="1208"/>
      <c r="U313" s="1208"/>
      <c r="V313" s="1189"/>
      <c r="W313" s="1189"/>
      <c r="X313" s="1189"/>
      <c r="Y313" s="1189"/>
      <c r="Z313" s="1189"/>
      <c r="AA313" s="1189"/>
      <c r="AB313" s="1189"/>
      <c r="AC313" s="1189"/>
      <c r="AD313" s="1189"/>
      <c r="AE313" s="1189"/>
      <c r="AF313" s="1189"/>
      <c r="AG313" s="1189"/>
      <c r="AH313" s="1189"/>
      <c r="AI313" s="1189"/>
      <c r="AJ313" s="1189"/>
      <c r="AK313" s="1189"/>
      <c r="AL313" s="1189"/>
      <c r="AM313" s="1189"/>
      <c r="AN313" s="1189"/>
      <c r="AO313" s="1189"/>
      <c r="AP313" s="1189"/>
      <c r="AQ313" s="1189"/>
      <c r="AR313" s="1189"/>
      <c r="AS313" s="1189"/>
      <c r="AT313" s="1189"/>
      <c r="AU313" s="1189"/>
      <c r="AV313" s="1189"/>
      <c r="AW313" s="1189"/>
      <c r="AX313" s="1189"/>
    </row>
    <row r="314" spans="4:50" ht="12.75" customHeight="1">
      <c r="D314" s="1231"/>
      <c r="E314" s="1230"/>
      <c r="F314" s="1230"/>
      <c r="G314" s="1230"/>
      <c r="H314" s="1230"/>
      <c r="I314" s="1189"/>
      <c r="J314" s="1189"/>
      <c r="K314" s="1189"/>
      <c r="L314" s="1225"/>
      <c r="M314" s="1189"/>
      <c r="N314" s="1189"/>
      <c r="O314" s="1189"/>
      <c r="P314" s="1189"/>
      <c r="Q314" s="1189"/>
      <c r="R314" s="1189"/>
      <c r="S314" s="1189"/>
      <c r="T314" s="1208"/>
      <c r="U314" s="1208"/>
      <c r="V314" s="1189"/>
      <c r="W314" s="1189"/>
      <c r="X314" s="1189"/>
      <c r="Y314" s="1189"/>
      <c r="Z314" s="1189"/>
      <c r="AA314" s="1189"/>
      <c r="AB314" s="1189"/>
      <c r="AC314" s="1189"/>
      <c r="AD314" s="1189"/>
      <c r="AE314" s="1189"/>
      <c r="AF314" s="1189"/>
      <c r="AG314" s="1189"/>
      <c r="AH314" s="1189"/>
      <c r="AI314" s="1189"/>
      <c r="AJ314" s="1189"/>
      <c r="AK314" s="1189"/>
      <c r="AL314" s="1189"/>
      <c r="AM314" s="1189"/>
      <c r="AN314" s="1189"/>
      <c r="AO314" s="1189"/>
      <c r="AP314" s="1189"/>
      <c r="AQ314" s="1189"/>
      <c r="AR314" s="1189"/>
      <c r="AS314" s="1189"/>
      <c r="AT314" s="1189"/>
      <c r="AU314" s="1189"/>
      <c r="AV314" s="1189"/>
      <c r="AW314" s="1189"/>
      <c r="AX314" s="1189"/>
    </row>
    <row r="315" spans="4:50" ht="12.75" customHeight="1">
      <c r="D315" s="1231"/>
      <c r="E315" s="1230"/>
      <c r="F315" s="1230"/>
      <c r="G315" s="1230"/>
      <c r="H315" s="1230"/>
      <c r="I315" s="1189"/>
      <c r="J315" s="1189"/>
      <c r="K315" s="1189"/>
      <c r="L315" s="1225"/>
      <c r="M315" s="1189"/>
      <c r="N315" s="1189"/>
      <c r="O315" s="1189"/>
      <c r="P315" s="1189"/>
      <c r="Q315" s="1189"/>
      <c r="R315" s="1189"/>
      <c r="S315" s="1189"/>
      <c r="T315" s="1208"/>
      <c r="U315" s="1208"/>
      <c r="V315" s="1189"/>
      <c r="W315" s="1189"/>
      <c r="X315" s="1189"/>
      <c r="Y315" s="1189"/>
      <c r="Z315" s="1189"/>
      <c r="AA315" s="1189"/>
      <c r="AB315" s="1189"/>
      <c r="AC315" s="1189"/>
      <c r="AD315" s="1189"/>
      <c r="AE315" s="1189"/>
      <c r="AF315" s="1189"/>
      <c r="AG315" s="1189"/>
      <c r="AH315" s="1189"/>
      <c r="AI315" s="1189"/>
      <c r="AJ315" s="1189"/>
      <c r="AK315" s="1189"/>
      <c r="AL315" s="1189"/>
      <c r="AM315" s="1189"/>
      <c r="AN315" s="1189"/>
      <c r="AO315" s="1189"/>
      <c r="AP315" s="1189"/>
      <c r="AQ315" s="1189"/>
      <c r="AR315" s="1189"/>
      <c r="AS315" s="1189"/>
      <c r="AT315" s="1189"/>
      <c r="AU315" s="1189"/>
      <c r="AV315" s="1189"/>
      <c r="AW315" s="1189"/>
      <c r="AX315" s="1189"/>
    </row>
    <row r="316" spans="4:50" ht="12.75" customHeight="1">
      <c r="D316" s="1231"/>
      <c r="E316" s="1230"/>
      <c r="F316" s="1230"/>
      <c r="G316" s="1230"/>
      <c r="H316" s="1230"/>
      <c r="I316" s="1189"/>
      <c r="J316" s="1189"/>
      <c r="K316" s="1189"/>
      <c r="L316" s="1225"/>
      <c r="M316" s="1189"/>
      <c r="N316" s="1189"/>
      <c r="O316" s="1189"/>
      <c r="P316" s="1189"/>
      <c r="Q316" s="1189"/>
      <c r="R316" s="1189"/>
      <c r="S316" s="1189"/>
      <c r="T316" s="1208"/>
      <c r="U316" s="1208"/>
      <c r="V316" s="1189"/>
      <c r="W316" s="1189"/>
      <c r="X316" s="1189"/>
      <c r="Y316" s="1189"/>
      <c r="Z316" s="1189"/>
      <c r="AA316" s="1189"/>
      <c r="AB316" s="1189"/>
      <c r="AC316" s="1189"/>
      <c r="AD316" s="1189"/>
      <c r="AE316" s="1189"/>
      <c r="AF316" s="1189"/>
      <c r="AG316" s="1189"/>
      <c r="AH316" s="1189"/>
      <c r="AI316" s="1189"/>
      <c r="AJ316" s="1189"/>
      <c r="AK316" s="1189"/>
      <c r="AL316" s="1189"/>
      <c r="AM316" s="1189"/>
      <c r="AN316" s="1189"/>
      <c r="AO316" s="1189"/>
      <c r="AP316" s="1189"/>
      <c r="AQ316" s="1189"/>
      <c r="AR316" s="1189"/>
      <c r="AS316" s="1189"/>
      <c r="AT316" s="1189"/>
      <c r="AU316" s="1189"/>
      <c r="AV316" s="1189"/>
      <c r="AW316" s="1189"/>
      <c r="AX316" s="1189"/>
    </row>
    <row r="317" spans="4:50" ht="12.75" customHeight="1">
      <c r="D317" s="1231"/>
      <c r="E317" s="1230"/>
      <c r="F317" s="1230"/>
      <c r="G317" s="1230"/>
      <c r="H317" s="1230"/>
      <c r="I317" s="1189"/>
      <c r="J317" s="1189"/>
      <c r="K317" s="1189"/>
      <c r="L317" s="1225"/>
      <c r="M317" s="1189"/>
      <c r="N317" s="1189"/>
      <c r="O317" s="1189"/>
      <c r="P317" s="1189"/>
      <c r="Q317" s="1189"/>
      <c r="R317" s="1189"/>
      <c r="S317" s="1189"/>
      <c r="T317" s="1208"/>
      <c r="U317" s="1208"/>
      <c r="V317" s="1189"/>
      <c r="W317" s="1189"/>
      <c r="X317" s="1189"/>
      <c r="Y317" s="1189"/>
      <c r="Z317" s="1189"/>
      <c r="AA317" s="1189"/>
      <c r="AB317" s="1189"/>
      <c r="AC317" s="1189"/>
      <c r="AD317" s="1189"/>
      <c r="AE317" s="1189"/>
      <c r="AF317" s="1189"/>
      <c r="AG317" s="1189"/>
      <c r="AH317" s="1189"/>
      <c r="AI317" s="1189"/>
      <c r="AJ317" s="1189"/>
      <c r="AK317" s="1189"/>
      <c r="AL317" s="1189"/>
      <c r="AM317" s="1189"/>
      <c r="AN317" s="1189"/>
      <c r="AO317" s="1189"/>
      <c r="AP317" s="1189"/>
      <c r="AQ317" s="1189"/>
      <c r="AR317" s="1189"/>
      <c r="AS317" s="1189"/>
      <c r="AT317" s="1189"/>
      <c r="AU317" s="1189"/>
      <c r="AV317" s="1189"/>
      <c r="AW317" s="1189"/>
      <c r="AX317" s="1189"/>
    </row>
    <row r="318" spans="4:50" ht="12.75" customHeight="1">
      <c r="D318" s="1231"/>
      <c r="E318" s="1230"/>
      <c r="F318" s="1230"/>
      <c r="G318" s="1230"/>
      <c r="H318" s="1230"/>
      <c r="I318" s="1189"/>
      <c r="J318" s="1189"/>
      <c r="K318" s="1189"/>
      <c r="L318" s="1225"/>
      <c r="M318" s="1189"/>
      <c r="N318" s="1189"/>
      <c r="O318" s="1189"/>
      <c r="P318" s="1189"/>
      <c r="Q318" s="1189"/>
      <c r="R318" s="1189"/>
      <c r="S318" s="1189"/>
      <c r="T318" s="1208"/>
      <c r="U318" s="1208"/>
      <c r="V318" s="1189"/>
      <c r="W318" s="1189"/>
      <c r="X318" s="1189"/>
      <c r="Y318" s="1189"/>
      <c r="Z318" s="1189"/>
      <c r="AA318" s="1189"/>
      <c r="AB318" s="1189"/>
      <c r="AC318" s="1189"/>
      <c r="AD318" s="1189"/>
      <c r="AE318" s="1189"/>
      <c r="AF318" s="1189"/>
      <c r="AG318" s="1189"/>
      <c r="AH318" s="1189"/>
      <c r="AI318" s="1189"/>
      <c r="AJ318" s="1189"/>
      <c r="AK318" s="1189"/>
      <c r="AL318" s="1189"/>
      <c r="AM318" s="1189"/>
      <c r="AN318" s="1189"/>
      <c r="AO318" s="1189"/>
      <c r="AP318" s="1189"/>
      <c r="AQ318" s="1189"/>
      <c r="AR318" s="1189"/>
      <c r="AS318" s="1189"/>
      <c r="AT318" s="1189"/>
      <c r="AU318" s="1189"/>
      <c r="AV318" s="1189"/>
      <c r="AW318" s="1189"/>
      <c r="AX318" s="1189"/>
    </row>
    <row r="319" spans="4:50" ht="12.75" customHeight="1">
      <c r="D319" s="1231"/>
      <c r="E319" s="1230"/>
      <c r="F319" s="1230"/>
      <c r="G319" s="1230"/>
      <c r="H319" s="1230"/>
      <c r="I319" s="1189"/>
      <c r="J319" s="1189"/>
      <c r="K319" s="1189"/>
      <c r="L319" s="1225"/>
      <c r="M319" s="1189"/>
      <c r="N319" s="1189"/>
      <c r="O319" s="1189"/>
      <c r="P319" s="1189"/>
      <c r="Q319" s="1189"/>
      <c r="R319" s="1189"/>
      <c r="S319" s="1189"/>
      <c r="T319" s="1208"/>
      <c r="U319" s="1208"/>
      <c r="V319" s="1189"/>
      <c r="W319" s="1189"/>
      <c r="X319" s="1189"/>
      <c r="Y319" s="1189"/>
      <c r="Z319" s="1189"/>
      <c r="AA319" s="1189"/>
      <c r="AB319" s="1189"/>
      <c r="AC319" s="1189"/>
      <c r="AD319" s="1189"/>
      <c r="AE319" s="1189"/>
      <c r="AF319" s="1189"/>
      <c r="AG319" s="1189"/>
      <c r="AH319" s="1189"/>
      <c r="AI319" s="1189"/>
      <c r="AJ319" s="1189"/>
      <c r="AK319" s="1189"/>
      <c r="AL319" s="1189"/>
      <c r="AM319" s="1189"/>
      <c r="AN319" s="1189"/>
      <c r="AO319" s="1189"/>
      <c r="AP319" s="1189"/>
      <c r="AQ319" s="1189"/>
      <c r="AR319" s="1189"/>
      <c r="AS319" s="1189"/>
      <c r="AT319" s="1189"/>
      <c r="AU319" s="1189"/>
      <c r="AV319" s="1189"/>
      <c r="AW319" s="1189"/>
      <c r="AX319" s="1189"/>
    </row>
    <row r="320" spans="4:50" ht="12.75" customHeight="1">
      <c r="D320" s="1231"/>
      <c r="E320" s="1230"/>
      <c r="F320" s="1230"/>
      <c r="G320" s="1230"/>
      <c r="H320" s="1230"/>
      <c r="I320" s="1189"/>
      <c r="J320" s="1189"/>
      <c r="K320" s="1189"/>
      <c r="L320" s="1225"/>
      <c r="M320" s="1189"/>
      <c r="N320" s="1189"/>
      <c r="O320" s="1189"/>
      <c r="P320" s="1189"/>
      <c r="Q320" s="1189"/>
      <c r="R320" s="1189"/>
      <c r="S320" s="1189"/>
      <c r="T320" s="1208"/>
      <c r="U320" s="1208"/>
      <c r="V320" s="1189"/>
      <c r="W320" s="1189"/>
      <c r="X320" s="1189"/>
      <c r="Y320" s="1189"/>
      <c r="Z320" s="1189"/>
      <c r="AA320" s="1189"/>
      <c r="AB320" s="1189"/>
      <c r="AC320" s="1189"/>
      <c r="AD320" s="1189"/>
      <c r="AE320" s="1189"/>
      <c r="AF320" s="1189"/>
      <c r="AG320" s="1189"/>
      <c r="AH320" s="1189"/>
      <c r="AI320" s="1189"/>
      <c r="AJ320" s="1189"/>
      <c r="AK320" s="1189"/>
      <c r="AL320" s="1189"/>
      <c r="AM320" s="1189"/>
      <c r="AN320" s="1189"/>
      <c r="AO320" s="1189"/>
      <c r="AP320" s="1189"/>
      <c r="AQ320" s="1189"/>
      <c r="AR320" s="1189"/>
      <c r="AS320" s="1189"/>
      <c r="AT320" s="1189"/>
      <c r="AU320" s="1189"/>
      <c r="AV320" s="1189"/>
      <c r="AW320" s="1189"/>
      <c r="AX320" s="1189"/>
    </row>
    <row r="321" spans="4:50" ht="12.75" customHeight="1">
      <c r="D321" s="1231"/>
      <c r="E321" s="1230"/>
      <c r="F321" s="1230"/>
      <c r="G321" s="1230"/>
      <c r="H321" s="1230"/>
      <c r="I321" s="1189"/>
      <c r="J321" s="1189"/>
      <c r="K321" s="1189"/>
      <c r="L321" s="1225"/>
      <c r="M321" s="1189"/>
      <c r="N321" s="1189"/>
      <c r="O321" s="1189"/>
      <c r="P321" s="1189"/>
      <c r="Q321" s="1189"/>
      <c r="R321" s="1189"/>
      <c r="S321" s="1189"/>
      <c r="T321" s="1208"/>
      <c r="U321" s="1208"/>
      <c r="V321" s="1189"/>
      <c r="W321" s="1189"/>
      <c r="X321" s="1189"/>
      <c r="Y321" s="1189"/>
      <c r="Z321" s="1189"/>
      <c r="AA321" s="1189"/>
      <c r="AB321" s="1189"/>
      <c r="AC321" s="1189"/>
      <c r="AD321" s="1189"/>
      <c r="AE321" s="1189"/>
      <c r="AF321" s="1189"/>
      <c r="AG321" s="1189"/>
      <c r="AH321" s="1189"/>
      <c r="AI321" s="1189"/>
      <c r="AJ321" s="1189"/>
      <c r="AK321" s="1189"/>
      <c r="AL321" s="1189"/>
      <c r="AM321" s="1189"/>
      <c r="AN321" s="1189"/>
      <c r="AO321" s="1189"/>
      <c r="AP321" s="1189"/>
      <c r="AQ321" s="1189"/>
      <c r="AR321" s="1189"/>
      <c r="AS321" s="1189"/>
      <c r="AT321" s="1189"/>
      <c r="AU321" s="1189"/>
      <c r="AV321" s="1189"/>
      <c r="AW321" s="1189"/>
      <c r="AX321" s="1189"/>
    </row>
    <row r="322" spans="4:50" ht="12.75" customHeight="1">
      <c r="D322" s="1231"/>
      <c r="E322" s="1230"/>
      <c r="F322" s="1230"/>
      <c r="G322" s="1230"/>
      <c r="H322" s="1230"/>
      <c r="I322" s="1189"/>
      <c r="J322" s="1189"/>
      <c r="K322" s="1189"/>
      <c r="L322" s="1225"/>
      <c r="M322" s="1189"/>
      <c r="N322" s="1189"/>
      <c r="O322" s="1189"/>
      <c r="P322" s="1189"/>
      <c r="Q322" s="1189"/>
      <c r="R322" s="1189"/>
      <c r="S322" s="1189"/>
      <c r="T322" s="1208"/>
      <c r="U322" s="1208"/>
      <c r="V322" s="1189"/>
      <c r="W322" s="1189"/>
      <c r="X322" s="1189"/>
      <c r="Y322" s="1189"/>
      <c r="Z322" s="1189"/>
      <c r="AA322" s="1189"/>
      <c r="AB322" s="1189"/>
      <c r="AC322" s="1189"/>
      <c r="AD322" s="1189"/>
      <c r="AE322" s="1189"/>
      <c r="AF322" s="1189"/>
      <c r="AG322" s="1189"/>
      <c r="AH322" s="1189"/>
      <c r="AI322" s="1189"/>
      <c r="AJ322" s="1189"/>
      <c r="AK322" s="1189"/>
      <c r="AL322" s="1189"/>
      <c r="AM322" s="1189"/>
      <c r="AN322" s="1189"/>
      <c r="AO322" s="1189"/>
      <c r="AP322" s="1189"/>
      <c r="AQ322" s="1189"/>
      <c r="AR322" s="1189"/>
      <c r="AS322" s="1189"/>
      <c r="AT322" s="1189"/>
      <c r="AU322" s="1189"/>
      <c r="AV322" s="1189"/>
      <c r="AW322" s="1189"/>
      <c r="AX322" s="1189"/>
    </row>
    <row r="323" spans="4:50" ht="12.75" customHeight="1">
      <c r="D323" s="1231"/>
      <c r="E323" s="1230"/>
      <c r="F323" s="1230"/>
      <c r="G323" s="1230"/>
      <c r="H323" s="1230"/>
      <c r="I323" s="1189"/>
      <c r="J323" s="1189"/>
      <c r="K323" s="1189"/>
      <c r="L323" s="1225"/>
      <c r="M323" s="1189"/>
      <c r="N323" s="1189"/>
      <c r="O323" s="1189"/>
      <c r="P323" s="1189"/>
      <c r="Q323" s="1189"/>
      <c r="R323" s="1189"/>
      <c r="S323" s="1189"/>
      <c r="T323" s="1208"/>
      <c r="U323" s="1208"/>
      <c r="V323" s="1189"/>
      <c r="W323" s="1189"/>
      <c r="X323" s="1189"/>
      <c r="Y323" s="1189"/>
      <c r="Z323" s="1189"/>
      <c r="AA323" s="1189"/>
      <c r="AB323" s="1189"/>
      <c r="AC323" s="1189"/>
      <c r="AD323" s="1189"/>
      <c r="AE323" s="1189"/>
      <c r="AF323" s="1189"/>
      <c r="AG323" s="1189"/>
      <c r="AH323" s="1189"/>
      <c r="AI323" s="1189"/>
      <c r="AJ323" s="1189"/>
      <c r="AK323" s="1189"/>
      <c r="AL323" s="1189"/>
      <c r="AM323" s="1189"/>
      <c r="AN323" s="1189"/>
      <c r="AO323" s="1189"/>
      <c r="AP323" s="1189"/>
      <c r="AQ323" s="1189"/>
      <c r="AR323" s="1189"/>
      <c r="AS323" s="1189"/>
      <c r="AT323" s="1189"/>
      <c r="AU323" s="1189"/>
      <c r="AV323" s="1189"/>
      <c r="AW323" s="1189"/>
      <c r="AX323" s="1189"/>
    </row>
    <row r="324" spans="4:50" ht="12.75" customHeight="1">
      <c r="D324" s="1231"/>
      <c r="E324" s="1230"/>
      <c r="F324" s="1230"/>
      <c r="G324" s="1230"/>
      <c r="H324" s="1230"/>
      <c r="I324" s="1189"/>
      <c r="J324" s="1189"/>
      <c r="K324" s="1189"/>
      <c r="L324" s="1225"/>
      <c r="M324" s="1189"/>
      <c r="N324" s="1189"/>
      <c r="O324" s="1189"/>
      <c r="P324" s="1189"/>
      <c r="Q324" s="1189"/>
      <c r="R324" s="1189"/>
      <c r="S324" s="1189"/>
      <c r="T324" s="1208"/>
      <c r="U324" s="1208"/>
      <c r="V324" s="1189"/>
      <c r="W324" s="1189"/>
      <c r="X324" s="1189"/>
      <c r="Y324" s="1189"/>
      <c r="Z324" s="1189"/>
      <c r="AA324" s="1189"/>
      <c r="AB324" s="1189"/>
      <c r="AC324" s="1189"/>
      <c r="AD324" s="1189"/>
      <c r="AE324" s="1189"/>
      <c r="AF324" s="1189"/>
      <c r="AG324" s="1189"/>
      <c r="AH324" s="1189"/>
      <c r="AI324" s="1189"/>
      <c r="AJ324" s="1189"/>
      <c r="AK324" s="1189"/>
      <c r="AL324" s="1189"/>
      <c r="AM324" s="1189"/>
      <c r="AN324" s="1189"/>
      <c r="AO324" s="1189"/>
      <c r="AP324" s="1189"/>
      <c r="AQ324" s="1189"/>
      <c r="AR324" s="1189"/>
      <c r="AS324" s="1189"/>
      <c r="AT324" s="1189"/>
      <c r="AU324" s="1189"/>
      <c r="AV324" s="1189"/>
      <c r="AW324" s="1189"/>
      <c r="AX324" s="1189"/>
    </row>
    <row r="325" spans="4:50" ht="12.75" customHeight="1">
      <c r="D325" s="1231"/>
      <c r="E325" s="1230"/>
      <c r="F325" s="1230"/>
      <c r="G325" s="1230"/>
      <c r="H325" s="1230"/>
      <c r="I325" s="1189"/>
      <c r="J325" s="1189"/>
      <c r="K325" s="1189"/>
      <c r="L325" s="1225"/>
      <c r="M325" s="1189"/>
      <c r="N325" s="1189"/>
      <c r="O325" s="1189"/>
      <c r="P325" s="1189"/>
      <c r="Q325" s="1189"/>
      <c r="R325" s="1189"/>
      <c r="S325" s="1189"/>
      <c r="T325" s="1208"/>
      <c r="U325" s="1208"/>
      <c r="V325" s="1189"/>
      <c r="W325" s="1189"/>
      <c r="X325" s="1189"/>
      <c r="Y325" s="1189"/>
      <c r="Z325" s="1189"/>
      <c r="AA325" s="1189"/>
      <c r="AB325" s="1189"/>
      <c r="AC325" s="1189"/>
      <c r="AD325" s="1189"/>
      <c r="AE325" s="1189"/>
      <c r="AF325" s="1189"/>
      <c r="AG325" s="1189"/>
      <c r="AH325" s="1189"/>
      <c r="AI325" s="1189"/>
      <c r="AJ325" s="1189"/>
      <c r="AK325" s="1189"/>
      <c r="AL325" s="1189"/>
      <c r="AM325" s="1189"/>
      <c r="AN325" s="1189"/>
      <c r="AO325" s="1189"/>
      <c r="AP325" s="1189"/>
      <c r="AQ325" s="1189"/>
      <c r="AR325" s="1189"/>
      <c r="AS325" s="1189"/>
      <c r="AT325" s="1189"/>
      <c r="AU325" s="1189"/>
      <c r="AV325" s="1189"/>
      <c r="AW325" s="1189"/>
      <c r="AX325" s="1189"/>
    </row>
    <row r="326" spans="4:50" ht="12.75" customHeight="1">
      <c r="D326" s="1231"/>
      <c r="E326" s="1230"/>
      <c r="F326" s="1230"/>
      <c r="G326" s="1230"/>
      <c r="H326" s="1230"/>
      <c r="I326" s="1189"/>
      <c r="J326" s="1189"/>
      <c r="K326" s="1189"/>
      <c r="L326" s="1225"/>
      <c r="M326" s="1189"/>
      <c r="N326" s="1189"/>
      <c r="O326" s="1189"/>
      <c r="P326" s="1189"/>
      <c r="Q326" s="1189"/>
      <c r="R326" s="1189"/>
      <c r="S326" s="1189"/>
      <c r="T326" s="1208"/>
      <c r="U326" s="1208"/>
      <c r="V326" s="1189"/>
      <c r="W326" s="1189"/>
      <c r="X326" s="1189"/>
      <c r="Y326" s="1189"/>
      <c r="Z326" s="1189"/>
      <c r="AA326" s="1189"/>
      <c r="AB326" s="1189"/>
      <c r="AC326" s="1189"/>
      <c r="AD326" s="1189"/>
      <c r="AE326" s="1189"/>
      <c r="AF326" s="1189"/>
      <c r="AG326" s="1189"/>
      <c r="AH326" s="1189"/>
      <c r="AI326" s="1189"/>
      <c r="AJ326" s="1189"/>
      <c r="AK326" s="1189"/>
      <c r="AL326" s="1189"/>
      <c r="AM326" s="1189"/>
      <c r="AN326" s="1189"/>
      <c r="AO326" s="1189"/>
      <c r="AP326" s="1189"/>
      <c r="AQ326" s="1189"/>
      <c r="AR326" s="1189"/>
      <c r="AS326" s="1189"/>
      <c r="AT326" s="1189"/>
      <c r="AU326" s="1189"/>
      <c r="AV326" s="1189"/>
      <c r="AW326" s="1189"/>
      <c r="AX326" s="1189"/>
    </row>
    <row r="327" spans="4:50" ht="12.75" customHeight="1">
      <c r="D327" s="1231"/>
      <c r="E327" s="1230"/>
      <c r="F327" s="1230"/>
      <c r="G327" s="1230"/>
      <c r="H327" s="1230"/>
      <c r="I327" s="1189"/>
      <c r="J327" s="1189"/>
      <c r="K327" s="1189"/>
      <c r="L327" s="1225"/>
      <c r="M327" s="1189"/>
      <c r="N327" s="1189"/>
      <c r="O327" s="1189"/>
      <c r="P327" s="1189"/>
      <c r="Q327" s="1189"/>
      <c r="R327" s="1189"/>
      <c r="S327" s="1189"/>
      <c r="T327" s="1208"/>
      <c r="U327" s="1208"/>
      <c r="V327" s="1189"/>
      <c r="W327" s="1189"/>
      <c r="X327" s="1189"/>
      <c r="Y327" s="1189"/>
      <c r="Z327" s="1189"/>
      <c r="AA327" s="1189"/>
      <c r="AB327" s="1189"/>
      <c r="AC327" s="1189"/>
      <c r="AD327" s="1189"/>
      <c r="AE327" s="1189"/>
      <c r="AF327" s="1189"/>
      <c r="AG327" s="1189"/>
      <c r="AH327" s="1189"/>
      <c r="AI327" s="1189"/>
      <c r="AJ327" s="1189"/>
      <c r="AK327" s="1189"/>
      <c r="AL327" s="1189"/>
      <c r="AM327" s="1189"/>
      <c r="AN327" s="1189"/>
      <c r="AO327" s="1189"/>
      <c r="AP327" s="1189"/>
      <c r="AQ327" s="1189"/>
      <c r="AR327" s="1189"/>
      <c r="AS327" s="1189"/>
      <c r="AT327" s="1189"/>
      <c r="AU327" s="1189"/>
      <c r="AV327" s="1189"/>
      <c r="AW327" s="1189"/>
      <c r="AX327" s="1189"/>
    </row>
    <row r="328" spans="4:50" ht="12.75" customHeight="1">
      <c r="D328" s="1231"/>
      <c r="E328" s="1230"/>
      <c r="F328" s="1230"/>
      <c r="G328" s="1230"/>
      <c r="H328" s="1230"/>
      <c r="I328" s="1189"/>
      <c r="J328" s="1189"/>
      <c r="K328" s="1189"/>
      <c r="L328" s="1225"/>
      <c r="M328" s="1189"/>
      <c r="N328" s="1189"/>
      <c r="O328" s="1189"/>
      <c r="P328" s="1189"/>
      <c r="Q328" s="1189"/>
      <c r="R328" s="1189"/>
      <c r="S328" s="1189"/>
      <c r="T328" s="1208"/>
      <c r="U328" s="1208"/>
      <c r="V328" s="1189"/>
      <c r="W328" s="1189"/>
      <c r="X328" s="1189"/>
      <c r="Y328" s="1189"/>
      <c r="Z328" s="1189"/>
      <c r="AA328" s="1189"/>
      <c r="AB328" s="1189"/>
      <c r="AC328" s="1189"/>
      <c r="AD328" s="1189"/>
      <c r="AE328" s="1189"/>
      <c r="AF328" s="1189"/>
      <c r="AG328" s="1189"/>
      <c r="AH328" s="1189"/>
      <c r="AI328" s="1189"/>
      <c r="AJ328" s="1189"/>
      <c r="AK328" s="1189"/>
      <c r="AL328" s="1189"/>
      <c r="AM328" s="1189"/>
      <c r="AN328" s="1189"/>
      <c r="AO328" s="1189"/>
      <c r="AP328" s="1189"/>
      <c r="AQ328" s="1189"/>
      <c r="AR328" s="1189"/>
      <c r="AS328" s="1189"/>
      <c r="AT328" s="1189"/>
      <c r="AU328" s="1189"/>
      <c r="AV328" s="1189"/>
      <c r="AW328" s="1189"/>
      <c r="AX328" s="1189"/>
    </row>
    <row r="329" spans="4:50" ht="12.75" customHeight="1">
      <c r="D329" s="1231"/>
      <c r="E329" s="1230"/>
      <c r="F329" s="1230"/>
      <c r="G329" s="1230"/>
      <c r="H329" s="1230"/>
      <c r="I329" s="1189"/>
      <c r="J329" s="1189"/>
      <c r="K329" s="1189"/>
      <c r="L329" s="1225"/>
      <c r="M329" s="1189"/>
      <c r="N329" s="1189"/>
      <c r="O329" s="1189"/>
      <c r="P329" s="1189"/>
      <c r="Q329" s="1189"/>
      <c r="R329" s="1189"/>
      <c r="S329" s="1189"/>
      <c r="T329" s="1208"/>
      <c r="U329" s="1208"/>
      <c r="V329" s="1189"/>
      <c r="W329" s="1189"/>
      <c r="X329" s="1189"/>
      <c r="Y329" s="1189"/>
      <c r="Z329" s="1189"/>
      <c r="AA329" s="1189"/>
      <c r="AB329" s="1189"/>
      <c r="AC329" s="1189"/>
      <c r="AD329" s="1189"/>
      <c r="AE329" s="1189"/>
      <c r="AF329" s="1189"/>
      <c r="AG329" s="1189"/>
      <c r="AH329" s="1189"/>
      <c r="AI329" s="1189"/>
      <c r="AJ329" s="1189"/>
      <c r="AK329" s="1189"/>
      <c r="AL329" s="1189"/>
      <c r="AM329" s="1189"/>
      <c r="AN329" s="1189"/>
      <c r="AO329" s="1189"/>
      <c r="AP329" s="1189"/>
      <c r="AQ329" s="1189"/>
      <c r="AR329" s="1189"/>
      <c r="AS329" s="1189"/>
      <c r="AT329" s="1189"/>
      <c r="AU329" s="1189"/>
      <c r="AV329" s="1189"/>
      <c r="AW329" s="1189"/>
      <c r="AX329" s="1189"/>
    </row>
    <row r="330" spans="4:50" ht="12.75" customHeight="1">
      <c r="D330" s="1231"/>
      <c r="E330" s="1230"/>
      <c r="F330" s="1230"/>
      <c r="G330" s="1230"/>
      <c r="H330" s="1230"/>
      <c r="I330" s="1189"/>
      <c r="J330" s="1189"/>
      <c r="K330" s="1189"/>
      <c r="L330" s="1225"/>
      <c r="M330" s="1189"/>
      <c r="N330" s="1189"/>
      <c r="O330" s="1189"/>
      <c r="P330" s="1189"/>
      <c r="Q330" s="1189"/>
      <c r="R330" s="1189"/>
      <c r="S330" s="1189"/>
      <c r="T330" s="1208"/>
      <c r="U330" s="1208"/>
      <c r="V330" s="1189"/>
      <c r="W330" s="1189"/>
      <c r="X330" s="1189"/>
      <c r="Y330" s="1189"/>
      <c r="Z330" s="1189"/>
      <c r="AA330" s="1189"/>
      <c r="AB330" s="1189"/>
      <c r="AC330" s="1189"/>
      <c r="AD330" s="1189"/>
      <c r="AE330" s="1189"/>
      <c r="AF330" s="1189"/>
      <c r="AG330" s="1189"/>
      <c r="AH330" s="1189"/>
      <c r="AI330" s="1189"/>
      <c r="AJ330" s="1189"/>
      <c r="AK330" s="1189"/>
      <c r="AL330" s="1189"/>
      <c r="AM330" s="1189"/>
      <c r="AN330" s="1189"/>
      <c r="AO330" s="1189"/>
      <c r="AP330" s="1189"/>
      <c r="AQ330" s="1189"/>
      <c r="AR330" s="1189"/>
      <c r="AS330" s="1189"/>
      <c r="AT330" s="1189"/>
      <c r="AU330" s="1189"/>
      <c r="AV330" s="1189"/>
      <c r="AW330" s="1189"/>
      <c r="AX330" s="1189"/>
    </row>
    <row r="331" spans="4:50" ht="12.75" customHeight="1">
      <c r="D331" s="1231"/>
      <c r="E331" s="1230"/>
      <c r="F331" s="1230"/>
      <c r="G331" s="1230"/>
      <c r="H331" s="1230"/>
      <c r="I331" s="1189"/>
      <c r="J331" s="1189"/>
      <c r="K331" s="1189"/>
      <c r="L331" s="1225"/>
      <c r="M331" s="1189"/>
      <c r="N331" s="1189"/>
      <c r="O331" s="1189"/>
      <c r="P331" s="1189"/>
      <c r="Q331" s="1189"/>
      <c r="R331" s="1189"/>
      <c r="S331" s="1189"/>
      <c r="T331" s="1208"/>
      <c r="U331" s="1208"/>
      <c r="V331" s="1189"/>
      <c r="W331" s="1189"/>
      <c r="X331" s="1189"/>
      <c r="Y331" s="1189"/>
      <c r="Z331" s="1189"/>
      <c r="AA331" s="1189"/>
      <c r="AB331" s="1189"/>
      <c r="AC331" s="1189"/>
      <c r="AD331" s="1189"/>
      <c r="AE331" s="1189"/>
      <c r="AF331" s="1189"/>
      <c r="AG331" s="1189"/>
      <c r="AH331" s="1189"/>
      <c r="AI331" s="1189"/>
      <c r="AJ331" s="1189"/>
      <c r="AK331" s="1189"/>
      <c r="AL331" s="1189"/>
      <c r="AM331" s="1189"/>
      <c r="AN331" s="1189"/>
      <c r="AO331" s="1189"/>
      <c r="AP331" s="1189"/>
      <c r="AQ331" s="1189"/>
      <c r="AR331" s="1189"/>
      <c r="AS331" s="1189"/>
      <c r="AT331" s="1189"/>
      <c r="AU331" s="1189"/>
      <c r="AV331" s="1189"/>
      <c r="AW331" s="1189"/>
      <c r="AX331" s="1189"/>
    </row>
    <row r="332" spans="4:50" ht="12.75" customHeight="1">
      <c r="D332" s="1231"/>
      <c r="E332" s="1230"/>
      <c r="F332" s="1230"/>
      <c r="G332" s="1230"/>
      <c r="H332" s="1230"/>
      <c r="I332" s="1189"/>
      <c r="J332" s="1189"/>
      <c r="K332" s="1189"/>
      <c r="L332" s="1225"/>
      <c r="M332" s="1189"/>
      <c r="N332" s="1189"/>
      <c r="O332" s="1189"/>
      <c r="P332" s="1189"/>
      <c r="Q332" s="1189"/>
      <c r="R332" s="1189"/>
      <c r="S332" s="1189"/>
      <c r="T332" s="1208"/>
      <c r="U332" s="1208"/>
      <c r="V332" s="1189"/>
      <c r="W332" s="1189"/>
      <c r="X332" s="1189"/>
      <c r="Y332" s="1189"/>
      <c r="Z332" s="1189"/>
      <c r="AA332" s="1189"/>
      <c r="AB332" s="1189"/>
      <c r="AC332" s="1189"/>
      <c r="AD332" s="1189"/>
      <c r="AE332" s="1189"/>
      <c r="AF332" s="1189"/>
      <c r="AG332" s="1189"/>
      <c r="AH332" s="1189"/>
      <c r="AI332" s="1189"/>
      <c r="AJ332" s="1189"/>
      <c r="AK332" s="1189"/>
      <c r="AL332" s="1189"/>
      <c r="AM332" s="1189"/>
      <c r="AN332" s="1189"/>
      <c r="AO332" s="1189"/>
      <c r="AP332" s="1189"/>
      <c r="AQ332" s="1189"/>
      <c r="AR332" s="1189"/>
      <c r="AS332" s="1189"/>
      <c r="AT332" s="1189"/>
      <c r="AU332" s="1189"/>
      <c r="AV332" s="1189"/>
      <c r="AW332" s="1189"/>
      <c r="AX332" s="1189"/>
    </row>
    <row r="333" spans="4:50" ht="12.75" customHeight="1">
      <c r="D333" s="1231"/>
      <c r="E333" s="1230"/>
      <c r="F333" s="1230"/>
      <c r="G333" s="1230"/>
      <c r="H333" s="1230"/>
      <c r="I333" s="1189"/>
      <c r="J333" s="1189"/>
      <c r="K333" s="1189"/>
      <c r="L333" s="1225"/>
      <c r="M333" s="1189"/>
      <c r="N333" s="1189"/>
      <c r="O333" s="1189"/>
      <c r="P333" s="1189"/>
      <c r="Q333" s="1189"/>
      <c r="R333" s="1189"/>
      <c r="S333" s="1189"/>
      <c r="T333" s="1208"/>
      <c r="U333" s="1208"/>
      <c r="V333" s="1189"/>
      <c r="W333" s="1189"/>
      <c r="X333" s="1189"/>
      <c r="Y333" s="1189"/>
      <c r="Z333" s="1189"/>
      <c r="AA333" s="1189"/>
      <c r="AB333" s="1189"/>
      <c r="AC333" s="1189"/>
      <c r="AD333" s="1189"/>
      <c r="AE333" s="1189"/>
      <c r="AF333" s="1189"/>
      <c r="AG333" s="1189"/>
      <c r="AH333" s="1189"/>
      <c r="AI333" s="1189"/>
      <c r="AJ333" s="1189"/>
      <c r="AK333" s="1189"/>
      <c r="AL333" s="1189"/>
      <c r="AM333" s="1189"/>
      <c r="AN333" s="1189"/>
      <c r="AO333" s="1189"/>
      <c r="AP333" s="1189"/>
      <c r="AQ333" s="1189"/>
      <c r="AR333" s="1189"/>
      <c r="AS333" s="1189"/>
      <c r="AT333" s="1189"/>
      <c r="AU333" s="1189"/>
      <c r="AV333" s="1189"/>
      <c r="AW333" s="1189"/>
      <c r="AX333" s="1189"/>
    </row>
    <row r="334" spans="4:50" ht="12.75" customHeight="1">
      <c r="D334" s="1231"/>
      <c r="E334" s="1230"/>
      <c r="F334" s="1230"/>
      <c r="G334" s="1230"/>
      <c r="H334" s="1230"/>
      <c r="I334" s="1189"/>
      <c r="J334" s="1189"/>
      <c r="K334" s="1189"/>
      <c r="L334" s="1225"/>
      <c r="M334" s="1189"/>
      <c r="N334" s="1189"/>
      <c r="O334" s="1189"/>
      <c r="P334" s="1189"/>
      <c r="Q334" s="1189"/>
      <c r="R334" s="1189"/>
      <c r="S334" s="1189"/>
      <c r="T334" s="1208"/>
      <c r="U334" s="1208"/>
      <c r="V334" s="1189"/>
      <c r="W334" s="1189"/>
      <c r="X334" s="1189"/>
      <c r="Y334" s="1189"/>
      <c r="Z334" s="1189"/>
      <c r="AA334" s="1189"/>
      <c r="AB334" s="1189"/>
      <c r="AC334" s="1189"/>
      <c r="AD334" s="1189"/>
      <c r="AE334" s="1189"/>
      <c r="AF334" s="1189"/>
      <c r="AG334" s="1189"/>
      <c r="AH334" s="1189"/>
      <c r="AI334" s="1189"/>
      <c r="AJ334" s="1189"/>
      <c r="AK334" s="1189"/>
      <c r="AL334" s="1189"/>
      <c r="AM334" s="1189"/>
      <c r="AN334" s="1189"/>
      <c r="AO334" s="1189"/>
      <c r="AP334" s="1189"/>
      <c r="AQ334" s="1189"/>
      <c r="AR334" s="1189"/>
      <c r="AS334" s="1189"/>
      <c r="AT334" s="1189"/>
      <c r="AU334" s="1189"/>
      <c r="AV334" s="1189"/>
      <c r="AW334" s="1189"/>
      <c r="AX334" s="1189"/>
    </row>
    <row r="335" spans="4:50" ht="12.75" customHeight="1">
      <c r="D335" s="1231"/>
      <c r="E335" s="1230"/>
      <c r="F335" s="1230"/>
      <c r="G335" s="1230"/>
      <c r="H335" s="1230"/>
      <c r="I335" s="1189"/>
      <c r="J335" s="1189"/>
      <c r="K335" s="1189"/>
      <c r="L335" s="1225"/>
      <c r="M335" s="1189"/>
      <c r="N335" s="1189"/>
      <c r="O335" s="1189"/>
      <c r="P335" s="1189"/>
      <c r="Q335" s="1189"/>
      <c r="R335" s="1189"/>
      <c r="S335" s="1189"/>
      <c r="T335" s="1208"/>
      <c r="U335" s="1208"/>
      <c r="V335" s="1189"/>
      <c r="W335" s="1189"/>
      <c r="X335" s="1189"/>
      <c r="Y335" s="1189"/>
      <c r="Z335" s="1189"/>
      <c r="AA335" s="1189"/>
      <c r="AB335" s="1189"/>
      <c r="AC335" s="1189"/>
      <c r="AD335" s="1189"/>
      <c r="AE335" s="1189"/>
      <c r="AF335" s="1189"/>
      <c r="AG335" s="1189"/>
      <c r="AH335" s="1189"/>
      <c r="AI335" s="1189"/>
      <c r="AJ335" s="1189"/>
      <c r="AK335" s="1189"/>
      <c r="AL335" s="1189"/>
      <c r="AM335" s="1189"/>
      <c r="AN335" s="1189"/>
      <c r="AO335" s="1189"/>
      <c r="AP335" s="1189"/>
      <c r="AQ335" s="1189"/>
      <c r="AR335" s="1189"/>
      <c r="AS335" s="1189"/>
      <c r="AT335" s="1189"/>
      <c r="AU335" s="1189"/>
      <c r="AV335" s="1189"/>
      <c r="AW335" s="1189"/>
      <c r="AX335" s="1189"/>
    </row>
    <row r="336" spans="4:50" ht="12.75" customHeight="1">
      <c r="D336" s="1231"/>
      <c r="E336" s="1230"/>
      <c r="F336" s="1230"/>
      <c r="G336" s="1230"/>
      <c r="H336" s="1230"/>
      <c r="I336" s="1189"/>
      <c r="J336" s="1189"/>
      <c r="K336" s="1189"/>
      <c r="L336" s="1225"/>
      <c r="M336" s="1189"/>
      <c r="N336" s="1189"/>
      <c r="O336" s="1189"/>
      <c r="P336" s="1189"/>
      <c r="Q336" s="1189"/>
      <c r="R336" s="1189"/>
      <c r="S336" s="1189"/>
      <c r="T336" s="1208"/>
      <c r="U336" s="1208"/>
      <c r="V336" s="1189"/>
      <c r="W336" s="1189"/>
      <c r="X336" s="1189"/>
      <c r="Y336" s="1189"/>
      <c r="Z336" s="1189"/>
      <c r="AA336" s="1189"/>
      <c r="AB336" s="1189"/>
      <c r="AC336" s="1189"/>
      <c r="AD336" s="1189"/>
      <c r="AE336" s="1189"/>
      <c r="AF336" s="1189"/>
      <c r="AG336" s="1189"/>
      <c r="AH336" s="1189"/>
      <c r="AI336" s="1189"/>
      <c r="AJ336" s="1189"/>
      <c r="AK336" s="1189"/>
      <c r="AL336" s="1189"/>
      <c r="AM336" s="1189"/>
      <c r="AN336" s="1189"/>
      <c r="AO336" s="1189"/>
      <c r="AP336" s="1189"/>
      <c r="AQ336" s="1189"/>
      <c r="AR336" s="1189"/>
      <c r="AS336" s="1189"/>
      <c r="AT336" s="1189"/>
      <c r="AU336" s="1189"/>
      <c r="AV336" s="1189"/>
      <c r="AW336" s="1189"/>
      <c r="AX336" s="1189"/>
    </row>
    <row r="337" spans="4:50" ht="12.75" customHeight="1">
      <c r="D337" s="1231"/>
      <c r="E337" s="1230"/>
      <c r="F337" s="1230"/>
      <c r="G337" s="1230"/>
      <c r="H337" s="1230"/>
      <c r="I337" s="1189"/>
      <c r="J337" s="1189"/>
      <c r="K337" s="1189"/>
      <c r="L337" s="1225"/>
      <c r="M337" s="1189"/>
      <c r="N337" s="1189"/>
      <c r="O337" s="1189"/>
      <c r="P337" s="1189"/>
      <c r="Q337" s="1189"/>
      <c r="R337" s="1189"/>
      <c r="S337" s="1189"/>
      <c r="T337" s="1208"/>
      <c r="U337" s="1208"/>
      <c r="V337" s="1189"/>
      <c r="W337" s="1189"/>
      <c r="X337" s="1189"/>
      <c r="Y337" s="1189"/>
      <c r="Z337" s="1189"/>
      <c r="AA337" s="1189"/>
      <c r="AB337" s="1189"/>
      <c r="AC337" s="1189"/>
      <c r="AD337" s="1189"/>
      <c r="AE337" s="1189"/>
      <c r="AF337" s="1189"/>
      <c r="AG337" s="1189"/>
      <c r="AH337" s="1189"/>
      <c r="AI337" s="1189"/>
      <c r="AJ337" s="1189"/>
      <c r="AK337" s="1189"/>
      <c r="AL337" s="1189"/>
      <c r="AM337" s="1189"/>
      <c r="AN337" s="1189"/>
      <c r="AO337" s="1189"/>
      <c r="AP337" s="1189"/>
      <c r="AQ337" s="1189"/>
      <c r="AR337" s="1189"/>
      <c r="AS337" s="1189"/>
      <c r="AT337" s="1189"/>
      <c r="AU337" s="1189"/>
      <c r="AV337" s="1189"/>
      <c r="AW337" s="1189"/>
      <c r="AX337" s="1189"/>
    </row>
    <row r="338" spans="4:50" ht="12.75" customHeight="1">
      <c r="D338" s="1231"/>
      <c r="E338" s="1230"/>
      <c r="F338" s="1230"/>
      <c r="G338" s="1230"/>
      <c r="H338" s="1230"/>
      <c r="I338" s="1189"/>
      <c r="J338" s="1189"/>
      <c r="K338" s="1189"/>
      <c r="L338" s="1225"/>
      <c r="M338" s="1189"/>
      <c r="N338" s="1189"/>
      <c r="O338" s="1189"/>
      <c r="P338" s="1189"/>
      <c r="Q338" s="1189"/>
      <c r="R338" s="1189"/>
      <c r="S338" s="1189"/>
      <c r="T338" s="1208"/>
      <c r="U338" s="1208"/>
      <c r="V338" s="1189"/>
      <c r="W338" s="1189"/>
      <c r="X338" s="1189"/>
      <c r="Y338" s="1189"/>
      <c r="Z338" s="1189"/>
      <c r="AA338" s="1189"/>
      <c r="AB338" s="1189"/>
      <c r="AC338" s="1189"/>
      <c r="AD338" s="1189"/>
      <c r="AE338" s="1189"/>
      <c r="AF338" s="1189"/>
      <c r="AG338" s="1189"/>
      <c r="AH338" s="1189"/>
      <c r="AI338" s="1189"/>
      <c r="AJ338" s="1189"/>
      <c r="AK338" s="1189"/>
      <c r="AL338" s="1189"/>
      <c r="AM338" s="1189"/>
      <c r="AN338" s="1189"/>
      <c r="AO338" s="1189"/>
      <c r="AP338" s="1189"/>
      <c r="AQ338" s="1189"/>
      <c r="AR338" s="1189"/>
      <c r="AS338" s="1189"/>
      <c r="AT338" s="1189"/>
      <c r="AU338" s="1189"/>
      <c r="AV338" s="1189"/>
      <c r="AW338" s="1189"/>
      <c r="AX338" s="1189"/>
    </row>
    <row r="339" spans="4:50" ht="12.75" customHeight="1">
      <c r="D339" s="1231"/>
      <c r="E339" s="1230"/>
      <c r="F339" s="1230"/>
      <c r="G339" s="1230"/>
      <c r="H339" s="1230"/>
      <c r="I339" s="1189"/>
      <c r="J339" s="1189"/>
      <c r="K339" s="1189"/>
      <c r="L339" s="1225"/>
      <c r="M339" s="1189"/>
      <c r="N339" s="1189"/>
      <c r="O339" s="1189"/>
      <c r="P339" s="1189"/>
      <c r="Q339" s="1189"/>
      <c r="R339" s="1189"/>
      <c r="S339" s="1189"/>
      <c r="T339" s="1208"/>
      <c r="U339" s="1208"/>
      <c r="V339" s="1189"/>
      <c r="W339" s="1189"/>
      <c r="X339" s="1189"/>
      <c r="Y339" s="1189"/>
      <c r="Z339" s="1189"/>
      <c r="AA339" s="1189"/>
      <c r="AB339" s="1189"/>
      <c r="AC339" s="1189"/>
      <c r="AD339" s="1189"/>
      <c r="AE339" s="1189"/>
      <c r="AF339" s="1189"/>
      <c r="AG339" s="1189"/>
      <c r="AH339" s="1189"/>
      <c r="AI339" s="1189"/>
      <c r="AJ339" s="1189"/>
      <c r="AK339" s="1189"/>
      <c r="AL339" s="1189"/>
      <c r="AM339" s="1189"/>
      <c r="AN339" s="1189"/>
      <c r="AO339" s="1189"/>
      <c r="AP339" s="1189"/>
      <c r="AQ339" s="1189"/>
      <c r="AR339" s="1189"/>
      <c r="AS339" s="1189"/>
      <c r="AT339" s="1189"/>
      <c r="AU339" s="1189"/>
      <c r="AV339" s="1189"/>
      <c r="AW339" s="1189"/>
      <c r="AX339" s="1189"/>
    </row>
    <row r="340" spans="4:50" ht="12.75" customHeight="1">
      <c r="D340" s="1231"/>
      <c r="E340" s="1230"/>
      <c r="F340" s="1230"/>
      <c r="G340" s="1230"/>
      <c r="H340" s="1230"/>
      <c r="I340" s="1189"/>
      <c r="J340" s="1189"/>
      <c r="K340" s="1189"/>
      <c r="L340" s="1225"/>
      <c r="M340" s="1189"/>
      <c r="N340" s="1189"/>
      <c r="O340" s="1189"/>
      <c r="P340" s="1189"/>
      <c r="Q340" s="1189"/>
      <c r="R340" s="1189"/>
      <c r="S340" s="1189"/>
      <c r="T340" s="1208"/>
      <c r="U340" s="1208"/>
      <c r="V340" s="1189"/>
      <c r="W340" s="1189"/>
      <c r="X340" s="1189"/>
      <c r="Y340" s="1189"/>
      <c r="Z340" s="1189"/>
      <c r="AA340" s="1189"/>
      <c r="AB340" s="1189"/>
      <c r="AC340" s="1189"/>
      <c r="AD340" s="1189"/>
      <c r="AE340" s="1189"/>
      <c r="AF340" s="1189"/>
      <c r="AG340" s="1189"/>
      <c r="AH340" s="1189"/>
      <c r="AI340" s="1189"/>
      <c r="AJ340" s="1189"/>
      <c r="AK340" s="1189"/>
      <c r="AL340" s="1189"/>
      <c r="AM340" s="1189"/>
      <c r="AN340" s="1189"/>
      <c r="AO340" s="1189"/>
      <c r="AP340" s="1189"/>
      <c r="AQ340" s="1189"/>
      <c r="AR340" s="1189"/>
      <c r="AS340" s="1189"/>
      <c r="AT340" s="1189"/>
      <c r="AU340" s="1189"/>
      <c r="AV340" s="1189"/>
      <c r="AW340" s="1189"/>
      <c r="AX340" s="1189"/>
    </row>
    <row r="341" spans="4:50" ht="12.75" customHeight="1">
      <c r="D341" s="1231"/>
      <c r="E341" s="1230"/>
      <c r="F341" s="1230"/>
      <c r="G341" s="1230"/>
      <c r="H341" s="1230"/>
      <c r="I341" s="1189"/>
      <c r="J341" s="1189"/>
      <c r="K341" s="1189"/>
      <c r="L341" s="1225"/>
      <c r="M341" s="1189"/>
      <c r="N341" s="1189"/>
      <c r="O341" s="1189"/>
      <c r="P341" s="1189"/>
      <c r="Q341" s="1189"/>
      <c r="R341" s="1189"/>
      <c r="S341" s="1189"/>
      <c r="T341" s="1208"/>
      <c r="U341" s="1208"/>
      <c r="V341" s="1189"/>
      <c r="W341" s="1189"/>
      <c r="X341" s="1189"/>
      <c r="Y341" s="1189"/>
      <c r="Z341" s="1189"/>
      <c r="AA341" s="1189"/>
      <c r="AB341" s="1189"/>
      <c r="AC341" s="1189"/>
      <c r="AD341" s="1189"/>
      <c r="AE341" s="1189"/>
      <c r="AF341" s="1189"/>
      <c r="AG341" s="1189"/>
      <c r="AH341" s="1189"/>
      <c r="AI341" s="1189"/>
      <c r="AJ341" s="1189"/>
      <c r="AK341" s="1189"/>
      <c r="AL341" s="1189"/>
      <c r="AM341" s="1189"/>
      <c r="AN341" s="1189"/>
      <c r="AO341" s="1189"/>
      <c r="AP341" s="1189"/>
      <c r="AQ341" s="1189"/>
      <c r="AR341" s="1189"/>
      <c r="AS341" s="1189"/>
      <c r="AT341" s="1189"/>
      <c r="AU341" s="1189"/>
      <c r="AV341" s="1189"/>
      <c r="AW341" s="1189"/>
      <c r="AX341" s="1189"/>
    </row>
    <row r="342" spans="4:50" ht="12.75" customHeight="1">
      <c r="D342" s="1231"/>
      <c r="E342" s="1230"/>
      <c r="F342" s="1230"/>
      <c r="G342" s="1230"/>
      <c r="H342" s="1230"/>
      <c r="I342" s="1189"/>
      <c r="J342" s="1189"/>
      <c r="K342" s="1189"/>
      <c r="L342" s="1225"/>
      <c r="M342" s="1189"/>
      <c r="N342" s="1189"/>
      <c r="O342" s="1189"/>
      <c r="P342" s="1189"/>
      <c r="Q342" s="1189"/>
      <c r="R342" s="1189"/>
      <c r="S342" s="1189"/>
      <c r="T342" s="1208"/>
      <c r="U342" s="1208"/>
      <c r="V342" s="1189"/>
      <c r="W342" s="1189"/>
      <c r="X342" s="1189"/>
      <c r="Y342" s="1189"/>
      <c r="Z342" s="1189"/>
      <c r="AA342" s="1189"/>
      <c r="AB342" s="1189"/>
      <c r="AC342" s="1189"/>
      <c r="AD342" s="1189"/>
      <c r="AE342" s="1189"/>
      <c r="AF342" s="1189"/>
      <c r="AG342" s="1189"/>
      <c r="AH342" s="1189"/>
      <c r="AI342" s="1189"/>
      <c r="AJ342" s="1189"/>
      <c r="AK342" s="1189"/>
      <c r="AL342" s="1189"/>
      <c r="AM342" s="1189"/>
      <c r="AN342" s="1189"/>
      <c r="AO342" s="1189"/>
      <c r="AP342" s="1189"/>
      <c r="AQ342" s="1189"/>
      <c r="AR342" s="1189"/>
      <c r="AS342" s="1189"/>
      <c r="AT342" s="1189"/>
      <c r="AU342" s="1189"/>
      <c r="AV342" s="1189"/>
      <c r="AW342" s="1189"/>
      <c r="AX342" s="1189"/>
    </row>
    <row r="343" spans="4:50" ht="12.75" customHeight="1">
      <c r="D343" s="1231"/>
      <c r="E343" s="1230"/>
      <c r="F343" s="1230"/>
      <c r="G343" s="1230"/>
      <c r="H343" s="1230"/>
      <c r="I343" s="1189"/>
      <c r="J343" s="1189"/>
      <c r="K343" s="1189"/>
      <c r="L343" s="1225"/>
      <c r="M343" s="1189"/>
      <c r="N343" s="1189"/>
      <c r="O343" s="1189"/>
      <c r="P343" s="1189"/>
      <c r="Q343" s="1189"/>
      <c r="R343" s="1189"/>
      <c r="S343" s="1189"/>
      <c r="T343" s="1208"/>
      <c r="U343" s="1208"/>
      <c r="V343" s="1189"/>
      <c r="W343" s="1189"/>
      <c r="X343" s="1189"/>
      <c r="Y343" s="1189"/>
      <c r="Z343" s="1189"/>
      <c r="AA343" s="1189"/>
      <c r="AB343" s="1189"/>
      <c r="AC343" s="1189"/>
      <c r="AD343" s="1189"/>
      <c r="AE343" s="1189"/>
      <c r="AF343" s="1189"/>
      <c r="AG343" s="1189"/>
      <c r="AH343" s="1189"/>
      <c r="AI343" s="1189"/>
      <c r="AJ343" s="1189"/>
      <c r="AK343" s="1189"/>
      <c r="AL343" s="1189"/>
      <c r="AM343" s="1189"/>
      <c r="AN343" s="1189"/>
      <c r="AO343" s="1189"/>
      <c r="AP343" s="1189"/>
      <c r="AQ343" s="1189"/>
      <c r="AR343" s="1189"/>
      <c r="AS343" s="1189"/>
      <c r="AT343" s="1189"/>
      <c r="AU343" s="1189"/>
      <c r="AV343" s="1189"/>
      <c r="AW343" s="1189"/>
      <c r="AX343" s="1189"/>
    </row>
    <row r="344" spans="4:50" ht="12.75" customHeight="1">
      <c r="D344" s="1231"/>
      <c r="E344" s="1230"/>
      <c r="F344" s="1230"/>
      <c r="G344" s="1230"/>
      <c r="H344" s="1230"/>
      <c r="I344" s="1189"/>
      <c r="J344" s="1189"/>
      <c r="K344" s="1189"/>
      <c r="L344" s="1225"/>
      <c r="M344" s="1189"/>
      <c r="N344" s="1189"/>
      <c r="O344" s="1189"/>
      <c r="P344" s="1189"/>
      <c r="Q344" s="1189"/>
      <c r="R344" s="1189"/>
      <c r="S344" s="1189"/>
      <c r="T344" s="1208"/>
      <c r="U344" s="1208"/>
      <c r="V344" s="1189"/>
      <c r="W344" s="1189"/>
      <c r="X344" s="1189"/>
      <c r="Y344" s="1189"/>
      <c r="Z344" s="1189"/>
      <c r="AA344" s="1189"/>
      <c r="AB344" s="1189"/>
      <c r="AC344" s="1189"/>
      <c r="AD344" s="1189"/>
      <c r="AE344" s="1189"/>
      <c r="AF344" s="1189"/>
      <c r="AG344" s="1189"/>
      <c r="AH344" s="1189"/>
      <c r="AI344" s="1189"/>
      <c r="AJ344" s="1189"/>
      <c r="AK344" s="1189"/>
      <c r="AL344" s="1189"/>
      <c r="AM344" s="1189"/>
      <c r="AN344" s="1189"/>
      <c r="AO344" s="1189"/>
      <c r="AP344" s="1189"/>
      <c r="AQ344" s="1189"/>
      <c r="AR344" s="1189"/>
      <c r="AS344" s="1189"/>
      <c r="AT344" s="1189"/>
      <c r="AU344" s="1189"/>
      <c r="AV344" s="1189"/>
      <c r="AW344" s="1189"/>
      <c r="AX344" s="1189"/>
    </row>
    <row r="345" spans="4:50" ht="12.75" customHeight="1">
      <c r="D345" s="1231"/>
      <c r="E345" s="1230"/>
      <c r="F345" s="1230"/>
      <c r="G345" s="1230"/>
      <c r="H345" s="1230"/>
      <c r="I345" s="1189"/>
      <c r="J345" s="1189"/>
      <c r="K345" s="1189"/>
      <c r="L345" s="1225"/>
      <c r="M345" s="1189"/>
      <c r="N345" s="1189"/>
      <c r="O345" s="1189"/>
      <c r="P345" s="1189"/>
      <c r="Q345" s="1189"/>
      <c r="R345" s="1189"/>
      <c r="S345" s="1189"/>
      <c r="T345" s="1208"/>
      <c r="U345" s="1208"/>
      <c r="V345" s="1189"/>
      <c r="W345" s="1189"/>
      <c r="X345" s="1189"/>
      <c r="Y345" s="1189"/>
      <c r="Z345" s="1189"/>
      <c r="AA345" s="1189"/>
      <c r="AB345" s="1189"/>
      <c r="AC345" s="1189"/>
      <c r="AD345" s="1189"/>
      <c r="AE345" s="1189"/>
      <c r="AF345" s="1189"/>
      <c r="AG345" s="1189"/>
      <c r="AH345" s="1189"/>
      <c r="AI345" s="1189"/>
      <c r="AJ345" s="1189"/>
      <c r="AK345" s="1189"/>
      <c r="AL345" s="1189"/>
      <c r="AM345" s="1189"/>
      <c r="AN345" s="1189"/>
      <c r="AO345" s="1189"/>
      <c r="AP345" s="1189"/>
      <c r="AQ345" s="1189"/>
      <c r="AR345" s="1189"/>
      <c r="AS345" s="1189"/>
      <c r="AT345" s="1189"/>
      <c r="AU345" s="1189"/>
      <c r="AV345" s="1189"/>
      <c r="AW345" s="1189"/>
      <c r="AX345" s="1189"/>
    </row>
    <row r="346" spans="4:50" ht="12.75" customHeight="1">
      <c r="D346" s="1231"/>
      <c r="E346" s="1230"/>
      <c r="F346" s="1230"/>
      <c r="G346" s="1230"/>
      <c r="H346" s="1230"/>
      <c r="I346" s="1189"/>
      <c r="J346" s="1189"/>
      <c r="K346" s="1189"/>
      <c r="L346" s="1225"/>
      <c r="M346" s="1189"/>
      <c r="N346" s="1189"/>
      <c r="O346" s="1189"/>
      <c r="P346" s="1189"/>
      <c r="Q346" s="1189"/>
      <c r="R346" s="1189"/>
      <c r="S346" s="1189"/>
      <c r="T346" s="1208"/>
      <c r="U346" s="1208"/>
      <c r="V346" s="1189"/>
      <c r="W346" s="1189"/>
      <c r="X346" s="1189"/>
      <c r="Y346" s="1189"/>
      <c r="Z346" s="1189"/>
      <c r="AA346" s="1189"/>
      <c r="AB346" s="1189"/>
      <c r="AC346" s="1189"/>
      <c r="AD346" s="1189"/>
      <c r="AE346" s="1189"/>
      <c r="AF346" s="1189"/>
      <c r="AG346" s="1189"/>
      <c r="AH346" s="1189"/>
      <c r="AI346" s="1189"/>
      <c r="AJ346" s="1189"/>
      <c r="AK346" s="1189"/>
      <c r="AL346" s="1189"/>
      <c r="AM346" s="1189"/>
      <c r="AN346" s="1189"/>
      <c r="AO346" s="1189"/>
      <c r="AP346" s="1189"/>
      <c r="AQ346" s="1189"/>
      <c r="AR346" s="1189"/>
      <c r="AS346" s="1189"/>
      <c r="AT346" s="1189"/>
      <c r="AU346" s="1189"/>
      <c r="AV346" s="1189"/>
      <c r="AW346" s="1189"/>
      <c r="AX346" s="1189"/>
    </row>
    <row r="347" spans="4:50" ht="12.75" customHeight="1">
      <c r="D347" s="1231"/>
      <c r="E347" s="1230"/>
      <c r="F347" s="1230"/>
      <c r="G347" s="1230"/>
      <c r="H347" s="1230"/>
      <c r="I347" s="1189"/>
      <c r="J347" s="1189"/>
      <c r="K347" s="1189"/>
      <c r="L347" s="1225"/>
      <c r="M347" s="1189"/>
      <c r="N347" s="1189"/>
      <c r="O347" s="1189"/>
      <c r="P347" s="1189"/>
      <c r="Q347" s="1189"/>
      <c r="R347" s="1189"/>
      <c r="S347" s="1189"/>
      <c r="T347" s="1208"/>
      <c r="U347" s="1208"/>
      <c r="V347" s="1189"/>
      <c r="W347" s="1189"/>
      <c r="X347" s="1189"/>
      <c r="Y347" s="1189"/>
      <c r="Z347" s="1189"/>
      <c r="AA347" s="1189"/>
      <c r="AB347" s="1189"/>
      <c r="AC347" s="1189"/>
      <c r="AD347" s="1189"/>
      <c r="AE347" s="1189"/>
      <c r="AF347" s="1189"/>
      <c r="AG347" s="1189"/>
      <c r="AH347" s="1189"/>
      <c r="AI347" s="1189"/>
      <c r="AJ347" s="1189"/>
      <c r="AK347" s="1189"/>
      <c r="AL347" s="1189"/>
      <c r="AM347" s="1189"/>
      <c r="AN347" s="1189"/>
      <c r="AO347" s="1189"/>
      <c r="AP347" s="1189"/>
      <c r="AQ347" s="1189"/>
      <c r="AR347" s="1189"/>
      <c r="AS347" s="1189"/>
      <c r="AT347" s="1189"/>
      <c r="AU347" s="1189"/>
      <c r="AV347" s="1189"/>
      <c r="AW347" s="1189"/>
      <c r="AX347" s="1189"/>
    </row>
    <row r="348" spans="4:50" ht="12.75" customHeight="1">
      <c r="D348" s="1231"/>
      <c r="E348" s="1230"/>
      <c r="F348" s="1230"/>
      <c r="G348" s="1230"/>
      <c r="H348" s="1230"/>
      <c r="I348" s="1189"/>
      <c r="J348" s="1189"/>
      <c r="K348" s="1189"/>
      <c r="L348" s="1225"/>
      <c r="M348" s="1189"/>
      <c r="N348" s="1189"/>
      <c r="O348" s="1189"/>
      <c r="P348" s="1189"/>
      <c r="Q348" s="1189"/>
      <c r="R348" s="1189"/>
      <c r="S348" s="1189"/>
      <c r="T348" s="1208"/>
      <c r="U348" s="1208"/>
      <c r="V348" s="1189"/>
      <c r="W348" s="1189"/>
      <c r="X348" s="1189"/>
      <c r="Y348" s="1189"/>
      <c r="Z348" s="1189"/>
      <c r="AA348" s="1189"/>
      <c r="AB348" s="1189"/>
      <c r="AC348" s="1189"/>
      <c r="AD348" s="1189"/>
      <c r="AE348" s="1189"/>
      <c r="AF348" s="1189"/>
      <c r="AG348" s="1189"/>
      <c r="AH348" s="1189"/>
      <c r="AI348" s="1189"/>
      <c r="AJ348" s="1189"/>
      <c r="AK348" s="1189"/>
      <c r="AL348" s="1189"/>
      <c r="AM348" s="1189"/>
      <c r="AN348" s="1189"/>
      <c r="AO348" s="1189"/>
      <c r="AP348" s="1189"/>
      <c r="AQ348" s="1189"/>
      <c r="AR348" s="1189"/>
      <c r="AS348" s="1189"/>
      <c r="AT348" s="1189"/>
      <c r="AU348" s="1189"/>
      <c r="AV348" s="1189"/>
      <c r="AW348" s="1189"/>
      <c r="AX348" s="1189"/>
    </row>
    <row r="349" spans="4:50" ht="12.75" customHeight="1">
      <c r="D349" s="1231"/>
      <c r="E349" s="1230"/>
      <c r="F349" s="1230"/>
      <c r="G349" s="1230"/>
      <c r="H349" s="1230"/>
      <c r="I349" s="1189"/>
      <c r="J349" s="1189"/>
      <c r="K349" s="1189"/>
      <c r="L349" s="1225"/>
      <c r="M349" s="1189"/>
      <c r="N349" s="1189"/>
      <c r="O349" s="1189"/>
      <c r="P349" s="1189"/>
      <c r="Q349" s="1189"/>
      <c r="R349" s="1189"/>
      <c r="S349" s="1189"/>
      <c r="T349" s="1208"/>
      <c r="U349" s="1208"/>
      <c r="V349" s="1189"/>
      <c r="W349" s="1189"/>
      <c r="X349" s="1189"/>
      <c r="Y349" s="1189"/>
      <c r="Z349" s="1189"/>
      <c r="AA349" s="1189"/>
      <c r="AB349" s="1189"/>
      <c r="AC349" s="1189"/>
      <c r="AD349" s="1189"/>
      <c r="AE349" s="1189"/>
      <c r="AF349" s="1189"/>
      <c r="AG349" s="1189"/>
      <c r="AH349" s="1189"/>
      <c r="AI349" s="1189"/>
      <c r="AJ349" s="1189"/>
      <c r="AK349" s="1189"/>
      <c r="AL349" s="1189"/>
      <c r="AM349" s="1189"/>
      <c r="AN349" s="1189"/>
      <c r="AO349" s="1189"/>
      <c r="AP349" s="1189"/>
      <c r="AQ349" s="1189"/>
      <c r="AR349" s="1189"/>
      <c r="AS349" s="1189"/>
      <c r="AT349" s="1189"/>
      <c r="AU349" s="1189"/>
      <c r="AV349" s="1189"/>
      <c r="AW349" s="1189"/>
      <c r="AX349" s="1189"/>
    </row>
    <row r="350" spans="4:50" ht="12.75" customHeight="1">
      <c r="D350" s="1231"/>
      <c r="E350" s="1230"/>
      <c r="F350" s="1230"/>
      <c r="G350" s="1230"/>
      <c r="H350" s="1230"/>
      <c r="I350" s="1189"/>
      <c r="J350" s="1189"/>
      <c r="K350" s="1189"/>
      <c r="L350" s="1225"/>
      <c r="M350" s="1189"/>
      <c r="N350" s="1189"/>
      <c r="O350" s="1189"/>
      <c r="P350" s="1189"/>
      <c r="Q350" s="1189"/>
      <c r="R350" s="1189"/>
      <c r="S350" s="1189"/>
      <c r="T350" s="1208"/>
      <c r="U350" s="1208"/>
      <c r="V350" s="1189"/>
      <c r="W350" s="1189"/>
      <c r="X350" s="1189"/>
      <c r="Y350" s="1189"/>
      <c r="Z350" s="1189"/>
      <c r="AA350" s="1189"/>
      <c r="AB350" s="1189"/>
      <c r="AC350" s="1189"/>
      <c r="AD350" s="1189"/>
      <c r="AE350" s="1189"/>
      <c r="AF350" s="1189"/>
      <c r="AG350" s="1189"/>
      <c r="AH350" s="1189"/>
      <c r="AI350" s="1189"/>
      <c r="AJ350" s="1189"/>
      <c r="AK350" s="1189"/>
      <c r="AL350" s="1189"/>
      <c r="AM350" s="1189"/>
      <c r="AN350" s="1189"/>
      <c r="AO350" s="1189"/>
      <c r="AP350" s="1189"/>
      <c r="AQ350" s="1189"/>
      <c r="AR350" s="1189"/>
      <c r="AS350" s="1189"/>
      <c r="AT350" s="1189"/>
      <c r="AU350" s="1189"/>
      <c r="AV350" s="1189"/>
      <c r="AW350" s="1189"/>
      <c r="AX350" s="1189"/>
    </row>
    <row r="351" spans="4:50" ht="12.75" customHeight="1">
      <c r="D351" s="1231"/>
      <c r="E351" s="1230"/>
      <c r="F351" s="1230"/>
      <c r="G351" s="1230"/>
      <c r="H351" s="1230"/>
      <c r="I351" s="1189"/>
      <c r="J351" s="1189"/>
      <c r="K351" s="1189"/>
      <c r="L351" s="1225"/>
      <c r="M351" s="1189"/>
      <c r="N351" s="1189"/>
      <c r="O351" s="1189"/>
      <c r="P351" s="1189"/>
      <c r="Q351" s="1189"/>
      <c r="R351" s="1189"/>
      <c r="S351" s="1189"/>
      <c r="T351" s="1208"/>
      <c r="U351" s="1208"/>
      <c r="V351" s="1189"/>
      <c r="W351" s="1189"/>
      <c r="X351" s="1189"/>
      <c r="Y351" s="1189"/>
      <c r="Z351" s="1189"/>
      <c r="AA351" s="1189"/>
      <c r="AB351" s="1189"/>
      <c r="AC351" s="1189"/>
      <c r="AD351" s="1189"/>
      <c r="AE351" s="1189"/>
      <c r="AF351" s="1189"/>
      <c r="AG351" s="1189"/>
      <c r="AH351" s="1189"/>
      <c r="AI351" s="1189"/>
      <c r="AJ351" s="1189"/>
      <c r="AK351" s="1189"/>
      <c r="AL351" s="1189"/>
      <c r="AM351" s="1189"/>
      <c r="AN351" s="1189"/>
      <c r="AO351" s="1189"/>
      <c r="AP351" s="1189"/>
      <c r="AQ351" s="1189"/>
      <c r="AR351" s="1189"/>
      <c r="AS351" s="1189"/>
      <c r="AT351" s="1189"/>
      <c r="AU351" s="1189"/>
      <c r="AV351" s="1189"/>
      <c r="AW351" s="1189"/>
      <c r="AX351" s="1189"/>
    </row>
    <row r="352" spans="4:50" ht="12.75" customHeight="1">
      <c r="D352" s="1231"/>
      <c r="E352" s="1230"/>
      <c r="F352" s="1230"/>
      <c r="G352" s="1230"/>
      <c r="H352" s="1230"/>
      <c r="I352" s="1189"/>
      <c r="J352" s="1189"/>
      <c r="K352" s="1189"/>
      <c r="L352" s="1225"/>
      <c r="M352" s="1189"/>
      <c r="N352" s="1189"/>
      <c r="O352" s="1189"/>
      <c r="P352" s="1189"/>
      <c r="Q352" s="1189"/>
      <c r="R352" s="1189"/>
      <c r="S352" s="1189"/>
      <c r="T352" s="1208"/>
      <c r="U352" s="1208"/>
      <c r="V352" s="1189"/>
      <c r="W352" s="1189"/>
      <c r="X352" s="1189"/>
      <c r="Y352" s="1189"/>
      <c r="Z352" s="1189"/>
      <c r="AA352" s="1189"/>
      <c r="AB352" s="1189"/>
      <c r="AC352" s="1189"/>
      <c r="AD352" s="1189"/>
      <c r="AE352" s="1189"/>
      <c r="AF352" s="1189"/>
      <c r="AG352" s="1189"/>
      <c r="AH352" s="1189"/>
      <c r="AI352" s="1189"/>
      <c r="AJ352" s="1189"/>
      <c r="AK352" s="1189"/>
      <c r="AL352" s="1189"/>
      <c r="AM352" s="1189"/>
      <c r="AN352" s="1189"/>
      <c r="AO352" s="1189"/>
      <c r="AP352" s="1189"/>
      <c r="AQ352" s="1189"/>
      <c r="AR352" s="1189"/>
      <c r="AS352" s="1189"/>
      <c r="AT352" s="1189"/>
      <c r="AU352" s="1189"/>
      <c r="AV352" s="1189"/>
      <c r="AW352" s="1189"/>
      <c r="AX352" s="1189"/>
    </row>
    <row r="353" spans="4:50" ht="12.75" customHeight="1">
      <c r="D353" s="1231"/>
      <c r="E353" s="1230"/>
      <c r="F353" s="1230"/>
      <c r="G353" s="1230"/>
      <c r="H353" s="1230"/>
      <c r="I353" s="1189"/>
      <c r="J353" s="1189"/>
      <c r="K353" s="1189"/>
      <c r="L353" s="1225"/>
      <c r="M353" s="1189"/>
      <c r="N353" s="1189"/>
      <c r="O353" s="1189"/>
      <c r="P353" s="1189"/>
      <c r="Q353" s="1189"/>
      <c r="R353" s="1189"/>
      <c r="S353" s="1189"/>
      <c r="T353" s="1208"/>
      <c r="U353" s="1208"/>
      <c r="V353" s="1189"/>
      <c r="W353" s="1189"/>
      <c r="X353" s="1189"/>
      <c r="Y353" s="1189"/>
      <c r="Z353" s="1189"/>
      <c r="AA353" s="1189"/>
      <c r="AB353" s="1189"/>
      <c r="AC353" s="1189"/>
      <c r="AD353" s="1189"/>
      <c r="AE353" s="1189"/>
      <c r="AF353" s="1189"/>
      <c r="AG353" s="1189"/>
      <c r="AH353" s="1189"/>
      <c r="AI353" s="1189"/>
      <c r="AJ353" s="1189"/>
      <c r="AK353" s="1189"/>
      <c r="AL353" s="1189"/>
      <c r="AM353" s="1189"/>
      <c r="AN353" s="1189"/>
      <c r="AO353" s="1189"/>
      <c r="AP353" s="1189"/>
      <c r="AQ353" s="1189"/>
      <c r="AR353" s="1189"/>
      <c r="AS353" s="1189"/>
      <c r="AT353" s="1189"/>
      <c r="AU353" s="1189"/>
      <c r="AV353" s="1189"/>
      <c r="AW353" s="1189"/>
      <c r="AX353" s="1189"/>
    </row>
    <row r="354" spans="4:50" ht="12.75" customHeight="1">
      <c r="D354" s="1231"/>
      <c r="E354" s="1230"/>
      <c r="F354" s="1230"/>
      <c r="G354" s="1230"/>
      <c r="H354" s="1230"/>
      <c r="I354" s="1189"/>
      <c r="J354" s="1189"/>
      <c r="K354" s="1189"/>
      <c r="L354" s="1225"/>
      <c r="M354" s="1189"/>
      <c r="N354" s="1189"/>
      <c r="O354" s="1189"/>
      <c r="P354" s="1189"/>
      <c r="Q354" s="1189"/>
      <c r="R354" s="1189"/>
      <c r="S354" s="1189"/>
      <c r="T354" s="1208"/>
      <c r="U354" s="1208"/>
      <c r="V354" s="1189"/>
      <c r="W354" s="1189"/>
      <c r="X354" s="1189"/>
      <c r="Y354" s="1189"/>
      <c r="Z354" s="1189"/>
      <c r="AA354" s="1189"/>
      <c r="AB354" s="1189"/>
      <c r="AC354" s="1189"/>
      <c r="AD354" s="1189"/>
      <c r="AE354" s="1189"/>
      <c r="AF354" s="1189"/>
      <c r="AG354" s="1189"/>
      <c r="AH354" s="1189"/>
      <c r="AI354" s="1189"/>
      <c r="AJ354" s="1189"/>
      <c r="AK354" s="1189"/>
      <c r="AL354" s="1189"/>
      <c r="AM354" s="1189"/>
      <c r="AN354" s="1189"/>
      <c r="AO354" s="1189"/>
      <c r="AP354" s="1189"/>
      <c r="AQ354" s="1189"/>
      <c r="AR354" s="1189"/>
      <c r="AS354" s="1189"/>
      <c r="AT354" s="1189"/>
      <c r="AU354" s="1189"/>
      <c r="AV354" s="1189"/>
      <c r="AW354" s="1189"/>
      <c r="AX354" s="1189"/>
    </row>
    <row r="355" spans="4:50" ht="12.75" customHeight="1">
      <c r="D355" s="1231"/>
      <c r="E355" s="1230"/>
      <c r="F355" s="1230"/>
      <c r="G355" s="1230"/>
      <c r="H355" s="1230"/>
      <c r="I355" s="1189"/>
      <c r="J355" s="1189"/>
      <c r="K355" s="1189"/>
      <c r="L355" s="1225"/>
      <c r="M355" s="1189"/>
      <c r="N355" s="1189"/>
      <c r="O355" s="1189"/>
      <c r="P355" s="1189"/>
      <c r="Q355" s="1189"/>
      <c r="R355" s="1189"/>
      <c r="S355" s="1189"/>
      <c r="T355" s="1208"/>
      <c r="U355" s="1208"/>
      <c r="V355" s="1189"/>
      <c r="W355" s="1189"/>
      <c r="X355" s="1189"/>
      <c r="Y355" s="1189"/>
      <c r="Z355" s="1189"/>
      <c r="AA355" s="1189"/>
      <c r="AB355" s="1189"/>
      <c r="AC355" s="1189"/>
      <c r="AD355" s="1189"/>
      <c r="AE355" s="1189"/>
      <c r="AF355" s="1189"/>
      <c r="AG355" s="1189"/>
      <c r="AH355" s="1189"/>
      <c r="AI355" s="1189"/>
      <c r="AJ355" s="1189"/>
      <c r="AK355" s="1189"/>
      <c r="AL355" s="1189"/>
      <c r="AM355" s="1189"/>
      <c r="AN355" s="1189"/>
      <c r="AO355" s="1189"/>
      <c r="AP355" s="1189"/>
      <c r="AQ355" s="1189"/>
      <c r="AR355" s="1189"/>
      <c r="AS355" s="1189"/>
      <c r="AT355" s="1189"/>
      <c r="AU355" s="1189"/>
      <c r="AV355" s="1189"/>
      <c r="AW355" s="1189"/>
      <c r="AX355" s="1189"/>
    </row>
    <row r="356" spans="4:50" ht="12.75" customHeight="1">
      <c r="D356" s="1231"/>
      <c r="E356" s="1230"/>
      <c r="F356" s="1230"/>
      <c r="G356" s="1230"/>
      <c r="H356" s="1230"/>
      <c r="I356" s="1189"/>
      <c r="J356" s="1189"/>
      <c r="K356" s="1189"/>
      <c r="L356" s="1225"/>
      <c r="M356" s="1189"/>
      <c r="N356" s="1189"/>
      <c r="O356" s="1189"/>
      <c r="P356" s="1189"/>
      <c r="Q356" s="1189"/>
      <c r="R356" s="1189"/>
      <c r="S356" s="1189"/>
      <c r="T356" s="1208"/>
      <c r="U356" s="1208"/>
      <c r="V356" s="1189"/>
      <c r="W356" s="1189"/>
      <c r="X356" s="1189"/>
      <c r="Y356" s="1189"/>
      <c r="Z356" s="1189"/>
      <c r="AA356" s="1189"/>
      <c r="AB356" s="1189"/>
      <c r="AC356" s="1189"/>
      <c r="AD356" s="1189"/>
      <c r="AE356" s="1189"/>
      <c r="AF356" s="1189"/>
      <c r="AG356" s="1189"/>
      <c r="AH356" s="1189"/>
      <c r="AI356" s="1189"/>
      <c r="AJ356" s="1189"/>
      <c r="AK356" s="1189"/>
      <c r="AL356" s="1189"/>
      <c r="AM356" s="1189"/>
      <c r="AN356" s="1189"/>
      <c r="AO356" s="1189"/>
      <c r="AP356" s="1189"/>
      <c r="AQ356" s="1189"/>
      <c r="AR356" s="1189"/>
      <c r="AS356" s="1189"/>
      <c r="AT356" s="1189"/>
      <c r="AU356" s="1189"/>
      <c r="AV356" s="1189"/>
      <c r="AW356" s="1189"/>
      <c r="AX356" s="1189"/>
    </row>
    <row r="357" spans="4:50" ht="12.75" customHeight="1">
      <c r="D357" s="1231"/>
      <c r="E357" s="1230"/>
      <c r="F357" s="1230"/>
      <c r="G357" s="1230"/>
      <c r="H357" s="1230"/>
      <c r="I357" s="1189"/>
      <c r="J357" s="1189"/>
      <c r="K357" s="1189"/>
      <c r="L357" s="1225"/>
      <c r="M357" s="1189"/>
      <c r="N357" s="1189"/>
      <c r="O357" s="1189"/>
      <c r="P357" s="1189"/>
      <c r="Q357" s="1189"/>
      <c r="R357" s="1189"/>
      <c r="S357" s="1189"/>
      <c r="T357" s="1208"/>
      <c r="U357" s="1208"/>
      <c r="V357" s="1189"/>
      <c r="W357" s="1189"/>
      <c r="X357" s="1189"/>
      <c r="Y357" s="1189"/>
      <c r="Z357" s="1189"/>
      <c r="AA357" s="1189"/>
      <c r="AB357" s="1189"/>
      <c r="AC357" s="1189"/>
      <c r="AD357" s="1189"/>
      <c r="AE357" s="1189"/>
      <c r="AF357" s="1189"/>
      <c r="AG357" s="1189"/>
      <c r="AH357" s="1189"/>
      <c r="AI357" s="1189"/>
      <c r="AJ357" s="1189"/>
      <c r="AK357" s="1189"/>
      <c r="AL357" s="1189"/>
      <c r="AM357" s="1189"/>
      <c r="AN357" s="1189"/>
      <c r="AO357" s="1189"/>
      <c r="AP357" s="1189"/>
      <c r="AQ357" s="1189"/>
      <c r="AR357" s="1189"/>
      <c r="AS357" s="1189"/>
      <c r="AT357" s="1189"/>
      <c r="AU357" s="1189"/>
      <c r="AV357" s="1189"/>
      <c r="AW357" s="1189"/>
      <c r="AX357" s="1189"/>
    </row>
    <row r="358" spans="4:50" ht="12.75" customHeight="1">
      <c r="D358" s="1231"/>
      <c r="E358" s="1230"/>
      <c r="F358" s="1230"/>
      <c r="G358" s="1230"/>
      <c r="H358" s="1230"/>
      <c r="I358" s="1189"/>
      <c r="J358" s="1189"/>
      <c r="K358" s="1189"/>
      <c r="L358" s="1225"/>
      <c r="M358" s="1189"/>
      <c r="N358" s="1189"/>
      <c r="O358" s="1189"/>
      <c r="P358" s="1189"/>
      <c r="Q358" s="1189"/>
      <c r="R358" s="1189"/>
      <c r="S358" s="1189"/>
      <c r="T358" s="1208"/>
      <c r="U358" s="1208"/>
      <c r="V358" s="1189"/>
      <c r="W358" s="1189"/>
      <c r="X358" s="1189"/>
      <c r="Y358" s="1189"/>
      <c r="Z358" s="1189"/>
      <c r="AA358" s="1189"/>
      <c r="AB358" s="1189"/>
      <c r="AC358" s="1189"/>
      <c r="AD358" s="1189"/>
      <c r="AE358" s="1189"/>
      <c r="AF358" s="1189"/>
      <c r="AG358" s="1189"/>
      <c r="AH358" s="1189"/>
      <c r="AI358" s="1189"/>
      <c r="AJ358" s="1189"/>
      <c r="AK358" s="1189"/>
      <c r="AL358" s="1189"/>
      <c r="AM358" s="1189"/>
      <c r="AN358" s="1189"/>
      <c r="AO358" s="1189"/>
      <c r="AP358" s="1189"/>
      <c r="AQ358" s="1189"/>
      <c r="AR358" s="1189"/>
      <c r="AS358" s="1189"/>
      <c r="AT358" s="1189"/>
      <c r="AU358" s="1189"/>
      <c r="AV358" s="1189"/>
      <c r="AW358" s="1189"/>
      <c r="AX358" s="1189"/>
    </row>
    <row r="359" spans="4:50" ht="12.75" customHeight="1">
      <c r="D359" s="1231"/>
      <c r="E359" s="1230"/>
      <c r="F359" s="1230"/>
      <c r="G359" s="1230"/>
      <c r="H359" s="1230"/>
      <c r="I359" s="1189"/>
      <c r="J359" s="1189"/>
      <c r="K359" s="1189"/>
      <c r="L359" s="1225"/>
      <c r="M359" s="1189"/>
      <c r="N359" s="1189"/>
      <c r="O359" s="1189"/>
      <c r="P359" s="1189"/>
      <c r="Q359" s="1189"/>
      <c r="R359" s="1189"/>
      <c r="S359" s="1189"/>
      <c r="T359" s="1208"/>
      <c r="U359" s="1208"/>
      <c r="V359" s="1189"/>
      <c r="W359" s="1189"/>
      <c r="X359" s="1189"/>
      <c r="Y359" s="1189"/>
      <c r="Z359" s="1189"/>
      <c r="AA359" s="1189"/>
      <c r="AB359" s="1189"/>
      <c r="AC359" s="1189"/>
      <c r="AD359" s="1189"/>
      <c r="AE359" s="1189"/>
      <c r="AF359" s="1189"/>
      <c r="AG359" s="1189"/>
      <c r="AH359" s="1189"/>
      <c r="AI359" s="1189"/>
      <c r="AJ359" s="1189"/>
      <c r="AK359" s="1189"/>
      <c r="AL359" s="1189"/>
      <c r="AM359" s="1189"/>
      <c r="AN359" s="1189"/>
      <c r="AO359" s="1189"/>
      <c r="AP359" s="1189"/>
      <c r="AQ359" s="1189"/>
      <c r="AR359" s="1189"/>
      <c r="AS359" s="1189"/>
      <c r="AT359" s="1189"/>
      <c r="AU359" s="1189"/>
      <c r="AV359" s="1189"/>
      <c r="AW359" s="1189"/>
      <c r="AX359" s="1189"/>
    </row>
    <row r="360" spans="4:50" ht="12.75" customHeight="1">
      <c r="D360" s="1231"/>
      <c r="E360" s="1230"/>
      <c r="F360" s="1230"/>
      <c r="G360" s="1230"/>
      <c r="H360" s="1230"/>
      <c r="I360" s="1189"/>
      <c r="J360" s="1189"/>
      <c r="K360" s="1189"/>
      <c r="L360" s="1225"/>
      <c r="M360" s="1189"/>
      <c r="N360" s="1189"/>
      <c r="O360" s="1189"/>
      <c r="P360" s="1189"/>
      <c r="Q360" s="1189"/>
      <c r="R360" s="1189"/>
      <c r="S360" s="1189"/>
      <c r="T360" s="1208"/>
      <c r="U360" s="1208"/>
      <c r="V360" s="1189"/>
      <c r="W360" s="1189"/>
      <c r="X360" s="1189"/>
      <c r="Y360" s="1189"/>
      <c r="Z360" s="1189"/>
      <c r="AA360" s="1189"/>
      <c r="AB360" s="1189"/>
      <c r="AC360" s="1189"/>
      <c r="AD360" s="1189"/>
      <c r="AE360" s="1189"/>
      <c r="AF360" s="1189"/>
      <c r="AG360" s="1189"/>
      <c r="AH360" s="1189"/>
      <c r="AI360" s="1189"/>
      <c r="AJ360" s="1189"/>
      <c r="AK360" s="1189"/>
      <c r="AL360" s="1189"/>
      <c r="AM360" s="1189"/>
      <c r="AN360" s="1189"/>
      <c r="AO360" s="1189"/>
      <c r="AP360" s="1189"/>
      <c r="AQ360" s="1189"/>
      <c r="AR360" s="1189"/>
      <c r="AS360" s="1189"/>
      <c r="AT360" s="1189"/>
      <c r="AU360" s="1189"/>
      <c r="AV360" s="1189"/>
      <c r="AW360" s="1189"/>
      <c r="AX360" s="1189"/>
    </row>
    <row r="361" spans="4:50" ht="12.75" customHeight="1">
      <c r="D361" s="1231"/>
      <c r="E361" s="1230"/>
      <c r="F361" s="1230"/>
      <c r="G361" s="1230"/>
      <c r="H361" s="1230"/>
      <c r="I361" s="1189"/>
      <c r="J361" s="1189"/>
      <c r="K361" s="1189"/>
      <c r="L361" s="1225"/>
      <c r="M361" s="1189"/>
      <c r="N361" s="1189"/>
      <c r="O361" s="1189"/>
      <c r="P361" s="1189"/>
      <c r="Q361" s="1189"/>
      <c r="R361" s="1189"/>
      <c r="S361" s="1189"/>
      <c r="T361" s="1208"/>
      <c r="U361" s="1208"/>
      <c r="V361" s="1189"/>
      <c r="W361" s="1189"/>
      <c r="X361" s="1189"/>
      <c r="Y361" s="1189"/>
      <c r="Z361" s="1189"/>
      <c r="AA361" s="1189"/>
      <c r="AB361" s="1189"/>
      <c r="AC361" s="1189"/>
      <c r="AD361" s="1189"/>
      <c r="AE361" s="1189"/>
      <c r="AF361" s="1189"/>
      <c r="AG361" s="1189"/>
      <c r="AH361" s="1189"/>
      <c r="AI361" s="1189"/>
      <c r="AJ361" s="1189"/>
      <c r="AK361" s="1189"/>
      <c r="AL361" s="1189"/>
      <c r="AM361" s="1189"/>
      <c r="AN361" s="1189"/>
      <c r="AO361" s="1189"/>
      <c r="AP361" s="1189"/>
      <c r="AQ361" s="1189"/>
      <c r="AR361" s="1189"/>
      <c r="AS361" s="1189"/>
      <c r="AT361" s="1189"/>
      <c r="AU361" s="1189"/>
      <c r="AV361" s="1189"/>
      <c r="AW361" s="1189"/>
      <c r="AX361" s="1189"/>
    </row>
    <row r="362" spans="4:50" ht="12.75" customHeight="1">
      <c r="D362" s="1231"/>
      <c r="E362" s="1230"/>
      <c r="F362" s="1230"/>
      <c r="G362" s="1230"/>
      <c r="H362" s="1230"/>
      <c r="I362" s="1189"/>
      <c r="J362" s="1189"/>
      <c r="K362" s="1189"/>
      <c r="L362" s="1225"/>
      <c r="M362" s="1189"/>
      <c r="N362" s="1189"/>
      <c r="O362" s="1189"/>
      <c r="P362" s="1189"/>
      <c r="Q362" s="1189"/>
      <c r="R362" s="1189"/>
      <c r="S362" s="1189"/>
      <c r="T362" s="1208"/>
      <c r="U362" s="1208"/>
      <c r="V362" s="1189"/>
      <c r="W362" s="1189"/>
      <c r="X362" s="1189"/>
      <c r="Y362" s="1189"/>
      <c r="Z362" s="1189"/>
      <c r="AA362" s="1189"/>
      <c r="AB362" s="1189"/>
      <c r="AC362" s="1189"/>
      <c r="AD362" s="1189"/>
      <c r="AE362" s="1189"/>
      <c r="AF362" s="1189"/>
      <c r="AG362" s="1189"/>
      <c r="AH362" s="1189"/>
      <c r="AI362" s="1189"/>
      <c r="AJ362" s="1189"/>
      <c r="AK362" s="1189"/>
      <c r="AL362" s="1189"/>
      <c r="AM362" s="1189"/>
      <c r="AN362" s="1189"/>
      <c r="AO362" s="1189"/>
      <c r="AP362" s="1189"/>
      <c r="AQ362" s="1189"/>
      <c r="AR362" s="1189"/>
      <c r="AS362" s="1189"/>
      <c r="AT362" s="1189"/>
      <c r="AU362" s="1189"/>
      <c r="AV362" s="1189"/>
      <c r="AW362" s="1189"/>
      <c r="AX362" s="1189"/>
    </row>
    <row r="363" spans="4:50" ht="12.75" customHeight="1">
      <c r="D363" s="1231"/>
      <c r="E363" s="1230"/>
      <c r="F363" s="1230"/>
      <c r="G363" s="1230"/>
      <c r="H363" s="1230"/>
      <c r="I363" s="1189"/>
      <c r="J363" s="1189"/>
      <c r="K363" s="1189"/>
      <c r="L363" s="1225"/>
      <c r="M363" s="1189"/>
      <c r="N363" s="1189"/>
      <c r="O363" s="1189"/>
      <c r="P363" s="1189"/>
      <c r="Q363" s="1189"/>
      <c r="R363" s="1189"/>
      <c r="S363" s="1189"/>
      <c r="T363" s="1208"/>
      <c r="U363" s="1208"/>
      <c r="V363" s="1189"/>
      <c r="W363" s="1189"/>
      <c r="X363" s="1189"/>
      <c r="Y363" s="1189"/>
      <c r="Z363" s="1189"/>
      <c r="AA363" s="1189"/>
      <c r="AB363" s="1189"/>
      <c r="AC363" s="1189"/>
      <c r="AD363" s="1189"/>
      <c r="AE363" s="1189"/>
      <c r="AF363" s="1189"/>
      <c r="AG363" s="1189"/>
      <c r="AH363" s="1189"/>
      <c r="AI363" s="1189"/>
      <c r="AJ363" s="1189"/>
      <c r="AK363" s="1189"/>
      <c r="AL363" s="1189"/>
      <c r="AM363" s="1189"/>
      <c r="AN363" s="1189"/>
      <c r="AO363" s="1189"/>
      <c r="AP363" s="1189"/>
      <c r="AQ363" s="1189"/>
      <c r="AR363" s="1189"/>
      <c r="AS363" s="1189"/>
      <c r="AT363" s="1189"/>
      <c r="AU363" s="1189"/>
      <c r="AV363" s="1189"/>
      <c r="AW363" s="1189"/>
      <c r="AX363" s="1189"/>
    </row>
    <row r="364" spans="4:50" ht="12.75" customHeight="1">
      <c r="D364" s="1231"/>
      <c r="E364" s="1230"/>
      <c r="F364" s="1230"/>
      <c r="G364" s="1230"/>
      <c r="H364" s="1230"/>
      <c r="I364" s="1189"/>
      <c r="J364" s="1189"/>
      <c r="K364" s="1189"/>
      <c r="L364" s="1225"/>
      <c r="M364" s="1189"/>
      <c r="N364" s="1189"/>
      <c r="O364" s="1189"/>
      <c r="P364" s="1189"/>
      <c r="Q364" s="1189"/>
      <c r="R364" s="1189"/>
      <c r="S364" s="1189"/>
      <c r="T364" s="1208"/>
      <c r="U364" s="1208"/>
      <c r="V364" s="1189"/>
      <c r="W364" s="1189"/>
      <c r="X364" s="1189"/>
      <c r="Y364" s="1189"/>
      <c r="Z364" s="1189"/>
      <c r="AA364" s="1189"/>
      <c r="AB364" s="1189"/>
      <c r="AC364" s="1189"/>
      <c r="AD364" s="1189"/>
      <c r="AE364" s="1189"/>
      <c r="AF364" s="1189"/>
      <c r="AG364" s="1189"/>
      <c r="AH364" s="1189"/>
      <c r="AI364" s="1189"/>
      <c r="AJ364" s="1189"/>
      <c r="AK364" s="1189"/>
      <c r="AL364" s="1189"/>
      <c r="AM364" s="1189"/>
      <c r="AN364" s="1189"/>
      <c r="AO364" s="1189"/>
      <c r="AP364" s="1189"/>
      <c r="AQ364" s="1189"/>
      <c r="AR364" s="1189"/>
      <c r="AS364" s="1189"/>
      <c r="AT364" s="1189"/>
      <c r="AU364" s="1189"/>
      <c r="AV364" s="1189"/>
      <c r="AW364" s="1189"/>
      <c r="AX364" s="1189"/>
    </row>
    <row r="365" spans="4:50" ht="12.75" customHeight="1">
      <c r="D365" s="1231"/>
      <c r="E365" s="1230"/>
      <c r="F365" s="1230"/>
      <c r="G365" s="1230"/>
      <c r="H365" s="1230"/>
      <c r="I365" s="1189"/>
      <c r="J365" s="1189"/>
      <c r="K365" s="1189"/>
      <c r="L365" s="1225"/>
      <c r="M365" s="1189"/>
      <c r="N365" s="1189"/>
      <c r="O365" s="1189"/>
      <c r="P365" s="1189"/>
      <c r="Q365" s="1189"/>
      <c r="R365" s="1189"/>
      <c r="S365" s="1189"/>
      <c r="T365" s="1208"/>
      <c r="U365" s="1208"/>
      <c r="V365" s="1189"/>
      <c r="W365" s="1189"/>
      <c r="X365" s="1189"/>
      <c r="Y365" s="1189"/>
      <c r="Z365" s="1189"/>
      <c r="AA365" s="1189"/>
      <c r="AB365" s="1189"/>
      <c r="AC365" s="1189"/>
      <c r="AD365" s="1189"/>
      <c r="AE365" s="1189"/>
      <c r="AF365" s="1189"/>
      <c r="AG365" s="1189"/>
      <c r="AH365" s="1189"/>
      <c r="AI365" s="1189"/>
      <c r="AJ365" s="1189"/>
      <c r="AK365" s="1189"/>
      <c r="AL365" s="1189"/>
      <c r="AM365" s="1189"/>
      <c r="AN365" s="1189"/>
      <c r="AO365" s="1189"/>
      <c r="AP365" s="1189"/>
      <c r="AQ365" s="1189"/>
      <c r="AR365" s="1189"/>
      <c r="AS365" s="1189"/>
      <c r="AT365" s="1189"/>
      <c r="AU365" s="1189"/>
      <c r="AV365" s="1189"/>
      <c r="AW365" s="1189"/>
      <c r="AX365" s="1189"/>
    </row>
    <row r="366" spans="4:50" ht="12.75" customHeight="1">
      <c r="D366" s="1231"/>
      <c r="E366" s="1230"/>
      <c r="F366" s="1230"/>
      <c r="G366" s="1230"/>
      <c r="H366" s="1230"/>
      <c r="I366" s="1189"/>
      <c r="J366" s="1189"/>
      <c r="K366" s="1189"/>
      <c r="L366" s="1225"/>
      <c r="M366" s="1189"/>
      <c r="N366" s="1189"/>
      <c r="O366" s="1189"/>
      <c r="P366" s="1189"/>
      <c r="Q366" s="1189"/>
      <c r="R366" s="1189"/>
      <c r="S366" s="1189"/>
      <c r="T366" s="1208"/>
      <c r="U366" s="1208"/>
      <c r="V366" s="1189"/>
      <c r="W366" s="1189"/>
      <c r="X366" s="1189"/>
      <c r="Y366" s="1189"/>
      <c r="Z366" s="1189"/>
      <c r="AA366" s="1189"/>
      <c r="AB366" s="1189"/>
      <c r="AC366" s="1189"/>
      <c r="AD366" s="1189"/>
      <c r="AE366" s="1189"/>
      <c r="AF366" s="1189"/>
      <c r="AG366" s="1189"/>
      <c r="AH366" s="1189"/>
      <c r="AI366" s="1189"/>
      <c r="AJ366" s="1189"/>
      <c r="AK366" s="1189"/>
      <c r="AL366" s="1189"/>
      <c r="AM366" s="1189"/>
      <c r="AN366" s="1189"/>
      <c r="AO366" s="1189"/>
      <c r="AP366" s="1189"/>
      <c r="AQ366" s="1189"/>
      <c r="AR366" s="1189"/>
      <c r="AS366" s="1189"/>
      <c r="AT366" s="1189"/>
      <c r="AU366" s="1189"/>
      <c r="AV366" s="1189"/>
      <c r="AW366" s="1189"/>
      <c r="AX366" s="1189"/>
    </row>
    <row r="367" spans="4:50" ht="12.75" customHeight="1">
      <c r="D367" s="1231"/>
      <c r="E367" s="1230"/>
      <c r="F367" s="1230"/>
      <c r="G367" s="1230"/>
      <c r="H367" s="1230"/>
      <c r="I367" s="1189"/>
      <c r="J367" s="1189"/>
      <c r="K367" s="1189"/>
      <c r="L367" s="1225"/>
      <c r="M367" s="1189"/>
      <c r="N367" s="1189"/>
      <c r="O367" s="1189"/>
      <c r="P367" s="1189"/>
      <c r="Q367" s="1189"/>
      <c r="R367" s="1189"/>
      <c r="S367" s="1189"/>
      <c r="T367" s="1208"/>
      <c r="U367" s="1208"/>
      <c r="V367" s="1189"/>
      <c r="W367" s="1189"/>
      <c r="X367" s="1189"/>
      <c r="Y367" s="1189"/>
      <c r="Z367" s="1189"/>
      <c r="AA367" s="1189"/>
      <c r="AB367" s="1189"/>
      <c r="AC367" s="1189"/>
      <c r="AD367" s="1189"/>
      <c r="AE367" s="1189"/>
      <c r="AF367" s="1189"/>
      <c r="AG367" s="1189"/>
      <c r="AH367" s="1189"/>
      <c r="AI367" s="1189"/>
      <c r="AJ367" s="1189"/>
      <c r="AK367" s="1189"/>
      <c r="AL367" s="1189"/>
      <c r="AM367" s="1189"/>
      <c r="AN367" s="1189"/>
      <c r="AO367" s="1189"/>
      <c r="AP367" s="1189"/>
      <c r="AQ367" s="1189"/>
      <c r="AR367" s="1189"/>
      <c r="AS367" s="1189"/>
      <c r="AT367" s="1189"/>
      <c r="AU367" s="1189"/>
      <c r="AV367" s="1189"/>
      <c r="AW367" s="1189"/>
      <c r="AX367" s="1189"/>
    </row>
    <row r="368" spans="4:50" ht="12.75" customHeight="1">
      <c r="D368" s="1231"/>
      <c r="E368" s="1230"/>
      <c r="F368" s="1230"/>
      <c r="G368" s="1230"/>
      <c r="H368" s="1230"/>
      <c r="I368" s="1189"/>
      <c r="J368" s="1189"/>
      <c r="K368" s="1189"/>
      <c r="L368" s="1225"/>
      <c r="M368" s="1189"/>
      <c r="N368" s="1189"/>
      <c r="O368" s="1189"/>
      <c r="P368" s="1189"/>
      <c r="Q368" s="1189"/>
      <c r="R368" s="1189"/>
      <c r="S368" s="1189"/>
      <c r="T368" s="1208"/>
      <c r="U368" s="1208"/>
      <c r="V368" s="1189"/>
      <c r="W368" s="1189"/>
      <c r="X368" s="1189"/>
      <c r="Y368" s="1189"/>
      <c r="Z368" s="1189"/>
      <c r="AA368" s="1189"/>
      <c r="AB368" s="1189"/>
      <c r="AC368" s="1189"/>
      <c r="AD368" s="1189"/>
      <c r="AE368" s="1189"/>
      <c r="AF368" s="1189"/>
      <c r="AG368" s="1189"/>
      <c r="AH368" s="1189"/>
      <c r="AI368" s="1189"/>
      <c r="AJ368" s="1189"/>
      <c r="AK368" s="1189"/>
      <c r="AL368" s="1189"/>
      <c r="AM368" s="1189"/>
      <c r="AN368" s="1189"/>
      <c r="AO368" s="1189"/>
      <c r="AP368" s="1189"/>
      <c r="AQ368" s="1189"/>
      <c r="AR368" s="1189"/>
      <c r="AS368" s="1189"/>
      <c r="AT368" s="1189"/>
      <c r="AU368" s="1189"/>
      <c r="AV368" s="1189"/>
      <c r="AW368" s="1189"/>
      <c r="AX368" s="1189"/>
    </row>
    <row r="369" spans="4:50" ht="12.75" customHeight="1">
      <c r="D369" s="1231"/>
      <c r="E369" s="1230"/>
      <c r="F369" s="1230"/>
      <c r="G369" s="1230"/>
      <c r="H369" s="1230"/>
      <c r="I369" s="1189"/>
      <c r="J369" s="1189"/>
      <c r="K369" s="1189"/>
      <c r="L369" s="1225"/>
      <c r="M369" s="1189"/>
      <c r="N369" s="1189"/>
      <c r="O369" s="1189"/>
      <c r="P369" s="1189"/>
      <c r="Q369" s="1189"/>
      <c r="R369" s="1189"/>
      <c r="S369" s="1189"/>
      <c r="T369" s="1208"/>
      <c r="U369" s="1208"/>
      <c r="V369" s="1189"/>
      <c r="W369" s="1189"/>
      <c r="X369" s="1189"/>
      <c r="Y369" s="1189"/>
      <c r="Z369" s="1189"/>
      <c r="AA369" s="1189"/>
      <c r="AB369" s="1189"/>
      <c r="AC369" s="1189"/>
      <c r="AD369" s="1189"/>
      <c r="AE369" s="1189"/>
      <c r="AF369" s="1189"/>
      <c r="AG369" s="1189"/>
      <c r="AH369" s="1189"/>
      <c r="AI369" s="1189"/>
      <c r="AJ369" s="1189"/>
      <c r="AK369" s="1189"/>
      <c r="AL369" s="1189"/>
      <c r="AM369" s="1189"/>
      <c r="AN369" s="1189"/>
      <c r="AO369" s="1189"/>
      <c r="AP369" s="1189"/>
      <c r="AQ369" s="1189"/>
      <c r="AR369" s="1189"/>
      <c r="AS369" s="1189"/>
      <c r="AT369" s="1189"/>
      <c r="AU369" s="1189"/>
      <c r="AV369" s="1189"/>
      <c r="AW369" s="1189"/>
      <c r="AX369" s="1189"/>
    </row>
    <row r="370" spans="4:50" ht="12.75" customHeight="1">
      <c r="D370" s="1231"/>
      <c r="E370" s="1230"/>
      <c r="F370" s="1230"/>
      <c r="G370" s="1230"/>
      <c r="H370" s="1230"/>
      <c r="I370" s="1189"/>
      <c r="J370" s="1189"/>
      <c r="K370" s="1189"/>
      <c r="L370" s="1225"/>
      <c r="M370" s="1189"/>
      <c r="N370" s="1189"/>
      <c r="O370" s="1189"/>
      <c r="P370" s="1189"/>
      <c r="Q370" s="1189"/>
      <c r="R370" s="1189"/>
      <c r="S370" s="1189"/>
      <c r="T370" s="1208"/>
      <c r="U370" s="1208"/>
      <c r="V370" s="1189"/>
      <c r="W370" s="1189"/>
      <c r="X370" s="1189"/>
      <c r="Y370" s="1189"/>
      <c r="Z370" s="1189"/>
      <c r="AA370" s="1189"/>
      <c r="AB370" s="1189"/>
      <c r="AC370" s="1189"/>
      <c r="AD370" s="1189"/>
      <c r="AE370" s="1189"/>
      <c r="AF370" s="1189"/>
      <c r="AG370" s="1189"/>
      <c r="AH370" s="1189"/>
      <c r="AI370" s="1189"/>
      <c r="AJ370" s="1189"/>
      <c r="AK370" s="1189"/>
      <c r="AL370" s="1189"/>
      <c r="AM370" s="1189"/>
      <c r="AN370" s="1189"/>
      <c r="AO370" s="1189"/>
      <c r="AP370" s="1189"/>
      <c r="AQ370" s="1189"/>
      <c r="AR370" s="1189"/>
      <c r="AS370" s="1189"/>
      <c r="AT370" s="1189"/>
      <c r="AU370" s="1189"/>
      <c r="AV370" s="1189"/>
      <c r="AW370" s="1189"/>
      <c r="AX370" s="1189"/>
    </row>
    <row r="371" spans="4:50" ht="12.75" customHeight="1">
      <c r="D371" s="1231"/>
      <c r="E371" s="1230"/>
      <c r="F371" s="1230"/>
      <c r="G371" s="1230"/>
      <c r="H371" s="1230"/>
      <c r="I371" s="1189"/>
      <c r="J371" s="1189"/>
      <c r="K371" s="1189"/>
      <c r="L371" s="1225"/>
      <c r="M371" s="1189"/>
      <c r="N371" s="1189"/>
      <c r="O371" s="1189"/>
      <c r="P371" s="1189"/>
      <c r="Q371" s="1189"/>
      <c r="R371" s="1189"/>
      <c r="S371" s="1189"/>
      <c r="T371" s="1208"/>
      <c r="U371" s="1208"/>
      <c r="V371" s="1189"/>
      <c r="W371" s="1189"/>
      <c r="X371" s="1189"/>
      <c r="Y371" s="1189"/>
      <c r="Z371" s="1189"/>
      <c r="AA371" s="1189"/>
      <c r="AB371" s="1189"/>
      <c r="AC371" s="1189"/>
      <c r="AD371" s="1189"/>
      <c r="AE371" s="1189"/>
      <c r="AF371" s="1189"/>
      <c r="AG371" s="1189"/>
      <c r="AH371" s="1189"/>
      <c r="AI371" s="1189"/>
      <c r="AJ371" s="1189"/>
      <c r="AK371" s="1189"/>
      <c r="AL371" s="1189"/>
      <c r="AM371" s="1189"/>
      <c r="AN371" s="1189"/>
      <c r="AO371" s="1189"/>
      <c r="AP371" s="1189"/>
      <c r="AQ371" s="1189"/>
      <c r="AR371" s="1189"/>
      <c r="AS371" s="1189"/>
      <c r="AT371" s="1189"/>
      <c r="AU371" s="1189"/>
      <c r="AV371" s="1189"/>
      <c r="AW371" s="1189"/>
      <c r="AX371" s="1189"/>
    </row>
    <row r="372" spans="4:50" ht="12.75" customHeight="1">
      <c r="D372" s="1231"/>
      <c r="E372" s="1230"/>
      <c r="F372" s="1230"/>
      <c r="G372" s="1230"/>
      <c r="H372" s="1230"/>
      <c r="I372" s="1189"/>
      <c r="J372" s="1189"/>
      <c r="K372" s="1189"/>
      <c r="L372" s="1225"/>
      <c r="M372" s="1189"/>
      <c r="N372" s="1189"/>
      <c r="O372" s="1189"/>
      <c r="P372" s="1189"/>
      <c r="Q372" s="1189"/>
      <c r="R372" s="1189"/>
      <c r="S372" s="1189"/>
      <c r="T372" s="1208"/>
      <c r="U372" s="1208"/>
      <c r="V372" s="1189"/>
      <c r="W372" s="1189"/>
      <c r="X372" s="1189"/>
      <c r="Y372" s="1189"/>
      <c r="Z372" s="1189"/>
      <c r="AA372" s="1189"/>
      <c r="AB372" s="1189"/>
      <c r="AC372" s="1189"/>
      <c r="AD372" s="1189"/>
      <c r="AE372" s="1189"/>
      <c r="AF372" s="1189"/>
      <c r="AG372" s="1189"/>
      <c r="AH372" s="1189"/>
      <c r="AI372" s="1189"/>
      <c r="AJ372" s="1189"/>
      <c r="AK372" s="1189"/>
      <c r="AL372" s="1189"/>
      <c r="AM372" s="1189"/>
      <c r="AN372" s="1189"/>
      <c r="AO372" s="1189"/>
      <c r="AP372" s="1189"/>
      <c r="AQ372" s="1189"/>
      <c r="AR372" s="1189"/>
      <c r="AS372" s="1189"/>
      <c r="AT372" s="1189"/>
      <c r="AU372" s="1189"/>
      <c r="AV372" s="1189"/>
      <c r="AW372" s="1189"/>
      <c r="AX372" s="1189"/>
    </row>
    <row r="373" spans="4:50" ht="12.75" customHeight="1">
      <c r="D373" s="1231"/>
      <c r="E373" s="1230"/>
      <c r="F373" s="1230"/>
      <c r="G373" s="1230"/>
      <c r="H373" s="1230"/>
      <c r="I373" s="1189"/>
      <c r="J373" s="1189"/>
      <c r="K373" s="1189"/>
      <c r="L373" s="1225"/>
      <c r="M373" s="1189"/>
      <c r="N373" s="1189"/>
      <c r="O373" s="1189"/>
      <c r="P373" s="1189"/>
      <c r="Q373" s="1189"/>
      <c r="R373" s="1189"/>
      <c r="S373" s="1189"/>
      <c r="T373" s="1208"/>
      <c r="U373" s="1208"/>
      <c r="V373" s="1189"/>
      <c r="W373" s="1189"/>
      <c r="X373" s="1189"/>
      <c r="Y373" s="1189"/>
      <c r="Z373" s="1189"/>
      <c r="AA373" s="1189"/>
      <c r="AB373" s="1189"/>
      <c r="AC373" s="1189"/>
      <c r="AD373" s="1189"/>
      <c r="AE373" s="1189"/>
      <c r="AF373" s="1189"/>
      <c r="AG373" s="1189"/>
      <c r="AH373" s="1189"/>
      <c r="AI373" s="1189"/>
      <c r="AJ373" s="1189"/>
      <c r="AK373" s="1189"/>
      <c r="AL373" s="1189"/>
      <c r="AM373" s="1189"/>
      <c r="AN373" s="1189"/>
      <c r="AO373" s="1189"/>
      <c r="AP373" s="1189"/>
      <c r="AQ373" s="1189"/>
      <c r="AR373" s="1189"/>
      <c r="AS373" s="1189"/>
      <c r="AT373" s="1189"/>
      <c r="AU373" s="1189"/>
      <c r="AV373" s="1189"/>
      <c r="AW373" s="1189"/>
      <c r="AX373" s="1189"/>
    </row>
    <row r="374" spans="4:50" ht="12.75" customHeight="1">
      <c r="D374" s="1231"/>
      <c r="E374" s="1230"/>
      <c r="F374" s="1230"/>
      <c r="G374" s="1230"/>
      <c r="H374" s="1230"/>
      <c r="I374" s="1189"/>
      <c r="J374" s="1189"/>
      <c r="K374" s="1189"/>
      <c r="L374" s="1225"/>
      <c r="M374" s="1189"/>
      <c r="N374" s="1189"/>
      <c r="O374" s="1189"/>
      <c r="P374" s="1189"/>
      <c r="Q374" s="1189"/>
      <c r="R374" s="1189"/>
      <c r="S374" s="1189"/>
      <c r="T374" s="1208"/>
      <c r="U374" s="1208"/>
      <c r="V374" s="1189"/>
      <c r="W374" s="1189"/>
      <c r="X374" s="1189"/>
      <c r="Y374" s="1189"/>
      <c r="Z374" s="1189"/>
      <c r="AA374" s="1189"/>
      <c r="AB374" s="1189"/>
      <c r="AC374" s="1189"/>
      <c r="AD374" s="1189"/>
      <c r="AE374" s="1189"/>
      <c r="AF374" s="1189"/>
      <c r="AG374" s="1189"/>
      <c r="AH374" s="1189"/>
      <c r="AI374" s="1189"/>
      <c r="AJ374" s="1189"/>
      <c r="AK374" s="1189"/>
      <c r="AL374" s="1189"/>
      <c r="AM374" s="1189"/>
      <c r="AN374" s="1189"/>
      <c r="AO374" s="1189"/>
      <c r="AP374" s="1189"/>
      <c r="AQ374" s="1189"/>
      <c r="AR374" s="1189"/>
      <c r="AS374" s="1189"/>
      <c r="AT374" s="1189"/>
      <c r="AU374" s="1189"/>
      <c r="AV374" s="1189"/>
      <c r="AW374" s="1189"/>
      <c r="AX374" s="1189"/>
    </row>
    <row r="375" spans="4:50" ht="12.75" customHeight="1">
      <c r="D375" s="1231"/>
      <c r="E375" s="1230"/>
      <c r="F375" s="1230"/>
      <c r="G375" s="1230"/>
      <c r="H375" s="1230"/>
      <c r="I375" s="1189"/>
      <c r="J375" s="1189"/>
      <c r="K375" s="1189"/>
      <c r="L375" s="1225"/>
      <c r="M375" s="1189"/>
      <c r="N375" s="1189"/>
      <c r="O375" s="1189"/>
      <c r="P375" s="1189"/>
      <c r="Q375" s="1189"/>
      <c r="R375" s="1189"/>
      <c r="S375" s="1189"/>
      <c r="T375" s="1208"/>
      <c r="U375" s="1208"/>
      <c r="V375" s="1189"/>
      <c r="W375" s="1189"/>
      <c r="X375" s="1189"/>
      <c r="Y375" s="1189"/>
      <c r="Z375" s="1189"/>
      <c r="AA375" s="1189"/>
      <c r="AB375" s="1189"/>
      <c r="AC375" s="1189"/>
      <c r="AD375" s="1189"/>
      <c r="AE375" s="1189"/>
      <c r="AF375" s="1189"/>
      <c r="AG375" s="1189"/>
      <c r="AH375" s="1189"/>
      <c r="AI375" s="1189"/>
      <c r="AJ375" s="1189"/>
      <c r="AK375" s="1189"/>
      <c r="AL375" s="1189"/>
      <c r="AM375" s="1189"/>
      <c r="AN375" s="1189"/>
      <c r="AO375" s="1189"/>
      <c r="AP375" s="1189"/>
      <c r="AQ375" s="1189"/>
      <c r="AR375" s="1189"/>
      <c r="AS375" s="1189"/>
      <c r="AT375" s="1189"/>
      <c r="AU375" s="1189"/>
      <c r="AV375" s="1189"/>
      <c r="AW375" s="1189"/>
      <c r="AX375" s="1189"/>
    </row>
    <row r="376" spans="4:50" ht="12.75" customHeight="1">
      <c r="D376" s="1231"/>
      <c r="E376" s="1230"/>
      <c r="F376" s="1230"/>
      <c r="G376" s="1230"/>
      <c r="H376" s="1230"/>
      <c r="I376" s="1189"/>
      <c r="J376" s="1189"/>
      <c r="K376" s="1189"/>
      <c r="L376" s="1225"/>
      <c r="M376" s="1189"/>
      <c r="N376" s="1189"/>
      <c r="O376" s="1189"/>
      <c r="P376" s="1189"/>
      <c r="Q376" s="1189"/>
      <c r="R376" s="1189"/>
      <c r="S376" s="1189"/>
      <c r="T376" s="1208"/>
      <c r="U376" s="1208"/>
      <c r="V376" s="1189"/>
      <c r="W376" s="1189"/>
      <c r="X376" s="1189"/>
      <c r="Y376" s="1189"/>
      <c r="Z376" s="1189"/>
      <c r="AA376" s="1189"/>
      <c r="AB376" s="1189"/>
      <c r="AC376" s="1189"/>
      <c r="AD376" s="1189"/>
      <c r="AE376" s="1189"/>
      <c r="AF376" s="1189"/>
      <c r="AG376" s="1189"/>
      <c r="AH376" s="1189"/>
      <c r="AI376" s="1189"/>
      <c r="AJ376" s="1189"/>
      <c r="AK376" s="1189"/>
      <c r="AL376" s="1189"/>
      <c r="AM376" s="1189"/>
      <c r="AN376" s="1189"/>
      <c r="AO376" s="1189"/>
      <c r="AP376" s="1189"/>
      <c r="AQ376" s="1189"/>
      <c r="AR376" s="1189"/>
      <c r="AS376" s="1189"/>
      <c r="AT376" s="1189"/>
      <c r="AU376" s="1189"/>
      <c r="AV376" s="1189"/>
      <c r="AW376" s="1189"/>
      <c r="AX376" s="1189"/>
    </row>
    <row r="377" spans="4:50" ht="12.75" customHeight="1">
      <c r="D377" s="1231"/>
      <c r="E377" s="1230"/>
      <c r="F377" s="1230"/>
      <c r="G377" s="1230"/>
      <c r="H377" s="1230"/>
      <c r="I377" s="1189"/>
      <c r="J377" s="1189"/>
      <c r="K377" s="1189"/>
      <c r="L377" s="1225"/>
      <c r="M377" s="1189"/>
      <c r="N377" s="1189"/>
      <c r="O377" s="1189"/>
      <c r="P377" s="1189"/>
      <c r="Q377" s="1189"/>
      <c r="R377" s="1189"/>
      <c r="S377" s="1189"/>
      <c r="T377" s="1208"/>
      <c r="U377" s="1208"/>
      <c r="V377" s="1189"/>
      <c r="W377" s="1189"/>
      <c r="X377" s="1189"/>
      <c r="Y377" s="1189"/>
      <c r="Z377" s="1189"/>
      <c r="AA377" s="1189"/>
      <c r="AB377" s="1189"/>
      <c r="AC377" s="1189"/>
      <c r="AD377" s="1189"/>
      <c r="AE377" s="1189"/>
      <c r="AF377" s="1189"/>
      <c r="AG377" s="1189"/>
      <c r="AH377" s="1189"/>
      <c r="AI377" s="1189"/>
      <c r="AJ377" s="1189"/>
      <c r="AK377" s="1189"/>
      <c r="AL377" s="1189"/>
      <c r="AM377" s="1189"/>
      <c r="AN377" s="1189"/>
      <c r="AO377" s="1189"/>
      <c r="AP377" s="1189"/>
      <c r="AQ377" s="1189"/>
      <c r="AR377" s="1189"/>
      <c r="AS377" s="1189"/>
      <c r="AT377" s="1189"/>
      <c r="AU377" s="1189"/>
      <c r="AV377" s="1189"/>
      <c r="AW377" s="1189"/>
      <c r="AX377" s="1189"/>
    </row>
    <row r="378" spans="4:50" ht="12.75" customHeight="1">
      <c r="D378" s="1231"/>
      <c r="E378" s="1230"/>
      <c r="F378" s="1230"/>
      <c r="G378" s="1230"/>
      <c r="H378" s="1230"/>
      <c r="I378" s="1189"/>
      <c r="J378" s="1189"/>
      <c r="K378" s="1189"/>
      <c r="L378" s="1225"/>
      <c r="M378" s="1189"/>
      <c r="N378" s="1189"/>
      <c r="O378" s="1189"/>
      <c r="P378" s="1189"/>
      <c r="Q378" s="1189"/>
      <c r="R378" s="1189"/>
      <c r="S378" s="1189"/>
      <c r="T378" s="1208"/>
      <c r="U378" s="1208"/>
      <c r="V378" s="1189"/>
      <c r="W378" s="1189"/>
      <c r="X378" s="1189"/>
      <c r="Y378" s="1189"/>
      <c r="Z378" s="1189"/>
      <c r="AA378" s="1189"/>
      <c r="AB378" s="1189"/>
      <c r="AC378" s="1189"/>
      <c r="AD378" s="1189"/>
      <c r="AE378" s="1189"/>
      <c r="AF378" s="1189"/>
      <c r="AG378" s="1189"/>
      <c r="AH378" s="1189"/>
      <c r="AI378" s="1189"/>
      <c r="AJ378" s="1189"/>
      <c r="AK378" s="1189"/>
      <c r="AL378" s="1189"/>
      <c r="AM378" s="1189"/>
      <c r="AN378" s="1189"/>
      <c r="AO378" s="1189"/>
      <c r="AP378" s="1189"/>
      <c r="AQ378" s="1189"/>
      <c r="AR378" s="1189"/>
      <c r="AS378" s="1189"/>
      <c r="AT378" s="1189"/>
      <c r="AU378" s="1189"/>
      <c r="AV378" s="1189"/>
      <c r="AW378" s="1189"/>
      <c r="AX378" s="1189"/>
    </row>
    <row r="379" spans="4:50" ht="12.75" customHeight="1">
      <c r="D379" s="1231"/>
      <c r="E379" s="1230"/>
      <c r="F379" s="1230"/>
      <c r="G379" s="1230"/>
      <c r="H379" s="1230"/>
      <c r="I379" s="1189"/>
      <c r="J379" s="1189"/>
      <c r="K379" s="1189"/>
      <c r="L379" s="1225"/>
      <c r="M379" s="1189"/>
      <c r="N379" s="1189"/>
      <c r="O379" s="1189"/>
      <c r="P379" s="1189"/>
      <c r="Q379" s="1189"/>
      <c r="R379" s="1189"/>
      <c r="S379" s="1189"/>
      <c r="T379" s="1208"/>
      <c r="U379" s="1208"/>
      <c r="V379" s="1189"/>
      <c r="W379" s="1189"/>
      <c r="X379" s="1189"/>
      <c r="Y379" s="1189"/>
      <c r="Z379" s="1189"/>
      <c r="AA379" s="1189"/>
      <c r="AB379" s="1189"/>
      <c r="AC379" s="1189"/>
      <c r="AD379" s="1189"/>
      <c r="AE379" s="1189"/>
      <c r="AF379" s="1189"/>
      <c r="AG379" s="1189"/>
      <c r="AH379" s="1189"/>
      <c r="AI379" s="1189"/>
      <c r="AJ379" s="1189"/>
      <c r="AK379" s="1189"/>
      <c r="AL379" s="1189"/>
      <c r="AM379" s="1189"/>
      <c r="AN379" s="1189"/>
      <c r="AO379" s="1189"/>
      <c r="AP379" s="1189"/>
      <c r="AQ379" s="1189"/>
      <c r="AR379" s="1189"/>
      <c r="AS379" s="1189"/>
      <c r="AT379" s="1189"/>
      <c r="AU379" s="1189"/>
      <c r="AV379" s="1189"/>
      <c r="AW379" s="1189"/>
      <c r="AX379" s="1189"/>
    </row>
    <row r="380" spans="4:50" ht="12.75" customHeight="1">
      <c r="D380" s="1231"/>
      <c r="E380" s="1230"/>
      <c r="F380" s="1230"/>
      <c r="G380" s="1230"/>
      <c r="H380" s="1230"/>
      <c r="I380" s="1189"/>
      <c r="J380" s="1189"/>
      <c r="K380" s="1189"/>
      <c r="L380" s="1225"/>
      <c r="M380" s="1189"/>
      <c r="N380" s="1189"/>
      <c r="O380" s="1189"/>
      <c r="P380" s="1189"/>
      <c r="Q380" s="1189"/>
      <c r="R380" s="1189"/>
      <c r="S380" s="1189"/>
      <c r="T380" s="1208"/>
      <c r="U380" s="1208"/>
      <c r="V380" s="1189"/>
      <c r="W380" s="1189"/>
      <c r="X380" s="1189"/>
      <c r="Y380" s="1189"/>
      <c r="Z380" s="1189"/>
      <c r="AA380" s="1189"/>
      <c r="AB380" s="1189"/>
      <c r="AC380" s="1189"/>
      <c r="AD380" s="1189"/>
      <c r="AE380" s="1189"/>
      <c r="AF380" s="1189"/>
      <c r="AG380" s="1189"/>
      <c r="AH380" s="1189"/>
      <c r="AI380" s="1189"/>
      <c r="AJ380" s="1189"/>
      <c r="AK380" s="1189"/>
      <c r="AL380" s="1189"/>
      <c r="AM380" s="1189"/>
      <c r="AN380" s="1189"/>
      <c r="AO380" s="1189"/>
      <c r="AP380" s="1189"/>
      <c r="AQ380" s="1189"/>
      <c r="AR380" s="1189"/>
      <c r="AS380" s="1189"/>
      <c r="AT380" s="1189"/>
      <c r="AU380" s="1189"/>
      <c r="AV380" s="1189"/>
      <c r="AW380" s="1189"/>
      <c r="AX380" s="1189"/>
    </row>
    <row r="381" spans="4:50" ht="12.75" customHeight="1">
      <c r="D381" s="1231"/>
      <c r="E381" s="1230"/>
      <c r="F381" s="1230"/>
      <c r="G381" s="1230"/>
      <c r="H381" s="1230"/>
      <c r="I381" s="1189"/>
      <c r="J381" s="1189"/>
      <c r="K381" s="1189"/>
      <c r="L381" s="1225"/>
      <c r="M381" s="1189"/>
      <c r="N381" s="1189"/>
      <c r="O381" s="1189"/>
      <c r="P381" s="1189"/>
      <c r="Q381" s="1189"/>
      <c r="R381" s="1189"/>
      <c r="S381" s="1189"/>
      <c r="T381" s="1208"/>
      <c r="U381" s="1208"/>
      <c r="V381" s="1189"/>
      <c r="W381" s="1189"/>
      <c r="X381" s="1189"/>
      <c r="Y381" s="1189"/>
      <c r="Z381" s="1189"/>
      <c r="AA381" s="1189"/>
      <c r="AB381" s="1189"/>
      <c r="AC381" s="1189"/>
      <c r="AD381" s="1189"/>
      <c r="AE381" s="1189"/>
      <c r="AF381" s="1189"/>
      <c r="AG381" s="1189"/>
      <c r="AH381" s="1189"/>
      <c r="AI381" s="1189"/>
      <c r="AJ381" s="1189"/>
      <c r="AK381" s="1189"/>
      <c r="AL381" s="1189"/>
      <c r="AM381" s="1189"/>
      <c r="AN381" s="1189"/>
      <c r="AO381" s="1189"/>
      <c r="AP381" s="1189"/>
      <c r="AQ381" s="1189"/>
      <c r="AR381" s="1189"/>
      <c r="AS381" s="1189"/>
      <c r="AT381" s="1189"/>
      <c r="AU381" s="1189"/>
      <c r="AV381" s="1189"/>
      <c r="AW381" s="1189"/>
      <c r="AX381" s="1189"/>
    </row>
    <row r="382" spans="4:50" ht="12.75" customHeight="1">
      <c r="D382" s="1231"/>
      <c r="E382" s="1230"/>
      <c r="F382" s="1230"/>
      <c r="G382" s="1230"/>
      <c r="H382" s="1230"/>
      <c r="I382" s="1189"/>
      <c r="J382" s="1189"/>
      <c r="K382" s="1189"/>
      <c r="L382" s="1225"/>
      <c r="M382" s="1189"/>
      <c r="N382" s="1189"/>
      <c r="O382" s="1189"/>
      <c r="P382" s="1189"/>
      <c r="Q382" s="1189"/>
      <c r="R382" s="1189"/>
      <c r="S382" s="1189"/>
      <c r="T382" s="1208"/>
      <c r="U382" s="1208"/>
      <c r="V382" s="1189"/>
      <c r="W382" s="1189"/>
      <c r="X382" s="1189"/>
      <c r="Y382" s="1189"/>
      <c r="Z382" s="1189"/>
      <c r="AA382" s="1189"/>
      <c r="AB382" s="1189"/>
      <c r="AC382" s="1189"/>
      <c r="AD382" s="1189"/>
      <c r="AE382" s="1189"/>
      <c r="AF382" s="1189"/>
      <c r="AG382" s="1189"/>
      <c r="AH382" s="1189"/>
      <c r="AI382" s="1189"/>
      <c r="AJ382" s="1189"/>
      <c r="AK382" s="1189"/>
      <c r="AL382" s="1189"/>
      <c r="AM382" s="1189"/>
      <c r="AN382" s="1189"/>
      <c r="AO382" s="1189"/>
      <c r="AP382" s="1189"/>
      <c r="AQ382" s="1189"/>
      <c r="AR382" s="1189"/>
      <c r="AS382" s="1189"/>
      <c r="AT382" s="1189"/>
      <c r="AU382" s="1189"/>
      <c r="AV382" s="1189"/>
      <c r="AW382" s="1189"/>
      <c r="AX382" s="1189"/>
    </row>
    <row r="383" spans="4:50" ht="12.75" customHeight="1">
      <c r="D383" s="1231"/>
      <c r="E383" s="1230"/>
      <c r="F383" s="1230"/>
      <c r="G383" s="1230"/>
      <c r="H383" s="1230"/>
      <c r="I383" s="1189"/>
      <c r="J383" s="1189"/>
      <c r="K383" s="1189"/>
      <c r="L383" s="1225"/>
      <c r="M383" s="1189"/>
      <c r="N383" s="1189"/>
      <c r="O383" s="1189"/>
      <c r="P383" s="1189"/>
      <c r="Q383" s="1189"/>
      <c r="R383" s="1189"/>
      <c r="S383" s="1189"/>
      <c r="T383" s="1208"/>
      <c r="U383" s="1208"/>
      <c r="V383" s="1189"/>
      <c r="W383" s="1189"/>
      <c r="X383" s="1189"/>
      <c r="Y383" s="1189"/>
      <c r="Z383" s="1189"/>
      <c r="AA383" s="1189"/>
      <c r="AB383" s="1189"/>
      <c r="AC383" s="1189"/>
      <c r="AD383" s="1189"/>
      <c r="AE383" s="1189"/>
      <c r="AF383" s="1189"/>
      <c r="AG383" s="1189"/>
      <c r="AH383" s="1189"/>
      <c r="AI383" s="1189"/>
      <c r="AJ383" s="1189"/>
      <c r="AK383" s="1189"/>
      <c r="AL383" s="1189"/>
      <c r="AM383" s="1189"/>
      <c r="AN383" s="1189"/>
      <c r="AO383" s="1189"/>
      <c r="AP383" s="1189"/>
      <c r="AQ383" s="1189"/>
      <c r="AR383" s="1189"/>
      <c r="AS383" s="1189"/>
      <c r="AT383" s="1189"/>
      <c r="AU383" s="1189"/>
      <c r="AV383" s="1189"/>
      <c r="AW383" s="1189"/>
      <c r="AX383" s="1189"/>
    </row>
    <row r="384" spans="4:50" ht="12.75" customHeight="1">
      <c r="D384" s="1231"/>
      <c r="E384" s="1230"/>
      <c r="F384" s="1230"/>
      <c r="G384" s="1230"/>
      <c r="H384" s="1230"/>
      <c r="I384" s="1189"/>
      <c r="J384" s="1189"/>
      <c r="K384" s="1189"/>
      <c r="L384" s="1225"/>
      <c r="M384" s="1189"/>
      <c r="N384" s="1189"/>
      <c r="O384" s="1189"/>
      <c r="P384" s="1189"/>
      <c r="Q384" s="1189"/>
      <c r="R384" s="1189"/>
      <c r="S384" s="1189"/>
      <c r="T384" s="1208"/>
      <c r="U384" s="1208"/>
      <c r="V384" s="1189"/>
      <c r="W384" s="1189"/>
      <c r="X384" s="1189"/>
      <c r="Y384" s="1189"/>
      <c r="Z384" s="1189"/>
      <c r="AA384" s="1189"/>
      <c r="AB384" s="1189"/>
      <c r="AC384" s="1189"/>
      <c r="AD384" s="1189"/>
      <c r="AE384" s="1189"/>
      <c r="AF384" s="1232"/>
      <c r="AG384" s="1233"/>
      <c r="AH384" s="1232"/>
      <c r="AI384" s="1189"/>
      <c r="AJ384" s="1189"/>
      <c r="AK384" s="1189"/>
      <c r="AL384" s="1189"/>
      <c r="AM384" s="1189"/>
      <c r="AN384" s="1189"/>
      <c r="AO384" s="1189"/>
      <c r="AP384" s="1189"/>
      <c r="AQ384" s="1189"/>
      <c r="AR384" s="1189"/>
      <c r="AS384" s="1189"/>
      <c r="AT384" s="1189"/>
      <c r="AU384" s="1189"/>
      <c r="AV384" s="1189"/>
      <c r="AW384" s="1189"/>
      <c r="AX384" s="1189"/>
    </row>
    <row r="385" spans="4:53" ht="12.75" customHeight="1">
      <c r="D385" s="1231"/>
      <c r="E385" s="1230"/>
      <c r="F385" s="1230"/>
      <c r="G385" s="1230"/>
      <c r="H385" s="1230"/>
      <c r="I385" s="1189"/>
      <c r="J385" s="1189"/>
      <c r="K385" s="1189"/>
      <c r="L385" s="1225"/>
      <c r="M385" s="1189"/>
      <c r="N385" s="1189"/>
      <c r="O385" s="1189"/>
      <c r="P385" s="1189"/>
      <c r="Q385" s="1189"/>
      <c r="R385" s="1189"/>
      <c r="S385" s="1189"/>
      <c r="T385" s="1208"/>
      <c r="U385" s="1208"/>
      <c r="V385" s="1189"/>
      <c r="W385" s="1189"/>
      <c r="X385" s="1189"/>
      <c r="Y385" s="1189"/>
      <c r="Z385" s="1189"/>
      <c r="AA385" s="1189"/>
      <c r="AB385" s="1189"/>
      <c r="AC385" s="1189"/>
      <c r="AD385" s="1189"/>
      <c r="AE385" s="1189"/>
      <c r="AF385" s="1234"/>
      <c r="AG385" s="1234"/>
      <c r="AH385" s="1232"/>
      <c r="AI385" s="1233"/>
      <c r="AJ385" s="1235"/>
      <c r="AK385" s="256"/>
      <c r="AL385" s="257"/>
      <c r="AM385" s="1236"/>
      <c r="AN385" s="1236"/>
      <c r="AO385" s="1237"/>
      <c r="AP385" s="1238"/>
      <c r="AQ385" s="1236"/>
      <c r="AR385" s="1236"/>
      <c r="AS385" s="1239">
        <v>20000</v>
      </c>
      <c r="AT385" s="1236"/>
      <c r="AU385" s="1232">
        <v>24</v>
      </c>
      <c r="AV385" s="1240"/>
      <c r="AW385" s="1241"/>
      <c r="AX385" s="1240"/>
      <c r="AY385" s="1236"/>
      <c r="AZ385" s="1236"/>
      <c r="BA385" s="1236"/>
    </row>
    <row r="386" spans="4:53" ht="12.75" customHeight="1">
      <c r="D386" s="1231"/>
      <c r="E386" s="1230"/>
      <c r="F386" s="1230"/>
      <c r="G386" s="1230"/>
      <c r="H386" s="1230"/>
      <c r="I386" s="1189"/>
      <c r="J386" s="1189"/>
      <c r="K386" s="1189"/>
      <c r="L386" s="1225"/>
      <c r="M386" s="1189"/>
      <c r="N386" s="1189"/>
      <c r="O386" s="1189"/>
      <c r="P386" s="1189"/>
      <c r="Q386" s="1189"/>
      <c r="R386" s="1189"/>
      <c r="S386" s="1189"/>
      <c r="T386" s="1208"/>
      <c r="U386" s="1208"/>
      <c r="V386" s="1189"/>
      <c r="W386" s="1189"/>
      <c r="X386" s="1189"/>
      <c r="Y386" s="1189"/>
      <c r="Z386" s="1189"/>
      <c r="AA386" s="1189"/>
      <c r="AB386" s="1189"/>
      <c r="AC386" s="1189"/>
      <c r="AD386" s="1189"/>
      <c r="AE386" s="1189"/>
      <c r="AF386" s="1234"/>
      <c r="AG386" s="1234"/>
      <c r="AH386" s="1232"/>
      <c r="AI386" s="1234"/>
      <c r="AJ386" s="1242"/>
      <c r="AK386" s="258"/>
      <c r="AL386" s="259"/>
      <c r="AM386" s="1239"/>
      <c r="AN386" s="1239"/>
      <c r="AO386" s="1243"/>
      <c r="AP386" s="1244"/>
      <c r="AQ386" s="1239"/>
      <c r="AR386" s="1239"/>
      <c r="AS386" s="1239">
        <v>15000</v>
      </c>
      <c r="AT386" s="1239"/>
      <c r="AU386" s="1234"/>
      <c r="AV386" s="1245"/>
      <c r="AW386" s="1246"/>
      <c r="AX386" s="1245"/>
      <c r="AY386" s="1239"/>
      <c r="AZ386" s="1239"/>
      <c r="BA386" s="1239"/>
    </row>
    <row r="387" spans="4:53" ht="12.75" customHeight="1">
      <c r="D387" s="1231"/>
      <c r="E387" s="1230"/>
      <c r="F387" s="1230"/>
      <c r="G387" s="1230"/>
      <c r="H387" s="1230"/>
      <c r="I387" s="1189"/>
      <c r="J387" s="1189"/>
      <c r="K387" s="1189"/>
      <c r="L387" s="1225"/>
      <c r="M387" s="1189"/>
      <c r="N387" s="1189"/>
      <c r="O387" s="1189"/>
      <c r="P387" s="1189"/>
      <c r="Q387" s="1189"/>
      <c r="R387" s="1189"/>
      <c r="S387" s="1189"/>
      <c r="T387" s="1208"/>
      <c r="U387" s="1208"/>
      <c r="V387" s="1189"/>
      <c r="W387" s="1189"/>
      <c r="X387" s="1189"/>
      <c r="Y387" s="1189"/>
      <c r="Z387" s="1189"/>
      <c r="AA387" s="1189"/>
      <c r="AB387" s="1189"/>
      <c r="AC387" s="1189"/>
      <c r="AD387" s="1189"/>
      <c r="AE387" s="1189"/>
      <c r="AF387" s="1234"/>
      <c r="AG387" s="1234"/>
      <c r="AH387" s="1232"/>
      <c r="AI387" s="1234"/>
      <c r="AJ387" s="1242"/>
      <c r="AK387" s="258"/>
      <c r="AL387" s="259"/>
      <c r="AM387" s="1239"/>
      <c r="AN387" s="1239"/>
      <c r="AO387" s="1243"/>
      <c r="AP387" s="1244"/>
      <c r="AQ387" s="1239"/>
      <c r="AR387" s="1239"/>
      <c r="AS387" s="1239"/>
      <c r="AT387" s="1239"/>
      <c r="AU387" s="1234"/>
      <c r="AV387" s="1245"/>
      <c r="AW387" s="1246"/>
      <c r="AX387" s="1245"/>
      <c r="AY387" s="1239"/>
      <c r="AZ387" s="1239"/>
      <c r="BA387" s="1239"/>
    </row>
    <row r="388" spans="4:53" ht="12.75" customHeight="1">
      <c r="D388" s="1231"/>
      <c r="E388" s="1230"/>
      <c r="F388" s="1230"/>
      <c r="G388" s="1230"/>
      <c r="H388" s="1230"/>
      <c r="I388" s="1189"/>
      <c r="J388" s="1189"/>
      <c r="K388" s="1189"/>
      <c r="L388" s="1225"/>
      <c r="M388" s="1189"/>
      <c r="N388" s="1189"/>
      <c r="O388" s="1189"/>
      <c r="P388" s="1189"/>
      <c r="Q388" s="1189"/>
      <c r="R388" s="1189"/>
      <c r="S388" s="1189"/>
      <c r="T388" s="1208"/>
      <c r="U388" s="1208"/>
      <c r="V388" s="1189"/>
      <c r="W388" s="1189"/>
      <c r="X388" s="1189"/>
      <c r="Y388" s="1189"/>
      <c r="Z388" s="1189"/>
      <c r="AA388" s="1189"/>
      <c r="AB388" s="1189"/>
      <c r="AC388" s="1189"/>
      <c r="AD388" s="1189"/>
      <c r="AE388" s="1189"/>
      <c r="AF388" s="1234"/>
      <c r="AG388" s="1234"/>
      <c r="AH388" s="1232"/>
      <c r="AI388" s="1234"/>
      <c r="AJ388" s="1242"/>
      <c r="AK388" s="258"/>
      <c r="AL388" s="259"/>
      <c r="AM388" s="1239"/>
      <c r="AN388" s="1239"/>
      <c r="AO388" s="1243"/>
      <c r="AP388" s="1244"/>
      <c r="AQ388" s="1239"/>
      <c r="AR388" s="1239"/>
      <c r="AS388" s="1239"/>
      <c r="AT388" s="1239"/>
      <c r="AU388" s="1234"/>
      <c r="AV388" s="1245"/>
      <c r="AW388" s="1246"/>
      <c r="AX388" s="1245"/>
      <c r="AY388" s="1239"/>
      <c r="AZ388" s="1239"/>
      <c r="BA388" s="1239"/>
    </row>
    <row r="389" spans="4:53" ht="12.75" customHeight="1">
      <c r="D389" s="1231"/>
      <c r="E389" s="1230"/>
      <c r="F389" s="1230"/>
      <c r="G389" s="1230"/>
      <c r="H389" s="1230"/>
      <c r="I389" s="1189"/>
      <c r="J389" s="1189"/>
      <c r="K389" s="1189"/>
      <c r="L389" s="1225"/>
      <c r="M389" s="1189"/>
      <c r="N389" s="1189"/>
      <c r="O389" s="1189"/>
      <c r="P389" s="1189"/>
      <c r="Q389" s="1189"/>
      <c r="R389" s="1189"/>
      <c r="S389" s="1189"/>
      <c r="T389" s="1208"/>
      <c r="U389" s="1208"/>
      <c r="V389" s="1189"/>
      <c r="W389" s="1189"/>
      <c r="X389" s="1189"/>
      <c r="Y389" s="1189"/>
      <c r="Z389" s="1189"/>
      <c r="AA389" s="1189"/>
      <c r="AB389" s="1189"/>
      <c r="AC389" s="1189"/>
      <c r="AD389" s="1189"/>
      <c r="AE389" s="1189"/>
      <c r="AF389" s="1234"/>
      <c r="AG389" s="1234"/>
      <c r="AH389" s="1232"/>
      <c r="AI389" s="1234"/>
      <c r="AJ389" s="1242"/>
      <c r="AK389" s="258"/>
      <c r="AL389" s="259"/>
      <c r="AM389" s="1239"/>
      <c r="AN389" s="1239"/>
      <c r="AO389" s="1243"/>
      <c r="AP389" s="1244"/>
      <c r="AQ389" s="1239"/>
      <c r="AR389" s="1239"/>
      <c r="AS389" s="1239"/>
      <c r="AT389" s="1239"/>
      <c r="AU389" s="1234"/>
      <c r="AV389" s="1245"/>
      <c r="AW389" s="1246"/>
      <c r="AX389" s="1245"/>
      <c r="AY389" s="1239"/>
      <c r="AZ389" s="1239"/>
      <c r="BA389" s="1239"/>
    </row>
    <row r="390" spans="4:53" ht="12.75" customHeight="1">
      <c r="D390" s="1231"/>
      <c r="E390" s="1230"/>
      <c r="F390" s="1230"/>
      <c r="G390" s="1230"/>
      <c r="H390" s="1230"/>
      <c r="I390" s="1189"/>
      <c r="J390" s="1189"/>
      <c r="K390" s="1189"/>
      <c r="L390" s="1225"/>
      <c r="M390" s="1189"/>
      <c r="N390" s="1189"/>
      <c r="O390" s="1189"/>
      <c r="P390" s="1189"/>
      <c r="Q390" s="1189"/>
      <c r="R390" s="1189"/>
      <c r="S390" s="1189"/>
      <c r="T390" s="1208"/>
      <c r="U390" s="1208"/>
      <c r="V390" s="1189"/>
      <c r="W390" s="1189"/>
      <c r="X390" s="1189"/>
      <c r="Y390" s="1189"/>
      <c r="Z390" s="1189"/>
      <c r="AA390" s="1189"/>
      <c r="AB390" s="1189"/>
      <c r="AC390" s="1189"/>
      <c r="AD390" s="1189"/>
      <c r="AE390" s="1189"/>
      <c r="AF390" s="1234"/>
      <c r="AG390" s="1234"/>
      <c r="AH390" s="1232"/>
      <c r="AI390" s="1234"/>
      <c r="AJ390" s="1242"/>
      <c r="AK390" s="258"/>
      <c r="AL390" s="259"/>
      <c r="AM390" s="1239"/>
      <c r="AN390" s="1239"/>
      <c r="AO390" s="1243"/>
      <c r="AP390" s="1244"/>
      <c r="AQ390" s="1239"/>
      <c r="AR390" s="1239"/>
      <c r="AS390" s="1239"/>
      <c r="AT390" s="1239"/>
      <c r="AU390" s="1234"/>
      <c r="AV390" s="1245"/>
      <c r="AW390" s="1246"/>
      <c r="AX390" s="1245"/>
      <c r="AY390" s="1239"/>
      <c r="AZ390" s="1239"/>
      <c r="BA390" s="1239"/>
    </row>
    <row r="391" spans="4:53" ht="12.75" customHeight="1">
      <c r="D391" s="1231"/>
      <c r="E391" s="1230"/>
      <c r="F391" s="1230"/>
      <c r="G391" s="1230"/>
      <c r="H391" s="1230"/>
      <c r="I391" s="1189"/>
      <c r="J391" s="1189"/>
      <c r="K391" s="1189"/>
      <c r="L391" s="1225"/>
      <c r="M391" s="1189"/>
      <c r="N391" s="1189"/>
      <c r="O391" s="1189"/>
      <c r="P391" s="1189"/>
      <c r="Q391" s="1189"/>
      <c r="R391" s="1189"/>
      <c r="S391" s="1189"/>
      <c r="T391" s="1208"/>
      <c r="U391" s="1208"/>
      <c r="V391" s="1189"/>
      <c r="W391" s="1189"/>
      <c r="X391" s="1189"/>
      <c r="Y391" s="1189"/>
      <c r="Z391" s="1189"/>
      <c r="AA391" s="1189"/>
      <c r="AB391" s="1189"/>
      <c r="AC391" s="1189"/>
      <c r="AD391" s="1189"/>
      <c r="AE391" s="1189"/>
      <c r="AF391" s="1234"/>
      <c r="AG391" s="1234"/>
      <c r="AH391" s="1232"/>
      <c r="AI391" s="1234"/>
      <c r="AJ391" s="1242"/>
      <c r="AK391" s="258"/>
      <c r="AL391" s="259"/>
      <c r="AM391" s="1239"/>
      <c r="AN391" s="1239"/>
      <c r="AO391" s="1243"/>
      <c r="AP391" s="1244"/>
      <c r="AQ391" s="1239"/>
      <c r="AR391" s="1239"/>
      <c r="AS391" s="1239"/>
      <c r="AT391" s="1239"/>
      <c r="AU391" s="1234"/>
      <c r="AV391" s="1245"/>
      <c r="AW391" s="1246"/>
      <c r="AX391" s="1245"/>
      <c r="AY391" s="1239"/>
      <c r="AZ391" s="1239"/>
      <c r="BA391" s="1239"/>
    </row>
    <row r="392" spans="4:53" ht="12.75" customHeight="1">
      <c r="D392" s="1231"/>
      <c r="E392" s="1230"/>
      <c r="F392" s="1230"/>
      <c r="G392" s="1230"/>
      <c r="H392" s="1230"/>
      <c r="I392" s="1189"/>
      <c r="J392" s="1189"/>
      <c r="K392" s="1189"/>
      <c r="L392" s="1225"/>
      <c r="M392" s="1189"/>
      <c r="N392" s="1189"/>
      <c r="O392" s="1189"/>
      <c r="P392" s="1189"/>
      <c r="Q392" s="1189"/>
      <c r="R392" s="1189"/>
      <c r="S392" s="1189"/>
      <c r="T392" s="1208"/>
      <c r="U392" s="1208"/>
      <c r="V392" s="1189"/>
      <c r="W392" s="1189"/>
      <c r="X392" s="1189"/>
      <c r="Y392" s="1189"/>
      <c r="Z392" s="1189"/>
      <c r="AA392" s="1189"/>
      <c r="AB392" s="1189"/>
      <c r="AC392" s="1189"/>
      <c r="AD392" s="1189"/>
      <c r="AE392" s="1189"/>
      <c r="AF392" s="1234"/>
      <c r="AG392" s="1234"/>
      <c r="AH392" s="1232"/>
      <c r="AI392" s="1234"/>
      <c r="AJ392" s="1242"/>
      <c r="AK392" s="258"/>
      <c r="AL392" s="259"/>
      <c r="AM392" s="1239"/>
      <c r="AN392" s="1239"/>
      <c r="AO392" s="1243"/>
      <c r="AP392" s="1244"/>
      <c r="AQ392" s="1239"/>
      <c r="AR392" s="1239"/>
      <c r="AS392" s="1239"/>
      <c r="AT392" s="1239"/>
      <c r="AU392" s="1234"/>
      <c r="AV392" s="1245"/>
      <c r="AW392" s="1246"/>
      <c r="AX392" s="1245"/>
      <c r="AY392" s="1239"/>
      <c r="AZ392" s="1239"/>
      <c r="BA392" s="1239"/>
    </row>
    <row r="393" spans="4:53" ht="12.75" customHeight="1">
      <c r="D393" s="1231"/>
      <c r="E393" s="1230"/>
      <c r="F393" s="1230"/>
      <c r="G393" s="1230"/>
      <c r="H393" s="1230"/>
      <c r="I393" s="1189"/>
      <c r="J393" s="1189"/>
      <c r="K393" s="1189"/>
      <c r="L393" s="1225"/>
      <c r="M393" s="1189"/>
      <c r="N393" s="1189"/>
      <c r="O393" s="1189"/>
      <c r="P393" s="1189"/>
      <c r="Q393" s="1189"/>
      <c r="R393" s="1189"/>
      <c r="S393" s="1189"/>
      <c r="T393" s="1208"/>
      <c r="U393" s="1208"/>
      <c r="V393" s="1189"/>
      <c r="W393" s="1189"/>
      <c r="X393" s="1189"/>
      <c r="Y393" s="1189"/>
      <c r="Z393" s="1189"/>
      <c r="AA393" s="1189"/>
      <c r="AB393" s="1189"/>
      <c r="AC393" s="1189"/>
      <c r="AD393" s="1189"/>
      <c r="AE393" s="1189"/>
      <c r="AF393" s="1234"/>
      <c r="AG393" s="1234"/>
      <c r="AH393" s="1232"/>
      <c r="AI393" s="1234"/>
      <c r="AJ393" s="1242"/>
      <c r="AK393" s="258"/>
      <c r="AL393" s="259"/>
      <c r="AM393" s="1239"/>
      <c r="AN393" s="1239"/>
      <c r="AO393" s="1243"/>
      <c r="AP393" s="1244"/>
      <c r="AQ393" s="1239"/>
      <c r="AR393" s="1239"/>
      <c r="AS393" s="1239"/>
      <c r="AT393" s="1239"/>
      <c r="AU393" s="1234"/>
      <c r="AV393" s="1245"/>
      <c r="AW393" s="1246"/>
      <c r="AX393" s="1245"/>
      <c r="AY393" s="1239"/>
      <c r="AZ393" s="1239"/>
      <c r="BA393" s="1239"/>
    </row>
    <row r="394" spans="4:53" ht="12.75" customHeight="1">
      <c r="D394" s="1231"/>
      <c r="E394" s="1230"/>
      <c r="F394" s="1230"/>
      <c r="G394" s="1230"/>
      <c r="H394" s="1230"/>
      <c r="I394" s="1189"/>
      <c r="J394" s="1189"/>
      <c r="K394" s="1189"/>
      <c r="L394" s="1225"/>
      <c r="M394" s="1189"/>
      <c r="N394" s="1189"/>
      <c r="O394" s="1189"/>
      <c r="P394" s="1189"/>
      <c r="Q394" s="1189"/>
      <c r="R394" s="1189"/>
      <c r="S394" s="1189"/>
      <c r="T394" s="1208"/>
      <c r="U394" s="1208"/>
      <c r="V394" s="1189"/>
      <c r="W394" s="1189"/>
      <c r="X394" s="1189"/>
      <c r="Y394" s="1189"/>
      <c r="Z394" s="1189"/>
      <c r="AA394" s="1189"/>
      <c r="AB394" s="1189"/>
      <c r="AC394" s="1189"/>
      <c r="AD394" s="1189"/>
      <c r="AE394" s="1189"/>
      <c r="AF394" s="1225"/>
      <c r="AG394" s="1189"/>
      <c r="AH394" s="1189"/>
      <c r="AI394" s="1234"/>
      <c r="AJ394" s="1242"/>
      <c r="AK394" s="258"/>
      <c r="AL394" s="259"/>
      <c r="AM394" s="1239"/>
      <c r="AN394" s="1239"/>
      <c r="AO394" s="1243"/>
      <c r="AP394" s="1244"/>
      <c r="AQ394" s="1239"/>
      <c r="AR394" s="1239"/>
      <c r="AS394" s="1239"/>
      <c r="AT394" s="1239"/>
      <c r="AU394" s="1234"/>
      <c r="AV394" s="1245"/>
      <c r="AW394" s="1246"/>
      <c r="AX394" s="1245"/>
      <c r="AY394" s="1239"/>
      <c r="AZ394" s="1239"/>
      <c r="BA394" s="1239"/>
    </row>
    <row r="395" spans="4:53" ht="12.75" customHeight="1">
      <c r="D395" s="1231"/>
      <c r="E395" s="1230"/>
      <c r="F395" s="1230"/>
      <c r="G395" s="1230"/>
      <c r="H395" s="1230"/>
      <c r="I395" s="1189"/>
      <c r="J395" s="1189"/>
      <c r="K395" s="1189"/>
      <c r="L395" s="1225"/>
      <c r="M395" s="1189"/>
      <c r="N395" s="1189"/>
      <c r="O395" s="1189"/>
      <c r="P395" s="1189"/>
      <c r="Q395" s="1189"/>
      <c r="R395" s="1189"/>
      <c r="S395" s="1189"/>
      <c r="T395" s="1208"/>
      <c r="U395" s="1208"/>
      <c r="V395" s="1189"/>
      <c r="W395" s="1189"/>
      <c r="X395" s="1189"/>
      <c r="Y395" s="1189"/>
      <c r="Z395" s="1189"/>
      <c r="AA395" s="1189"/>
      <c r="AB395" s="1189"/>
      <c r="AC395" s="1189"/>
      <c r="AD395" s="1189"/>
      <c r="AE395" s="1189"/>
      <c r="AF395" s="1225"/>
      <c r="AG395" s="1189"/>
      <c r="AH395" s="1189"/>
      <c r="AI395" s="1189"/>
      <c r="AJ395" s="1247"/>
      <c r="AK395" s="1189"/>
      <c r="AL395" s="1189"/>
      <c r="AM395" s="1189"/>
      <c r="AN395" s="1189"/>
      <c r="AO395" s="1189"/>
      <c r="AP395" s="1189"/>
      <c r="AQ395" s="1189"/>
      <c r="AR395" s="1189"/>
      <c r="AS395" s="1248"/>
      <c r="AT395" s="1189"/>
      <c r="AU395" s="1189"/>
      <c r="AV395" s="1189"/>
      <c r="AW395" s="1211"/>
      <c r="AX395" s="1212"/>
      <c r="AY395" s="1189"/>
      <c r="AZ395" s="1189"/>
      <c r="BA395" s="1189"/>
    </row>
    <row r="396" spans="4:53" ht="12.75" customHeight="1">
      <c r="D396" s="1231"/>
      <c r="E396" s="1230"/>
      <c r="F396" s="1230"/>
      <c r="G396" s="1230"/>
      <c r="H396" s="1230"/>
      <c r="I396" s="1189"/>
      <c r="J396" s="1189"/>
      <c r="K396" s="1189"/>
      <c r="L396" s="1225"/>
      <c r="M396" s="1189"/>
      <c r="N396" s="1189"/>
      <c r="O396" s="1189"/>
      <c r="P396" s="1189"/>
      <c r="Q396" s="1189"/>
      <c r="R396" s="1189"/>
      <c r="S396" s="1189"/>
      <c r="T396" s="1208"/>
      <c r="U396" s="1208"/>
      <c r="V396" s="1189"/>
      <c r="W396" s="1189"/>
      <c r="X396" s="1189"/>
      <c r="Y396" s="1189"/>
      <c r="Z396" s="1189"/>
      <c r="AA396" s="1189"/>
      <c r="AB396" s="1189"/>
      <c r="AC396" s="1189"/>
      <c r="AD396" s="1189"/>
      <c r="AE396" s="1189"/>
      <c r="AF396" s="1225"/>
      <c r="AG396" s="1189"/>
      <c r="AH396" s="1189"/>
      <c r="AI396" s="1189"/>
      <c r="AJ396" s="1247"/>
      <c r="AK396" s="1189"/>
      <c r="AL396" s="1189"/>
      <c r="AM396" s="1189"/>
      <c r="AN396" s="1189"/>
      <c r="AO396" s="1189"/>
      <c r="AP396" s="1189"/>
      <c r="AQ396" s="1189"/>
      <c r="AR396" s="1189"/>
      <c r="AS396" s="1248"/>
      <c r="AT396" s="1189"/>
      <c r="AU396" s="1189"/>
      <c r="AV396" s="1189"/>
      <c r="AW396" s="1211"/>
      <c r="AX396" s="1212"/>
      <c r="AY396" s="1189"/>
      <c r="AZ396" s="1189"/>
      <c r="BA396" s="1189"/>
    </row>
    <row r="397" spans="4:53" ht="12.75" customHeight="1">
      <c r="D397" s="1231"/>
      <c r="E397" s="1230"/>
      <c r="F397" s="1230"/>
      <c r="G397" s="1230"/>
      <c r="H397" s="1230"/>
      <c r="I397" s="1189"/>
      <c r="J397" s="1189"/>
      <c r="K397" s="1189"/>
      <c r="L397" s="1225"/>
      <c r="M397" s="1189"/>
      <c r="N397" s="1189"/>
      <c r="O397" s="1189"/>
      <c r="P397" s="1189"/>
      <c r="Q397" s="1189"/>
      <c r="R397" s="1189"/>
      <c r="S397" s="1189"/>
      <c r="T397" s="1208"/>
      <c r="U397" s="1208"/>
      <c r="V397" s="1189"/>
      <c r="W397" s="1189"/>
      <c r="X397" s="1189"/>
      <c r="Y397" s="1189"/>
      <c r="Z397" s="1189"/>
      <c r="AA397" s="1189"/>
      <c r="AB397" s="1189"/>
      <c r="AC397" s="1189"/>
      <c r="AD397" s="1189"/>
      <c r="AE397" s="1189"/>
      <c r="AF397" s="1225"/>
      <c r="AG397" s="1189"/>
      <c r="AH397" s="1189"/>
      <c r="AI397" s="1189"/>
      <c r="AJ397" s="1247"/>
      <c r="AK397" s="1189"/>
      <c r="AL397" s="1189"/>
      <c r="AM397" s="1189"/>
      <c r="AN397" s="1189"/>
      <c r="AO397" s="1189"/>
      <c r="AP397" s="1189"/>
      <c r="AQ397" s="1189"/>
      <c r="AR397" s="1189"/>
      <c r="AS397" s="1248"/>
      <c r="AT397" s="1189"/>
      <c r="AU397" s="1189"/>
      <c r="AV397" s="1189"/>
      <c r="AW397" s="1211"/>
      <c r="AX397" s="1212"/>
      <c r="AY397" s="1189"/>
      <c r="AZ397" s="1189"/>
      <c r="BA397" s="1189"/>
    </row>
    <row r="398" spans="4:53" ht="12.75" customHeight="1">
      <c r="D398" s="1231"/>
      <c r="E398" s="1230"/>
      <c r="F398" s="1230"/>
      <c r="G398" s="1230"/>
      <c r="H398" s="1230"/>
      <c r="I398" s="1189"/>
      <c r="J398" s="1189"/>
      <c r="K398" s="1189"/>
      <c r="L398" s="1225"/>
      <c r="M398" s="1189"/>
      <c r="N398" s="1189"/>
      <c r="O398" s="1189"/>
      <c r="P398" s="1189"/>
      <c r="Q398" s="1189"/>
      <c r="R398" s="1189"/>
      <c r="S398" s="1189"/>
      <c r="T398" s="1208"/>
      <c r="U398" s="1208"/>
      <c r="V398" s="1189"/>
      <c r="W398" s="1189"/>
      <c r="X398" s="1189"/>
      <c r="Y398" s="1189"/>
      <c r="Z398" s="1189"/>
      <c r="AA398" s="1189"/>
      <c r="AB398" s="1189"/>
      <c r="AC398" s="1189"/>
      <c r="AD398" s="1189"/>
      <c r="AE398" s="1189"/>
      <c r="AF398" s="1225"/>
      <c r="AG398" s="1189"/>
      <c r="AH398" s="1189"/>
      <c r="AI398" s="1189"/>
      <c r="AJ398" s="1247"/>
      <c r="AK398" s="1189"/>
      <c r="AL398" s="1189"/>
      <c r="AM398" s="1189"/>
      <c r="AN398" s="1189"/>
      <c r="AO398" s="1189"/>
      <c r="AP398" s="1189"/>
      <c r="AQ398" s="1189"/>
      <c r="AR398" s="1189"/>
      <c r="AS398" s="1248"/>
      <c r="AT398" s="1189"/>
      <c r="AU398" s="1189"/>
      <c r="AV398" s="1189"/>
      <c r="AW398" s="1211"/>
      <c r="AX398" s="1212"/>
      <c r="AY398" s="1189"/>
      <c r="AZ398" s="1189"/>
      <c r="BA398" s="1189"/>
    </row>
    <row r="399" spans="4:53" ht="12.75" customHeight="1">
      <c r="D399" s="1231"/>
      <c r="E399" s="1230"/>
      <c r="F399" s="1230"/>
      <c r="G399" s="1230"/>
      <c r="H399" s="1230"/>
      <c r="I399" s="1189"/>
      <c r="J399" s="1189"/>
      <c r="K399" s="1189"/>
      <c r="L399" s="1225"/>
      <c r="M399" s="1189"/>
      <c r="N399" s="1189"/>
      <c r="O399" s="1189"/>
      <c r="P399" s="1189"/>
      <c r="Q399" s="1189"/>
      <c r="R399" s="1189"/>
      <c r="S399" s="1189"/>
      <c r="T399" s="1208"/>
      <c r="U399" s="1208"/>
      <c r="V399" s="1189"/>
      <c r="W399" s="1189"/>
      <c r="X399" s="1189"/>
      <c r="Y399" s="1189"/>
      <c r="Z399" s="1189"/>
      <c r="AA399" s="1189"/>
      <c r="AB399" s="1189"/>
      <c r="AC399" s="1189"/>
      <c r="AD399" s="1189"/>
      <c r="AE399" s="1189"/>
      <c r="AF399" s="1225"/>
      <c r="AG399" s="1189"/>
      <c r="AH399" s="1189"/>
      <c r="AI399" s="1189"/>
      <c r="AJ399" s="1247"/>
      <c r="AK399" s="1189"/>
      <c r="AL399" s="1189"/>
      <c r="AM399" s="1189"/>
      <c r="AN399" s="1189"/>
      <c r="AO399" s="1189"/>
      <c r="AP399" s="1189"/>
      <c r="AQ399" s="1189"/>
      <c r="AR399" s="1189"/>
      <c r="AS399" s="1248"/>
      <c r="AT399" s="1189"/>
      <c r="AU399" s="1189"/>
      <c r="AV399" s="1189"/>
      <c r="AW399" s="1211"/>
      <c r="AX399" s="1212"/>
      <c r="AY399" s="1189"/>
      <c r="AZ399" s="1189"/>
      <c r="BA399" s="1189"/>
    </row>
    <row r="400" spans="4:53" ht="12.75" customHeight="1">
      <c r="D400" s="1231"/>
      <c r="E400" s="1230"/>
      <c r="F400" s="1230"/>
      <c r="G400" s="1230"/>
      <c r="H400" s="1230"/>
      <c r="I400" s="1189"/>
      <c r="J400" s="1189"/>
      <c r="K400" s="1189"/>
      <c r="L400" s="1225"/>
      <c r="M400" s="1189"/>
      <c r="N400" s="1189"/>
      <c r="O400" s="1189"/>
      <c r="P400" s="1189"/>
      <c r="Q400" s="1189"/>
      <c r="R400" s="1189"/>
      <c r="S400" s="1189"/>
      <c r="T400" s="1208"/>
      <c r="U400" s="1208"/>
      <c r="V400" s="1189"/>
      <c r="W400" s="1189"/>
      <c r="X400" s="1189"/>
      <c r="Y400" s="1189"/>
      <c r="Z400" s="1189"/>
      <c r="AA400" s="1189"/>
      <c r="AB400" s="1189"/>
      <c r="AC400" s="1189"/>
      <c r="AD400" s="1189"/>
      <c r="AE400" s="1189"/>
      <c r="AF400" s="1225"/>
      <c r="AG400" s="1189"/>
      <c r="AH400" s="1189"/>
      <c r="AI400" s="1189"/>
      <c r="AJ400" s="1247"/>
      <c r="AK400" s="1189"/>
      <c r="AL400" s="1189"/>
      <c r="AM400" s="1189"/>
      <c r="AN400" s="1189"/>
      <c r="AO400" s="1189"/>
      <c r="AP400" s="1189"/>
      <c r="AQ400" s="1189"/>
      <c r="AR400" s="1189"/>
      <c r="AS400" s="1248"/>
      <c r="AT400" s="1189"/>
      <c r="AU400" s="1189"/>
      <c r="AV400" s="1189"/>
      <c r="AW400" s="1211"/>
      <c r="AX400" s="1212"/>
      <c r="AY400" s="1189"/>
      <c r="AZ400" s="1189"/>
      <c r="BA400" s="1189"/>
    </row>
    <row r="401" spans="4:45" ht="12.75" customHeight="1">
      <c r="D401" s="1231"/>
      <c r="E401" s="1230"/>
      <c r="F401" s="1230"/>
      <c r="G401" s="1230"/>
      <c r="H401" s="1230"/>
      <c r="I401" s="1189"/>
      <c r="J401" s="1189"/>
      <c r="K401" s="1189"/>
      <c r="L401" s="1225"/>
      <c r="M401" s="1189"/>
      <c r="N401" s="1189"/>
      <c r="O401" s="1189"/>
      <c r="P401" s="1189"/>
      <c r="Q401" s="1189"/>
      <c r="R401" s="1189"/>
      <c r="S401" s="1189"/>
      <c r="T401" s="1208"/>
      <c r="U401" s="1208"/>
      <c r="V401" s="1189"/>
      <c r="W401" s="1189"/>
      <c r="X401" s="1189"/>
      <c r="Y401" s="1189"/>
      <c r="Z401" s="1189"/>
      <c r="AA401" s="1189"/>
      <c r="AB401" s="1189"/>
      <c r="AC401" s="1189"/>
      <c r="AD401" s="1189"/>
      <c r="AE401" s="1189"/>
      <c r="AF401" s="1225"/>
      <c r="AG401" s="1189"/>
      <c r="AH401" s="1189"/>
      <c r="AI401" s="1189"/>
      <c r="AJ401" s="1247"/>
      <c r="AK401" s="1189"/>
      <c r="AL401" s="1189"/>
      <c r="AM401" s="1189"/>
      <c r="AN401" s="1189"/>
      <c r="AO401" s="1189"/>
      <c r="AP401" s="1189"/>
      <c r="AQ401" s="1189"/>
      <c r="AR401" s="1189"/>
      <c r="AS401" s="1248"/>
    </row>
    <row r="402" spans="4:45" ht="12.75" customHeight="1">
      <c r="D402" s="1231"/>
      <c r="E402" s="1230"/>
      <c r="F402" s="1230"/>
      <c r="G402" s="1230"/>
      <c r="H402" s="1230"/>
      <c r="I402" s="1189"/>
      <c r="J402" s="1189"/>
      <c r="K402" s="1189"/>
      <c r="L402" s="1225"/>
      <c r="M402" s="1189"/>
      <c r="N402" s="1189"/>
      <c r="O402" s="1189"/>
      <c r="P402" s="1189"/>
      <c r="Q402" s="1189"/>
      <c r="R402" s="1189"/>
      <c r="S402" s="1189"/>
      <c r="T402" s="1208"/>
      <c r="U402" s="1208"/>
      <c r="V402" s="1189"/>
      <c r="W402" s="1189"/>
      <c r="X402" s="1189"/>
      <c r="Y402" s="1189"/>
      <c r="Z402" s="1189"/>
      <c r="AA402" s="1189"/>
      <c r="AB402" s="1189"/>
      <c r="AC402" s="1189"/>
      <c r="AD402" s="1189"/>
      <c r="AE402" s="1189"/>
      <c r="AF402" s="1189"/>
      <c r="AG402" s="1189"/>
      <c r="AH402" s="1189"/>
      <c r="AI402" s="1189"/>
      <c r="AJ402" s="1247"/>
      <c r="AK402" s="1189"/>
      <c r="AL402" s="1189"/>
      <c r="AM402" s="1189"/>
      <c r="AN402" s="1189"/>
      <c r="AO402" s="1189"/>
      <c r="AP402" s="1189"/>
      <c r="AQ402" s="1189"/>
      <c r="AR402" s="1189"/>
      <c r="AS402" s="1248"/>
    </row>
    <row r="403" spans="4:45" ht="12.75" customHeight="1">
      <c r="D403" s="1231"/>
      <c r="E403" s="1230"/>
      <c r="F403" s="1230"/>
      <c r="G403" s="1230"/>
      <c r="H403" s="1230"/>
      <c r="I403" s="1189"/>
      <c r="J403" s="1189"/>
      <c r="K403" s="1189"/>
      <c r="L403" s="1225"/>
      <c r="M403" s="1189"/>
      <c r="N403" s="1189"/>
      <c r="O403" s="1189"/>
      <c r="P403" s="1189"/>
      <c r="Q403" s="1189"/>
      <c r="R403" s="1189"/>
      <c r="S403" s="1189"/>
      <c r="T403" s="1208"/>
      <c r="U403" s="1208"/>
      <c r="V403" s="1189"/>
      <c r="W403" s="1189"/>
      <c r="X403" s="1189"/>
      <c r="Y403" s="1189"/>
      <c r="Z403" s="1189"/>
      <c r="AA403" s="1189"/>
      <c r="AB403" s="1189"/>
      <c r="AC403" s="1189"/>
      <c r="AD403" s="1189"/>
      <c r="AE403" s="1189"/>
      <c r="AF403" s="1189"/>
      <c r="AG403" s="1189"/>
      <c r="AH403" s="1189"/>
      <c r="AI403" s="1189"/>
      <c r="AJ403" s="1247"/>
      <c r="AK403" s="1189"/>
      <c r="AL403" s="1189"/>
      <c r="AM403" s="1189"/>
      <c r="AN403" s="1189"/>
      <c r="AO403" s="1189"/>
      <c r="AP403" s="1189"/>
      <c r="AQ403" s="1189"/>
      <c r="AR403" s="1189"/>
      <c r="AS403" s="1189"/>
    </row>
    <row r="404" spans="4:45" ht="12.75" customHeight="1">
      <c r="D404" s="1231"/>
      <c r="E404" s="1230"/>
      <c r="F404" s="1230"/>
      <c r="G404" s="1230"/>
      <c r="H404" s="1230"/>
      <c r="I404" s="1189"/>
      <c r="J404" s="1189"/>
      <c r="K404" s="1189"/>
      <c r="L404" s="1225"/>
      <c r="M404" s="1189"/>
      <c r="N404" s="1189"/>
      <c r="O404" s="1189"/>
      <c r="P404" s="1189"/>
      <c r="Q404" s="1189"/>
      <c r="R404" s="1189"/>
      <c r="S404" s="1189"/>
      <c r="T404" s="1208"/>
      <c r="U404" s="1208"/>
      <c r="V404" s="1189"/>
      <c r="W404" s="1189"/>
      <c r="X404" s="1189"/>
      <c r="Y404" s="1189"/>
      <c r="Z404" s="1189"/>
      <c r="AA404" s="1189"/>
      <c r="AB404" s="1189"/>
      <c r="AC404" s="1189"/>
      <c r="AD404" s="1189"/>
      <c r="AE404" s="1189"/>
      <c r="AF404" s="1189"/>
      <c r="AG404" s="1189"/>
      <c r="AH404" s="1189"/>
      <c r="AI404" s="1189"/>
      <c r="AJ404" s="1247"/>
      <c r="AK404" s="1189"/>
      <c r="AL404" s="1189"/>
      <c r="AM404" s="1189"/>
      <c r="AN404" s="1189"/>
      <c r="AO404" s="1189"/>
      <c r="AP404" s="1189"/>
      <c r="AQ404" s="1189"/>
      <c r="AR404" s="1189"/>
      <c r="AS404" s="1189"/>
    </row>
    <row r="405" spans="4:45" ht="12.75" customHeight="1">
      <c r="D405" s="1231"/>
      <c r="E405" s="1230"/>
      <c r="F405" s="1230"/>
      <c r="G405" s="1230"/>
      <c r="H405" s="1230"/>
      <c r="I405" s="1189"/>
      <c r="J405" s="1189"/>
      <c r="K405" s="1189"/>
      <c r="L405" s="1225"/>
      <c r="M405" s="1189"/>
      <c r="N405" s="1189"/>
      <c r="O405" s="1189"/>
      <c r="P405" s="1189"/>
      <c r="Q405" s="1189"/>
      <c r="R405" s="1189"/>
      <c r="S405" s="1189"/>
      <c r="T405" s="1208"/>
      <c r="U405" s="1208"/>
      <c r="V405" s="1189"/>
      <c r="W405" s="1189"/>
      <c r="X405" s="1189"/>
      <c r="Y405" s="1189"/>
      <c r="Z405" s="1189"/>
      <c r="AA405" s="1189"/>
      <c r="AB405" s="1189"/>
      <c r="AC405" s="1189"/>
      <c r="AD405" s="1189"/>
      <c r="AE405" s="1189"/>
      <c r="AF405" s="1189"/>
      <c r="AG405" s="1189"/>
      <c r="AH405" s="1189"/>
      <c r="AI405" s="1189"/>
      <c r="AJ405" s="1247"/>
      <c r="AK405" s="1189"/>
      <c r="AL405" s="1189"/>
      <c r="AM405" s="1189"/>
      <c r="AN405" s="1189"/>
      <c r="AO405" s="1189"/>
      <c r="AP405" s="1189"/>
      <c r="AQ405" s="1189"/>
      <c r="AR405" s="1189"/>
      <c r="AS405" s="1189"/>
    </row>
    <row r="406" spans="4:45" ht="12.75" customHeight="1">
      <c r="D406" s="1231"/>
      <c r="E406" s="1230"/>
      <c r="F406" s="1230"/>
      <c r="G406" s="1230"/>
      <c r="H406" s="1230"/>
      <c r="I406" s="1189"/>
      <c r="J406" s="1189"/>
      <c r="K406" s="1189"/>
      <c r="L406" s="1225"/>
      <c r="M406" s="1189"/>
      <c r="N406" s="1189"/>
      <c r="O406" s="1189"/>
      <c r="P406" s="1189"/>
      <c r="Q406" s="1189"/>
      <c r="R406" s="1189"/>
      <c r="S406" s="1189"/>
      <c r="T406" s="1208"/>
      <c r="U406" s="1208"/>
      <c r="V406" s="1189"/>
      <c r="W406" s="1189"/>
      <c r="X406" s="1189"/>
      <c r="Y406" s="1189"/>
      <c r="Z406" s="1189"/>
      <c r="AA406" s="1189"/>
      <c r="AB406" s="1189"/>
      <c r="AC406" s="1189"/>
      <c r="AD406" s="1189"/>
      <c r="AE406" s="1189"/>
      <c r="AF406" s="1189"/>
      <c r="AG406" s="1189"/>
      <c r="AH406" s="1189"/>
      <c r="AI406" s="1189"/>
      <c r="AJ406" s="1247"/>
      <c r="AK406" s="1189"/>
      <c r="AL406" s="1189"/>
      <c r="AM406" s="1189"/>
      <c r="AN406" s="1189"/>
      <c r="AO406" s="1189"/>
      <c r="AP406" s="1189"/>
      <c r="AQ406" s="1189"/>
      <c r="AR406" s="1189"/>
      <c r="AS406" s="1189"/>
    </row>
    <row r="407" spans="4:45" ht="12.75" customHeight="1">
      <c r="D407" s="1231"/>
      <c r="E407" s="1230"/>
      <c r="F407" s="1230"/>
      <c r="G407" s="1230"/>
      <c r="H407" s="1230"/>
      <c r="I407" s="1189"/>
      <c r="J407" s="1189"/>
      <c r="K407" s="1189"/>
      <c r="L407" s="1225"/>
      <c r="M407" s="1189"/>
      <c r="N407" s="1189"/>
      <c r="O407" s="1189"/>
      <c r="P407" s="1189"/>
      <c r="Q407" s="1189"/>
      <c r="R407" s="1189"/>
      <c r="S407" s="1189"/>
      <c r="T407" s="1208"/>
      <c r="U407" s="1208"/>
      <c r="V407" s="1189"/>
      <c r="W407" s="1189"/>
      <c r="X407" s="1189"/>
      <c r="Y407" s="1189"/>
      <c r="Z407" s="1189"/>
      <c r="AA407" s="1189"/>
      <c r="AB407" s="1189"/>
      <c r="AC407" s="1189"/>
      <c r="AD407" s="1189"/>
      <c r="AE407" s="1189"/>
      <c r="AF407" s="1189"/>
      <c r="AG407" s="1189"/>
      <c r="AH407" s="1189"/>
      <c r="AI407" s="1189"/>
      <c r="AJ407" s="1247"/>
      <c r="AK407" s="1189"/>
      <c r="AL407" s="1189"/>
      <c r="AM407" s="1189"/>
      <c r="AN407" s="1189"/>
      <c r="AO407" s="1189"/>
      <c r="AP407" s="1189"/>
      <c r="AQ407" s="1189"/>
      <c r="AR407" s="1189"/>
      <c r="AS407" s="1189"/>
    </row>
    <row r="408" spans="4:45" ht="12.75" customHeight="1">
      <c r="D408" s="1231"/>
      <c r="E408" s="1230"/>
      <c r="F408" s="1230"/>
      <c r="G408" s="1230"/>
      <c r="H408" s="1230"/>
      <c r="I408" s="1189"/>
      <c r="J408" s="1189"/>
      <c r="K408" s="1189"/>
      <c r="L408" s="1225"/>
      <c r="M408" s="1189"/>
      <c r="N408" s="1189"/>
      <c r="O408" s="1189"/>
      <c r="P408" s="1189"/>
      <c r="Q408" s="1189"/>
      <c r="R408" s="1189"/>
      <c r="S408" s="1189"/>
      <c r="T408" s="1208"/>
      <c r="U408" s="1208"/>
      <c r="V408" s="1189"/>
      <c r="W408" s="1189"/>
      <c r="X408" s="1189"/>
      <c r="Y408" s="1189"/>
      <c r="Z408" s="1189"/>
      <c r="AA408" s="1189"/>
      <c r="AB408" s="1189"/>
      <c r="AC408" s="1189"/>
      <c r="AD408" s="1189"/>
      <c r="AE408" s="1189"/>
      <c r="AF408" s="1189"/>
      <c r="AG408" s="1189"/>
      <c r="AH408" s="1189"/>
      <c r="AI408" s="1189"/>
      <c r="AJ408" s="1247"/>
      <c r="AK408" s="1189"/>
      <c r="AL408" s="1189"/>
      <c r="AM408" s="1189"/>
      <c r="AN408" s="1189"/>
      <c r="AO408" s="1189"/>
      <c r="AP408" s="1189"/>
      <c r="AQ408" s="1189"/>
      <c r="AR408" s="1189"/>
      <c r="AS408" s="1189"/>
    </row>
    <row r="409" spans="4:45" ht="12.75" customHeight="1">
      <c r="D409" s="1231"/>
      <c r="E409" s="1230"/>
      <c r="F409" s="1230"/>
      <c r="G409" s="1230"/>
      <c r="H409" s="1230"/>
      <c r="I409" s="1189"/>
      <c r="J409" s="1189"/>
      <c r="K409" s="1189"/>
      <c r="L409" s="1225"/>
      <c r="M409" s="1189"/>
      <c r="N409" s="1189"/>
      <c r="O409" s="1189"/>
      <c r="P409" s="1189"/>
      <c r="Q409" s="1189"/>
      <c r="R409" s="1189"/>
      <c r="S409" s="1189"/>
      <c r="T409" s="1208"/>
      <c r="U409" s="1208"/>
      <c r="V409" s="1189"/>
      <c r="W409" s="1189"/>
      <c r="X409" s="1189"/>
      <c r="Y409" s="1189"/>
      <c r="Z409" s="1189"/>
      <c r="AA409" s="1189"/>
      <c r="AB409" s="1189"/>
      <c r="AC409" s="1189"/>
      <c r="AD409" s="1189"/>
      <c r="AE409" s="1189"/>
      <c r="AF409" s="1189"/>
      <c r="AG409" s="1189"/>
      <c r="AH409" s="1189"/>
      <c r="AI409" s="1189"/>
      <c r="AJ409" s="1247"/>
      <c r="AK409" s="1189"/>
      <c r="AL409" s="1189"/>
      <c r="AM409" s="1189"/>
      <c r="AN409" s="1189"/>
      <c r="AO409" s="1189"/>
      <c r="AP409" s="1189"/>
      <c r="AQ409" s="1189"/>
      <c r="AR409" s="1189"/>
      <c r="AS409" s="1189"/>
    </row>
    <row r="410" spans="4:45" ht="12.75" customHeight="1">
      <c r="D410" s="1231"/>
      <c r="E410" s="1230"/>
      <c r="F410" s="1230"/>
      <c r="G410" s="1230"/>
      <c r="H410" s="1230"/>
      <c r="I410" s="1189"/>
      <c r="J410" s="1189"/>
      <c r="K410" s="1189"/>
      <c r="L410" s="1225"/>
      <c r="M410" s="1189"/>
      <c r="N410" s="1189"/>
      <c r="O410" s="1189"/>
      <c r="P410" s="1189"/>
      <c r="Q410" s="1189"/>
      <c r="R410" s="1189"/>
      <c r="S410" s="1189"/>
      <c r="T410" s="1208"/>
      <c r="U410" s="1208"/>
      <c r="V410" s="1189"/>
      <c r="W410" s="1189"/>
      <c r="X410" s="1189"/>
      <c r="Y410" s="1189"/>
      <c r="Z410" s="1189"/>
      <c r="AA410" s="1189"/>
      <c r="AB410" s="1189"/>
      <c r="AC410" s="1189"/>
      <c r="AD410" s="1189"/>
      <c r="AE410" s="1189"/>
      <c r="AF410" s="1189"/>
      <c r="AG410" s="1189"/>
      <c r="AH410" s="1189"/>
      <c r="AI410" s="1189"/>
      <c r="AJ410" s="1210"/>
      <c r="AK410" s="1189"/>
      <c r="AL410" s="1189"/>
      <c r="AM410" s="1189"/>
      <c r="AN410" s="1189"/>
      <c r="AO410" s="1189"/>
      <c r="AP410" s="1189"/>
      <c r="AQ410" s="1189"/>
      <c r="AR410" s="1189"/>
      <c r="AS410" s="1189"/>
    </row>
    <row r="411" spans="4:45" ht="12.75" customHeight="1">
      <c r="D411" s="1231"/>
      <c r="E411" s="1230"/>
      <c r="F411" s="1230"/>
      <c r="G411" s="1230"/>
      <c r="H411" s="1230"/>
      <c r="I411" s="1189"/>
      <c r="J411" s="1189"/>
      <c r="K411" s="1189"/>
      <c r="L411" s="1225"/>
      <c r="M411" s="1189"/>
      <c r="N411" s="1189"/>
      <c r="O411" s="1189"/>
      <c r="P411" s="1189"/>
      <c r="Q411" s="1189"/>
      <c r="R411" s="1189"/>
      <c r="S411" s="1189"/>
      <c r="T411" s="1208"/>
      <c r="U411" s="1208"/>
      <c r="V411" s="1189"/>
      <c r="W411" s="1189"/>
      <c r="X411" s="1189"/>
      <c r="Y411" s="1189"/>
      <c r="Z411" s="1189"/>
      <c r="AA411" s="1189"/>
      <c r="AB411" s="1189"/>
      <c r="AC411" s="1189"/>
      <c r="AD411" s="1189"/>
      <c r="AE411" s="1189"/>
      <c r="AF411" s="1189"/>
      <c r="AG411" s="1189"/>
      <c r="AH411" s="1189"/>
      <c r="AI411" s="1189"/>
      <c r="AJ411" s="1210"/>
      <c r="AK411" s="1189"/>
      <c r="AL411" s="1189"/>
      <c r="AM411" s="1189"/>
      <c r="AN411" s="1189"/>
      <c r="AO411" s="1189"/>
      <c r="AP411" s="1189"/>
      <c r="AQ411" s="1189"/>
      <c r="AR411" s="1189"/>
      <c r="AS411" s="1189"/>
    </row>
    <row r="412" spans="4:45" ht="12.75" customHeight="1">
      <c r="D412" s="1231"/>
      <c r="E412" s="1230"/>
      <c r="F412" s="1230"/>
      <c r="G412" s="1230"/>
      <c r="H412" s="1230"/>
      <c r="I412" s="1189"/>
      <c r="J412" s="1189"/>
      <c r="K412" s="1189"/>
      <c r="L412" s="1225"/>
      <c r="M412" s="1189"/>
      <c r="N412" s="1189"/>
      <c r="O412" s="1189"/>
      <c r="P412" s="1189"/>
      <c r="Q412" s="1189"/>
      <c r="R412" s="1189"/>
      <c r="S412" s="1189"/>
      <c r="T412" s="1208"/>
      <c r="U412" s="1208"/>
      <c r="V412" s="1189"/>
      <c r="W412" s="1189"/>
      <c r="X412" s="1189"/>
      <c r="Y412" s="1189"/>
      <c r="Z412" s="1189"/>
      <c r="AA412" s="1189"/>
      <c r="AB412" s="1189"/>
      <c r="AC412" s="1189"/>
      <c r="AD412" s="1189"/>
      <c r="AE412" s="1189"/>
      <c r="AF412" s="1189"/>
      <c r="AG412" s="1189"/>
      <c r="AH412" s="1189"/>
      <c r="AI412" s="1189"/>
      <c r="AJ412" s="1210"/>
      <c r="AK412" s="1189"/>
      <c r="AL412" s="1189"/>
      <c r="AM412" s="1189"/>
      <c r="AN412" s="1189"/>
      <c r="AO412" s="1189"/>
      <c r="AP412" s="1189"/>
      <c r="AQ412" s="1189"/>
      <c r="AR412" s="1189"/>
      <c r="AS412" s="1189"/>
    </row>
    <row r="413" spans="4:45" ht="12.75" customHeight="1">
      <c r="D413" s="1231"/>
      <c r="E413" s="1230"/>
      <c r="F413" s="1230"/>
      <c r="G413" s="1230"/>
      <c r="H413" s="1230"/>
      <c r="I413" s="1189"/>
      <c r="J413" s="1189"/>
      <c r="K413" s="1189"/>
      <c r="L413" s="1225"/>
      <c r="M413" s="1189"/>
      <c r="N413" s="1189"/>
      <c r="O413" s="1189"/>
      <c r="P413" s="1189"/>
      <c r="Q413" s="1189"/>
      <c r="R413" s="1189"/>
      <c r="S413" s="1189"/>
      <c r="T413" s="1208"/>
      <c r="U413" s="1208"/>
      <c r="V413" s="1189"/>
      <c r="W413" s="1189"/>
      <c r="X413" s="1189"/>
      <c r="Y413" s="1189"/>
      <c r="Z413" s="1189"/>
      <c r="AA413" s="1189"/>
      <c r="AB413" s="1189"/>
      <c r="AC413" s="1189"/>
      <c r="AD413" s="1189"/>
      <c r="AE413" s="1189"/>
      <c r="AF413" s="1189"/>
      <c r="AG413" s="1189"/>
      <c r="AH413" s="1189"/>
      <c r="AI413" s="1189"/>
      <c r="AJ413" s="1210"/>
      <c r="AK413" s="1189"/>
      <c r="AL413" s="1189"/>
      <c r="AM413" s="1189"/>
      <c r="AN413" s="1189"/>
      <c r="AO413" s="1189"/>
      <c r="AP413" s="1189"/>
      <c r="AQ413" s="1189"/>
      <c r="AR413" s="1189"/>
      <c r="AS413" s="1189"/>
    </row>
    <row r="414" spans="4:45" ht="12.75" customHeight="1">
      <c r="D414" s="1231"/>
      <c r="E414" s="1230"/>
      <c r="F414" s="1230"/>
      <c r="G414" s="1230"/>
      <c r="H414" s="1230"/>
      <c r="I414" s="1189"/>
      <c r="J414" s="1189"/>
      <c r="K414" s="1189"/>
      <c r="L414" s="1225"/>
      <c r="M414" s="1189"/>
      <c r="N414" s="1189"/>
      <c r="O414" s="1189"/>
      <c r="P414" s="1189"/>
      <c r="Q414" s="1189"/>
      <c r="R414" s="1189"/>
      <c r="S414" s="1189"/>
      <c r="T414" s="1208"/>
      <c r="U414" s="1208"/>
      <c r="V414" s="1189"/>
      <c r="W414" s="1189"/>
      <c r="X414" s="1189"/>
      <c r="Y414" s="1189"/>
      <c r="Z414" s="1189"/>
      <c r="AA414" s="1189"/>
      <c r="AB414" s="1189"/>
      <c r="AC414" s="1189"/>
      <c r="AD414" s="1189"/>
      <c r="AE414" s="1189"/>
      <c r="AF414" s="1189"/>
      <c r="AG414" s="1189"/>
      <c r="AH414" s="1189"/>
      <c r="AI414" s="1189"/>
      <c r="AJ414" s="1210"/>
      <c r="AK414" s="1189"/>
      <c r="AL414" s="1189"/>
      <c r="AM414" s="1189"/>
      <c r="AN414" s="1189"/>
      <c r="AO414" s="1189"/>
      <c r="AP414" s="1189"/>
      <c r="AQ414" s="1189"/>
      <c r="AR414" s="1189"/>
      <c r="AS414" s="1189"/>
    </row>
    <row r="415" spans="4:45" ht="12.75" customHeight="1">
      <c r="D415" s="1231"/>
      <c r="E415" s="1230"/>
      <c r="F415" s="1230"/>
      <c r="G415" s="1230"/>
      <c r="H415" s="1230"/>
      <c r="I415" s="1189"/>
      <c r="J415" s="1189"/>
      <c r="K415" s="1189"/>
      <c r="L415" s="1225"/>
      <c r="M415" s="1189"/>
      <c r="N415" s="1189"/>
      <c r="O415" s="1189"/>
      <c r="P415" s="1189"/>
      <c r="Q415" s="1189"/>
      <c r="R415" s="1189"/>
      <c r="S415" s="1189"/>
      <c r="T415" s="1208"/>
      <c r="U415" s="1208"/>
      <c r="V415" s="1189"/>
      <c r="W415" s="1189"/>
      <c r="X415" s="1189"/>
      <c r="Y415" s="1189"/>
      <c r="Z415" s="1189"/>
      <c r="AA415" s="1189"/>
      <c r="AB415" s="1189"/>
      <c r="AC415" s="1189"/>
      <c r="AD415" s="1189"/>
      <c r="AE415" s="1189"/>
      <c r="AF415" s="1189"/>
      <c r="AG415" s="1189"/>
      <c r="AH415" s="1189"/>
      <c r="AI415" s="1189"/>
      <c r="AJ415" s="1210"/>
      <c r="AK415" s="1189"/>
      <c r="AL415" s="1189"/>
      <c r="AM415" s="1189"/>
      <c r="AN415" s="1189"/>
      <c r="AO415" s="1189"/>
      <c r="AP415" s="1189"/>
      <c r="AQ415" s="1189"/>
      <c r="AR415" s="1189"/>
      <c r="AS415" s="1189"/>
    </row>
    <row r="416" spans="4:45" ht="12.75" customHeight="1">
      <c r="D416" s="1231"/>
      <c r="E416" s="1230"/>
      <c r="F416" s="1230"/>
      <c r="G416" s="1230"/>
      <c r="H416" s="1230"/>
      <c r="I416" s="1189"/>
      <c r="J416" s="1189"/>
      <c r="K416" s="1189"/>
      <c r="L416" s="1225"/>
      <c r="M416" s="1189"/>
      <c r="N416" s="1189"/>
      <c r="O416" s="1189"/>
      <c r="P416" s="1189"/>
      <c r="Q416" s="1189"/>
      <c r="R416" s="1189"/>
      <c r="S416" s="1189"/>
      <c r="T416" s="1208"/>
      <c r="U416" s="1208"/>
      <c r="V416" s="1189"/>
      <c r="W416" s="1189"/>
      <c r="X416" s="1189"/>
      <c r="Y416" s="1189"/>
      <c r="Z416" s="1189"/>
      <c r="AA416" s="1189"/>
      <c r="AB416" s="1189"/>
      <c r="AC416" s="1189"/>
      <c r="AD416" s="1189"/>
      <c r="AE416" s="1189"/>
      <c r="AF416" s="1189"/>
      <c r="AG416" s="1189"/>
      <c r="AH416" s="1189"/>
      <c r="AI416" s="1189"/>
      <c r="AJ416" s="1210"/>
      <c r="AK416" s="1189"/>
      <c r="AL416" s="1189"/>
      <c r="AM416" s="1189"/>
      <c r="AN416" s="1189"/>
      <c r="AO416" s="1189"/>
      <c r="AP416" s="1189"/>
      <c r="AQ416" s="1189"/>
      <c r="AR416" s="1189"/>
      <c r="AS416" s="1189"/>
    </row>
    <row r="417" spans="4:8" ht="12.75" customHeight="1">
      <c r="D417" s="1231"/>
      <c r="E417" s="1230"/>
      <c r="F417" s="1230"/>
      <c r="G417" s="1230"/>
      <c r="H417" s="1230"/>
    </row>
    <row r="418" spans="4:8" ht="12.75" customHeight="1">
      <c r="D418" s="1231"/>
      <c r="E418" s="1230"/>
      <c r="F418" s="1230"/>
      <c r="G418" s="1230"/>
      <c r="H418" s="1230"/>
    </row>
    <row r="419" spans="4:8" ht="12.75" customHeight="1">
      <c r="D419" s="1231"/>
      <c r="E419" s="1230"/>
      <c r="F419" s="1230"/>
      <c r="G419" s="1230"/>
      <c r="H419" s="1230"/>
    </row>
    <row r="420" spans="4:8" ht="12.75" customHeight="1">
      <c r="D420" s="1231"/>
      <c r="E420" s="1230"/>
      <c r="F420" s="1230"/>
      <c r="G420" s="1230"/>
      <c r="H420" s="1230"/>
    </row>
    <row r="421" spans="4:8" ht="12.75" customHeight="1">
      <c r="D421" s="1231"/>
      <c r="E421" s="1230"/>
      <c r="F421" s="1230"/>
      <c r="G421" s="1230"/>
      <c r="H421" s="1230"/>
    </row>
    <row r="422" spans="4:8" ht="12.75" customHeight="1">
      <c r="D422" s="1231"/>
      <c r="E422" s="1230"/>
      <c r="F422" s="1230"/>
      <c r="G422" s="1230"/>
      <c r="H422" s="1230"/>
    </row>
    <row r="423" spans="4:8" ht="12.75" customHeight="1">
      <c r="D423" s="1231"/>
      <c r="E423" s="1230"/>
      <c r="F423" s="1230"/>
      <c r="G423" s="1230"/>
      <c r="H423" s="1230"/>
    </row>
    <row r="424" spans="4:8" ht="12.75" customHeight="1">
      <c r="D424" s="1231"/>
      <c r="E424" s="1230"/>
      <c r="F424" s="1230"/>
      <c r="G424" s="1230"/>
      <c r="H424" s="1230"/>
    </row>
    <row r="425" spans="4:8" ht="12.75" customHeight="1">
      <c r="D425" s="1231"/>
      <c r="E425" s="1230"/>
      <c r="F425" s="1230"/>
      <c r="G425" s="1230"/>
      <c r="H425" s="1230"/>
    </row>
    <row r="426" spans="4:8" ht="12.75" customHeight="1">
      <c r="D426" s="1231"/>
      <c r="E426" s="1230"/>
      <c r="F426" s="1230"/>
      <c r="G426" s="1230"/>
      <c r="H426" s="1230"/>
    </row>
    <row r="427" spans="4:8" ht="12.75" customHeight="1">
      <c r="D427" s="1231"/>
      <c r="E427" s="1230"/>
      <c r="F427" s="1230"/>
      <c r="G427" s="1230"/>
      <c r="H427" s="1230"/>
    </row>
    <row r="428" spans="4:8" ht="12.75" customHeight="1">
      <c r="D428" s="1231"/>
      <c r="E428" s="1230"/>
      <c r="F428" s="1230"/>
      <c r="G428" s="1230"/>
      <c r="H428" s="1230"/>
    </row>
    <row r="429" spans="4:8" ht="12.75" customHeight="1">
      <c r="D429" s="1231"/>
      <c r="E429" s="1230"/>
      <c r="F429" s="1230"/>
      <c r="G429" s="1230"/>
      <c r="H429" s="1230"/>
    </row>
    <row r="430" spans="4:8" ht="12.75" customHeight="1">
      <c r="D430" s="1231"/>
      <c r="E430" s="1230"/>
      <c r="F430" s="1230"/>
      <c r="G430" s="1230"/>
      <c r="H430" s="1230"/>
    </row>
    <row r="431" spans="4:8" ht="12.75" customHeight="1">
      <c r="D431" s="1231"/>
      <c r="E431" s="1230"/>
      <c r="F431" s="1230"/>
      <c r="G431" s="1230"/>
      <c r="H431" s="1230"/>
    </row>
    <row r="432" spans="4:8" ht="12.75" customHeight="1">
      <c r="D432" s="1231"/>
      <c r="E432" s="1230"/>
      <c r="F432" s="1230"/>
      <c r="G432" s="1230"/>
      <c r="H432" s="1230"/>
    </row>
    <row r="433" spans="4:8" ht="12.75" customHeight="1">
      <c r="D433" s="1231"/>
      <c r="E433" s="1230"/>
      <c r="F433" s="1230"/>
      <c r="G433" s="1230"/>
      <c r="H433" s="1230"/>
    </row>
    <row r="434" spans="4:8" ht="12.75" customHeight="1">
      <c r="D434" s="1231"/>
      <c r="E434" s="1230"/>
      <c r="F434" s="1230"/>
      <c r="G434" s="1230"/>
      <c r="H434" s="1230"/>
    </row>
    <row r="435" spans="4:8" ht="12.75" customHeight="1">
      <c r="D435" s="1231"/>
      <c r="E435" s="1230"/>
      <c r="F435" s="1230"/>
      <c r="G435" s="1230"/>
      <c r="H435" s="1230"/>
    </row>
    <row r="436" spans="4:8" ht="12.75" customHeight="1">
      <c r="D436" s="1231"/>
      <c r="E436" s="1230"/>
      <c r="F436" s="1230"/>
      <c r="G436" s="1230"/>
      <c r="H436" s="1230"/>
    </row>
    <row r="437" spans="4:8" ht="12.75" customHeight="1">
      <c r="D437" s="1231"/>
      <c r="E437" s="1230"/>
      <c r="F437" s="1230"/>
      <c r="G437" s="1230"/>
      <c r="H437" s="1230"/>
    </row>
    <row r="438" spans="4:8" ht="12.75" customHeight="1">
      <c r="D438" s="1231"/>
      <c r="E438" s="1230"/>
      <c r="F438" s="1230"/>
      <c r="G438" s="1230"/>
      <c r="H438" s="1230"/>
    </row>
    <row r="439" spans="4:8" ht="12.75" customHeight="1">
      <c r="D439" s="1231"/>
      <c r="E439" s="1230"/>
      <c r="F439" s="1230"/>
      <c r="G439" s="1230"/>
      <c r="H439" s="1230"/>
    </row>
    <row r="440" spans="4:8" ht="12.75" customHeight="1">
      <c r="D440" s="1231"/>
      <c r="E440" s="1230"/>
      <c r="F440" s="1230"/>
      <c r="G440" s="1230"/>
      <c r="H440" s="1230"/>
    </row>
    <row r="441" spans="4:8" ht="12.75" customHeight="1">
      <c r="D441" s="1231"/>
      <c r="E441" s="1230"/>
      <c r="F441" s="1230"/>
      <c r="G441" s="1230"/>
      <c r="H441" s="1230"/>
    </row>
    <row r="442" spans="4:8" ht="12.75" customHeight="1">
      <c r="D442" s="1231"/>
      <c r="E442" s="1230"/>
      <c r="F442" s="1230"/>
      <c r="G442" s="1230"/>
      <c r="H442" s="1230"/>
    </row>
    <row r="443" spans="4:8" ht="12.75" customHeight="1">
      <c r="D443" s="1231"/>
      <c r="E443" s="1230"/>
      <c r="F443" s="1230"/>
      <c r="G443" s="1230"/>
      <c r="H443" s="1230"/>
    </row>
    <row r="444" spans="4:8" ht="12.75" customHeight="1">
      <c r="D444" s="1231"/>
      <c r="E444" s="1230"/>
      <c r="F444" s="1230"/>
      <c r="G444" s="1230"/>
      <c r="H444" s="1230"/>
    </row>
    <row r="445" spans="4:8" ht="12.75" customHeight="1">
      <c r="D445" s="1231"/>
      <c r="E445" s="1230"/>
      <c r="F445" s="1230"/>
      <c r="G445" s="1230"/>
      <c r="H445" s="1230"/>
    </row>
    <row r="446" spans="4:8" ht="12.75" customHeight="1">
      <c r="D446" s="1231"/>
      <c r="E446" s="1230"/>
      <c r="F446" s="1230"/>
      <c r="G446" s="1230"/>
      <c r="H446" s="1230"/>
    </row>
    <row r="447" spans="4:8" ht="12.75" customHeight="1">
      <c r="D447" s="1231"/>
      <c r="E447" s="1230"/>
      <c r="F447" s="1230"/>
      <c r="G447" s="1230"/>
      <c r="H447" s="1230"/>
    </row>
    <row r="448" spans="4:8" ht="12.75" customHeight="1">
      <c r="D448" s="1231"/>
      <c r="E448" s="1230"/>
      <c r="F448" s="1230"/>
      <c r="G448" s="1230"/>
      <c r="H448" s="1230"/>
    </row>
    <row r="449" spans="4:8" ht="12.75" customHeight="1">
      <c r="D449" s="1231"/>
      <c r="E449" s="1230"/>
      <c r="F449" s="1230"/>
      <c r="G449" s="1230"/>
      <c r="H449" s="1230"/>
    </row>
    <row r="450" spans="4:8" ht="12.75" customHeight="1">
      <c r="D450" s="1231"/>
      <c r="E450" s="1230"/>
      <c r="F450" s="1230"/>
      <c r="G450" s="1230"/>
      <c r="H450" s="1230"/>
    </row>
    <row r="451" spans="4:8" ht="12.75" customHeight="1">
      <c r="D451" s="1231"/>
      <c r="E451" s="1230"/>
      <c r="F451" s="1230"/>
      <c r="G451" s="1230"/>
      <c r="H451" s="1230"/>
    </row>
    <row r="452" spans="4:8" ht="12.75" customHeight="1">
      <c r="D452" s="1231"/>
      <c r="E452" s="1230"/>
      <c r="F452" s="1230"/>
      <c r="G452" s="1230"/>
      <c r="H452" s="1230"/>
    </row>
    <row r="453" spans="4:8" ht="12.75" customHeight="1">
      <c r="D453" s="1231"/>
      <c r="E453" s="1230"/>
      <c r="F453" s="1230"/>
      <c r="G453" s="1230"/>
      <c r="H453" s="1230"/>
    </row>
    <row r="454" spans="4:8" ht="12.75" customHeight="1">
      <c r="D454" s="1231"/>
      <c r="E454" s="1230"/>
      <c r="F454" s="1230"/>
      <c r="G454" s="1230"/>
      <c r="H454" s="1230"/>
    </row>
    <row r="455" spans="4:8" ht="12.75" customHeight="1">
      <c r="D455" s="1231"/>
      <c r="E455" s="1230"/>
      <c r="F455" s="1230"/>
      <c r="G455" s="1230"/>
      <c r="H455" s="1230"/>
    </row>
    <row r="456" spans="4:8" ht="12.75" customHeight="1">
      <c r="D456" s="1231"/>
      <c r="E456" s="1230"/>
      <c r="F456" s="1230"/>
      <c r="G456" s="1230"/>
      <c r="H456" s="1230"/>
    </row>
    <row r="457" spans="4:8" ht="12.75" customHeight="1">
      <c r="D457" s="1231"/>
      <c r="E457" s="1230"/>
      <c r="F457" s="1230"/>
      <c r="G457" s="1230"/>
      <c r="H457" s="1230"/>
    </row>
    <row r="458" spans="4:8" ht="12.75" customHeight="1">
      <c r="D458" s="1231"/>
      <c r="E458" s="1230"/>
      <c r="F458" s="1230"/>
      <c r="G458" s="1230"/>
      <c r="H458" s="1230"/>
    </row>
    <row r="459" spans="4:8" ht="12.75" customHeight="1">
      <c r="D459" s="1231"/>
      <c r="E459" s="1230"/>
      <c r="F459" s="1230"/>
      <c r="G459" s="1230"/>
      <c r="H459" s="1230"/>
    </row>
    <row r="460" spans="4:8" ht="12.75" customHeight="1">
      <c r="D460" s="1231"/>
      <c r="E460" s="1230"/>
      <c r="F460" s="1230"/>
      <c r="G460" s="1230"/>
      <c r="H460" s="1230"/>
    </row>
    <row r="461" spans="4:8" ht="12.75" customHeight="1">
      <c r="D461" s="1231"/>
      <c r="E461" s="1230"/>
      <c r="F461" s="1230"/>
      <c r="G461" s="1230"/>
      <c r="H461" s="1230"/>
    </row>
    <row r="462" spans="4:8" ht="12.75" customHeight="1">
      <c r="D462" s="1231"/>
      <c r="E462" s="1230"/>
      <c r="F462" s="1230"/>
      <c r="G462" s="1230"/>
      <c r="H462" s="1230"/>
    </row>
    <row r="463" spans="4:8" ht="12.75" customHeight="1">
      <c r="D463" s="1231"/>
      <c r="E463" s="1230"/>
      <c r="F463" s="1230"/>
      <c r="G463" s="1230"/>
      <c r="H463" s="1230"/>
    </row>
    <row r="464" spans="4:8" ht="12.75" customHeight="1">
      <c r="D464" s="1231"/>
      <c r="E464" s="1230"/>
      <c r="F464" s="1230"/>
      <c r="G464" s="1230"/>
      <c r="H464" s="1230"/>
    </row>
    <row r="465" spans="4:8" ht="12.75" customHeight="1">
      <c r="D465" s="1231"/>
      <c r="E465" s="1230"/>
      <c r="F465" s="1230"/>
      <c r="G465" s="1230"/>
      <c r="H465" s="1230"/>
    </row>
    <row r="466" spans="4:8" ht="12.75" customHeight="1">
      <c r="D466" s="1231"/>
      <c r="E466" s="1230"/>
      <c r="F466" s="1230"/>
      <c r="G466" s="1230"/>
      <c r="H466" s="1230"/>
    </row>
    <row r="467" spans="4:8" ht="12.75" customHeight="1">
      <c r="D467" s="1231"/>
      <c r="E467" s="1230"/>
      <c r="F467" s="1230"/>
      <c r="G467" s="1230"/>
      <c r="H467" s="1230"/>
    </row>
    <row r="468" spans="4:8" ht="12.75" customHeight="1">
      <c r="D468" s="1231"/>
      <c r="E468" s="1230"/>
      <c r="F468" s="1230"/>
      <c r="G468" s="1230"/>
      <c r="H468" s="1230"/>
    </row>
    <row r="469" spans="4:8" ht="12.75" customHeight="1">
      <c r="D469" s="1231"/>
      <c r="E469" s="1230"/>
      <c r="F469" s="1230"/>
      <c r="G469" s="1230"/>
      <c r="H469" s="1230"/>
    </row>
    <row r="470" spans="4:8" ht="12.75" customHeight="1">
      <c r="D470" s="1231"/>
      <c r="E470" s="1230"/>
      <c r="F470" s="1230"/>
      <c r="G470" s="1230"/>
      <c r="H470" s="1230"/>
    </row>
    <row r="471" spans="4:8" ht="12.75" customHeight="1">
      <c r="D471" s="1231"/>
      <c r="E471" s="1230"/>
      <c r="F471" s="1230"/>
      <c r="G471" s="1230"/>
      <c r="H471" s="1230"/>
    </row>
    <row r="472" spans="4:8" ht="12.75" customHeight="1">
      <c r="D472" s="1231"/>
      <c r="E472" s="1230"/>
      <c r="F472" s="1230"/>
      <c r="G472" s="1230"/>
      <c r="H472" s="1230"/>
    </row>
    <row r="473" spans="4:8" ht="12.75" customHeight="1">
      <c r="D473" s="1231"/>
      <c r="E473" s="1230"/>
      <c r="F473" s="1230"/>
      <c r="G473" s="1230"/>
      <c r="H473" s="1230"/>
    </row>
    <row r="474" spans="4:8" ht="12.75" customHeight="1">
      <c r="D474" s="1231"/>
      <c r="E474" s="1230"/>
      <c r="F474" s="1230"/>
      <c r="G474" s="1230"/>
      <c r="H474" s="1230"/>
    </row>
    <row r="475" spans="4:8" ht="12.75" customHeight="1">
      <c r="D475" s="1231"/>
      <c r="E475" s="1230"/>
      <c r="F475" s="1230"/>
      <c r="G475" s="1230"/>
      <c r="H475" s="1230"/>
    </row>
    <row r="476" spans="4:8" ht="12.75" customHeight="1">
      <c r="D476" s="1231"/>
      <c r="E476" s="1230"/>
      <c r="F476" s="1230"/>
      <c r="G476" s="1230"/>
      <c r="H476" s="1230"/>
    </row>
    <row r="477" spans="4:8" ht="12.75" customHeight="1">
      <c r="D477" s="1231"/>
      <c r="E477" s="1230"/>
      <c r="F477" s="1230"/>
      <c r="G477" s="1230"/>
      <c r="H477" s="1230"/>
    </row>
    <row r="478" spans="4:8" ht="12.75" customHeight="1">
      <c r="D478" s="1231"/>
      <c r="E478" s="1230"/>
      <c r="F478" s="1230"/>
      <c r="G478" s="1230"/>
      <c r="H478" s="1230"/>
    </row>
    <row r="479" spans="4:8" ht="12.75" customHeight="1">
      <c r="D479" s="1231"/>
      <c r="E479" s="1230"/>
      <c r="F479" s="1230"/>
      <c r="G479" s="1230"/>
      <c r="H479" s="1230"/>
    </row>
    <row r="480" spans="4:8" ht="12.75" customHeight="1">
      <c r="D480" s="1231"/>
      <c r="E480" s="1230"/>
      <c r="F480" s="1230"/>
      <c r="G480" s="1230"/>
      <c r="H480" s="1230"/>
    </row>
    <row r="481" spans="4:8" ht="12.75" customHeight="1">
      <c r="D481" s="1231"/>
      <c r="E481" s="1230"/>
      <c r="F481" s="1230"/>
      <c r="G481" s="1230"/>
      <c r="H481" s="1230"/>
    </row>
    <row r="482" spans="4:8" ht="12.75" customHeight="1">
      <c r="D482" s="1231"/>
      <c r="E482" s="1230"/>
      <c r="F482" s="1230"/>
      <c r="G482" s="1230"/>
      <c r="H482" s="1230"/>
    </row>
    <row r="483" spans="4:8" ht="12.75" customHeight="1">
      <c r="D483" s="1231"/>
      <c r="E483" s="1230"/>
      <c r="F483" s="1230"/>
      <c r="G483" s="1230"/>
      <c r="H483" s="1230"/>
    </row>
    <row r="484" spans="4:8" ht="12.75" customHeight="1">
      <c r="D484" s="1231"/>
      <c r="E484" s="1230"/>
      <c r="F484" s="1230"/>
      <c r="G484" s="1230"/>
      <c r="H484" s="1230"/>
    </row>
    <row r="485" spans="4:8" ht="12.75" customHeight="1">
      <c r="D485" s="1231"/>
      <c r="E485" s="1230"/>
      <c r="F485" s="1230"/>
      <c r="G485" s="1230"/>
      <c r="H485" s="1230"/>
    </row>
    <row r="486" spans="4:8" ht="12.75" customHeight="1">
      <c r="D486" s="1231"/>
      <c r="E486" s="1230"/>
      <c r="F486" s="1230"/>
      <c r="G486" s="1230"/>
      <c r="H486" s="1230"/>
    </row>
    <row r="487" spans="4:8" ht="12.75" customHeight="1">
      <c r="D487" s="1231"/>
      <c r="E487" s="1230"/>
      <c r="F487" s="1230"/>
      <c r="G487" s="1230"/>
      <c r="H487" s="1230"/>
    </row>
    <row r="488" spans="4:8" ht="12.75" customHeight="1">
      <c r="D488" s="1231"/>
      <c r="E488" s="1230"/>
      <c r="F488" s="1230"/>
      <c r="G488" s="1230"/>
      <c r="H488" s="1230"/>
    </row>
    <row r="489" spans="4:8" ht="12.75" customHeight="1">
      <c r="D489" s="1231"/>
      <c r="E489" s="1230"/>
      <c r="F489" s="1230"/>
      <c r="G489" s="1230"/>
      <c r="H489" s="1230"/>
    </row>
    <row r="490" spans="4:8" ht="12.75" customHeight="1">
      <c r="D490" s="1231"/>
      <c r="E490" s="1230"/>
      <c r="F490" s="1230"/>
      <c r="G490" s="1230"/>
      <c r="H490" s="1230"/>
    </row>
    <row r="491" spans="4:8" ht="12.75" customHeight="1">
      <c r="D491" s="1231"/>
      <c r="E491" s="1230"/>
      <c r="F491" s="1230"/>
      <c r="G491" s="1230"/>
      <c r="H491" s="1230"/>
    </row>
    <row r="492" spans="4:8" ht="12.75" customHeight="1">
      <c r="D492" s="1231"/>
      <c r="E492" s="1230"/>
      <c r="F492" s="1230"/>
      <c r="G492" s="1230"/>
      <c r="H492" s="1230"/>
    </row>
    <row r="493" spans="4:8" ht="12.75" customHeight="1">
      <c r="D493" s="1231"/>
      <c r="E493" s="1230"/>
      <c r="F493" s="1230"/>
      <c r="G493" s="1230"/>
      <c r="H493" s="1230"/>
    </row>
    <row r="494" spans="4:8" ht="12.75" customHeight="1">
      <c r="D494" s="1231"/>
      <c r="E494" s="1230"/>
      <c r="F494" s="1230"/>
      <c r="G494" s="1230"/>
      <c r="H494" s="1230"/>
    </row>
    <row r="495" spans="4:8" ht="12.75" customHeight="1">
      <c r="D495" s="1231"/>
      <c r="E495" s="1230"/>
      <c r="F495" s="1230"/>
      <c r="G495" s="1230"/>
      <c r="H495" s="1230"/>
    </row>
    <row r="496" spans="4:8" ht="12.75" customHeight="1">
      <c r="D496" s="1231"/>
      <c r="E496" s="1230"/>
      <c r="F496" s="1230"/>
      <c r="G496" s="1230"/>
      <c r="H496" s="1230"/>
    </row>
    <row r="497" spans="4:8" ht="12.75" customHeight="1">
      <c r="D497" s="1231"/>
      <c r="E497" s="1230"/>
      <c r="F497" s="1230"/>
      <c r="G497" s="1230"/>
      <c r="H497" s="1230"/>
    </row>
    <row r="498" spans="4:8" ht="12.75" customHeight="1">
      <c r="D498" s="1231"/>
      <c r="E498" s="1230"/>
      <c r="F498" s="1230"/>
      <c r="G498" s="1230"/>
      <c r="H498" s="1230"/>
    </row>
    <row r="499" spans="4:8" ht="12.75" customHeight="1">
      <c r="D499" s="1231"/>
      <c r="E499" s="1230"/>
      <c r="F499" s="1230"/>
      <c r="G499" s="1230"/>
      <c r="H499" s="1230"/>
    </row>
    <row r="500" spans="4:8" ht="12.75" customHeight="1">
      <c r="D500" s="1231"/>
      <c r="E500" s="1230"/>
      <c r="F500" s="1230"/>
      <c r="G500" s="1230"/>
      <c r="H500" s="1230"/>
    </row>
    <row r="501" spans="4:8" ht="12.75" customHeight="1">
      <c r="D501" s="1231"/>
      <c r="E501" s="1230"/>
      <c r="F501" s="1230"/>
      <c r="G501" s="1230"/>
      <c r="H501" s="1230"/>
    </row>
    <row r="502" spans="4:8" ht="12.75" customHeight="1">
      <c r="D502" s="1231"/>
      <c r="E502" s="1230"/>
      <c r="F502" s="1230"/>
      <c r="G502" s="1230"/>
      <c r="H502" s="1230"/>
    </row>
    <row r="503" spans="4:8" ht="12.75" customHeight="1">
      <c r="D503" s="1231"/>
      <c r="E503" s="1230"/>
      <c r="F503" s="1230"/>
      <c r="G503" s="1230"/>
      <c r="H503" s="1230"/>
    </row>
    <row r="504" spans="4:8" ht="12.75" customHeight="1">
      <c r="D504" s="1231"/>
      <c r="E504" s="1230"/>
      <c r="F504" s="1230"/>
      <c r="G504" s="1230"/>
      <c r="H504" s="1230"/>
    </row>
    <row r="505" spans="4:8" ht="12.75" customHeight="1">
      <c r="D505" s="1231"/>
      <c r="E505" s="1230"/>
      <c r="F505" s="1230"/>
      <c r="G505" s="1230"/>
      <c r="H505" s="1230"/>
    </row>
    <row r="506" spans="4:8" ht="12.75" customHeight="1">
      <c r="D506" s="1231"/>
      <c r="E506" s="1230"/>
      <c r="F506" s="1230"/>
      <c r="G506" s="1230"/>
      <c r="H506" s="1230"/>
    </row>
    <row r="507" spans="4:8" ht="12.75" customHeight="1">
      <c r="D507" s="1231"/>
      <c r="E507" s="1230"/>
      <c r="F507" s="1230"/>
      <c r="G507" s="1230"/>
      <c r="H507" s="1230"/>
    </row>
    <row r="508" spans="4:8" ht="12.75" customHeight="1">
      <c r="D508" s="1231"/>
      <c r="E508" s="1230"/>
      <c r="F508" s="1230"/>
      <c r="G508" s="1230"/>
      <c r="H508" s="1230"/>
    </row>
    <row r="509" spans="4:8" ht="12.75" customHeight="1">
      <c r="D509" s="1231"/>
      <c r="E509" s="1230"/>
      <c r="F509" s="1230"/>
      <c r="G509" s="1230"/>
      <c r="H509" s="1230"/>
    </row>
    <row r="510" spans="4:8" ht="12.75" customHeight="1">
      <c r="D510" s="1231"/>
      <c r="E510" s="1230"/>
      <c r="F510" s="1230"/>
      <c r="G510" s="1230"/>
      <c r="H510" s="1230"/>
    </row>
    <row r="511" spans="4:8" ht="12.75" customHeight="1">
      <c r="D511" s="1231"/>
      <c r="E511" s="1230"/>
      <c r="F511" s="1230"/>
      <c r="G511" s="1230"/>
      <c r="H511" s="1230"/>
    </row>
    <row r="512" spans="4:8" ht="12.75" customHeight="1">
      <c r="D512" s="1231"/>
      <c r="E512" s="1230"/>
      <c r="F512" s="1230"/>
      <c r="G512" s="1230"/>
      <c r="H512" s="1230"/>
    </row>
    <row r="513" spans="4:8" ht="12.75" customHeight="1">
      <c r="D513" s="1231"/>
      <c r="E513" s="1230"/>
      <c r="F513" s="1230"/>
      <c r="G513" s="1230"/>
      <c r="H513" s="1230"/>
    </row>
    <row r="514" spans="4:8" ht="12.75" customHeight="1">
      <c r="D514" s="1231"/>
      <c r="E514" s="1230"/>
      <c r="F514" s="1230"/>
      <c r="G514" s="1230"/>
      <c r="H514" s="1230"/>
    </row>
    <row r="515" spans="4:8" ht="12.75" customHeight="1">
      <c r="D515" s="1231"/>
      <c r="E515" s="1230"/>
      <c r="F515" s="1230"/>
      <c r="G515" s="1230"/>
      <c r="H515" s="1230"/>
    </row>
    <row r="516" spans="4:8" ht="12.75" customHeight="1">
      <c r="D516" s="1231"/>
      <c r="E516" s="1230"/>
      <c r="F516" s="1230"/>
      <c r="G516" s="1230"/>
      <c r="H516" s="1230"/>
    </row>
    <row r="517" spans="4:8" ht="12.75" customHeight="1">
      <c r="D517" s="1231"/>
      <c r="E517" s="1230"/>
      <c r="F517" s="1230"/>
      <c r="G517" s="1230"/>
      <c r="H517" s="1230"/>
    </row>
    <row r="518" spans="4:8" ht="12.75" customHeight="1">
      <c r="D518" s="1231"/>
      <c r="E518" s="1230"/>
      <c r="F518" s="1230"/>
      <c r="G518" s="1230"/>
      <c r="H518" s="1230"/>
    </row>
    <row r="519" spans="4:8" ht="12.75" customHeight="1">
      <c r="D519" s="1231"/>
      <c r="E519" s="1230"/>
      <c r="F519" s="1230"/>
      <c r="G519" s="1230"/>
      <c r="H519" s="1230"/>
    </row>
    <row r="520" spans="4:8" ht="12.75" customHeight="1">
      <c r="D520" s="1231"/>
      <c r="E520" s="1230"/>
      <c r="F520" s="1230"/>
      <c r="G520" s="1230"/>
      <c r="H520" s="1230"/>
    </row>
    <row r="521" spans="4:8" ht="12.75" customHeight="1">
      <c r="D521" s="1231"/>
      <c r="E521" s="1230"/>
      <c r="F521" s="1230"/>
      <c r="G521" s="1230"/>
      <c r="H521" s="1230"/>
    </row>
    <row r="522" spans="4:8" ht="12.75" customHeight="1">
      <c r="D522" s="1231"/>
      <c r="E522" s="1230"/>
      <c r="F522" s="1230"/>
      <c r="G522" s="1230"/>
      <c r="H522" s="1230"/>
    </row>
    <row r="523" spans="4:8" ht="12.75" customHeight="1">
      <c r="D523" s="1231"/>
      <c r="E523" s="1230"/>
      <c r="F523" s="1230"/>
      <c r="G523" s="1230"/>
      <c r="H523" s="1230"/>
    </row>
    <row r="524" spans="4:8" ht="12.75" customHeight="1">
      <c r="D524" s="1231"/>
      <c r="E524" s="1230"/>
      <c r="F524" s="1230"/>
      <c r="G524" s="1230"/>
      <c r="H524" s="1230"/>
    </row>
    <row r="525" spans="4:8" ht="12.75" customHeight="1">
      <c r="D525" s="1231"/>
      <c r="E525" s="1230"/>
      <c r="F525" s="1230"/>
      <c r="G525" s="1230"/>
      <c r="H525" s="1230"/>
    </row>
    <row r="526" spans="4:8" ht="12.75" customHeight="1">
      <c r="D526" s="1231"/>
      <c r="E526" s="1230"/>
      <c r="F526" s="1230"/>
      <c r="G526" s="1230"/>
      <c r="H526" s="1230"/>
    </row>
    <row r="527" spans="4:8" ht="12.75" customHeight="1">
      <c r="D527" s="1231"/>
      <c r="E527" s="1230"/>
      <c r="F527" s="1230"/>
      <c r="G527" s="1230"/>
      <c r="H527" s="1230"/>
    </row>
    <row r="528" spans="4:8" ht="12.75" customHeight="1">
      <c r="D528" s="1231"/>
      <c r="E528" s="1230"/>
      <c r="F528" s="1230"/>
      <c r="G528" s="1230"/>
      <c r="H528" s="1230"/>
    </row>
    <row r="529" spans="4:8" ht="12.75" customHeight="1">
      <c r="D529" s="1231"/>
      <c r="E529" s="1230"/>
      <c r="F529" s="1230"/>
      <c r="G529" s="1230"/>
      <c r="H529" s="1230"/>
    </row>
    <row r="530" spans="4:8" ht="12.75" customHeight="1">
      <c r="D530" s="1231"/>
      <c r="E530" s="1230"/>
      <c r="F530" s="1230"/>
      <c r="G530" s="1230"/>
      <c r="H530" s="1230"/>
    </row>
    <row r="531" spans="4:8" ht="12.75" customHeight="1">
      <c r="D531" s="1231"/>
      <c r="E531" s="1230"/>
      <c r="F531" s="1230"/>
      <c r="G531" s="1230"/>
      <c r="H531" s="1230"/>
    </row>
    <row r="532" spans="4:8" ht="12.75" customHeight="1">
      <c r="D532" s="1231"/>
      <c r="E532" s="1230"/>
      <c r="F532" s="1230"/>
      <c r="G532" s="1230"/>
      <c r="H532" s="1230"/>
    </row>
    <row r="533" spans="4:8" ht="12.75" customHeight="1">
      <c r="D533" s="1231"/>
      <c r="E533" s="1230"/>
      <c r="F533" s="1230"/>
      <c r="G533" s="1230"/>
      <c r="H533" s="1230"/>
    </row>
    <row r="534" spans="4:8" ht="12.75" customHeight="1">
      <c r="D534" s="1231"/>
      <c r="E534" s="1230"/>
      <c r="F534" s="1230"/>
      <c r="G534" s="1230"/>
      <c r="H534" s="1230"/>
    </row>
    <row r="535" spans="4:8" ht="12.75" customHeight="1">
      <c r="D535" s="1231"/>
      <c r="E535" s="1230"/>
      <c r="F535" s="1230"/>
      <c r="G535" s="1230"/>
      <c r="H535" s="1230"/>
    </row>
    <row r="536" spans="4:8" ht="12.75" customHeight="1">
      <c r="D536" s="1231"/>
      <c r="E536" s="1230"/>
      <c r="F536" s="1230"/>
      <c r="G536" s="1230"/>
      <c r="H536" s="1230"/>
    </row>
    <row r="537" spans="4:8" ht="12.75" customHeight="1">
      <c r="D537" s="1231"/>
      <c r="E537" s="1230"/>
      <c r="F537" s="1230"/>
      <c r="G537" s="1230"/>
      <c r="H537" s="1230"/>
    </row>
    <row r="538" spans="4:8" ht="12.75" customHeight="1">
      <c r="D538" s="1231"/>
      <c r="E538" s="1230"/>
      <c r="F538" s="1230"/>
      <c r="G538" s="1230"/>
      <c r="H538" s="1230"/>
    </row>
    <row r="539" spans="4:8" ht="12.75" customHeight="1">
      <c r="D539" s="1231"/>
      <c r="E539" s="1230"/>
      <c r="F539" s="1230"/>
      <c r="G539" s="1230"/>
      <c r="H539" s="1230"/>
    </row>
    <row r="540" spans="4:8" ht="12.75" customHeight="1">
      <c r="D540" s="1231"/>
      <c r="E540" s="1230"/>
      <c r="F540" s="1230"/>
      <c r="G540" s="1230"/>
      <c r="H540" s="1230"/>
    </row>
    <row r="541" spans="4:8" ht="12.75" customHeight="1">
      <c r="D541" s="1231"/>
      <c r="E541" s="1230"/>
      <c r="F541" s="1230"/>
      <c r="G541" s="1230"/>
      <c r="H541" s="1230"/>
    </row>
    <row r="542" spans="4:8" ht="12.75" customHeight="1">
      <c r="D542" s="1231"/>
      <c r="E542" s="1230"/>
      <c r="F542" s="1230"/>
      <c r="G542" s="1230"/>
      <c r="H542" s="1230"/>
    </row>
    <row r="543" spans="4:8" ht="12.75" customHeight="1">
      <c r="D543" s="1231"/>
      <c r="E543" s="1230"/>
      <c r="F543" s="1230"/>
      <c r="G543" s="1230"/>
      <c r="H543" s="1230"/>
    </row>
    <row r="544" spans="4:8" ht="12.75" customHeight="1">
      <c r="D544" s="1231"/>
      <c r="E544" s="1230"/>
      <c r="F544" s="1230"/>
      <c r="G544" s="1230"/>
      <c r="H544" s="1230"/>
    </row>
    <row r="545" spans="4:8" ht="12.75" customHeight="1">
      <c r="D545" s="1231"/>
      <c r="E545" s="1230"/>
      <c r="F545" s="1230"/>
      <c r="G545" s="1230"/>
      <c r="H545" s="1230"/>
    </row>
    <row r="546" spans="4:8" ht="12.75" customHeight="1">
      <c r="D546" s="1231"/>
      <c r="E546" s="1230"/>
      <c r="F546" s="1230"/>
      <c r="G546" s="1230"/>
      <c r="H546" s="1230"/>
    </row>
    <row r="547" spans="4:8" ht="12.75" customHeight="1">
      <c r="D547" s="1231"/>
      <c r="E547" s="1230"/>
      <c r="F547" s="1230"/>
      <c r="G547" s="1230"/>
      <c r="H547" s="1230"/>
    </row>
    <row r="548" spans="4:8" ht="12.75" customHeight="1">
      <c r="D548" s="1231"/>
      <c r="E548" s="1230"/>
      <c r="F548" s="1230"/>
      <c r="G548" s="1230"/>
      <c r="H548" s="1230"/>
    </row>
    <row r="549" spans="4:8" ht="12.75" customHeight="1">
      <c r="D549" s="1231"/>
      <c r="E549" s="1230"/>
      <c r="F549" s="1230"/>
      <c r="G549" s="1230"/>
      <c r="H549" s="1230"/>
    </row>
    <row r="550" spans="4:8" ht="12.75" customHeight="1">
      <c r="D550" s="1231"/>
      <c r="E550" s="1230"/>
      <c r="F550" s="1230"/>
      <c r="G550" s="1230"/>
      <c r="H550" s="1230"/>
    </row>
    <row r="551" spans="4:8" ht="12.75" customHeight="1">
      <c r="D551" s="1231"/>
      <c r="E551" s="1230"/>
      <c r="F551" s="1230"/>
      <c r="G551" s="1230"/>
      <c r="H551" s="1230"/>
    </row>
    <row r="552" spans="4:8" ht="12.75" customHeight="1">
      <c r="D552" s="1231"/>
      <c r="E552" s="1230"/>
      <c r="F552" s="1230"/>
      <c r="G552" s="1230"/>
      <c r="H552" s="1230"/>
    </row>
    <row r="553" spans="4:8" ht="12.75" customHeight="1">
      <c r="D553" s="1231"/>
      <c r="E553" s="1230"/>
      <c r="F553" s="1230"/>
      <c r="G553" s="1230"/>
      <c r="H553" s="1230"/>
    </row>
    <row r="554" spans="4:8" ht="12.75" customHeight="1">
      <c r="D554" s="1231"/>
      <c r="E554" s="1230"/>
      <c r="F554" s="1230"/>
      <c r="G554" s="1230"/>
      <c r="H554" s="1230"/>
    </row>
    <row r="555" spans="4:8" ht="12.75" customHeight="1">
      <c r="D555" s="1231"/>
      <c r="E555" s="1230"/>
      <c r="F555" s="1230"/>
      <c r="G555" s="1230"/>
      <c r="H555" s="1230"/>
    </row>
    <row r="556" spans="4:8" ht="12.75" customHeight="1">
      <c r="D556" s="1231"/>
      <c r="E556" s="1230"/>
      <c r="F556" s="1230"/>
      <c r="G556" s="1230"/>
      <c r="H556" s="1230"/>
    </row>
    <row r="557" spans="4:8" ht="12.75" customHeight="1">
      <c r="D557" s="1231"/>
      <c r="E557" s="1230"/>
      <c r="F557" s="1230"/>
      <c r="G557" s="1230"/>
      <c r="H557" s="1230"/>
    </row>
    <row r="558" spans="4:8" ht="12.75" customHeight="1">
      <c r="D558" s="1231"/>
      <c r="E558" s="1230"/>
      <c r="F558" s="1230"/>
      <c r="G558" s="1230"/>
      <c r="H558" s="1230"/>
    </row>
    <row r="559" spans="4:8" ht="12.75" customHeight="1">
      <c r="D559" s="1231"/>
      <c r="E559" s="1230"/>
      <c r="F559" s="1230"/>
      <c r="G559" s="1230"/>
      <c r="H559" s="1230"/>
    </row>
    <row r="560" spans="4:8" ht="12.75" customHeight="1">
      <c r="D560" s="1231"/>
      <c r="E560" s="1230"/>
      <c r="F560" s="1230"/>
      <c r="G560" s="1230"/>
      <c r="H560" s="1230"/>
    </row>
    <row r="561" spans="4:8" ht="12.75" customHeight="1">
      <c r="D561" s="1231"/>
      <c r="E561" s="1230"/>
      <c r="F561" s="1230"/>
      <c r="G561" s="1230"/>
      <c r="H561" s="1230"/>
    </row>
    <row r="562" spans="4:8" ht="12.75" customHeight="1">
      <c r="D562" s="1231"/>
      <c r="E562" s="1230"/>
      <c r="F562" s="1230"/>
      <c r="G562" s="1230"/>
      <c r="H562" s="1230"/>
    </row>
    <row r="563" spans="4:8" ht="12.75" customHeight="1">
      <c r="D563" s="1231"/>
      <c r="E563" s="1230"/>
      <c r="F563" s="1230"/>
      <c r="G563" s="1230"/>
      <c r="H563" s="1230"/>
    </row>
    <row r="564" spans="4:8" ht="12.75" customHeight="1">
      <c r="D564" s="1231"/>
      <c r="E564" s="1230"/>
      <c r="F564" s="1230"/>
      <c r="G564" s="1230"/>
      <c r="H564" s="1230"/>
    </row>
    <row r="565" spans="4:8" ht="12.75" customHeight="1">
      <c r="D565" s="1231"/>
      <c r="E565" s="1230"/>
      <c r="F565" s="1230"/>
      <c r="G565" s="1230"/>
      <c r="H565" s="1230"/>
    </row>
    <row r="566" spans="4:8" ht="12.75" customHeight="1">
      <c r="D566" s="1231"/>
      <c r="E566" s="1230"/>
      <c r="F566" s="1230"/>
      <c r="G566" s="1230"/>
      <c r="H566" s="1230"/>
    </row>
    <row r="567" spans="4:8" ht="12.75" customHeight="1">
      <c r="D567" s="1231"/>
      <c r="E567" s="1230"/>
      <c r="F567" s="1230"/>
      <c r="G567" s="1230"/>
      <c r="H567" s="1230"/>
    </row>
    <row r="568" spans="4:8" ht="12.75" customHeight="1">
      <c r="D568" s="1231"/>
      <c r="E568" s="1230"/>
      <c r="F568" s="1230"/>
      <c r="G568" s="1230"/>
      <c r="H568" s="1230"/>
    </row>
    <row r="569" spans="4:8" ht="12.75" customHeight="1">
      <c r="D569" s="1231"/>
      <c r="E569" s="1230"/>
      <c r="F569" s="1230"/>
      <c r="G569" s="1230"/>
      <c r="H569" s="1230"/>
    </row>
    <row r="570" spans="4:8" ht="12.75" customHeight="1">
      <c r="D570" s="1231"/>
      <c r="E570" s="1230"/>
      <c r="F570" s="1230"/>
      <c r="G570" s="1230"/>
      <c r="H570" s="1230"/>
    </row>
    <row r="571" spans="4:8" ht="12.75" customHeight="1">
      <c r="D571" s="1231"/>
      <c r="E571" s="1230"/>
      <c r="F571" s="1230"/>
      <c r="G571" s="1230"/>
      <c r="H571" s="1230"/>
    </row>
    <row r="572" spans="4:8" ht="12.75" customHeight="1">
      <c r="D572" s="1231"/>
      <c r="E572" s="1230"/>
      <c r="F572" s="1230"/>
      <c r="G572" s="1230"/>
      <c r="H572" s="1230"/>
    </row>
    <row r="573" spans="4:8" ht="12.75" customHeight="1">
      <c r="D573" s="1231"/>
      <c r="E573" s="1230"/>
      <c r="F573" s="1230"/>
      <c r="G573" s="1230"/>
      <c r="H573" s="1230"/>
    </row>
    <row r="574" spans="4:8" ht="12.75" customHeight="1">
      <c r="D574" s="1231"/>
      <c r="E574" s="1230"/>
      <c r="F574" s="1230"/>
      <c r="G574" s="1230"/>
      <c r="H574" s="1230"/>
    </row>
    <row r="575" spans="4:8" ht="12.75" customHeight="1">
      <c r="D575" s="1231"/>
      <c r="E575" s="1230"/>
      <c r="F575" s="1230"/>
      <c r="G575" s="1230"/>
      <c r="H575" s="1230"/>
    </row>
    <row r="576" spans="4:8" ht="12.75" customHeight="1">
      <c r="D576" s="1231"/>
      <c r="E576" s="1230"/>
      <c r="F576" s="1230"/>
      <c r="G576" s="1230"/>
      <c r="H576" s="1230"/>
    </row>
    <row r="577" spans="4:8" ht="12.75" customHeight="1">
      <c r="D577" s="1231"/>
      <c r="E577" s="1230"/>
      <c r="F577" s="1230"/>
      <c r="G577" s="1230"/>
      <c r="H577" s="1230"/>
    </row>
    <row r="578" spans="4:8" ht="12.75" customHeight="1">
      <c r="D578" s="1231"/>
      <c r="E578" s="1230"/>
      <c r="F578" s="1230"/>
      <c r="G578" s="1230"/>
      <c r="H578" s="1230"/>
    </row>
    <row r="579" spans="4:8" ht="12.75" customHeight="1">
      <c r="D579" s="1231"/>
      <c r="E579" s="1230"/>
      <c r="F579" s="1230"/>
      <c r="G579" s="1230"/>
      <c r="H579" s="1230"/>
    </row>
    <row r="580" spans="4:8" ht="12.75" customHeight="1">
      <c r="D580" s="1231"/>
      <c r="E580" s="1230"/>
      <c r="F580" s="1230"/>
      <c r="G580" s="1230"/>
      <c r="H580" s="1230"/>
    </row>
    <row r="581" spans="4:8" ht="12.75" customHeight="1">
      <c r="D581" s="1231"/>
      <c r="E581" s="1230"/>
      <c r="F581" s="1230"/>
      <c r="G581" s="1230"/>
      <c r="H581" s="1230"/>
    </row>
    <row r="582" spans="4:8" ht="12.75" customHeight="1">
      <c r="D582" s="1231"/>
      <c r="E582" s="1230"/>
      <c r="F582" s="1230"/>
      <c r="G582" s="1230"/>
      <c r="H582" s="1230"/>
    </row>
    <row r="583" spans="4:8" ht="12.75" customHeight="1">
      <c r="D583" s="1231"/>
      <c r="E583" s="1230"/>
      <c r="F583" s="1230"/>
      <c r="G583" s="1230"/>
      <c r="H583" s="1230"/>
    </row>
    <row r="584" spans="4:8" ht="12.75" customHeight="1">
      <c r="D584" s="1231"/>
      <c r="E584" s="1230"/>
      <c r="F584" s="1230"/>
      <c r="G584" s="1230"/>
      <c r="H584" s="1230"/>
    </row>
    <row r="585" spans="4:8" ht="12.75" customHeight="1">
      <c r="D585" s="1231"/>
      <c r="E585" s="1230"/>
      <c r="F585" s="1230"/>
      <c r="G585" s="1230"/>
      <c r="H585" s="1230"/>
    </row>
    <row r="586" spans="4:8" ht="12.75" customHeight="1">
      <c r="D586" s="1231"/>
      <c r="E586" s="1230"/>
      <c r="F586" s="1230"/>
      <c r="G586" s="1230"/>
      <c r="H586" s="1230"/>
    </row>
    <row r="587" spans="4:8" ht="12.75" customHeight="1">
      <c r="D587" s="1231"/>
      <c r="E587" s="1230"/>
      <c r="F587" s="1230"/>
      <c r="G587" s="1230"/>
      <c r="H587" s="1230"/>
    </row>
    <row r="588" spans="4:8" ht="12.75" customHeight="1">
      <c r="D588" s="1231"/>
      <c r="E588" s="1230"/>
      <c r="F588" s="1230"/>
      <c r="G588" s="1230"/>
      <c r="H588" s="1230"/>
    </row>
    <row r="589" spans="4:8" ht="12.75" customHeight="1">
      <c r="D589" s="1231"/>
      <c r="E589" s="1230"/>
      <c r="F589" s="1230"/>
      <c r="G589" s="1230"/>
      <c r="H589" s="1230"/>
    </row>
    <row r="590" spans="4:8" ht="12.75" customHeight="1">
      <c r="D590" s="1231"/>
      <c r="E590" s="1230"/>
      <c r="F590" s="1230"/>
      <c r="G590" s="1230"/>
      <c r="H590" s="1230"/>
    </row>
    <row r="591" spans="4:8" ht="12.75" customHeight="1">
      <c r="D591" s="1231"/>
      <c r="E591" s="1230"/>
      <c r="F591" s="1230"/>
      <c r="G591" s="1230"/>
      <c r="H591" s="1230"/>
    </row>
    <row r="592" spans="4:8" ht="12.75" customHeight="1">
      <c r="D592" s="1231"/>
      <c r="E592" s="1230"/>
      <c r="F592" s="1230"/>
      <c r="G592" s="1230"/>
      <c r="H592" s="1230"/>
    </row>
    <row r="593" spans="4:8" ht="12.75" customHeight="1">
      <c r="D593" s="1231"/>
      <c r="E593" s="1230"/>
      <c r="F593" s="1230"/>
      <c r="G593" s="1230"/>
      <c r="H593" s="1230"/>
    </row>
    <row r="594" spans="4:8" ht="12.75" customHeight="1">
      <c r="D594" s="1231"/>
      <c r="E594" s="1230"/>
      <c r="F594" s="1230"/>
      <c r="G594" s="1230"/>
      <c r="H594" s="1230"/>
    </row>
    <row r="595" spans="4:8" ht="12.75" customHeight="1">
      <c r="D595" s="1231"/>
      <c r="E595" s="1230"/>
      <c r="F595" s="1230"/>
      <c r="G595" s="1230"/>
      <c r="H595" s="1230"/>
    </row>
    <row r="596" spans="4:8" ht="12.75" customHeight="1">
      <c r="D596" s="1231"/>
      <c r="E596" s="1230"/>
      <c r="F596" s="1230"/>
      <c r="G596" s="1230"/>
      <c r="H596" s="1230"/>
    </row>
    <row r="597" spans="4:8" ht="12.75" customHeight="1">
      <c r="D597" s="1231"/>
      <c r="E597" s="1230"/>
      <c r="F597" s="1230"/>
      <c r="G597" s="1230"/>
      <c r="H597" s="1230"/>
    </row>
    <row r="598" spans="4:8" ht="12.75" customHeight="1">
      <c r="D598" s="1231"/>
      <c r="E598" s="1230"/>
      <c r="F598" s="1230"/>
      <c r="G598" s="1230"/>
      <c r="H598" s="1230"/>
    </row>
    <row r="599" spans="4:8" ht="12.75" customHeight="1">
      <c r="D599" s="1231"/>
      <c r="E599" s="1230"/>
      <c r="F599" s="1230"/>
      <c r="G599" s="1230"/>
      <c r="H599" s="1230"/>
    </row>
    <row r="600" spans="4:8" ht="12.75" customHeight="1">
      <c r="D600" s="1231"/>
      <c r="E600" s="1230"/>
      <c r="F600" s="1230"/>
      <c r="G600" s="1230"/>
      <c r="H600" s="1230"/>
    </row>
    <row r="601" spans="4:8" ht="12.75" customHeight="1">
      <c r="D601" s="1231"/>
      <c r="E601" s="1230"/>
      <c r="F601" s="1230"/>
      <c r="G601" s="1230"/>
      <c r="H601" s="1230"/>
    </row>
    <row r="602" spans="4:8" ht="12.75" customHeight="1">
      <c r="D602" s="1231"/>
      <c r="E602" s="1230"/>
      <c r="F602" s="1230"/>
      <c r="G602" s="1230"/>
      <c r="H602" s="1230"/>
    </row>
    <row r="603" spans="4:8" ht="12.75" customHeight="1">
      <c r="D603" s="1231"/>
      <c r="E603" s="1230"/>
      <c r="F603" s="1230"/>
      <c r="G603" s="1230"/>
      <c r="H603" s="1230"/>
    </row>
    <row r="604" spans="4:8" ht="12.75" customHeight="1">
      <c r="D604" s="1231"/>
      <c r="E604" s="1230"/>
      <c r="F604" s="1230"/>
      <c r="G604" s="1230"/>
      <c r="H604" s="1230"/>
    </row>
    <row r="605" spans="4:8" ht="12.75" customHeight="1">
      <c r="D605" s="1231"/>
      <c r="E605" s="1230"/>
      <c r="F605" s="1230"/>
      <c r="G605" s="1230"/>
      <c r="H605" s="1230"/>
    </row>
    <row r="606" spans="4:8" ht="12.75" customHeight="1">
      <c r="D606" s="1231"/>
      <c r="E606" s="1230"/>
      <c r="F606" s="1230"/>
      <c r="G606" s="1230"/>
      <c r="H606" s="1230"/>
    </row>
    <row r="607" spans="4:8" ht="12.75" customHeight="1">
      <c r="D607" s="1231"/>
      <c r="E607" s="1230"/>
      <c r="F607" s="1230"/>
      <c r="G607" s="1230"/>
      <c r="H607" s="1230"/>
    </row>
    <row r="608" spans="4:8" ht="12.75" customHeight="1">
      <c r="D608" s="1231"/>
      <c r="E608" s="1230"/>
      <c r="F608" s="1230"/>
      <c r="G608" s="1230"/>
      <c r="H608" s="1230"/>
    </row>
    <row r="609" spans="4:8" ht="12.75" customHeight="1">
      <c r="D609" s="1231"/>
      <c r="E609" s="1230"/>
      <c r="F609" s="1230"/>
      <c r="G609" s="1230"/>
      <c r="H609" s="1230"/>
    </row>
    <row r="610" spans="4:8" ht="12.75" customHeight="1">
      <c r="D610" s="1231"/>
      <c r="E610" s="1230"/>
      <c r="F610" s="1230"/>
      <c r="G610" s="1230"/>
      <c r="H610" s="1230"/>
    </row>
    <row r="611" spans="4:8" ht="12.75" customHeight="1">
      <c r="D611" s="1231"/>
      <c r="E611" s="1230"/>
      <c r="F611" s="1230"/>
      <c r="G611" s="1230"/>
      <c r="H611" s="1230"/>
    </row>
    <row r="612" spans="4:8" ht="12.75" customHeight="1">
      <c r="D612" s="1231"/>
      <c r="E612" s="1230"/>
      <c r="F612" s="1230"/>
      <c r="G612" s="1230"/>
      <c r="H612" s="1230"/>
    </row>
    <row r="613" spans="4:8" ht="12.75" customHeight="1">
      <c r="D613" s="1231"/>
      <c r="E613" s="1230"/>
      <c r="F613" s="1230"/>
      <c r="G613" s="1230"/>
      <c r="H613" s="1230"/>
    </row>
    <row r="614" spans="4:8" ht="12.75" customHeight="1">
      <c r="D614" s="1231"/>
      <c r="E614" s="1230"/>
      <c r="F614" s="1230"/>
      <c r="G614" s="1230"/>
      <c r="H614" s="1230"/>
    </row>
    <row r="615" spans="4:8" ht="12.75" customHeight="1">
      <c r="D615" s="1231"/>
      <c r="E615" s="1230"/>
      <c r="F615" s="1230"/>
      <c r="G615" s="1230"/>
      <c r="H615" s="1230"/>
    </row>
    <row r="616" spans="4:8" ht="12.75" customHeight="1">
      <c r="D616" s="1231"/>
      <c r="E616" s="1230"/>
      <c r="F616" s="1230"/>
      <c r="G616" s="1230"/>
      <c r="H616" s="1230"/>
    </row>
    <row r="617" spans="4:8" ht="12.75" customHeight="1">
      <c r="D617" s="1231"/>
      <c r="E617" s="1230"/>
      <c r="F617" s="1230"/>
      <c r="G617" s="1230"/>
      <c r="H617" s="1230"/>
    </row>
    <row r="618" spans="4:8" ht="12.75" customHeight="1">
      <c r="D618" s="1231"/>
      <c r="E618" s="1230"/>
      <c r="F618" s="1230"/>
      <c r="G618" s="1230"/>
      <c r="H618" s="1230"/>
    </row>
    <row r="619" spans="4:8" ht="12.75" customHeight="1">
      <c r="D619" s="1231"/>
      <c r="E619" s="1230"/>
      <c r="F619" s="1230"/>
      <c r="G619" s="1230"/>
      <c r="H619" s="1230"/>
    </row>
    <row r="620" spans="4:8" ht="12.75" customHeight="1">
      <c r="D620" s="1231"/>
      <c r="E620" s="1230"/>
      <c r="F620" s="1230"/>
      <c r="G620" s="1230"/>
      <c r="H620" s="1230"/>
    </row>
    <row r="621" spans="4:8" ht="12.75" customHeight="1">
      <c r="D621" s="1231"/>
      <c r="E621" s="1230"/>
      <c r="F621" s="1230"/>
      <c r="G621" s="1230"/>
      <c r="H621" s="1230"/>
    </row>
    <row r="622" spans="4:8" ht="12.75" customHeight="1">
      <c r="D622" s="1231"/>
      <c r="E622" s="1230"/>
      <c r="F622" s="1230"/>
      <c r="G622" s="1230"/>
      <c r="H622" s="1230"/>
    </row>
    <row r="623" spans="4:8" ht="12.75" customHeight="1">
      <c r="D623" s="1231"/>
      <c r="E623" s="1230"/>
      <c r="F623" s="1230"/>
      <c r="G623" s="1230"/>
      <c r="H623" s="1230"/>
    </row>
    <row r="624" spans="4:8" ht="12.75" customHeight="1">
      <c r="D624" s="1231"/>
      <c r="E624" s="1230"/>
      <c r="F624" s="1230"/>
      <c r="G624" s="1230"/>
      <c r="H624" s="1230"/>
    </row>
    <row r="625" spans="4:8" ht="12.75" customHeight="1">
      <c r="D625" s="1231"/>
      <c r="E625" s="1230"/>
      <c r="F625" s="1230"/>
      <c r="G625" s="1230"/>
      <c r="H625" s="1230"/>
    </row>
    <row r="626" spans="4:8" ht="12.75" customHeight="1">
      <c r="D626" s="1231"/>
      <c r="E626" s="1230"/>
      <c r="F626" s="1230"/>
      <c r="G626" s="1230"/>
      <c r="H626" s="1230"/>
    </row>
    <row r="627" spans="4:8" ht="12.75" customHeight="1">
      <c r="D627" s="1231"/>
      <c r="E627" s="1230"/>
      <c r="F627" s="1230"/>
      <c r="G627" s="1230"/>
      <c r="H627" s="1230"/>
    </row>
    <row r="628" spans="4:8" ht="12.75" customHeight="1">
      <c r="D628" s="1231"/>
      <c r="E628" s="1230"/>
      <c r="F628" s="1230"/>
      <c r="G628" s="1230"/>
      <c r="H628" s="1230"/>
    </row>
    <row r="629" spans="4:8" ht="12.75" customHeight="1">
      <c r="D629" s="1231"/>
      <c r="E629" s="1230"/>
      <c r="F629" s="1230"/>
      <c r="G629" s="1230"/>
      <c r="H629" s="1230"/>
    </row>
    <row r="630" spans="4:8" ht="12.75" customHeight="1">
      <c r="D630" s="1231"/>
      <c r="E630" s="1230"/>
      <c r="F630" s="1230"/>
      <c r="G630" s="1230"/>
      <c r="H630" s="1230"/>
    </row>
    <row r="631" spans="4:8" ht="12.75" customHeight="1">
      <c r="D631" s="1231"/>
      <c r="E631" s="1230"/>
      <c r="F631" s="1230"/>
      <c r="G631" s="1230"/>
      <c r="H631" s="1230"/>
    </row>
    <row r="632" spans="4:8" ht="12.75" customHeight="1">
      <c r="D632" s="1231"/>
      <c r="E632" s="1230"/>
      <c r="F632" s="1230"/>
      <c r="G632" s="1230"/>
      <c r="H632" s="1230"/>
    </row>
    <row r="633" spans="4:8" ht="12.75" customHeight="1">
      <c r="D633" s="1231"/>
      <c r="E633" s="1230"/>
      <c r="F633" s="1230"/>
      <c r="G633" s="1230"/>
      <c r="H633" s="1230"/>
    </row>
    <row r="634" spans="4:8" ht="12.75" customHeight="1">
      <c r="D634" s="1231"/>
      <c r="E634" s="1230"/>
      <c r="F634" s="1230"/>
      <c r="G634" s="1230"/>
      <c r="H634" s="1230"/>
    </row>
    <row r="635" spans="4:8" ht="12.75" customHeight="1">
      <c r="D635" s="1231"/>
      <c r="E635" s="1230"/>
      <c r="F635" s="1230"/>
      <c r="G635" s="1230"/>
      <c r="H635" s="1230"/>
    </row>
    <row r="636" spans="4:8" ht="12.75" customHeight="1">
      <c r="D636" s="1231"/>
      <c r="E636" s="1230"/>
      <c r="F636" s="1230"/>
      <c r="G636" s="1230"/>
      <c r="H636" s="1230"/>
    </row>
    <row r="637" spans="4:8" ht="12.75" customHeight="1">
      <c r="D637" s="1231"/>
      <c r="E637" s="1230"/>
      <c r="F637" s="1230"/>
      <c r="G637" s="1230"/>
      <c r="H637" s="1230"/>
    </row>
    <row r="638" spans="4:8" ht="12.75" customHeight="1">
      <c r="D638" s="1231"/>
      <c r="E638" s="1230"/>
      <c r="F638" s="1230"/>
      <c r="G638" s="1230"/>
      <c r="H638" s="1230"/>
    </row>
    <row r="639" spans="4:8" ht="12.75" customHeight="1">
      <c r="D639" s="1231"/>
      <c r="E639" s="1230"/>
      <c r="F639" s="1230"/>
      <c r="G639" s="1230"/>
      <c r="H639" s="1230"/>
    </row>
    <row r="640" spans="4:8" ht="12.75" customHeight="1">
      <c r="D640" s="1231"/>
      <c r="E640" s="1230"/>
      <c r="F640" s="1230"/>
      <c r="G640" s="1230"/>
      <c r="H640" s="1230"/>
    </row>
    <row r="641" spans="4:8" ht="12.75" customHeight="1">
      <c r="D641" s="1231"/>
      <c r="E641" s="1230"/>
      <c r="F641" s="1230"/>
      <c r="G641" s="1230"/>
      <c r="H641" s="1230"/>
    </row>
    <row r="642" spans="4:8" ht="12.75" customHeight="1">
      <c r="D642" s="1231"/>
      <c r="E642" s="1230"/>
      <c r="F642" s="1230"/>
      <c r="G642" s="1230"/>
      <c r="H642" s="1230"/>
    </row>
    <row r="643" spans="4:8" ht="12.75" customHeight="1">
      <c r="D643" s="1231"/>
      <c r="E643" s="1230"/>
      <c r="F643" s="1230"/>
      <c r="G643" s="1230"/>
      <c r="H643" s="1230"/>
    </row>
    <row r="644" spans="4:8" ht="12.75" customHeight="1">
      <c r="D644" s="1231"/>
      <c r="E644" s="1230"/>
      <c r="F644" s="1230"/>
      <c r="G644" s="1230"/>
      <c r="H644" s="1230"/>
    </row>
    <row r="645" spans="4:8" ht="12.75" customHeight="1">
      <c r="D645" s="1231"/>
      <c r="E645" s="1230"/>
      <c r="F645" s="1230"/>
      <c r="G645" s="1230"/>
      <c r="H645" s="1230"/>
    </row>
    <row r="646" spans="4:8" ht="12.75" customHeight="1">
      <c r="D646" s="1231"/>
      <c r="E646" s="1230"/>
      <c r="F646" s="1230"/>
      <c r="G646" s="1230"/>
      <c r="H646" s="1230"/>
    </row>
    <row r="647" spans="4:8" ht="12.75" customHeight="1">
      <c r="D647" s="1231"/>
      <c r="E647" s="1230"/>
      <c r="F647" s="1230"/>
      <c r="G647" s="1230"/>
      <c r="H647" s="1230"/>
    </row>
    <row r="648" spans="4:8" ht="12.75" customHeight="1">
      <c r="D648" s="1231"/>
      <c r="E648" s="1230"/>
      <c r="F648" s="1230"/>
      <c r="G648" s="1230"/>
      <c r="H648" s="1230"/>
    </row>
    <row r="649" spans="4:8" ht="12.75" customHeight="1">
      <c r="D649" s="1231"/>
      <c r="E649" s="1230"/>
      <c r="F649" s="1230"/>
      <c r="G649" s="1230"/>
      <c r="H649" s="1230"/>
    </row>
    <row r="650" spans="4:8" ht="12.75" customHeight="1">
      <c r="D650" s="1231"/>
      <c r="E650" s="1230"/>
      <c r="F650" s="1230"/>
      <c r="G650" s="1230"/>
      <c r="H650" s="1230"/>
    </row>
    <row r="651" spans="4:8" ht="12.75" customHeight="1">
      <c r="D651" s="1231"/>
      <c r="E651" s="1230"/>
      <c r="F651" s="1230"/>
      <c r="G651" s="1230"/>
      <c r="H651" s="1230"/>
    </row>
    <row r="652" spans="4:8" ht="12.75" customHeight="1">
      <c r="D652" s="1231"/>
      <c r="E652" s="1230"/>
      <c r="F652" s="1230"/>
      <c r="G652" s="1230"/>
      <c r="H652" s="1230"/>
    </row>
    <row r="653" spans="4:8" ht="12.75" customHeight="1">
      <c r="D653" s="1231"/>
      <c r="E653" s="1230"/>
      <c r="F653" s="1230"/>
      <c r="G653" s="1230"/>
      <c r="H653" s="1230"/>
    </row>
    <row r="654" spans="4:8" ht="12.75" customHeight="1">
      <c r="D654" s="1231"/>
      <c r="E654" s="1230"/>
      <c r="F654" s="1230"/>
      <c r="G654" s="1230"/>
      <c r="H654" s="1230"/>
    </row>
    <row r="655" spans="4:8" ht="12.75" customHeight="1">
      <c r="D655" s="1231"/>
      <c r="E655" s="1230"/>
      <c r="F655" s="1230"/>
      <c r="G655" s="1230"/>
      <c r="H655" s="1230"/>
    </row>
    <row r="656" spans="4:8" ht="12.75" customHeight="1">
      <c r="D656" s="1231"/>
      <c r="E656" s="1230"/>
      <c r="F656" s="1230"/>
      <c r="G656" s="1230"/>
      <c r="H656" s="1230"/>
    </row>
    <row r="657" spans="4:8" ht="12.75" customHeight="1">
      <c r="D657" s="1231"/>
      <c r="E657" s="1230"/>
      <c r="F657" s="1230"/>
      <c r="G657" s="1230"/>
      <c r="H657" s="1230"/>
    </row>
    <row r="658" spans="4:8" ht="12.75" customHeight="1">
      <c r="D658" s="1231"/>
      <c r="E658" s="1230"/>
      <c r="F658" s="1230"/>
      <c r="G658" s="1230"/>
      <c r="H658" s="1230"/>
    </row>
    <row r="659" spans="4:8" ht="12.75" customHeight="1">
      <c r="D659" s="1231"/>
      <c r="E659" s="1230"/>
      <c r="F659" s="1230"/>
      <c r="G659" s="1230"/>
      <c r="H659" s="1230"/>
    </row>
    <row r="660" spans="4:8" ht="12.75" customHeight="1">
      <c r="D660" s="1231"/>
      <c r="E660" s="1230"/>
      <c r="F660" s="1230"/>
      <c r="G660" s="1230"/>
      <c r="H660" s="1230"/>
    </row>
    <row r="661" spans="4:8" ht="12.75" customHeight="1">
      <c r="D661" s="1231"/>
      <c r="E661" s="1230"/>
      <c r="F661" s="1230"/>
      <c r="G661" s="1230"/>
      <c r="H661" s="1230"/>
    </row>
    <row r="662" spans="4:8" ht="12.75" customHeight="1">
      <c r="D662" s="1231"/>
      <c r="E662" s="1230"/>
      <c r="F662" s="1230"/>
      <c r="G662" s="1230"/>
      <c r="H662" s="1230"/>
    </row>
    <row r="663" spans="4:8" ht="12.75" customHeight="1">
      <c r="D663" s="1231"/>
      <c r="E663" s="1230"/>
      <c r="F663" s="1230"/>
      <c r="G663" s="1230"/>
      <c r="H663" s="1230"/>
    </row>
    <row r="664" spans="4:8" ht="12.75" customHeight="1">
      <c r="D664" s="1231"/>
      <c r="E664" s="1230"/>
      <c r="F664" s="1230"/>
      <c r="G664" s="1230"/>
      <c r="H664" s="1230"/>
    </row>
    <row r="665" spans="4:8" ht="12.75" customHeight="1">
      <c r="D665" s="1231"/>
      <c r="E665" s="1230"/>
      <c r="F665" s="1230"/>
      <c r="G665" s="1230"/>
      <c r="H665" s="1230"/>
    </row>
    <row r="666" spans="4:8" ht="12.75" customHeight="1">
      <c r="D666" s="1231"/>
      <c r="E666" s="1230"/>
      <c r="F666" s="1230"/>
      <c r="G666" s="1230"/>
      <c r="H666" s="1230"/>
    </row>
    <row r="667" spans="4:8" ht="12.75" customHeight="1">
      <c r="D667" s="1231"/>
      <c r="E667" s="1230"/>
      <c r="F667" s="1230"/>
      <c r="G667" s="1230"/>
      <c r="H667" s="1230"/>
    </row>
    <row r="668" spans="4:8" ht="12.75" customHeight="1">
      <c r="D668" s="1231"/>
      <c r="E668" s="1230"/>
      <c r="F668" s="1230"/>
      <c r="G668" s="1230"/>
      <c r="H668" s="1230"/>
    </row>
    <row r="669" spans="4:8" ht="12.75" customHeight="1">
      <c r="D669" s="1231"/>
      <c r="E669" s="1230"/>
      <c r="F669" s="1230"/>
      <c r="G669" s="1230"/>
      <c r="H669" s="1230"/>
    </row>
    <row r="670" spans="4:8" ht="12.75" customHeight="1">
      <c r="D670" s="1231"/>
      <c r="E670" s="1230"/>
      <c r="F670" s="1230"/>
      <c r="G670" s="1230"/>
      <c r="H670" s="1230"/>
    </row>
    <row r="671" spans="4:8" ht="12.75" customHeight="1">
      <c r="D671" s="1231"/>
      <c r="E671" s="1230"/>
      <c r="F671" s="1230"/>
      <c r="G671" s="1230"/>
      <c r="H671" s="1230"/>
    </row>
    <row r="672" spans="4:8" ht="12.75" customHeight="1">
      <c r="D672" s="1231"/>
      <c r="E672" s="1230"/>
      <c r="F672" s="1230"/>
      <c r="G672" s="1230"/>
      <c r="H672" s="1230"/>
    </row>
    <row r="673" spans="4:8" ht="12.75" customHeight="1">
      <c r="D673" s="1231"/>
      <c r="E673" s="1230"/>
      <c r="F673" s="1230"/>
      <c r="G673" s="1230"/>
      <c r="H673" s="1230"/>
    </row>
    <row r="674" spans="4:8" ht="12.75" customHeight="1">
      <c r="D674" s="1231"/>
      <c r="E674" s="1230"/>
      <c r="F674" s="1230"/>
      <c r="G674" s="1230"/>
      <c r="H674" s="1230"/>
    </row>
    <row r="675" spans="4:8" ht="12.75" customHeight="1">
      <c r="D675" s="1231"/>
      <c r="E675" s="1230"/>
      <c r="F675" s="1230"/>
      <c r="G675" s="1230"/>
      <c r="H675" s="1230"/>
    </row>
    <row r="676" spans="4:8" ht="12.75" customHeight="1">
      <c r="D676" s="1231"/>
      <c r="E676" s="1230"/>
      <c r="F676" s="1230"/>
      <c r="G676" s="1230"/>
      <c r="H676" s="1230"/>
    </row>
    <row r="677" spans="4:8" ht="12.75" customHeight="1">
      <c r="D677" s="1231"/>
      <c r="E677" s="1230"/>
      <c r="F677" s="1230"/>
      <c r="G677" s="1230"/>
      <c r="H677" s="1230"/>
    </row>
    <row r="678" spans="4:8" ht="12.75" customHeight="1">
      <c r="D678" s="1231"/>
      <c r="E678" s="1230"/>
      <c r="F678" s="1230"/>
      <c r="G678" s="1230"/>
      <c r="H678" s="1230"/>
    </row>
    <row r="679" spans="4:8" ht="12.75" customHeight="1">
      <c r="D679" s="1231"/>
      <c r="E679" s="1230"/>
      <c r="F679" s="1230"/>
      <c r="G679" s="1230"/>
      <c r="H679" s="1230"/>
    </row>
    <row r="680" spans="4:8" ht="12.75" customHeight="1">
      <c r="D680" s="1231"/>
      <c r="E680" s="1230"/>
      <c r="F680" s="1230"/>
      <c r="G680" s="1230"/>
      <c r="H680" s="1230"/>
    </row>
    <row r="681" spans="4:8" ht="12.75" customHeight="1">
      <c r="D681" s="1231"/>
      <c r="E681" s="1230"/>
      <c r="F681" s="1230"/>
      <c r="G681" s="1230"/>
      <c r="H681" s="1230"/>
    </row>
    <row r="682" spans="4:8" ht="12.75" customHeight="1">
      <c r="D682" s="1231"/>
      <c r="E682" s="1230"/>
      <c r="F682" s="1230"/>
      <c r="G682" s="1230"/>
      <c r="H682" s="1230"/>
    </row>
    <row r="683" spans="4:8" ht="12.75" customHeight="1">
      <c r="D683" s="1231"/>
      <c r="E683" s="1230"/>
      <c r="F683" s="1230"/>
      <c r="G683" s="1230"/>
      <c r="H683" s="1230"/>
    </row>
    <row r="684" spans="4:8" ht="12.75" customHeight="1">
      <c r="D684" s="1231"/>
      <c r="E684" s="1230"/>
      <c r="F684" s="1230"/>
      <c r="G684" s="1230"/>
      <c r="H684" s="1230"/>
    </row>
    <row r="685" spans="4:8" ht="12.75" customHeight="1">
      <c r="D685" s="1231"/>
      <c r="E685" s="1230"/>
      <c r="F685" s="1230"/>
      <c r="G685" s="1230"/>
      <c r="H685" s="1230"/>
    </row>
    <row r="686" spans="4:8" ht="12.75" customHeight="1">
      <c r="D686" s="1231"/>
      <c r="E686" s="1230"/>
      <c r="F686" s="1230"/>
      <c r="G686" s="1230"/>
      <c r="H686" s="1230"/>
    </row>
    <row r="687" spans="4:8" ht="12.75" customHeight="1">
      <c r="D687" s="1231"/>
      <c r="E687" s="1230"/>
      <c r="F687" s="1230"/>
      <c r="G687" s="1230"/>
      <c r="H687" s="1230"/>
    </row>
    <row r="688" spans="4:8" ht="12.75" customHeight="1">
      <c r="D688" s="1231"/>
      <c r="E688" s="1230"/>
      <c r="F688" s="1230"/>
      <c r="G688" s="1230"/>
      <c r="H688" s="1230"/>
    </row>
    <row r="689" spans="4:8" ht="12.75" customHeight="1">
      <c r="D689" s="1231"/>
      <c r="E689" s="1230"/>
      <c r="F689" s="1230"/>
      <c r="G689" s="1230"/>
      <c r="H689" s="1230"/>
    </row>
    <row r="690" spans="4:8" ht="12.75" customHeight="1">
      <c r="D690" s="1231"/>
      <c r="E690" s="1230"/>
      <c r="F690" s="1230"/>
      <c r="G690" s="1230"/>
      <c r="H690" s="1230"/>
    </row>
    <row r="691" spans="4:8" ht="12.75" customHeight="1">
      <c r="D691" s="1231"/>
      <c r="E691" s="1230"/>
      <c r="F691" s="1230"/>
      <c r="G691" s="1230"/>
      <c r="H691" s="1230"/>
    </row>
    <row r="692" spans="4:8" ht="12.75" customHeight="1">
      <c r="D692" s="1231"/>
      <c r="E692" s="1230"/>
      <c r="F692" s="1230"/>
      <c r="G692" s="1230"/>
      <c r="H692" s="1230"/>
    </row>
    <row r="693" spans="4:8" ht="12.75" customHeight="1">
      <c r="D693" s="1231"/>
      <c r="E693" s="1230"/>
      <c r="F693" s="1230"/>
      <c r="G693" s="1230"/>
      <c r="H693" s="1230"/>
    </row>
    <row r="694" spans="4:8" ht="12.75" customHeight="1">
      <c r="D694" s="1231"/>
      <c r="E694" s="1230"/>
      <c r="F694" s="1230"/>
      <c r="G694" s="1230"/>
      <c r="H694" s="1230"/>
    </row>
    <row r="695" spans="4:8" ht="12.75" customHeight="1">
      <c r="D695" s="1231"/>
      <c r="E695" s="1230"/>
      <c r="F695" s="1230"/>
      <c r="G695" s="1230"/>
      <c r="H695" s="1230"/>
    </row>
    <row r="696" spans="4:8" ht="12.75" customHeight="1">
      <c r="D696" s="1231"/>
      <c r="E696" s="1230"/>
      <c r="F696" s="1230"/>
      <c r="G696" s="1230"/>
      <c r="H696" s="1230"/>
    </row>
    <row r="697" spans="4:8" ht="12.75" customHeight="1">
      <c r="D697" s="1231"/>
      <c r="E697" s="1230"/>
      <c r="F697" s="1230"/>
      <c r="G697" s="1230"/>
      <c r="H697" s="1230"/>
    </row>
    <row r="698" spans="4:8" ht="12.75" customHeight="1">
      <c r="D698" s="1231"/>
      <c r="E698" s="1230"/>
      <c r="F698" s="1230"/>
      <c r="G698" s="1230"/>
      <c r="H698" s="1230"/>
    </row>
    <row r="699" spans="4:8" ht="12.75" customHeight="1">
      <c r="D699" s="1231"/>
      <c r="E699" s="1230"/>
      <c r="F699" s="1230"/>
      <c r="G699" s="1230"/>
      <c r="H699" s="1230"/>
    </row>
    <row r="700" spans="4:8" ht="12.75" customHeight="1">
      <c r="D700" s="1231"/>
      <c r="E700" s="1230"/>
      <c r="F700" s="1230"/>
      <c r="G700" s="1230"/>
      <c r="H700" s="1230"/>
    </row>
    <row r="701" spans="4:8" ht="12.75" customHeight="1">
      <c r="D701" s="1231"/>
      <c r="E701" s="1230"/>
      <c r="F701" s="1230"/>
      <c r="G701" s="1230"/>
      <c r="H701" s="1230"/>
    </row>
    <row r="702" spans="4:8" ht="12.75" customHeight="1">
      <c r="D702" s="1231"/>
      <c r="E702" s="1230"/>
      <c r="F702" s="1230"/>
      <c r="G702" s="1230"/>
      <c r="H702" s="1230"/>
    </row>
    <row r="703" spans="4:8" ht="12.75" customHeight="1">
      <c r="D703" s="1231"/>
      <c r="E703" s="1230"/>
      <c r="F703" s="1230"/>
      <c r="G703" s="1230"/>
      <c r="H703" s="1230"/>
    </row>
    <row r="704" spans="4:8" ht="12.75" customHeight="1">
      <c r="D704" s="1231"/>
      <c r="E704" s="1230"/>
      <c r="F704" s="1230"/>
      <c r="G704" s="1230"/>
      <c r="H704" s="1230"/>
    </row>
    <row r="705" spans="4:8" ht="12.75" customHeight="1">
      <c r="D705" s="1231"/>
      <c r="E705" s="1230"/>
      <c r="F705" s="1230"/>
      <c r="G705" s="1230"/>
      <c r="H705" s="1230"/>
    </row>
    <row r="706" spans="4:8" ht="12.75" customHeight="1">
      <c r="D706" s="1231"/>
      <c r="E706" s="1230"/>
      <c r="F706" s="1230"/>
      <c r="G706" s="1230"/>
      <c r="H706" s="1230"/>
    </row>
    <row r="707" spans="4:8" ht="12.75" customHeight="1">
      <c r="D707" s="1231"/>
      <c r="E707" s="1230"/>
      <c r="F707" s="1230"/>
      <c r="G707" s="1230"/>
      <c r="H707" s="1230"/>
    </row>
    <row r="708" spans="4:8" ht="12.75" customHeight="1">
      <c r="D708" s="1231"/>
      <c r="E708" s="1230"/>
      <c r="F708" s="1230"/>
      <c r="G708" s="1230"/>
      <c r="H708" s="1230"/>
    </row>
    <row r="709" spans="4:8" ht="12.75" customHeight="1">
      <c r="D709" s="1231"/>
      <c r="E709" s="1230"/>
      <c r="F709" s="1230"/>
      <c r="G709" s="1230"/>
      <c r="H709" s="1230"/>
    </row>
    <row r="710" spans="4:8" ht="12.75" customHeight="1">
      <c r="D710" s="1231"/>
      <c r="E710" s="1230"/>
      <c r="F710" s="1230"/>
      <c r="G710" s="1230"/>
      <c r="H710" s="1230"/>
    </row>
    <row r="711" spans="4:8" ht="12.75" customHeight="1">
      <c r="D711" s="1231"/>
      <c r="E711" s="1230"/>
      <c r="F711" s="1230"/>
      <c r="G711" s="1230"/>
      <c r="H711" s="1230"/>
    </row>
    <row r="712" spans="4:8" ht="12.75" customHeight="1">
      <c r="D712" s="1231"/>
      <c r="E712" s="1230"/>
      <c r="F712" s="1230"/>
      <c r="G712" s="1230"/>
      <c r="H712" s="1230"/>
    </row>
    <row r="713" spans="4:8" ht="12.75" customHeight="1">
      <c r="D713" s="1231"/>
      <c r="E713" s="1230"/>
      <c r="F713" s="1230"/>
      <c r="G713" s="1230"/>
      <c r="H713" s="1230"/>
    </row>
    <row r="714" spans="4:8" ht="12.75" customHeight="1">
      <c r="D714" s="1231"/>
      <c r="E714" s="1230"/>
      <c r="F714" s="1230"/>
      <c r="G714" s="1230"/>
      <c r="H714" s="1230"/>
    </row>
    <row r="715" spans="4:8" ht="12.75" customHeight="1">
      <c r="D715" s="1231"/>
      <c r="E715" s="1230"/>
      <c r="F715" s="1230"/>
      <c r="G715" s="1230"/>
      <c r="H715" s="1230"/>
    </row>
    <row r="716" spans="4:8" ht="12.75" customHeight="1">
      <c r="D716" s="1231"/>
      <c r="E716" s="1230"/>
      <c r="F716" s="1230"/>
      <c r="G716" s="1230"/>
      <c r="H716" s="1230"/>
    </row>
    <row r="717" spans="4:8" ht="12.75" customHeight="1">
      <c r="D717" s="1231"/>
      <c r="E717" s="1230"/>
      <c r="F717" s="1230"/>
      <c r="G717" s="1230"/>
      <c r="H717" s="1230"/>
    </row>
    <row r="718" spans="4:8" ht="12.75" customHeight="1">
      <c r="D718" s="1231"/>
      <c r="E718" s="1230"/>
      <c r="F718" s="1230"/>
      <c r="G718" s="1230"/>
      <c r="H718" s="1230"/>
    </row>
    <row r="719" spans="4:8" ht="12.75" customHeight="1">
      <c r="D719" s="1231"/>
      <c r="E719" s="1230"/>
      <c r="F719" s="1230"/>
      <c r="G719" s="1230"/>
      <c r="H719" s="1230"/>
    </row>
    <row r="720" spans="4:8" ht="12.75" customHeight="1">
      <c r="D720" s="1231"/>
      <c r="E720" s="1230"/>
      <c r="F720" s="1230"/>
      <c r="G720" s="1230"/>
      <c r="H720" s="1230"/>
    </row>
    <row r="721" spans="4:8" ht="12.75" customHeight="1">
      <c r="D721" s="1231"/>
      <c r="E721" s="1230"/>
      <c r="F721" s="1230"/>
      <c r="G721" s="1230"/>
      <c r="H721" s="1230"/>
    </row>
    <row r="722" spans="4:8" ht="12.75" customHeight="1">
      <c r="D722" s="1231"/>
      <c r="E722" s="1230"/>
      <c r="F722" s="1230"/>
      <c r="G722" s="1230"/>
      <c r="H722" s="1230"/>
    </row>
    <row r="723" spans="4:8" ht="12.75" customHeight="1">
      <c r="D723" s="1231"/>
      <c r="E723" s="1230"/>
      <c r="F723" s="1230"/>
      <c r="G723" s="1230"/>
      <c r="H723" s="1230"/>
    </row>
    <row r="724" spans="4:8" ht="12.75" customHeight="1">
      <c r="D724" s="1231"/>
      <c r="E724" s="1230"/>
      <c r="F724" s="1230"/>
      <c r="G724" s="1230"/>
      <c r="H724" s="1230"/>
    </row>
    <row r="725" spans="4:8" ht="12.75" customHeight="1">
      <c r="D725" s="1231"/>
      <c r="E725" s="1230"/>
      <c r="F725" s="1230"/>
      <c r="G725" s="1230"/>
      <c r="H725" s="1230"/>
    </row>
    <row r="726" spans="4:8" ht="12.75" customHeight="1">
      <c r="D726" s="1231"/>
      <c r="E726" s="1230"/>
      <c r="F726" s="1230"/>
      <c r="G726" s="1230"/>
      <c r="H726" s="1230"/>
    </row>
    <row r="727" spans="4:8" ht="12.75" customHeight="1">
      <c r="D727" s="1231"/>
      <c r="E727" s="1230"/>
      <c r="F727" s="1230"/>
      <c r="G727" s="1230"/>
      <c r="H727" s="1230"/>
    </row>
    <row r="728" spans="4:8" ht="12.75" customHeight="1">
      <c r="D728" s="1231"/>
      <c r="E728" s="1230"/>
      <c r="F728" s="1230"/>
      <c r="G728" s="1230"/>
      <c r="H728" s="1230"/>
    </row>
    <row r="729" spans="4:8" ht="12.75" customHeight="1">
      <c r="D729" s="1231"/>
      <c r="E729" s="1230"/>
      <c r="F729" s="1230"/>
      <c r="G729" s="1230"/>
      <c r="H729" s="1230"/>
    </row>
    <row r="730" spans="4:8" ht="12.75" customHeight="1">
      <c r="D730" s="1231"/>
      <c r="E730" s="1230"/>
      <c r="F730" s="1230"/>
      <c r="G730" s="1230"/>
      <c r="H730" s="1230"/>
    </row>
    <row r="731" spans="4:8" ht="12.75" customHeight="1">
      <c r="D731" s="1231"/>
      <c r="E731" s="1230"/>
      <c r="F731" s="1230"/>
      <c r="G731" s="1230"/>
      <c r="H731" s="1230"/>
    </row>
    <row r="732" spans="4:8" ht="12.75" customHeight="1">
      <c r="D732" s="1231"/>
      <c r="E732" s="1230"/>
      <c r="F732" s="1230"/>
      <c r="G732" s="1230"/>
      <c r="H732" s="1230"/>
    </row>
    <row r="733" spans="4:8" ht="12.75" customHeight="1">
      <c r="D733" s="1231"/>
      <c r="E733" s="1230"/>
      <c r="F733" s="1230"/>
      <c r="G733" s="1230"/>
      <c r="H733" s="1230"/>
    </row>
    <row r="734" spans="4:8" ht="12.75" customHeight="1">
      <c r="D734" s="1231"/>
      <c r="E734" s="1230"/>
      <c r="F734" s="1230"/>
      <c r="G734" s="1230"/>
      <c r="H734" s="1230"/>
    </row>
    <row r="735" spans="4:8" ht="12.75" customHeight="1">
      <c r="D735" s="1231"/>
      <c r="E735" s="1230"/>
      <c r="F735" s="1230"/>
      <c r="G735" s="1230"/>
      <c r="H735" s="1230"/>
    </row>
    <row r="736" spans="4:8" ht="12.75" customHeight="1">
      <c r="D736" s="1231"/>
      <c r="E736" s="1230"/>
      <c r="F736" s="1230"/>
      <c r="G736" s="1230"/>
      <c r="H736" s="1230"/>
    </row>
    <row r="737" spans="4:8" ht="12.75" customHeight="1">
      <c r="D737" s="1231"/>
      <c r="E737" s="1230"/>
      <c r="F737" s="1230"/>
      <c r="G737" s="1230"/>
      <c r="H737" s="1230"/>
    </row>
    <row r="738" spans="4:8" ht="12.75" customHeight="1">
      <c r="D738" s="1231"/>
      <c r="E738" s="1230"/>
      <c r="F738" s="1230"/>
      <c r="G738" s="1230"/>
      <c r="H738" s="1230"/>
    </row>
    <row r="739" spans="4:8" ht="12.75" customHeight="1">
      <c r="D739" s="1231"/>
      <c r="E739" s="1230"/>
      <c r="F739" s="1230"/>
      <c r="G739" s="1230"/>
      <c r="H739" s="1230"/>
    </row>
    <row r="740" spans="4:8" ht="12.75" customHeight="1">
      <c r="D740" s="1231"/>
      <c r="E740" s="1230"/>
      <c r="F740" s="1230"/>
      <c r="G740" s="1230"/>
      <c r="H740" s="1230"/>
    </row>
    <row r="741" spans="4:8" ht="12.75" customHeight="1">
      <c r="D741" s="1231"/>
      <c r="E741" s="1230"/>
      <c r="F741" s="1230"/>
      <c r="G741" s="1230"/>
      <c r="H741" s="1230"/>
    </row>
    <row r="742" spans="4:8" ht="12.75" customHeight="1">
      <c r="D742" s="1231"/>
      <c r="E742" s="1230"/>
      <c r="F742" s="1230"/>
      <c r="G742" s="1230"/>
      <c r="H742" s="1230"/>
    </row>
    <row r="743" spans="4:8" ht="13.5" customHeight="1">
      <c r="D743" s="1231"/>
      <c r="E743" s="1230"/>
      <c r="F743" s="1230"/>
      <c r="G743" s="1230"/>
      <c r="H743" s="1230"/>
    </row>
    <row r="744" spans="4:8" ht="12.75" customHeight="1">
      <c r="D744" s="1231"/>
      <c r="E744" s="1230"/>
      <c r="F744" s="1230"/>
      <c r="G744" s="1230"/>
      <c r="H744" s="1230"/>
    </row>
    <row r="745" spans="4:8" ht="12.75" customHeight="1">
      <c r="D745" s="1231"/>
      <c r="E745" s="1230"/>
      <c r="F745" s="1230"/>
      <c r="G745" s="1230"/>
      <c r="H745" s="1230"/>
    </row>
    <row r="746" spans="4:8" ht="12.75" customHeight="1">
      <c r="D746" s="1231"/>
      <c r="E746" s="1230"/>
      <c r="F746" s="1230"/>
      <c r="G746" s="1230"/>
      <c r="H746" s="1230"/>
    </row>
    <row r="747" spans="4:8" ht="12.75" customHeight="1">
      <c r="D747" s="1231"/>
      <c r="E747" s="1230"/>
      <c r="F747" s="1230"/>
      <c r="G747" s="1230"/>
      <c r="H747" s="1230"/>
    </row>
    <row r="748" spans="4:8" ht="12.75" customHeight="1">
      <c r="D748" s="1231"/>
      <c r="E748" s="1230"/>
      <c r="F748" s="1230"/>
      <c r="G748" s="1230"/>
      <c r="H748" s="1230"/>
    </row>
    <row r="749" spans="4:8" ht="12.75" customHeight="1">
      <c r="D749" s="1231"/>
      <c r="E749" s="1230"/>
      <c r="F749" s="1230"/>
      <c r="G749" s="1230"/>
      <c r="H749" s="1230"/>
    </row>
    <row r="750" spans="4:8" ht="12.75" customHeight="1">
      <c r="D750" s="1231"/>
      <c r="E750" s="1230"/>
      <c r="F750" s="1230"/>
      <c r="G750" s="1230"/>
      <c r="H750" s="1230"/>
    </row>
    <row r="751" spans="4:8" ht="12.75" customHeight="1">
      <c r="D751" s="1231"/>
      <c r="E751" s="1230"/>
      <c r="F751" s="1230"/>
      <c r="G751" s="1230"/>
      <c r="H751" s="1230"/>
    </row>
    <row r="752" spans="4:8" ht="12.75" customHeight="1">
      <c r="D752" s="1231"/>
      <c r="E752" s="1230"/>
      <c r="F752" s="1230"/>
      <c r="G752" s="1230"/>
      <c r="H752" s="1230"/>
    </row>
    <row r="753" spans="4:8" ht="12.75" customHeight="1">
      <c r="D753" s="1231"/>
      <c r="E753" s="1230"/>
      <c r="F753" s="1230"/>
      <c r="G753" s="1230"/>
      <c r="H753" s="1230"/>
    </row>
    <row r="754" spans="4:8" ht="12.75" customHeight="1">
      <c r="D754" s="1231"/>
      <c r="E754" s="1230"/>
      <c r="F754" s="1230"/>
      <c r="G754" s="1230"/>
      <c r="H754" s="1230"/>
    </row>
    <row r="755" spans="4:8" ht="12.75" customHeight="1">
      <c r="D755" s="1231"/>
      <c r="E755" s="1230"/>
      <c r="F755" s="1230"/>
      <c r="G755" s="1230"/>
      <c r="H755" s="1230"/>
    </row>
    <row r="756" spans="4:8" ht="12.75" customHeight="1">
      <c r="D756" s="1231"/>
      <c r="E756" s="1230"/>
      <c r="F756" s="1230"/>
      <c r="G756" s="1230"/>
      <c r="H756" s="1230"/>
    </row>
    <row r="757" spans="4:8" ht="12.75" customHeight="1">
      <c r="D757" s="1231"/>
      <c r="E757" s="1230"/>
      <c r="F757" s="1230"/>
      <c r="G757" s="1230"/>
      <c r="H757" s="1230"/>
    </row>
    <row r="758" spans="4:8" ht="12.75" customHeight="1">
      <c r="D758" s="1231"/>
      <c r="E758" s="1230"/>
      <c r="F758" s="1230"/>
      <c r="G758" s="1230"/>
      <c r="H758" s="1230"/>
    </row>
    <row r="759" spans="4:8" ht="12.75" customHeight="1">
      <c r="D759" s="1231"/>
      <c r="E759" s="1230"/>
      <c r="F759" s="1230"/>
      <c r="G759" s="1230"/>
      <c r="H759" s="1230"/>
    </row>
    <row r="760" spans="4:8" ht="12.75" customHeight="1">
      <c r="D760" s="1231"/>
      <c r="E760" s="1230"/>
      <c r="F760" s="1230"/>
      <c r="G760" s="1230"/>
      <c r="H760" s="1230"/>
    </row>
    <row r="761" spans="4:8" ht="12.75" customHeight="1">
      <c r="D761" s="1231"/>
      <c r="E761" s="1230"/>
      <c r="F761" s="1230"/>
      <c r="G761" s="1230"/>
      <c r="H761" s="1230"/>
    </row>
    <row r="762" spans="4:8" ht="12.75" customHeight="1">
      <c r="D762" s="1231"/>
      <c r="E762" s="1230"/>
      <c r="F762" s="1230"/>
      <c r="G762" s="1230"/>
      <c r="H762" s="1230"/>
    </row>
    <row r="763" spans="4:8" ht="12.75" customHeight="1">
      <c r="D763" s="1231"/>
      <c r="E763" s="1230"/>
      <c r="F763" s="1230"/>
      <c r="G763" s="1230"/>
      <c r="H763" s="1230"/>
    </row>
    <row r="764" spans="4:8" ht="12.75" customHeight="1">
      <c r="D764" s="1231"/>
      <c r="E764" s="1230"/>
      <c r="F764" s="1230"/>
      <c r="G764" s="1230"/>
      <c r="H764" s="1230"/>
    </row>
    <row r="765" spans="4:8" ht="12.75" customHeight="1">
      <c r="D765" s="1231"/>
      <c r="E765" s="1230"/>
      <c r="F765" s="1230"/>
      <c r="G765" s="1230"/>
      <c r="H765" s="1230"/>
    </row>
    <row r="766" spans="4:8" ht="12.75" customHeight="1">
      <c r="D766" s="1231"/>
      <c r="E766" s="1230"/>
      <c r="F766" s="1230"/>
      <c r="G766" s="1230"/>
      <c r="H766" s="1230"/>
    </row>
    <row r="767" spans="4:8" ht="12.75" customHeight="1">
      <c r="D767" s="1231"/>
      <c r="E767" s="1230"/>
      <c r="F767" s="1230"/>
      <c r="G767" s="1230"/>
      <c r="H767" s="1230"/>
    </row>
    <row r="768" spans="4:8" ht="12.75" customHeight="1">
      <c r="D768" s="1231"/>
      <c r="E768" s="1230"/>
      <c r="F768" s="1230"/>
      <c r="G768" s="1230"/>
      <c r="H768" s="1230"/>
    </row>
    <row r="769" spans="4:30" ht="12.75" customHeight="1">
      <c r="D769" s="1231"/>
      <c r="E769" s="1230"/>
      <c r="F769" s="1230"/>
      <c r="G769" s="1230"/>
      <c r="H769" s="1230"/>
      <c r="I769" s="1189"/>
      <c r="J769" s="1189"/>
      <c r="K769" s="1189"/>
      <c r="L769" s="1225"/>
      <c r="M769" s="1189"/>
      <c r="N769" s="1189"/>
      <c r="O769" s="1189"/>
      <c r="P769" s="1189"/>
      <c r="Q769" s="1189"/>
      <c r="R769" s="1189"/>
      <c r="S769" s="1189"/>
      <c r="T769" s="1208"/>
      <c r="U769" s="1208"/>
      <c r="V769" s="1189"/>
      <c r="W769" s="1189"/>
      <c r="X769" s="1189"/>
      <c r="Y769" s="1189"/>
      <c r="Z769" s="1189"/>
      <c r="AA769" s="1189"/>
      <c r="AB769" s="1189"/>
      <c r="AC769" s="1189"/>
      <c r="AD769" s="1189"/>
    </row>
    <row r="770" spans="4:30" ht="12.75" customHeight="1">
      <c r="D770" s="1231"/>
      <c r="E770" s="1230"/>
      <c r="F770" s="1230"/>
      <c r="G770" s="1230"/>
      <c r="H770" s="1230"/>
      <c r="I770" s="1189"/>
      <c r="J770" s="1189"/>
      <c r="K770" s="1189"/>
      <c r="L770" s="1225"/>
      <c r="M770" s="1189"/>
      <c r="N770" s="1189"/>
      <c r="O770" s="1189"/>
      <c r="P770" s="1189"/>
      <c r="Q770" s="1189"/>
      <c r="R770" s="1189"/>
      <c r="S770" s="1189"/>
      <c r="T770" s="1208"/>
      <c r="U770" s="1208"/>
      <c r="V770" s="1189"/>
      <c r="W770" s="1189"/>
      <c r="X770" s="1189"/>
      <c r="Y770" s="1189"/>
      <c r="Z770" s="1189"/>
      <c r="AA770" s="1189"/>
      <c r="AB770" s="1189"/>
      <c r="AC770" s="1189"/>
      <c r="AD770" s="1189">
        <v>1</v>
      </c>
    </row>
    <row r="771" spans="4:30" ht="12.75" customHeight="1">
      <c r="D771" s="1231"/>
      <c r="E771" s="1230"/>
      <c r="F771" s="1230"/>
      <c r="G771" s="1230"/>
      <c r="H771" s="1230"/>
      <c r="I771" s="1189"/>
      <c r="J771" s="1189"/>
      <c r="K771" s="1189"/>
      <c r="L771" s="1225"/>
      <c r="M771" s="1189"/>
      <c r="N771" s="1189"/>
      <c r="O771" s="1189"/>
      <c r="P771" s="1189"/>
      <c r="Q771" s="1189"/>
      <c r="R771" s="1189"/>
      <c r="S771" s="1189"/>
      <c r="T771" s="1208"/>
      <c r="U771" s="1208"/>
      <c r="V771" s="1189"/>
      <c r="W771" s="1189"/>
      <c r="X771" s="1189"/>
      <c r="Y771" s="1189"/>
      <c r="Z771" s="1189"/>
      <c r="AA771" s="1189"/>
      <c r="AB771" s="1189"/>
      <c r="AC771" s="1189"/>
      <c r="AD771" s="1189"/>
    </row>
    <row r="772" spans="4:30" ht="12.75" customHeight="1">
      <c r="D772" s="1231"/>
      <c r="E772" s="1230"/>
      <c r="F772" s="1230"/>
      <c r="G772" s="1230"/>
      <c r="H772" s="1230"/>
      <c r="I772" s="1189"/>
      <c r="J772" s="1189"/>
      <c r="K772" s="1189"/>
      <c r="L772" s="1225"/>
      <c r="M772" s="1189"/>
      <c r="N772" s="1189"/>
      <c r="O772" s="1189"/>
      <c r="P772" s="1189"/>
      <c r="Q772" s="1189"/>
      <c r="R772" s="1189"/>
      <c r="S772" s="1189"/>
      <c r="T772" s="1208"/>
      <c r="U772" s="1208"/>
      <c r="V772" s="1189"/>
      <c r="W772" s="1189"/>
      <c r="X772" s="1189"/>
      <c r="Y772" s="1189"/>
      <c r="Z772" s="1189"/>
      <c r="AA772" s="1189"/>
      <c r="AB772" s="1189"/>
      <c r="AC772" s="1189"/>
      <c r="AD772" s="1189"/>
    </row>
    <row r="773" spans="4:30" ht="12.75" customHeight="1">
      <c r="D773" s="1231"/>
      <c r="E773" s="1230"/>
      <c r="F773" s="1230"/>
      <c r="G773" s="1230"/>
      <c r="H773" s="1230"/>
      <c r="I773" s="1189"/>
      <c r="J773" s="1189"/>
      <c r="K773" s="1189"/>
      <c r="L773" s="1225"/>
      <c r="M773" s="1189"/>
      <c r="N773" s="1189"/>
      <c r="O773" s="1189"/>
      <c r="P773" s="1189"/>
      <c r="Q773" s="1189"/>
      <c r="R773" s="1189"/>
      <c r="S773" s="1189"/>
      <c r="T773" s="1208"/>
      <c r="U773" s="1208"/>
      <c r="V773" s="1189"/>
      <c r="W773" s="1189"/>
      <c r="X773" s="1189"/>
      <c r="Y773" s="1189"/>
      <c r="Z773" s="1189"/>
      <c r="AA773" s="1189"/>
      <c r="AB773" s="1189"/>
      <c r="AC773" s="1189"/>
      <c r="AD773" s="1189"/>
    </row>
    <row r="774" spans="4:30" ht="12.75" customHeight="1">
      <c r="D774" s="1231"/>
      <c r="E774" s="1230"/>
      <c r="F774" s="1230"/>
      <c r="G774" s="1230"/>
      <c r="H774" s="1230"/>
      <c r="I774" s="1189"/>
      <c r="J774" s="1189"/>
      <c r="K774" s="1189"/>
      <c r="L774" s="1225"/>
      <c r="M774" s="1189"/>
      <c r="N774" s="1189"/>
      <c r="O774" s="1189"/>
      <c r="P774" s="1189"/>
      <c r="Q774" s="1189"/>
      <c r="R774" s="1189"/>
      <c r="S774" s="1189"/>
      <c r="T774" s="1208"/>
      <c r="U774" s="1208"/>
      <c r="V774" s="1189"/>
      <c r="W774" s="1189"/>
      <c r="X774" s="1189"/>
      <c r="Y774" s="1189"/>
      <c r="Z774" s="1189"/>
      <c r="AA774" s="1189"/>
      <c r="AB774" s="1189"/>
      <c r="AC774" s="1189"/>
      <c r="AD774" s="1189"/>
    </row>
    <row r="775" spans="4:30" ht="12.75" customHeight="1">
      <c r="D775" s="1231"/>
      <c r="E775" s="1230"/>
      <c r="F775" s="1230"/>
      <c r="G775" s="1230"/>
      <c r="H775" s="1230"/>
      <c r="I775" s="1189"/>
      <c r="J775" s="1189"/>
      <c r="K775" s="1189"/>
      <c r="L775" s="1225"/>
      <c r="M775" s="1189"/>
      <c r="N775" s="1189"/>
      <c r="O775" s="1189"/>
      <c r="P775" s="1189"/>
      <c r="Q775" s="1189"/>
      <c r="R775" s="1189"/>
      <c r="S775" s="1189"/>
      <c r="T775" s="1208"/>
      <c r="U775" s="1208"/>
      <c r="V775" s="1189"/>
      <c r="W775" s="1189"/>
      <c r="X775" s="1189"/>
      <c r="Y775" s="1189"/>
      <c r="Z775" s="1189"/>
      <c r="AA775" s="1189"/>
      <c r="AB775" s="1189"/>
      <c r="AC775" s="1189"/>
      <c r="AD775" s="1189"/>
    </row>
    <row r="776" spans="4:30" ht="12.75" customHeight="1">
      <c r="D776" s="1231"/>
      <c r="E776" s="1230"/>
      <c r="F776" s="1230"/>
      <c r="G776" s="1230"/>
      <c r="H776" s="1230"/>
      <c r="I776" s="1189"/>
      <c r="J776" s="1189"/>
      <c r="K776" s="1189"/>
      <c r="L776" s="1225"/>
      <c r="M776" s="1189"/>
      <c r="N776" s="1189"/>
      <c r="O776" s="1189"/>
      <c r="P776" s="1189"/>
      <c r="Q776" s="1189"/>
      <c r="R776" s="1189"/>
      <c r="S776" s="1189"/>
      <c r="T776" s="1208"/>
      <c r="U776" s="1208"/>
      <c r="V776" s="1189"/>
      <c r="W776" s="1189"/>
      <c r="X776" s="1189"/>
      <c r="Y776" s="1189"/>
      <c r="Z776" s="1189"/>
      <c r="AA776" s="1189"/>
      <c r="AB776" s="1189"/>
      <c r="AC776" s="1189"/>
      <c r="AD776" s="1189"/>
    </row>
    <row r="777" spans="4:30" ht="12.75" customHeight="1">
      <c r="D777" s="1231"/>
      <c r="E777" s="1230"/>
      <c r="F777" s="1230"/>
      <c r="G777" s="1230"/>
      <c r="H777" s="1230"/>
      <c r="I777" s="1189"/>
      <c r="J777" s="1189"/>
      <c r="K777" s="1189"/>
      <c r="L777" s="1225"/>
      <c r="M777" s="1189"/>
      <c r="N777" s="1189"/>
      <c r="O777" s="1189"/>
      <c r="P777" s="1189"/>
      <c r="Q777" s="1189"/>
      <c r="R777" s="1189"/>
      <c r="S777" s="1189"/>
      <c r="T777" s="1208"/>
      <c r="U777" s="1208"/>
      <c r="V777" s="1189"/>
      <c r="W777" s="1189"/>
      <c r="X777" s="1189"/>
      <c r="Y777" s="1189"/>
      <c r="Z777" s="1189"/>
      <c r="AA777" s="1189"/>
      <c r="AB777" s="1189"/>
      <c r="AC777" s="1189"/>
      <c r="AD777" s="1189"/>
    </row>
    <row r="778" spans="4:30" ht="12.75" customHeight="1">
      <c r="D778" s="1231"/>
      <c r="E778" s="1230"/>
      <c r="F778" s="1230"/>
      <c r="G778" s="1230"/>
      <c r="H778" s="1230"/>
      <c r="I778" s="1189"/>
      <c r="J778" s="1189"/>
      <c r="K778" s="1189"/>
      <c r="L778" s="1225"/>
      <c r="M778" s="1189"/>
      <c r="N778" s="1189"/>
      <c r="O778" s="1189"/>
      <c r="P778" s="1189"/>
      <c r="Q778" s="1189"/>
      <c r="R778" s="1189"/>
      <c r="S778" s="1189"/>
      <c r="T778" s="1208"/>
      <c r="U778" s="1208"/>
      <c r="V778" s="1189"/>
      <c r="W778" s="1189"/>
      <c r="X778" s="1189"/>
      <c r="Y778" s="1189"/>
      <c r="Z778" s="1189"/>
      <c r="AA778" s="1189"/>
      <c r="AB778" s="1189"/>
      <c r="AC778" s="1189"/>
      <c r="AD778" s="1189"/>
    </row>
    <row r="779" spans="4:30" ht="12.75" customHeight="1">
      <c r="D779" s="1231"/>
      <c r="E779" s="1230"/>
      <c r="F779" s="1230"/>
      <c r="G779" s="1230"/>
      <c r="H779" s="1230"/>
      <c r="I779" s="1189"/>
      <c r="J779" s="1189"/>
      <c r="K779" s="1189"/>
      <c r="L779" s="1225"/>
      <c r="M779" s="1189"/>
      <c r="N779" s="1189"/>
      <c r="O779" s="1189"/>
      <c r="P779" s="1189"/>
      <c r="Q779" s="1189"/>
      <c r="R779" s="1189"/>
      <c r="S779" s="1189"/>
      <c r="T779" s="1208"/>
      <c r="U779" s="1208"/>
      <c r="V779" s="1189"/>
      <c r="W779" s="1189"/>
      <c r="X779" s="1189"/>
      <c r="Y779" s="1189"/>
      <c r="Z779" s="1189"/>
      <c r="AA779" s="1189"/>
      <c r="AB779" s="1189"/>
      <c r="AC779" s="1189"/>
      <c r="AD779" s="1189"/>
    </row>
    <row r="780" spans="4:30" ht="12.75" customHeight="1">
      <c r="D780" s="1231"/>
      <c r="E780" s="1230"/>
      <c r="F780" s="1230"/>
      <c r="G780" s="1230"/>
      <c r="H780" s="1230"/>
      <c r="I780" s="1189"/>
      <c r="J780" s="1189"/>
      <c r="K780" s="1189"/>
      <c r="L780" s="1225"/>
      <c r="M780" s="1189"/>
      <c r="N780" s="1189"/>
      <c r="O780" s="1189"/>
      <c r="P780" s="1189"/>
      <c r="Q780" s="1189"/>
      <c r="R780" s="1189"/>
      <c r="S780" s="1189"/>
      <c r="T780" s="1208"/>
      <c r="U780" s="1208"/>
      <c r="V780" s="1189"/>
      <c r="W780" s="1189"/>
      <c r="X780" s="1189"/>
      <c r="Y780" s="1189"/>
      <c r="Z780" s="1189"/>
      <c r="AA780" s="1189"/>
      <c r="AB780" s="1189"/>
      <c r="AC780" s="1189"/>
      <c r="AD780" s="1189"/>
    </row>
    <row r="781" spans="4:30" ht="12.75" customHeight="1">
      <c r="D781" s="1231"/>
      <c r="E781" s="1230"/>
      <c r="F781" s="1230"/>
      <c r="G781" s="1230"/>
      <c r="H781" s="1230"/>
      <c r="I781" s="1189"/>
      <c r="J781" s="1189"/>
      <c r="K781" s="1189"/>
      <c r="L781" s="1225"/>
      <c r="M781" s="1189"/>
      <c r="N781" s="1189"/>
      <c r="O781" s="1189"/>
      <c r="P781" s="1189"/>
      <c r="Q781" s="1189"/>
      <c r="R781" s="1189"/>
      <c r="S781" s="1189"/>
      <c r="T781" s="1208"/>
      <c r="U781" s="1208"/>
      <c r="V781" s="1189"/>
      <c r="W781" s="1189"/>
      <c r="X781" s="1189"/>
      <c r="Y781" s="1189"/>
      <c r="Z781" s="1189"/>
      <c r="AA781" s="1189"/>
      <c r="AB781" s="1189"/>
      <c r="AC781" s="1189"/>
      <c r="AD781" s="1189"/>
    </row>
    <row r="782" spans="4:30" ht="12.75" customHeight="1">
      <c r="D782" s="1231"/>
      <c r="E782" s="1230"/>
      <c r="F782" s="1230"/>
      <c r="G782" s="1230"/>
      <c r="H782" s="1230"/>
      <c r="I782" s="1189"/>
      <c r="J782" s="1189"/>
      <c r="K782" s="1189"/>
      <c r="L782" s="1225"/>
      <c r="M782" s="1189"/>
      <c r="N782" s="1189"/>
      <c r="O782" s="1189"/>
      <c r="P782" s="1189"/>
      <c r="Q782" s="1189"/>
      <c r="R782" s="1189"/>
      <c r="S782" s="1189"/>
      <c r="T782" s="1208"/>
      <c r="U782" s="1208"/>
      <c r="V782" s="1189"/>
      <c r="W782" s="1189"/>
      <c r="X782" s="1189"/>
      <c r="Y782" s="1189"/>
      <c r="Z782" s="1189"/>
      <c r="AA782" s="1189"/>
      <c r="AB782" s="1189"/>
      <c r="AC782" s="1189"/>
      <c r="AD782" s="1189"/>
    </row>
    <row r="783" spans="4:30" ht="12.75" customHeight="1">
      <c r="D783" s="1231"/>
      <c r="E783" s="1230"/>
      <c r="F783" s="1230"/>
      <c r="G783" s="1230"/>
      <c r="H783" s="1230"/>
      <c r="I783" s="1189"/>
      <c r="J783" s="1189"/>
      <c r="K783" s="1189"/>
      <c r="L783" s="1225"/>
      <c r="M783" s="1189"/>
      <c r="N783" s="1189"/>
      <c r="O783" s="1189"/>
      <c r="P783" s="1189"/>
      <c r="Q783" s="1189"/>
      <c r="R783" s="1189"/>
      <c r="S783" s="1189"/>
      <c r="T783" s="1208"/>
      <c r="U783" s="1208"/>
      <c r="V783" s="1189"/>
      <c r="W783" s="1189"/>
      <c r="X783" s="1189"/>
      <c r="Y783" s="1189"/>
      <c r="Z783" s="1189"/>
      <c r="AA783" s="1189"/>
      <c r="AB783" s="1189"/>
      <c r="AC783" s="1189"/>
      <c r="AD783" s="1189"/>
    </row>
    <row r="784" spans="4:30" ht="12.75" customHeight="1">
      <c r="D784" s="1231"/>
      <c r="E784" s="1230"/>
      <c r="F784" s="1230"/>
      <c r="G784" s="1230"/>
      <c r="H784" s="1230"/>
      <c r="I784" s="1189"/>
      <c r="J784" s="1189"/>
      <c r="K784" s="1189"/>
      <c r="L784" s="1225"/>
      <c r="M784" s="1189"/>
      <c r="N784" s="1189"/>
      <c r="O784" s="1189"/>
      <c r="P784" s="1189"/>
      <c r="Q784" s="1189"/>
      <c r="R784" s="1189"/>
      <c r="S784" s="1189"/>
      <c r="T784" s="1208"/>
      <c r="U784" s="1208"/>
      <c r="V784" s="1189"/>
      <c r="W784" s="1189"/>
      <c r="X784" s="1189"/>
      <c r="Y784" s="1189"/>
      <c r="Z784" s="1189"/>
      <c r="AA784" s="1189"/>
      <c r="AB784" s="1189"/>
      <c r="AC784" s="1189"/>
      <c r="AD784" s="1189"/>
    </row>
    <row r="785" spans="4:31" ht="12.75" customHeight="1">
      <c r="D785" s="1231"/>
      <c r="E785" s="1230"/>
      <c r="F785" s="1230"/>
      <c r="G785" s="1230"/>
      <c r="H785" s="1230"/>
      <c r="I785" s="1189"/>
      <c r="J785" s="1189"/>
      <c r="K785" s="1189"/>
      <c r="L785" s="1225"/>
      <c r="M785" s="1189"/>
      <c r="N785" s="1189"/>
      <c r="O785" s="1189"/>
      <c r="P785" s="1189"/>
      <c r="Q785" s="1189"/>
      <c r="R785" s="1189"/>
      <c r="S785" s="1189"/>
      <c r="T785" s="1208"/>
      <c r="U785" s="1208"/>
      <c r="V785" s="1189"/>
      <c r="W785" s="1189"/>
      <c r="X785" s="1189"/>
      <c r="Y785" s="1189"/>
      <c r="Z785" s="1189"/>
      <c r="AA785" s="1189"/>
      <c r="AB785" s="1189"/>
      <c r="AC785" s="1189"/>
      <c r="AD785" s="1189"/>
      <c r="AE785" s="1189"/>
    </row>
    <row r="786" spans="4:31" ht="12.75" customHeight="1">
      <c r="D786" s="1231"/>
      <c r="E786" s="1230"/>
      <c r="F786" s="1230"/>
      <c r="G786" s="1230"/>
      <c r="H786" s="1230"/>
      <c r="I786" s="1189"/>
      <c r="J786" s="1189"/>
      <c r="K786" s="1189"/>
      <c r="L786" s="1225"/>
      <c r="M786" s="1189"/>
      <c r="N786" s="1189"/>
      <c r="O786" s="1189"/>
      <c r="P786" s="1189"/>
      <c r="Q786" s="1189"/>
      <c r="R786" s="1189"/>
      <c r="S786" s="1189"/>
      <c r="T786" s="1208"/>
      <c r="U786" s="1208"/>
      <c r="V786" s="1189"/>
      <c r="W786" s="1189"/>
      <c r="X786" s="1189"/>
      <c r="Y786" s="1189"/>
      <c r="Z786" s="1189"/>
      <c r="AA786" s="1189"/>
      <c r="AB786" s="1189"/>
      <c r="AC786" s="1189"/>
      <c r="AD786" s="1189"/>
      <c r="AE786" s="1189"/>
    </row>
    <row r="787" spans="4:31" ht="12.75" customHeight="1">
      <c r="D787" s="1231"/>
      <c r="E787" s="1230"/>
      <c r="F787" s="1230"/>
      <c r="G787" s="1230"/>
      <c r="H787" s="1230"/>
      <c r="I787" s="1189"/>
      <c r="J787" s="1189"/>
      <c r="K787" s="1189"/>
      <c r="L787" s="1225"/>
      <c r="M787" s="1189"/>
      <c r="N787" s="1189"/>
      <c r="O787" s="1189"/>
      <c r="P787" s="1189"/>
      <c r="Q787" s="1189"/>
      <c r="R787" s="1189"/>
      <c r="S787" s="1189"/>
      <c r="T787" s="1208"/>
      <c r="U787" s="1208"/>
      <c r="V787" s="1189"/>
      <c r="W787" s="1189"/>
      <c r="X787" s="1189"/>
      <c r="Y787" s="1189"/>
      <c r="Z787" s="1189"/>
      <c r="AA787" s="1189"/>
      <c r="AB787" s="1189"/>
      <c r="AC787" s="1189"/>
      <c r="AD787" s="1189"/>
      <c r="AE787" s="1189"/>
    </row>
    <row r="788" spans="4:31" ht="12.75" customHeight="1">
      <c r="D788" s="1231"/>
      <c r="E788" s="1230"/>
      <c r="F788" s="1230"/>
      <c r="G788" s="1230"/>
      <c r="H788" s="1230"/>
      <c r="I788" s="1189"/>
      <c r="J788" s="1189"/>
      <c r="K788" s="1189"/>
      <c r="L788" s="1225"/>
      <c r="M788" s="1189"/>
      <c r="N788" s="1189"/>
      <c r="O788" s="1189"/>
      <c r="P788" s="1189"/>
      <c r="Q788" s="1189"/>
      <c r="R788" s="1189"/>
      <c r="S788" s="1189"/>
      <c r="T788" s="1208"/>
      <c r="U788" s="1208"/>
      <c r="V788" s="1189"/>
      <c r="W788" s="1189"/>
      <c r="X788" s="1189"/>
      <c r="Y788" s="1189"/>
      <c r="Z788" s="1189"/>
      <c r="AA788" s="1189"/>
      <c r="AB788" s="1189"/>
      <c r="AC788" s="1189"/>
      <c r="AD788" s="1189"/>
      <c r="AE788" s="1189"/>
    </row>
    <row r="789" spans="4:31" ht="12.75" customHeight="1">
      <c r="D789" s="1231"/>
      <c r="E789" s="1230"/>
      <c r="F789" s="1230"/>
      <c r="G789" s="1230"/>
      <c r="H789" s="1230"/>
      <c r="I789" s="1189"/>
      <c r="J789" s="1189"/>
      <c r="K789" s="1189"/>
      <c r="L789" s="1225"/>
      <c r="M789" s="1189"/>
      <c r="N789" s="1189"/>
      <c r="O789" s="1189"/>
      <c r="P789" s="1189"/>
      <c r="Q789" s="1189"/>
      <c r="R789" s="1189"/>
      <c r="S789" s="1189"/>
      <c r="T789" s="1208"/>
      <c r="U789" s="1208"/>
      <c r="V789" s="1189"/>
      <c r="W789" s="1189"/>
      <c r="X789" s="1189"/>
      <c r="Y789" s="1189"/>
      <c r="Z789" s="1189"/>
      <c r="AA789" s="1189"/>
      <c r="AB789" s="1189"/>
      <c r="AC789" s="1189"/>
      <c r="AD789" s="1189"/>
      <c r="AE789" s="1189"/>
    </row>
    <row r="790" spans="4:31" ht="12.75" customHeight="1">
      <c r="D790" s="1231"/>
      <c r="E790" s="1230"/>
      <c r="F790" s="1230"/>
      <c r="G790" s="1230"/>
      <c r="H790" s="1230"/>
      <c r="I790" s="1189"/>
      <c r="J790" s="1189"/>
      <c r="K790" s="1189"/>
      <c r="L790" s="1225"/>
      <c r="M790" s="1189"/>
      <c r="N790" s="1189"/>
      <c r="O790" s="1189"/>
      <c r="P790" s="1189"/>
      <c r="Q790" s="1189"/>
      <c r="R790" s="1189"/>
      <c r="S790" s="1189"/>
      <c r="T790" s="1208"/>
      <c r="U790" s="1208"/>
      <c r="V790" s="1189"/>
      <c r="W790" s="1189"/>
      <c r="X790" s="1189"/>
      <c r="Y790" s="1189"/>
      <c r="Z790" s="1189"/>
      <c r="AA790" s="1189"/>
      <c r="AB790" s="1189"/>
      <c r="AC790" s="1189"/>
      <c r="AD790" s="1189"/>
      <c r="AE790" s="1189"/>
    </row>
    <row r="791" spans="4:31" ht="12.75" customHeight="1">
      <c r="D791" s="1231"/>
      <c r="E791" s="1230"/>
      <c r="F791" s="1230"/>
      <c r="G791" s="1230"/>
      <c r="H791" s="1230"/>
      <c r="I791" s="1189"/>
      <c r="J791" s="1189"/>
      <c r="K791" s="1189"/>
      <c r="L791" s="1225"/>
      <c r="M791" s="1189"/>
      <c r="N791" s="1189"/>
      <c r="O791" s="1189"/>
      <c r="P791" s="1189"/>
      <c r="Q791" s="1189"/>
      <c r="R791" s="1189"/>
      <c r="S791" s="1189"/>
      <c r="T791" s="1208"/>
      <c r="U791" s="1208"/>
      <c r="V791" s="1189"/>
      <c r="W791" s="1189"/>
      <c r="X791" s="1189"/>
      <c r="Y791" s="1189"/>
      <c r="Z791" s="1189"/>
      <c r="AA791" s="1189"/>
      <c r="AB791" s="1189"/>
      <c r="AC791" s="1189"/>
      <c r="AD791" s="1189"/>
      <c r="AE791" s="1189"/>
    </row>
    <row r="792" spans="4:31" ht="12.75" customHeight="1">
      <c r="D792" s="1231"/>
      <c r="E792" s="1230"/>
      <c r="F792" s="1230"/>
      <c r="G792" s="1230"/>
      <c r="H792" s="1230"/>
      <c r="I792" s="1189"/>
      <c r="J792" s="1189"/>
      <c r="K792" s="1189"/>
      <c r="L792" s="1225"/>
      <c r="M792" s="1189"/>
      <c r="N792" s="1189"/>
      <c r="O792" s="1189"/>
      <c r="P792" s="1189"/>
      <c r="Q792" s="1189"/>
      <c r="R792" s="1189"/>
      <c r="S792" s="1189"/>
      <c r="T792" s="1208"/>
      <c r="U792" s="1208"/>
      <c r="V792" s="1189"/>
      <c r="W792" s="1189"/>
      <c r="X792" s="1189"/>
      <c r="Y792" s="1189"/>
      <c r="Z792" s="1189"/>
      <c r="AA792" s="1189"/>
      <c r="AB792" s="1189"/>
      <c r="AC792" s="1189"/>
      <c r="AD792" s="1189"/>
      <c r="AE792" s="1189"/>
    </row>
    <row r="793" spans="4:31" ht="12" customHeight="1">
      <c r="D793" s="1231"/>
      <c r="E793" s="1189"/>
      <c r="F793" s="1230"/>
      <c r="G793" s="1230"/>
      <c r="H793" s="1230"/>
      <c r="I793" s="1189"/>
      <c r="J793" s="1189"/>
      <c r="K793" s="1189"/>
      <c r="L793" s="1225"/>
      <c r="M793" s="1189"/>
      <c r="N793" s="1189"/>
      <c r="O793" s="1189"/>
      <c r="P793" s="1189"/>
      <c r="Q793" s="1189"/>
      <c r="R793" s="1189"/>
      <c r="S793" s="1189"/>
      <c r="T793" s="1208"/>
      <c r="U793" s="1208"/>
      <c r="V793" s="1189"/>
      <c r="W793" s="1189"/>
      <c r="X793" s="1189"/>
      <c r="Y793" s="1189"/>
      <c r="Z793" s="1189"/>
      <c r="AA793" s="1189"/>
      <c r="AB793" s="1189"/>
      <c r="AC793" s="1189"/>
      <c r="AD793" s="1189"/>
      <c r="AE793" s="1189"/>
    </row>
    <row r="794" spans="4:31" ht="12.75" customHeight="1">
      <c r="D794" s="1231"/>
      <c r="E794" s="1189"/>
      <c r="F794" s="1230"/>
      <c r="G794" s="1230"/>
      <c r="H794" s="1230"/>
      <c r="I794" s="1189"/>
      <c r="J794" s="1189"/>
      <c r="K794" s="1189"/>
      <c r="L794" s="1225"/>
      <c r="M794" s="1189"/>
      <c r="N794" s="1189"/>
      <c r="O794" s="1189"/>
      <c r="P794" s="1189"/>
      <c r="Q794" s="1189"/>
      <c r="R794" s="1189"/>
      <c r="S794" s="1189"/>
      <c r="T794" s="1208"/>
      <c r="U794" s="1208"/>
      <c r="V794" s="1189"/>
      <c r="W794" s="1189"/>
      <c r="X794" s="1189"/>
      <c r="Y794" s="1189"/>
      <c r="Z794" s="1189"/>
      <c r="AA794" s="1189"/>
      <c r="AB794" s="1189"/>
      <c r="AC794" s="1189"/>
      <c r="AD794" s="1189"/>
      <c r="AE794" s="1189"/>
    </row>
    <row r="795" spans="4:31" ht="12.75" customHeight="1">
      <c r="D795" s="1189"/>
      <c r="E795" s="1189"/>
      <c r="F795" s="1189"/>
      <c r="G795" s="1189"/>
      <c r="H795" s="1189"/>
      <c r="I795" s="1189"/>
      <c r="J795" s="1189"/>
      <c r="K795" s="1189"/>
      <c r="L795" s="1225"/>
      <c r="M795" s="1189"/>
      <c r="N795" s="1189"/>
      <c r="O795" s="1189"/>
      <c r="P795" s="1189"/>
      <c r="Q795" s="1189"/>
      <c r="R795" s="1189"/>
      <c r="S795" s="1189"/>
      <c r="T795" s="1208"/>
      <c r="U795" s="1208"/>
      <c r="V795" s="1189"/>
      <c r="W795" s="1189"/>
      <c r="X795" s="1189"/>
      <c r="Y795" s="1189"/>
      <c r="Z795" s="1189"/>
      <c r="AA795" s="1189"/>
      <c r="AB795" s="1189"/>
      <c r="AC795" s="1189"/>
      <c r="AD795" s="1189"/>
      <c r="AE795" s="1189"/>
    </row>
    <row r="796" spans="4:31" ht="12.75" customHeight="1">
      <c r="D796" s="1189"/>
      <c r="E796" s="1189"/>
      <c r="F796" s="1189"/>
      <c r="G796" s="1189"/>
      <c r="H796" s="1189"/>
      <c r="I796" s="1189"/>
      <c r="J796" s="1189"/>
      <c r="K796" s="1189"/>
      <c r="L796" s="1225"/>
      <c r="M796" s="1189"/>
      <c r="N796" s="1189"/>
      <c r="O796" s="1189"/>
      <c r="P796" s="1189"/>
      <c r="Q796" s="1189"/>
      <c r="R796" s="1189"/>
      <c r="S796" s="1189"/>
      <c r="T796" s="1208"/>
      <c r="U796" s="1208"/>
      <c r="V796" s="1189"/>
      <c r="W796" s="1189"/>
      <c r="X796" s="1189"/>
      <c r="Y796" s="1189"/>
      <c r="Z796" s="1189"/>
      <c r="AA796" s="1189"/>
      <c r="AB796" s="1189"/>
      <c r="AC796" s="1189"/>
      <c r="AD796" s="1189"/>
      <c r="AE796" s="1189"/>
    </row>
    <row r="797" spans="4:31" ht="12.75" customHeight="1">
      <c r="D797" s="1189"/>
      <c r="E797" s="1189"/>
      <c r="F797" s="1189"/>
      <c r="G797" s="1189"/>
      <c r="H797" s="1189"/>
      <c r="I797" s="1189"/>
      <c r="J797" s="1189"/>
      <c r="K797" s="1189"/>
      <c r="L797" s="1225"/>
      <c r="M797" s="1189"/>
      <c r="N797" s="1189"/>
      <c r="O797" s="1189"/>
      <c r="P797" s="1189"/>
      <c r="Q797" s="1189"/>
      <c r="R797" s="1189"/>
      <c r="S797" s="1189"/>
      <c r="T797" s="1208"/>
      <c r="U797" s="1208"/>
      <c r="V797" s="1189"/>
      <c r="W797" s="1189"/>
      <c r="X797" s="1189"/>
      <c r="Y797" s="1189"/>
      <c r="Z797" s="1189"/>
      <c r="AA797" s="1189"/>
      <c r="AB797" s="1189"/>
      <c r="AC797" s="1189"/>
      <c r="AD797" s="1189"/>
      <c r="AE797" s="1189"/>
    </row>
    <row r="798" spans="4:31" ht="12.75" customHeight="1">
      <c r="D798" s="1189"/>
      <c r="E798" s="1189"/>
      <c r="F798" s="1189"/>
      <c r="G798" s="1189"/>
      <c r="H798" s="1189"/>
      <c r="I798" s="1189"/>
      <c r="J798" s="1189"/>
      <c r="K798" s="1189"/>
      <c r="L798" s="1225"/>
      <c r="M798" s="1189"/>
      <c r="N798" s="1189"/>
      <c r="O798" s="1189"/>
      <c r="P798" s="1189"/>
      <c r="Q798" s="1189"/>
      <c r="R798" s="1189"/>
      <c r="S798" s="1189"/>
      <c r="T798" s="1208"/>
      <c r="U798" s="1208"/>
      <c r="V798" s="1189"/>
      <c r="W798" s="1189"/>
      <c r="X798" s="1189"/>
      <c r="Y798" s="1189"/>
      <c r="Z798" s="1189"/>
      <c r="AA798" s="1189"/>
      <c r="AB798" s="1189"/>
      <c r="AC798" s="1189"/>
      <c r="AD798" s="1189"/>
      <c r="AE798" s="1249"/>
    </row>
    <row r="799" spans="4:31" ht="12.75" customHeight="1">
      <c r="D799" s="1189"/>
      <c r="E799" s="1189"/>
      <c r="F799" s="1189"/>
      <c r="G799" s="1189"/>
      <c r="H799" s="1189"/>
      <c r="I799" s="1189"/>
      <c r="J799" s="1189"/>
      <c r="K799" s="1189"/>
      <c r="L799" s="1225"/>
      <c r="M799" s="1189"/>
      <c r="N799" s="1189"/>
      <c r="O799" s="1189"/>
      <c r="P799" s="1189"/>
      <c r="Q799" s="1189"/>
      <c r="R799" s="1189"/>
      <c r="S799" s="1189"/>
      <c r="T799" s="1208"/>
      <c r="U799" s="1208"/>
      <c r="V799" s="1189"/>
      <c r="W799" s="1189"/>
      <c r="X799" s="1189"/>
      <c r="Y799" s="1189"/>
      <c r="Z799" s="1189"/>
      <c r="AA799" s="1189"/>
      <c r="AB799" s="1189"/>
      <c r="AC799" s="1189"/>
      <c r="AD799" s="1189"/>
      <c r="AE799" s="1189"/>
    </row>
    <row r="800" spans="4:31" ht="12.75" customHeight="1">
      <c r="D800" s="1189"/>
      <c r="E800" s="1189"/>
      <c r="F800" s="1189"/>
      <c r="G800" s="1189"/>
      <c r="H800" s="1189"/>
      <c r="I800" s="1189"/>
      <c r="J800" s="1189"/>
      <c r="K800" s="1189"/>
      <c r="L800" s="1225"/>
      <c r="M800" s="1189"/>
      <c r="N800" s="1189"/>
      <c r="O800" s="1189"/>
      <c r="P800" s="1189"/>
      <c r="Q800" s="1189"/>
      <c r="R800" s="1189"/>
      <c r="S800" s="1189"/>
      <c r="T800" s="1208"/>
      <c r="U800" s="1208"/>
      <c r="V800" s="1189"/>
      <c r="W800" s="1189"/>
      <c r="X800" s="1189"/>
      <c r="Y800" s="1189"/>
      <c r="Z800" s="1189"/>
      <c r="AA800" s="1189"/>
      <c r="AB800" s="1189"/>
      <c r="AC800" s="1189"/>
      <c r="AD800" s="1189"/>
      <c r="AE800" s="1189"/>
    </row>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6">
    <mergeCell ref="F35:I35"/>
    <mergeCell ref="F36:I36"/>
    <mergeCell ref="F37:I37"/>
    <mergeCell ref="F39:G39"/>
    <mergeCell ref="B58:C58"/>
    <mergeCell ref="D58:F58"/>
    <mergeCell ref="G58:I58"/>
    <mergeCell ref="F15:I15"/>
    <mergeCell ref="F16:I16"/>
    <mergeCell ref="F17:I17"/>
    <mergeCell ref="F19:I19"/>
    <mergeCell ref="F20:I20"/>
    <mergeCell ref="F22:I22"/>
    <mergeCell ref="F24:I24"/>
    <mergeCell ref="F34:I34"/>
    <mergeCell ref="B28:C28"/>
    <mergeCell ref="F38:I38"/>
    <mergeCell ref="F46:I46"/>
    <mergeCell ref="F48:I48"/>
    <mergeCell ref="F49:I49"/>
    <mergeCell ref="F50:I50"/>
    <mergeCell ref="F51:I51"/>
    <mergeCell ref="F52:I52"/>
    <mergeCell ref="K65:L65"/>
    <mergeCell ref="N65:O65"/>
    <mergeCell ref="T63:U63"/>
    <mergeCell ref="T59:U59"/>
    <mergeCell ref="T60:U60"/>
    <mergeCell ref="T61:U61"/>
    <mergeCell ref="T52:U52"/>
    <mergeCell ref="T53:U53"/>
    <mergeCell ref="T54:U54"/>
    <mergeCell ref="T55:U55"/>
    <mergeCell ref="T56:U56"/>
    <mergeCell ref="N53:O53"/>
    <mergeCell ref="K54:L54"/>
    <mergeCell ref="N54:O54"/>
    <mergeCell ref="K55:L55"/>
    <mergeCell ref="N55:O55"/>
    <mergeCell ref="K56:L56"/>
    <mergeCell ref="N56:O56"/>
    <mergeCell ref="K57:L57"/>
    <mergeCell ref="N57:O57"/>
    <mergeCell ref="N58:O58"/>
    <mergeCell ref="K59:L59"/>
    <mergeCell ref="N59:O59"/>
    <mergeCell ref="K60:L60"/>
    <mergeCell ref="L258:M258"/>
    <mergeCell ref="K257:M257"/>
    <mergeCell ref="B81:D81"/>
    <mergeCell ref="C82:D82"/>
    <mergeCell ref="F82:H82"/>
    <mergeCell ref="K70:M70"/>
    <mergeCell ref="O70:Q70"/>
    <mergeCell ref="L71:M71"/>
    <mergeCell ref="O71:Q71"/>
    <mergeCell ref="P257:Q257"/>
    <mergeCell ref="F81:I81"/>
    <mergeCell ref="D69:F70"/>
    <mergeCell ref="G69:I70"/>
    <mergeCell ref="D72:F72"/>
    <mergeCell ref="K44:L44"/>
    <mergeCell ref="N44:O44"/>
    <mergeCell ref="T50:U50"/>
    <mergeCell ref="T51:U51"/>
    <mergeCell ref="T57:U57"/>
    <mergeCell ref="K46:L46"/>
    <mergeCell ref="N46:O46"/>
    <mergeCell ref="K47:L47"/>
    <mergeCell ref="N47:O47"/>
    <mergeCell ref="K48:L48"/>
    <mergeCell ref="K45:L45"/>
    <mergeCell ref="N45:O45"/>
    <mergeCell ref="T45:U45"/>
    <mergeCell ref="K53:L53"/>
    <mergeCell ref="P48:Q48"/>
    <mergeCell ref="P49:Q49"/>
    <mergeCell ref="P50:Q50"/>
    <mergeCell ref="P51:Q51"/>
    <mergeCell ref="P52:Q52"/>
    <mergeCell ref="T44:U44"/>
    <mergeCell ref="N63:O63"/>
    <mergeCell ref="K63:L63"/>
    <mergeCell ref="K64:L64"/>
    <mergeCell ref="N64:O64"/>
    <mergeCell ref="T62:U62"/>
    <mergeCell ref="T58:U58"/>
    <mergeCell ref="T48:U48"/>
    <mergeCell ref="T49:U49"/>
    <mergeCell ref="T46:U46"/>
    <mergeCell ref="T47:U47"/>
    <mergeCell ref="N48:O48"/>
    <mergeCell ref="K49:L49"/>
    <mergeCell ref="N49:O49"/>
    <mergeCell ref="K50:L50"/>
    <mergeCell ref="N50:O50"/>
    <mergeCell ref="K51:L51"/>
    <mergeCell ref="N51:O51"/>
    <mergeCell ref="K52:L52"/>
    <mergeCell ref="N52:O52"/>
    <mergeCell ref="N60:O60"/>
    <mergeCell ref="K61:L61"/>
    <mergeCell ref="N61:O61"/>
    <mergeCell ref="K62:L62"/>
    <mergeCell ref="N62:O62"/>
    <mergeCell ref="K38:L38"/>
    <mergeCell ref="N38:O38"/>
    <mergeCell ref="T38:U38"/>
    <mergeCell ref="K39:L39"/>
    <mergeCell ref="N39:O39"/>
    <mergeCell ref="T39:U39"/>
    <mergeCell ref="T40:U40"/>
    <mergeCell ref="K43:L43"/>
    <mergeCell ref="N43:O43"/>
    <mergeCell ref="T43:U43"/>
    <mergeCell ref="K40:L40"/>
    <mergeCell ref="N40:O40"/>
    <mergeCell ref="K42:L42"/>
    <mergeCell ref="N42:O42"/>
    <mergeCell ref="K41:L41"/>
    <mergeCell ref="N41:O41"/>
    <mergeCell ref="T41:U41"/>
    <mergeCell ref="T42:U42"/>
    <mergeCell ref="P38:Q38"/>
    <mergeCell ref="P39:Q39"/>
    <mergeCell ref="P40:Q40"/>
    <mergeCell ref="P41:Q41"/>
    <mergeCell ref="P42:Q42"/>
    <mergeCell ref="P43:Q43"/>
    <mergeCell ref="K36:L36"/>
    <mergeCell ref="N36:O36"/>
    <mergeCell ref="T36:U36"/>
    <mergeCell ref="K37:L37"/>
    <mergeCell ref="N37:O37"/>
    <mergeCell ref="T37:U37"/>
    <mergeCell ref="K34:L34"/>
    <mergeCell ref="N34:O34"/>
    <mergeCell ref="T34:U34"/>
    <mergeCell ref="K35:L35"/>
    <mergeCell ref="N35:O35"/>
    <mergeCell ref="T35:U35"/>
    <mergeCell ref="P34:Q34"/>
    <mergeCell ref="P35:Q35"/>
    <mergeCell ref="P36:Q36"/>
    <mergeCell ref="P37:Q37"/>
    <mergeCell ref="K28:L28"/>
    <mergeCell ref="N28:O28"/>
    <mergeCell ref="T28:U28"/>
    <mergeCell ref="K29:L29"/>
    <mergeCell ref="N29:O29"/>
    <mergeCell ref="T29:U29"/>
    <mergeCell ref="F28:I28"/>
    <mergeCell ref="F30:I30"/>
    <mergeCell ref="F26:I26"/>
    <mergeCell ref="P28:Q28"/>
    <mergeCell ref="P29:Q29"/>
    <mergeCell ref="K26:L26"/>
    <mergeCell ref="N26:O26"/>
    <mergeCell ref="T26:U26"/>
    <mergeCell ref="K27:L27"/>
    <mergeCell ref="N27:O27"/>
    <mergeCell ref="T27:U27"/>
    <mergeCell ref="P27:Q27"/>
    <mergeCell ref="K33:L33"/>
    <mergeCell ref="N33:O33"/>
    <mergeCell ref="T33:U33"/>
    <mergeCell ref="K30:L30"/>
    <mergeCell ref="N30:O30"/>
    <mergeCell ref="T30:U30"/>
    <mergeCell ref="K31:L31"/>
    <mergeCell ref="N31:O31"/>
    <mergeCell ref="T31:U31"/>
    <mergeCell ref="K32:L32"/>
    <mergeCell ref="N32:O32"/>
    <mergeCell ref="T32:U32"/>
    <mergeCell ref="P30:Q30"/>
    <mergeCell ref="P31:Q31"/>
    <mergeCell ref="P32:Q32"/>
    <mergeCell ref="P33:Q33"/>
    <mergeCell ref="K24:L24"/>
    <mergeCell ref="N24:O24"/>
    <mergeCell ref="T24:U24"/>
    <mergeCell ref="K25:L25"/>
    <mergeCell ref="N25:O25"/>
    <mergeCell ref="T25:U25"/>
    <mergeCell ref="P24:Q24"/>
    <mergeCell ref="P25:Q25"/>
    <mergeCell ref="P26:Q26"/>
    <mergeCell ref="K22:L22"/>
    <mergeCell ref="N22:O22"/>
    <mergeCell ref="T22:U22"/>
    <mergeCell ref="K23:L23"/>
    <mergeCell ref="N23:O23"/>
    <mergeCell ref="T23:U23"/>
    <mergeCell ref="K20:L20"/>
    <mergeCell ref="N20:O20"/>
    <mergeCell ref="T20:U20"/>
    <mergeCell ref="K21:L21"/>
    <mergeCell ref="N21:O21"/>
    <mergeCell ref="T21:U21"/>
    <mergeCell ref="P20:Q20"/>
    <mergeCell ref="P21:Q21"/>
    <mergeCell ref="P22:Q22"/>
    <mergeCell ref="P23:Q23"/>
    <mergeCell ref="K15:L16"/>
    <mergeCell ref="M15:M16"/>
    <mergeCell ref="N15:O16"/>
    <mergeCell ref="K18:L18"/>
    <mergeCell ref="N18:O18"/>
    <mergeCell ref="T18:U18"/>
    <mergeCell ref="K19:L19"/>
    <mergeCell ref="N19:O19"/>
    <mergeCell ref="T19:U19"/>
    <mergeCell ref="K17:L17"/>
    <mergeCell ref="N17:O17"/>
    <mergeCell ref="P15:Q16"/>
    <mergeCell ref="P17:Q17"/>
    <mergeCell ref="P18:Q18"/>
    <mergeCell ref="P19:Q19"/>
    <mergeCell ref="E12:F12"/>
    <mergeCell ref="H12:I12"/>
    <mergeCell ref="N12:O12"/>
    <mergeCell ref="E13:F13"/>
    <mergeCell ref="H13:I13"/>
    <mergeCell ref="N13:O13"/>
    <mergeCell ref="K13:L13"/>
    <mergeCell ref="P12:Q12"/>
    <mergeCell ref="K12:L12"/>
    <mergeCell ref="P13:Q13"/>
    <mergeCell ref="G2:I2"/>
    <mergeCell ref="E9:I9"/>
    <mergeCell ref="N9:Q9"/>
    <mergeCell ref="K6:L6"/>
    <mergeCell ref="K7:L7"/>
    <mergeCell ref="K8:L8"/>
    <mergeCell ref="K9:L9"/>
    <mergeCell ref="K10:L10"/>
    <mergeCell ref="K11:L11"/>
    <mergeCell ref="B4:I4"/>
    <mergeCell ref="K4:Q4"/>
    <mergeCell ref="E6:I6"/>
    <mergeCell ref="N6:Q6"/>
    <mergeCell ref="N7:Q7"/>
    <mergeCell ref="E8:I8"/>
    <mergeCell ref="N8:Q8"/>
    <mergeCell ref="E11:F11"/>
    <mergeCell ref="H11:I11"/>
    <mergeCell ref="N11:O11"/>
    <mergeCell ref="P11:Q11"/>
    <mergeCell ref="E10:I10"/>
    <mergeCell ref="N10:Q10"/>
    <mergeCell ref="E7:F7"/>
    <mergeCell ref="B59:C60"/>
    <mergeCell ref="D59:F60"/>
    <mergeCell ref="G59:I60"/>
    <mergeCell ref="G61:I62"/>
    <mergeCell ref="D61:F62"/>
    <mergeCell ref="B61:C62"/>
    <mergeCell ref="B63:C64"/>
    <mergeCell ref="D63:F64"/>
    <mergeCell ref="K58:L58"/>
    <mergeCell ref="G63:I64"/>
    <mergeCell ref="B65:C66"/>
    <mergeCell ref="D65:F66"/>
    <mergeCell ref="G65:I66"/>
    <mergeCell ref="B67:C68"/>
    <mergeCell ref="D67:F68"/>
    <mergeCell ref="G67:I68"/>
    <mergeCell ref="B69:C70"/>
    <mergeCell ref="P64:Q64"/>
    <mergeCell ref="Y18:Z18"/>
    <mergeCell ref="Y19:Z19"/>
    <mergeCell ref="Y20:Z20"/>
    <mergeCell ref="P53:Q53"/>
    <mergeCell ref="P54:Q54"/>
    <mergeCell ref="P55:Q55"/>
    <mergeCell ref="P56:Q56"/>
    <mergeCell ref="P57:Q57"/>
    <mergeCell ref="P58:Q58"/>
    <mergeCell ref="P59:Q59"/>
    <mergeCell ref="P60:Q60"/>
    <mergeCell ref="P61:Q61"/>
    <mergeCell ref="P44:Q44"/>
    <mergeCell ref="P45:Q45"/>
    <mergeCell ref="P46:Q46"/>
    <mergeCell ref="P47:Q47"/>
  </mergeCells>
  <phoneticPr fontId="27" type="noConversion"/>
  <pageMargins left="0.70866141732283472" right="0.70866141732283472" top="0.8364583333333333" bottom="0.74803149606299213" header="0.31496062992125984" footer="0.31496062992125984"/>
  <pageSetup paperSize="10000" scale="66" orientation="portrait" r:id="rId1"/>
  <headerFooter>
    <oddHeader xml:space="preserve">&amp;R&amp;"Century Gothic,Bold"&amp;18ANNEX A: 
SAMPLE PACKAGE COMPUTATION
</oddHeader>
  </headerFooter>
  <colBreaks count="1" manualBreakCount="1">
    <brk id="10" max="83"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F5BAD-9E6F-4FBF-9D57-C51F8B11BE55}">
  <sheetPr codeName="Sheet28">
    <tabColor rgb="FF00B050"/>
  </sheetPr>
  <dimension ref="A1:BA858"/>
  <sheetViews>
    <sheetView showGridLines="0" showZeros="0" showRuler="0" view="pageBreakPreview" topLeftCell="A23" zoomScale="90" zoomScaleNormal="100" zoomScaleSheetLayoutView="90" zoomScalePageLayoutView="85" workbookViewId="0">
      <selection activeCell="E50" sqref="E50"/>
    </sheetView>
  </sheetViews>
  <sheetFormatPr defaultColWidth="8.85546875" defaultRowHeight="15.75" customHeight="1"/>
  <cols>
    <col min="1" max="1" width="1" style="99" customWidth="1"/>
    <col min="2" max="2" width="12.5703125" style="99" customWidth="1"/>
    <col min="3" max="3" width="25.140625" style="99" customWidth="1"/>
    <col min="4" max="4" width="17.85546875" style="99" customWidth="1"/>
    <col min="5" max="5" width="23.42578125" style="99" customWidth="1"/>
    <col min="6" max="6" width="15.140625" style="99" customWidth="1"/>
    <col min="7" max="7" width="8.140625" style="99" customWidth="1"/>
    <col min="8" max="8" width="4.42578125" style="99" customWidth="1"/>
    <col min="9" max="9" width="17.85546875" style="99" customWidth="1"/>
    <col min="10" max="10" width="2.140625" style="99" customWidth="1"/>
    <col min="11" max="11" width="9.140625" style="99" customWidth="1"/>
    <col min="12" max="12" width="20.140625" style="131" customWidth="1"/>
    <col min="13" max="13" width="18.140625" style="99" customWidth="1"/>
    <col min="14" max="14" width="21.85546875" style="99" customWidth="1"/>
    <col min="15" max="15" width="12.140625" style="99" customWidth="1"/>
    <col min="16" max="16" width="16.85546875" style="99" customWidth="1"/>
    <col min="17" max="17" width="21.42578125" style="99" customWidth="1"/>
    <col min="18" max="18" width="4.85546875" style="99" customWidth="1"/>
    <col min="19" max="19" width="8.85546875" style="99"/>
    <col min="20" max="20" width="19" style="218" customWidth="1"/>
    <col min="21" max="21" width="8.85546875" style="218" customWidth="1"/>
    <col min="22" max="22" width="8.85546875" style="99" customWidth="1"/>
    <col min="23" max="24" width="11.42578125" style="99" customWidth="1"/>
    <col min="25" max="26" width="8.85546875" style="99" customWidth="1"/>
    <col min="27" max="27" width="11.140625" style="99" customWidth="1"/>
    <col min="28" max="28" width="8.85546875" style="99"/>
    <col min="29" max="29" width="13.140625" style="99" customWidth="1"/>
    <col min="30" max="30" width="14.5703125" style="99" customWidth="1"/>
    <col min="31" max="31" width="8.85546875" style="99"/>
    <col min="32" max="32" width="9.140625" style="99" bestFit="1" customWidth="1"/>
    <col min="33" max="33" width="17.140625" style="99" customWidth="1"/>
    <col min="34" max="34" width="17.85546875" style="99" customWidth="1"/>
    <col min="35" max="35" width="9.85546875" style="99" customWidth="1"/>
    <col min="36" max="36" width="10.85546875" style="219" customWidth="1"/>
    <col min="37" max="37" width="13.42578125" style="99" customWidth="1"/>
    <col min="38" max="38" width="12.85546875" style="99" customWidth="1"/>
    <col min="39" max="41" width="13.140625" style="99" customWidth="1"/>
    <col min="42" max="42" width="11.140625" style="99" customWidth="1"/>
    <col min="43" max="43" width="14.85546875" style="99" customWidth="1"/>
    <col min="44" max="44" width="5.85546875" style="99" customWidth="1"/>
    <col min="45" max="45" width="11.85546875" style="99" customWidth="1"/>
    <col min="46" max="46" width="12.85546875" style="99" customWidth="1"/>
    <col min="47" max="47" width="11.85546875" style="99" customWidth="1"/>
    <col min="48" max="48" width="12.85546875" style="99" customWidth="1"/>
    <col min="49" max="49" width="12.85546875" style="220" customWidth="1"/>
    <col min="50" max="50" width="14.5703125" style="221" customWidth="1"/>
    <col min="51" max="55" width="12.85546875" style="99" customWidth="1"/>
    <col min="56" max="16384" width="8.85546875" style="99"/>
  </cols>
  <sheetData>
    <row r="1" spans="1:17" ht="4.5" customHeight="1">
      <c r="A1" s="1189"/>
      <c r="B1" s="212"/>
      <c r="C1" s="213" t="e">
        <f>(F15-(F16+#REF!))*12%</f>
        <v>#REF!</v>
      </c>
      <c r="D1" s="186" t="e">
        <f>FORM!#REF!</f>
        <v>#REF!</v>
      </c>
      <c r="E1" s="214"/>
      <c r="F1" s="3"/>
      <c r="G1" s="215"/>
      <c r="H1" s="215"/>
      <c r="I1" s="1189"/>
      <c r="J1" s="216">
        <v>0.01</v>
      </c>
      <c r="K1" s="214"/>
      <c r="L1" s="217"/>
      <c r="M1" s="217"/>
      <c r="N1" s="1190"/>
      <c r="O1" s="1189"/>
      <c r="P1" s="1189"/>
      <c r="Q1" s="1189"/>
    </row>
    <row r="2" spans="1:17" ht="12.6">
      <c r="A2" s="1189"/>
      <c r="B2" s="160" t="s">
        <v>847</v>
      </c>
      <c r="C2" s="1191" t="str">
        <f>FORM!I20</f>
        <v>September 1,2025</v>
      </c>
      <c r="D2" s="1192"/>
      <c r="E2" s="1189"/>
      <c r="F2" s="132" t="s">
        <v>848</v>
      </c>
      <c r="G2" s="1528" t="s">
        <v>849</v>
      </c>
      <c r="H2" s="1528"/>
      <c r="I2" s="1528"/>
      <c r="J2" s="142"/>
      <c r="K2" s="132" t="s">
        <v>847</v>
      </c>
      <c r="L2" s="1191" t="str">
        <f>C2</f>
        <v>September 1,2025</v>
      </c>
      <c r="M2" s="1123"/>
      <c r="N2" s="1189"/>
      <c r="O2" s="175"/>
      <c r="P2" s="160" t="s">
        <v>850</v>
      </c>
      <c r="Q2" s="1194" t="s">
        <v>851</v>
      </c>
    </row>
    <row r="3" spans="1:17" ht="12.6">
      <c r="A3" s="1189"/>
      <c r="B3" s="1189"/>
      <c r="C3" s="3"/>
      <c r="D3" s="3"/>
      <c r="E3" s="142"/>
      <c r="F3" s="142"/>
      <c r="G3" s="142"/>
      <c r="H3" s="142"/>
      <c r="I3" s="142"/>
      <c r="J3" s="142"/>
      <c r="K3" s="222"/>
      <c r="L3" s="223"/>
      <c r="M3" s="224"/>
      <c r="N3" s="1195"/>
      <c r="O3" s="1195"/>
      <c r="P3" s="1195"/>
      <c r="Q3" s="1195"/>
    </row>
    <row r="4" spans="1:17" ht="18.75" customHeight="1">
      <c r="A4" s="1123"/>
      <c r="B4" s="1534" t="s">
        <v>852</v>
      </c>
      <c r="C4" s="1534"/>
      <c r="D4" s="1534"/>
      <c r="E4" s="1534"/>
      <c r="F4" s="1534"/>
      <c r="G4" s="1534"/>
      <c r="H4" s="1534"/>
      <c r="I4" s="1535"/>
      <c r="J4" s="142"/>
      <c r="K4" s="1536" t="s">
        <v>853</v>
      </c>
      <c r="L4" s="1536"/>
      <c r="M4" s="1536"/>
      <c r="N4" s="1536"/>
      <c r="O4" s="1536"/>
      <c r="P4" s="1536"/>
      <c r="Q4" s="1536"/>
    </row>
    <row r="5" spans="1:17" ht="12" customHeight="1">
      <c r="A5" s="1123"/>
      <c r="B5" s="1123"/>
      <c r="C5" s="100"/>
      <c r="D5" s="100"/>
      <c r="E5" s="1123"/>
      <c r="F5" s="100"/>
      <c r="G5" s="100"/>
      <c r="H5" s="100"/>
      <c r="I5" s="176"/>
      <c r="J5" s="142"/>
      <c r="K5" s="142"/>
      <c r="L5" s="142"/>
      <c r="M5" s="177"/>
      <c r="N5" s="1123"/>
      <c r="O5" s="1123"/>
      <c r="P5" s="1123"/>
      <c r="Q5" s="1123"/>
    </row>
    <row r="6" spans="1:17" ht="12.6">
      <c r="A6" s="1123"/>
      <c r="B6" s="225" t="s">
        <v>854</v>
      </c>
      <c r="C6" s="226"/>
      <c r="D6" s="705" t="s">
        <v>802</v>
      </c>
      <c r="E6" s="1529" t="str">
        <f>FORM!I26</f>
        <v>cnc</v>
      </c>
      <c r="F6" s="1530"/>
      <c r="G6" s="1530"/>
      <c r="H6" s="1530"/>
      <c r="I6" s="1531"/>
      <c r="J6" s="142"/>
      <c r="K6" s="1533" t="s">
        <v>854</v>
      </c>
      <c r="L6" s="1533"/>
      <c r="M6" s="705" t="s">
        <v>802</v>
      </c>
      <c r="N6" s="1532" t="str">
        <f t="shared" ref="N6:N13" si="0">E6</f>
        <v>cnc</v>
      </c>
      <c r="O6" s="1532"/>
      <c r="P6" s="1532"/>
      <c r="Q6" s="1532"/>
    </row>
    <row r="7" spans="1:17" ht="12.95" thickBot="1">
      <c r="A7" s="1123"/>
      <c r="B7" s="144" t="s">
        <v>801</v>
      </c>
      <c r="C7" s="227"/>
      <c r="D7" s="705" t="s">
        <v>802</v>
      </c>
      <c r="E7" s="1543" t="str">
        <f>FORM!$I$11</f>
        <v>The Southprime Flats</v>
      </c>
      <c r="F7" s="1544"/>
      <c r="G7" s="1200" t="str">
        <f>FORM!I14</f>
        <v>B1</v>
      </c>
      <c r="H7" s="1200"/>
      <c r="I7" s="1201"/>
      <c r="J7" s="142"/>
      <c r="K7" s="1533" t="s">
        <v>801</v>
      </c>
      <c r="L7" s="1533"/>
      <c r="M7" s="1202" t="s">
        <v>802</v>
      </c>
      <c r="N7" s="1532" t="str">
        <f t="shared" si="0"/>
        <v>The Southprime Flats</v>
      </c>
      <c r="O7" s="1532"/>
      <c r="P7" s="1532"/>
      <c r="Q7" s="1532"/>
    </row>
    <row r="8" spans="1:17" ht="12.6">
      <c r="A8" s="1203"/>
      <c r="B8" s="225" t="s">
        <v>855</v>
      </c>
      <c r="C8" s="226"/>
      <c r="D8" s="705" t="s">
        <v>802</v>
      </c>
      <c r="E8" s="1529" t="str">
        <f>'STANDARD_NON RFO UNITS'!E8:I8</f>
        <v>2F</v>
      </c>
      <c r="F8" s="1530"/>
      <c r="G8" s="1530"/>
      <c r="H8" s="1530"/>
      <c r="I8" s="1531"/>
      <c r="J8" s="142"/>
      <c r="K8" s="1533" t="s">
        <v>855</v>
      </c>
      <c r="L8" s="1533"/>
      <c r="M8" s="705" t="s">
        <v>802</v>
      </c>
      <c r="N8" s="1532" t="str">
        <f>E8</f>
        <v>2F</v>
      </c>
      <c r="O8" s="1532"/>
      <c r="P8" s="1532"/>
      <c r="Q8" s="1532"/>
    </row>
    <row r="9" spans="1:17" ht="12.6" hidden="1" customHeight="1">
      <c r="A9" s="1123"/>
      <c r="B9" s="144" t="s">
        <v>856</v>
      </c>
      <c r="C9" s="227"/>
      <c r="D9" s="705" t="s">
        <v>802</v>
      </c>
      <c r="E9" s="1529" t="e">
        <f>'STANDARD_NON RFO UNITS'!E9:I9</f>
        <v>#REF!</v>
      </c>
      <c r="F9" s="1530"/>
      <c r="G9" s="1530"/>
      <c r="H9" s="1530"/>
      <c r="I9" s="1531"/>
      <c r="J9" s="142"/>
      <c r="K9" s="1533" t="s">
        <v>856</v>
      </c>
      <c r="L9" s="1533"/>
      <c r="M9" s="705" t="s">
        <v>802</v>
      </c>
      <c r="N9" s="1532" t="e">
        <f t="shared" si="0"/>
        <v>#REF!</v>
      </c>
      <c r="O9" s="1532"/>
      <c r="P9" s="1532"/>
      <c r="Q9" s="1532"/>
    </row>
    <row r="10" spans="1:17" ht="12.95" thickBot="1">
      <c r="A10" s="1123"/>
      <c r="B10" s="144" t="s">
        <v>857</v>
      </c>
      <c r="C10" s="227"/>
      <c r="D10" s="705" t="s">
        <v>802</v>
      </c>
      <c r="E10" s="1529" t="str">
        <f>'STANDARD_NON RFO UNITS'!E10:I10</f>
        <v>Studio Unit</v>
      </c>
      <c r="F10" s="1530"/>
      <c r="G10" s="1530"/>
      <c r="H10" s="1530"/>
      <c r="I10" s="1531"/>
      <c r="J10" s="142"/>
      <c r="K10" s="1533" t="s">
        <v>857</v>
      </c>
      <c r="L10" s="1533"/>
      <c r="M10" s="1202" t="s">
        <v>802</v>
      </c>
      <c r="N10" s="1532" t="str">
        <f t="shared" si="0"/>
        <v>Studio Unit</v>
      </c>
      <c r="O10" s="1532"/>
      <c r="P10" s="1532"/>
      <c r="Q10" s="1532"/>
    </row>
    <row r="11" spans="1:17" ht="12.6">
      <c r="A11" s="1123"/>
      <c r="B11" s="144" t="s">
        <v>858</v>
      </c>
      <c r="C11" s="227"/>
      <c r="D11" s="705" t="s">
        <v>802</v>
      </c>
      <c r="E11" s="1537">
        <f>'STANDARD_NON RFO UNITS'!E11:F11</f>
        <v>22</v>
      </c>
      <c r="F11" s="1538"/>
      <c r="G11" s="1200" t="s">
        <v>859</v>
      </c>
      <c r="H11" s="1530"/>
      <c r="I11" s="1531"/>
      <c r="J11" s="142"/>
      <c r="K11" s="1533" t="s">
        <v>858</v>
      </c>
      <c r="L11" s="1533"/>
      <c r="M11" s="705" t="s">
        <v>802</v>
      </c>
      <c r="N11" s="1539">
        <f t="shared" si="0"/>
        <v>22</v>
      </c>
      <c r="O11" s="1540"/>
      <c r="P11" s="1541" t="s">
        <v>859</v>
      </c>
      <c r="Q11" s="1542"/>
    </row>
    <row r="12" spans="1:17" ht="12.6">
      <c r="A12" s="1203"/>
      <c r="B12" s="228" t="s">
        <v>860</v>
      </c>
      <c r="C12" s="226"/>
      <c r="D12" s="705" t="s">
        <v>802</v>
      </c>
      <c r="E12" s="1537">
        <f>'STANDARD_NON RFO UNITS'!E12:F12</f>
        <v>0</v>
      </c>
      <c r="F12" s="1538"/>
      <c r="G12" s="1200" t="s">
        <v>859</v>
      </c>
      <c r="H12" s="1541"/>
      <c r="I12" s="1542"/>
      <c r="J12" s="142"/>
      <c r="K12" s="1533" t="s">
        <v>860</v>
      </c>
      <c r="L12" s="1533"/>
      <c r="M12" s="705" t="s">
        <v>802</v>
      </c>
      <c r="N12" s="1545">
        <f t="shared" si="0"/>
        <v>0</v>
      </c>
      <c r="O12" s="1546"/>
      <c r="P12" s="1541" t="s">
        <v>859</v>
      </c>
      <c r="Q12" s="1542"/>
    </row>
    <row r="13" spans="1:17" ht="12.6">
      <c r="A13" s="1204"/>
      <c r="B13" s="144" t="s">
        <v>861</v>
      </c>
      <c r="C13" s="227"/>
      <c r="D13" s="705" t="s">
        <v>802</v>
      </c>
      <c r="E13" s="1537">
        <f>'STANDARD_NON RFO UNITS'!E13:F13</f>
        <v>22</v>
      </c>
      <c r="F13" s="1538"/>
      <c r="G13" s="1200" t="s">
        <v>859</v>
      </c>
      <c r="H13" s="1541"/>
      <c r="I13" s="1542"/>
      <c r="J13" s="142"/>
      <c r="K13" s="1533" t="s">
        <v>861</v>
      </c>
      <c r="L13" s="1533"/>
      <c r="M13" s="705" t="s">
        <v>802</v>
      </c>
      <c r="N13" s="1545">
        <f t="shared" si="0"/>
        <v>22</v>
      </c>
      <c r="O13" s="1546"/>
      <c r="P13" s="1541" t="s">
        <v>859</v>
      </c>
      <c r="Q13" s="1542"/>
    </row>
    <row r="14" spans="1:17" ht="12.6">
      <c r="A14" s="1123"/>
      <c r="B14" s="1123"/>
      <c r="C14" s="178"/>
      <c r="D14" s="705"/>
      <c r="E14" s="142"/>
      <c r="F14" s="229"/>
      <c r="G14" s="229"/>
      <c r="H14" s="230"/>
      <c r="I14" s="231"/>
      <c r="J14" s="142"/>
      <c r="K14" s="1123"/>
      <c r="L14" s="1123"/>
      <c r="M14" s="1205"/>
      <c r="N14" s="1123"/>
      <c r="O14" s="1123"/>
      <c r="P14" s="1123"/>
      <c r="Q14" s="1123"/>
    </row>
    <row r="15" spans="1:17" ht="15" customHeight="1">
      <c r="A15" s="1123"/>
      <c r="B15" s="141" t="s">
        <v>862</v>
      </c>
      <c r="C15" s="141"/>
      <c r="D15" s="232" t="s">
        <v>802</v>
      </c>
      <c r="E15" s="233"/>
      <c r="F15" s="1577">
        <f>'STANDARD_NON RFO UNITS'!F15:I15</f>
        <v>3195170.8635638431</v>
      </c>
      <c r="G15" s="1577"/>
      <c r="H15" s="1577"/>
      <c r="I15" s="1578"/>
      <c r="J15" s="142"/>
      <c r="K15" s="1549" t="s">
        <v>863</v>
      </c>
      <c r="L15" s="1549"/>
      <c r="M15" s="1550" t="s">
        <v>773</v>
      </c>
      <c r="N15" s="1549" t="s">
        <v>776</v>
      </c>
      <c r="O15" s="1549"/>
      <c r="P15" s="1553" t="s">
        <v>214</v>
      </c>
      <c r="Q15" s="1554"/>
    </row>
    <row r="16" spans="1:17" ht="12.6">
      <c r="A16" s="1123"/>
      <c r="B16" s="148" t="s">
        <v>864</v>
      </c>
      <c r="C16" s="227"/>
      <c r="D16" s="1206" t="s">
        <v>802</v>
      </c>
      <c r="E16" s="234"/>
      <c r="F16" s="1577">
        <f>'STANDARD_NON RFO UNITS'!F16:I16</f>
        <v>0</v>
      </c>
      <c r="G16" s="1577"/>
      <c r="H16" s="1577"/>
      <c r="I16" s="1578"/>
      <c r="J16" s="100"/>
      <c r="K16" s="1549"/>
      <c r="L16" s="1549"/>
      <c r="M16" s="1550"/>
      <c r="N16" s="1549"/>
      <c r="O16" s="1549"/>
      <c r="P16" s="1555"/>
      <c r="Q16" s="1556"/>
    </row>
    <row r="17" spans="1:50" ht="12.6">
      <c r="A17" s="1123"/>
      <c r="B17" s="129" t="s">
        <v>865</v>
      </c>
      <c r="C17" s="101"/>
      <c r="D17" s="142" t="s">
        <v>802</v>
      </c>
      <c r="E17" s="233"/>
      <c r="F17" s="1577">
        <f>'STANDARD_NON RFO UNITS'!F17:I17</f>
        <v>3195170.8635638431</v>
      </c>
      <c r="G17" s="1577"/>
      <c r="H17" s="1577"/>
      <c r="I17" s="1578"/>
      <c r="J17" s="100"/>
      <c r="K17" s="1527" t="s">
        <v>820</v>
      </c>
      <c r="L17" s="1527"/>
      <c r="M17" s="1207" t="str">
        <f>C2</f>
        <v>September 1,2025</v>
      </c>
      <c r="N17" s="1551">
        <f>F25</f>
        <v>30000</v>
      </c>
      <c r="O17" s="1551"/>
      <c r="P17" s="1525"/>
      <c r="Q17" s="1526"/>
      <c r="R17" s="1189"/>
      <c r="S17" s="1189"/>
      <c r="T17" s="1208"/>
      <c r="U17" s="1208"/>
      <c r="V17" s="1189"/>
      <c r="W17" s="1209" t="str">
        <f>M17</f>
        <v>September 1,2025</v>
      </c>
      <c r="X17" s="1209" t="e">
        <f>EDATE(W17,E28)</f>
        <v>#VALUE!</v>
      </c>
      <c r="Y17" s="1189"/>
      <c r="Z17" s="1189"/>
      <c r="AA17" s="1189"/>
      <c r="AB17" s="1189"/>
      <c r="AC17" s="1189"/>
      <c r="AD17" s="1189"/>
      <c r="AE17" s="1189"/>
      <c r="AF17" s="1189"/>
      <c r="AG17" s="1189"/>
      <c r="AH17" s="1189"/>
      <c r="AI17" s="1189"/>
      <c r="AJ17" s="1210"/>
      <c r="AK17" s="1189"/>
      <c r="AL17" s="1189"/>
      <c r="AM17" s="1189"/>
      <c r="AN17" s="1189"/>
      <c r="AO17" s="1189"/>
      <c r="AP17" s="1189"/>
      <c r="AQ17" s="1189"/>
      <c r="AR17" s="1189"/>
      <c r="AS17" s="1189"/>
      <c r="AT17" s="1189"/>
      <c r="AU17" s="1189"/>
      <c r="AV17" s="1189"/>
      <c r="AW17" s="1211"/>
      <c r="AX17" s="1212"/>
    </row>
    <row r="18" spans="1:50" ht="12.95">
      <c r="A18" s="1123"/>
      <c r="B18" s="147"/>
      <c r="C18" s="178"/>
      <c r="D18" s="705"/>
      <c r="E18" s="433">
        <f>(F17)*E19</f>
        <v>383420.50362766115</v>
      </c>
      <c r="F18" s="235"/>
      <c r="G18" s="236"/>
      <c r="H18" s="237"/>
      <c r="I18" s="237"/>
      <c r="J18" s="100"/>
      <c r="K18" s="1527" t="str">
        <f t="shared" ref="K18:K63" si="1">IF(N18&gt;1,T18,0)</f>
        <v>1st EQUITY PAYMENT</v>
      </c>
      <c r="L18" s="1527"/>
      <c r="M18" s="1207" t="e">
        <f>IF(N18&gt;1,W18,"")</f>
        <v>#VALUE!</v>
      </c>
      <c r="N18" s="1551">
        <f>IF(E28&gt;0,F28,"")</f>
        <v>424313.35716298391</v>
      </c>
      <c r="O18" s="1551"/>
      <c r="P18" s="1525"/>
      <c r="Q18" s="1526"/>
      <c r="R18" s="1189"/>
      <c r="S18" s="1189"/>
      <c r="T18" s="1552" t="s">
        <v>866</v>
      </c>
      <c r="U18" s="1552"/>
      <c r="V18" s="1189"/>
      <c r="W18" s="1207" t="e">
        <f>IF(DAY(W17)=31,Y20,AA20)</f>
        <v>#VALUE!</v>
      </c>
      <c r="X18" s="22"/>
      <c r="Y18" s="1522" t="s">
        <v>867</v>
      </c>
      <c r="Z18" s="1522"/>
      <c r="AA18" s="22"/>
      <c r="AB18" s="1189"/>
      <c r="AC18" s="1189"/>
      <c r="AD18" s="1189"/>
      <c r="AE18" s="1189"/>
      <c r="AF18" s="1189"/>
      <c r="AG18" s="1189"/>
      <c r="AH18" s="1189"/>
      <c r="AI18" s="1189"/>
      <c r="AJ18" s="1210"/>
      <c r="AK18" s="1189"/>
      <c r="AL18" s="1189"/>
      <c r="AM18" s="1189"/>
      <c r="AN18" s="1189"/>
      <c r="AO18" s="1189"/>
      <c r="AP18" s="1189"/>
      <c r="AQ18" s="1189"/>
      <c r="AR18" s="1189"/>
      <c r="AS18" s="1189"/>
      <c r="AT18" s="1189"/>
      <c r="AU18" s="1189"/>
      <c r="AV18" s="1189"/>
      <c r="AW18" s="1211"/>
      <c r="AX18" s="1212"/>
    </row>
    <row r="19" spans="1:50" ht="12.6">
      <c r="A19" s="1203"/>
      <c r="B19" s="148" t="s">
        <v>868</v>
      </c>
      <c r="C19" s="227"/>
      <c r="D19" s="1206" t="s">
        <v>802</v>
      </c>
      <c r="E19" s="283">
        <v>0.12</v>
      </c>
      <c r="F19" s="1579">
        <f>'STANDARD_NON RFO UNITS'!F19:I19</f>
        <v>0</v>
      </c>
      <c r="G19" s="1579"/>
      <c r="H19" s="1579"/>
      <c r="I19" s="1580"/>
      <c r="J19" s="100"/>
      <c r="K19" s="1527">
        <f t="shared" si="1"/>
        <v>0</v>
      </c>
      <c r="L19" s="1527"/>
      <c r="M19" s="1207" t="str">
        <f t="shared" ref="M19:M63" si="2">IF(N19&gt;1,W19,"")</f>
        <v/>
      </c>
      <c r="N19" s="1551">
        <f>IF(E28&gt;1,F28,0)</f>
        <v>0</v>
      </c>
      <c r="O19" s="1551"/>
      <c r="P19" s="1525"/>
      <c r="Q19" s="1526"/>
      <c r="R19" s="1189"/>
      <c r="S19" s="1189"/>
      <c r="T19" s="1552" t="s">
        <v>869</v>
      </c>
      <c r="U19" s="1552"/>
      <c r="V19" s="1189"/>
      <c r="W19" s="1207" t="e">
        <f t="shared" ref="W19:W61" si="3">IF(AND(DAY(W18)&gt;=6,DAY(W18)&lt;=20),DATE(YEAR(W18),MONTH(W18)+1,DAY(20)),IF(AND(DAY(W18)&gt;=21,DAY(W18)&lt;=30),DATE(YEAR(W18),MONTH(W18)+1,IF(DAY(EOMONTH(W18,1))&lt;30,DAY(EOMONTH(W18,1)),DAY(30))),DATE(YEAR(W18),MONTH(W18)+1,DAY(5))))</f>
        <v>#VALUE!</v>
      </c>
      <c r="X19" s="58" t="s">
        <v>38</v>
      </c>
      <c r="Y19" s="1523" t="e">
        <f>IF(DAY(W17)=31,DATE(YEAR(X17),MONTH(X17)+2,DAY(5)))</f>
        <v>#VALUE!</v>
      </c>
      <c r="Z19" s="1524"/>
      <c r="AA19" s="306" t="e">
        <f>IF(AND(DAY(X17)&gt;=6,DAY(X17)&lt;=20),DATE(YEAR(X17),MONTH(X17)+1,DAY(20)),IF(AND(DAY(X17)&gt;=21,DAY(X17)&lt;=31),DATE(YEAR(X17),MONTH(X17)+1,IF(DAY(EOMONTH(X17,1))&lt;30,DAY(EOMONTH(X17,1)),DAY(30))),DATE(YEAR(X17),MONTH(X17)+1,DAY(5))))</f>
        <v>#VALUE!</v>
      </c>
      <c r="AB19" s="1189"/>
      <c r="AC19" s="1189"/>
      <c r="AD19" s="1189"/>
      <c r="AE19" s="1189"/>
      <c r="AF19" s="1189"/>
      <c r="AG19" s="1189"/>
      <c r="AH19" s="1189"/>
      <c r="AI19" s="1189"/>
      <c r="AJ19" s="1210"/>
      <c r="AK19" s="1189"/>
      <c r="AL19" s="1189"/>
      <c r="AM19" s="1189"/>
      <c r="AN19" s="1189"/>
      <c r="AO19" s="1189"/>
      <c r="AP19" s="1189"/>
      <c r="AQ19" s="1189"/>
      <c r="AR19" s="1189"/>
      <c r="AS19" s="1189"/>
      <c r="AT19" s="1189"/>
      <c r="AU19" s="1189"/>
      <c r="AV19" s="1189"/>
      <c r="AW19" s="1211"/>
      <c r="AX19" s="1212"/>
    </row>
    <row r="20" spans="1:50" ht="12.6">
      <c r="A20" s="1204"/>
      <c r="B20" s="238" t="s">
        <v>870</v>
      </c>
      <c r="C20" s="101"/>
      <c r="D20" s="705" t="s">
        <v>802</v>
      </c>
      <c r="E20" s="1213"/>
      <c r="F20" s="1583">
        <f>'STANDARD_NON RFO UNITS'!F20:I20</f>
        <v>439335.99374002841</v>
      </c>
      <c r="G20" s="1584"/>
      <c r="H20" s="1584"/>
      <c r="I20" s="1585"/>
      <c r="J20" s="100"/>
      <c r="K20" s="1527">
        <f t="shared" si="1"/>
        <v>0</v>
      </c>
      <c r="L20" s="1527"/>
      <c r="M20" s="1207" t="str">
        <f t="shared" si="2"/>
        <v/>
      </c>
      <c r="N20" s="1551">
        <f>IF(E28&gt;2,F28,0)</f>
        <v>0</v>
      </c>
      <c r="O20" s="1551"/>
      <c r="P20" s="1525"/>
      <c r="Q20" s="1526"/>
      <c r="R20" s="1189"/>
      <c r="S20" s="1189"/>
      <c r="T20" s="1552" t="s">
        <v>871</v>
      </c>
      <c r="U20" s="1552"/>
      <c r="V20" s="1189"/>
      <c r="W20" s="1207" t="e">
        <f t="shared" si="3"/>
        <v>#VALUE!</v>
      </c>
      <c r="X20" s="58" t="s">
        <v>872</v>
      </c>
      <c r="Y20" s="1523" t="e">
        <f>IF(DAY(W17)=31,DATE(YEAR(W17),MONTH(W17)+2,DAY(5)))</f>
        <v>#VALUE!</v>
      </c>
      <c r="Z20" s="1524"/>
      <c r="AA20" s="306" t="e">
        <f>IF(AND(DAY(W17)&gt;=6,DAY(W17)&lt;=20),DATE(YEAR(W17),MONTH(W17)+1,DAY(20)),IF(AND(DAY(W17)&gt;=21,DAY(W17)&lt;=30),DATE(YEAR(W17),MONTH(W17)+1,IF(DAY(EOMONTH(W17,1))&lt;31,DAY(EOMONTH(W17,1)),DAY(30))),DATE(YEAR(W17),MONTH(W17)+1,DAY(5))))</f>
        <v>#VALUE!</v>
      </c>
      <c r="AB20" s="1189"/>
      <c r="AC20" s="1189"/>
      <c r="AD20" s="1189"/>
      <c r="AE20" s="1189"/>
      <c r="AF20" s="1189"/>
      <c r="AG20" s="1189"/>
      <c r="AH20" s="1189"/>
      <c r="AI20" s="1189"/>
      <c r="AJ20" s="1210"/>
      <c r="AK20" s="1189"/>
      <c r="AL20" s="1189"/>
      <c r="AM20" s="1189"/>
      <c r="AN20" s="1189"/>
      <c r="AO20" s="1189"/>
      <c r="AP20" s="1189"/>
      <c r="AQ20" s="1189"/>
      <c r="AR20" s="1189"/>
      <c r="AS20" s="1189"/>
      <c r="AT20" s="1189"/>
      <c r="AU20" s="1189"/>
      <c r="AV20" s="1189"/>
      <c r="AW20" s="1211"/>
      <c r="AX20" s="1189"/>
    </row>
    <row r="21" spans="1:50" ht="12.6">
      <c r="A21" s="1123"/>
      <c r="B21" s="147"/>
      <c r="C21" s="100"/>
      <c r="D21" s="705"/>
      <c r="E21" s="142"/>
      <c r="F21" s="235"/>
      <c r="G21" s="235"/>
      <c r="H21" s="235"/>
      <c r="I21" s="235"/>
      <c r="J21" s="100"/>
      <c r="K21" s="1527">
        <f t="shared" si="1"/>
        <v>0</v>
      </c>
      <c r="L21" s="1527"/>
      <c r="M21" s="1207" t="str">
        <f t="shared" si="2"/>
        <v/>
      </c>
      <c r="N21" s="1551">
        <f>IF(E28&gt;3,F28,0)</f>
        <v>0</v>
      </c>
      <c r="O21" s="1551"/>
      <c r="P21" s="1525"/>
      <c r="Q21" s="1526"/>
      <c r="R21" s="1189"/>
      <c r="S21" s="1189"/>
      <c r="T21" s="1552" t="s">
        <v>873</v>
      </c>
      <c r="U21" s="1552"/>
      <c r="V21" s="1189"/>
      <c r="W21" s="1207" t="e">
        <f t="shared" si="3"/>
        <v>#VALUE!</v>
      </c>
      <c r="X21" s="1189"/>
      <c r="Y21" s="1189"/>
      <c r="Z21" s="1189"/>
      <c r="AA21" s="1189"/>
      <c r="AB21" s="1189"/>
      <c r="AC21" s="1189"/>
      <c r="AD21" s="1189"/>
      <c r="AE21" s="1189"/>
      <c r="AF21" s="1189"/>
      <c r="AG21" s="1189"/>
      <c r="AH21" s="1189"/>
      <c r="AI21" s="1189"/>
      <c r="AJ21" s="1210"/>
      <c r="AK21" s="1189"/>
      <c r="AL21" s="1189"/>
      <c r="AM21" s="1189"/>
      <c r="AN21" s="1189"/>
      <c r="AO21" s="1189"/>
      <c r="AP21" s="1189"/>
      <c r="AQ21" s="1189"/>
      <c r="AR21" s="1189"/>
      <c r="AS21" s="1189"/>
      <c r="AT21" s="1189"/>
      <c r="AU21" s="1189"/>
      <c r="AV21" s="1189"/>
      <c r="AW21" s="1211"/>
      <c r="AX21" s="1189"/>
    </row>
    <row r="22" spans="1:50" ht="12.6">
      <c r="A22" s="1123"/>
      <c r="B22" s="129" t="s">
        <v>874</v>
      </c>
      <c r="C22" s="101"/>
      <c r="D22" s="142" t="s">
        <v>802</v>
      </c>
      <c r="E22" s="239"/>
      <c r="F22" s="1558">
        <f>SUM(F19:I20,F17)</f>
        <v>3634506.8573038713</v>
      </c>
      <c r="G22" s="1559"/>
      <c r="H22" s="1559"/>
      <c r="I22" s="1560"/>
      <c r="J22" s="100"/>
      <c r="K22" s="1527">
        <f t="shared" si="1"/>
        <v>0</v>
      </c>
      <c r="L22" s="1527"/>
      <c r="M22" s="1207" t="str">
        <f t="shared" si="2"/>
        <v/>
      </c>
      <c r="N22" s="1551">
        <f>IF(E28&gt;4,F28,0)</f>
        <v>0</v>
      </c>
      <c r="O22" s="1551"/>
      <c r="P22" s="1525"/>
      <c r="Q22" s="1526"/>
      <c r="R22" s="1189"/>
      <c r="S22" s="1189"/>
      <c r="T22" s="1552" t="s">
        <v>875</v>
      </c>
      <c r="U22" s="1552"/>
      <c r="V22" s="1189"/>
      <c r="W22" s="1207" t="e">
        <f t="shared" si="3"/>
        <v>#VALUE!</v>
      </c>
      <c r="X22" s="1189"/>
      <c r="Y22" s="1189"/>
      <c r="Z22" s="1189"/>
      <c r="AA22" s="1189"/>
      <c r="AB22" s="1189"/>
      <c r="AC22" s="1189"/>
      <c r="AD22" s="1189"/>
      <c r="AE22" s="1189"/>
      <c r="AF22" s="1189"/>
      <c r="AG22" s="1189"/>
      <c r="AH22" s="1189"/>
      <c r="AI22" s="1189"/>
      <c r="AJ22" s="1210"/>
      <c r="AK22" s="1189"/>
      <c r="AL22" s="1189"/>
      <c r="AM22" s="1189"/>
      <c r="AN22" s="1189"/>
      <c r="AO22" s="1189"/>
      <c r="AP22" s="1189"/>
      <c r="AQ22" s="1189"/>
      <c r="AR22" s="1189"/>
      <c r="AS22" s="1189"/>
      <c r="AT22" s="1189"/>
      <c r="AU22" s="1189"/>
      <c r="AV22" s="1189"/>
      <c r="AW22" s="1211"/>
      <c r="AX22" s="1189"/>
    </row>
    <row r="23" spans="1:50" ht="12.6">
      <c r="A23" s="1123"/>
      <c r="B23" s="147"/>
      <c r="C23" s="100"/>
      <c r="D23" s="705"/>
      <c r="E23" s="142"/>
      <c r="F23" s="235"/>
      <c r="G23" s="240"/>
      <c r="H23" s="240"/>
      <c r="I23" s="240"/>
      <c r="J23" s="100"/>
      <c r="K23" s="1527">
        <f t="shared" si="1"/>
        <v>0</v>
      </c>
      <c r="L23" s="1527"/>
      <c r="M23" s="1207" t="str">
        <f t="shared" si="2"/>
        <v/>
      </c>
      <c r="N23" s="1551">
        <f>IF(E28&gt;5,F28,0)</f>
        <v>0</v>
      </c>
      <c r="O23" s="1551"/>
      <c r="P23" s="1525"/>
      <c r="Q23" s="1526"/>
      <c r="R23" s="1189"/>
      <c r="S23" s="1189"/>
      <c r="T23" s="1552" t="s">
        <v>876</v>
      </c>
      <c r="U23" s="1552"/>
      <c r="V23" s="1189"/>
      <c r="W23" s="1207" t="e">
        <f t="shared" si="3"/>
        <v>#VALUE!</v>
      </c>
      <c r="X23" s="1189"/>
      <c r="Y23" s="1189"/>
      <c r="Z23" s="1189"/>
      <c r="AA23" s="1189"/>
      <c r="AB23" s="1189"/>
      <c r="AC23" s="1189"/>
      <c r="AD23" s="1189"/>
      <c r="AE23" s="1189"/>
      <c r="AF23" s="1189"/>
      <c r="AG23" s="1189"/>
      <c r="AH23" s="1189"/>
      <c r="AI23" s="1189"/>
      <c r="AJ23" s="1210"/>
      <c r="AK23" s="1189"/>
      <c r="AL23" s="1189"/>
      <c r="AM23" s="1189"/>
      <c r="AN23" s="1189"/>
      <c r="AO23" s="1189"/>
      <c r="AP23" s="1189"/>
      <c r="AQ23" s="1189"/>
      <c r="AR23" s="1189"/>
      <c r="AS23" s="1189"/>
      <c r="AT23" s="1189"/>
      <c r="AU23" s="1189"/>
      <c r="AV23" s="1189"/>
      <c r="AW23" s="1211"/>
      <c r="AX23" s="1189"/>
    </row>
    <row r="24" spans="1:50" ht="12.6">
      <c r="A24" s="1123"/>
      <c r="B24" s="141" t="s">
        <v>877</v>
      </c>
      <c r="C24" s="226"/>
      <c r="D24" s="232" t="s">
        <v>802</v>
      </c>
      <c r="E24" s="282">
        <f>FORM!I24</f>
        <v>0.125</v>
      </c>
      <c r="F24" s="1558">
        <f>F22*E24</f>
        <v>454313.35716298391</v>
      </c>
      <c r="G24" s="1559"/>
      <c r="H24" s="1559"/>
      <c r="I24" s="1560"/>
      <c r="J24" s="100"/>
      <c r="K24" s="1527">
        <f t="shared" si="1"/>
        <v>0</v>
      </c>
      <c r="L24" s="1527"/>
      <c r="M24" s="1207" t="str">
        <f t="shared" si="2"/>
        <v/>
      </c>
      <c r="N24" s="1551">
        <f>IF(E28&gt;6,F28,0)</f>
        <v>0</v>
      </c>
      <c r="O24" s="1551"/>
      <c r="P24" s="1525"/>
      <c r="Q24" s="1526"/>
      <c r="R24" s="1189"/>
      <c r="S24" s="1189"/>
      <c r="T24" s="1552" t="s">
        <v>878</v>
      </c>
      <c r="U24" s="1552"/>
      <c r="V24" s="1189"/>
      <c r="W24" s="1207" t="e">
        <f t="shared" si="3"/>
        <v>#VALUE!</v>
      </c>
      <c r="X24" s="1189"/>
      <c r="Y24" s="1189"/>
      <c r="Z24" s="1189"/>
      <c r="AA24" s="1189"/>
      <c r="AB24" s="1189"/>
      <c r="AC24" s="1189"/>
      <c r="AD24" s="1189"/>
      <c r="AE24" s="1189"/>
      <c r="AF24" s="1189"/>
      <c r="AG24" s="1189"/>
      <c r="AH24" s="1189"/>
      <c r="AI24" s="1189"/>
      <c r="AJ24" s="1210"/>
      <c r="AK24" s="1189"/>
      <c r="AL24" s="1189"/>
      <c r="AM24" s="1189"/>
      <c r="AN24" s="1189"/>
      <c r="AO24" s="1189"/>
      <c r="AP24" s="1189"/>
      <c r="AQ24" s="1189"/>
      <c r="AR24" s="1189"/>
      <c r="AS24" s="1189"/>
      <c r="AT24" s="1189"/>
      <c r="AU24" s="1189"/>
      <c r="AV24" s="1189"/>
      <c r="AW24" s="1211"/>
      <c r="AX24" s="1189"/>
    </row>
    <row r="25" spans="1:50" ht="12.6">
      <c r="A25" s="1123"/>
      <c r="B25" s="144" t="s">
        <v>879</v>
      </c>
      <c r="C25" s="227"/>
      <c r="D25" s="705" t="s">
        <v>802</v>
      </c>
      <c r="E25" s="1198"/>
      <c r="F25" s="210">
        <f>'STANDARD_NON RFO UNITS'!F25</f>
        <v>30000</v>
      </c>
      <c r="G25" s="1215"/>
      <c r="H25" s="1216"/>
      <c r="I25" s="1217"/>
      <c r="J25" s="100"/>
      <c r="K25" s="1527">
        <f t="shared" si="1"/>
        <v>0</v>
      </c>
      <c r="L25" s="1527"/>
      <c r="M25" s="1207" t="str">
        <f t="shared" si="2"/>
        <v/>
      </c>
      <c r="N25" s="1551">
        <f>IF(E28&gt;7,F28,0)</f>
        <v>0</v>
      </c>
      <c r="O25" s="1551"/>
      <c r="P25" s="1525"/>
      <c r="Q25" s="1526"/>
      <c r="R25" s="1189"/>
      <c r="S25" s="1189"/>
      <c r="T25" s="1552" t="s">
        <v>880</v>
      </c>
      <c r="U25" s="1552"/>
      <c r="V25" s="1189"/>
      <c r="W25" s="1207" t="e">
        <f t="shared" si="3"/>
        <v>#VALUE!</v>
      </c>
      <c r="X25" s="1189"/>
      <c r="Y25" s="1189"/>
      <c r="Z25" s="1189"/>
      <c r="AA25" s="1189"/>
      <c r="AB25" s="1189"/>
      <c r="AC25" s="1189"/>
      <c r="AD25" s="1189"/>
      <c r="AE25" s="1189"/>
      <c r="AF25" s="1189"/>
      <c r="AG25" s="1189"/>
      <c r="AH25" s="1189"/>
      <c r="AI25" s="1189"/>
      <c r="AJ25" s="1210"/>
      <c r="AK25" s="1189"/>
      <c r="AL25" s="1189"/>
      <c r="AM25" s="1189"/>
      <c r="AN25" s="1189"/>
      <c r="AO25" s="1189"/>
      <c r="AP25" s="1189"/>
      <c r="AQ25" s="1189"/>
      <c r="AR25" s="1189"/>
      <c r="AS25" s="1189"/>
      <c r="AT25" s="1189"/>
      <c r="AU25" s="1189"/>
      <c r="AV25" s="1189"/>
      <c r="AW25" s="1211"/>
      <c r="AX25" s="1189"/>
    </row>
    <row r="26" spans="1:50" ht="12.6">
      <c r="A26" s="1203"/>
      <c r="B26" s="129" t="s">
        <v>881</v>
      </c>
      <c r="C26" s="126"/>
      <c r="D26" s="142" t="s">
        <v>802</v>
      </c>
      <c r="E26" s="1198"/>
      <c r="F26" s="1558">
        <f>F24-F25</f>
        <v>424313.35716298391</v>
      </c>
      <c r="G26" s="1559"/>
      <c r="H26" s="1559"/>
      <c r="I26" s="1560"/>
      <c r="J26" s="100"/>
      <c r="K26" s="1527">
        <f t="shared" si="1"/>
        <v>0</v>
      </c>
      <c r="L26" s="1527"/>
      <c r="M26" s="1207" t="str">
        <f t="shared" si="2"/>
        <v/>
      </c>
      <c r="N26" s="1551">
        <f>IF(E28&gt;8,F28,0)</f>
        <v>0</v>
      </c>
      <c r="O26" s="1551"/>
      <c r="P26" s="1525"/>
      <c r="Q26" s="1526"/>
      <c r="R26" s="1189"/>
      <c r="S26" s="1189"/>
      <c r="T26" s="1552" t="s">
        <v>882</v>
      </c>
      <c r="U26" s="1552"/>
      <c r="V26" s="1189"/>
      <c r="W26" s="1207" t="e">
        <f t="shared" si="3"/>
        <v>#VALUE!</v>
      </c>
      <c r="X26" s="1189"/>
      <c r="Y26" s="1189"/>
      <c r="Z26" s="1189"/>
      <c r="AA26" s="1189"/>
      <c r="AB26" s="1189"/>
      <c r="AC26" s="1189"/>
      <c r="AD26" s="1189"/>
      <c r="AE26" s="1189"/>
      <c r="AF26" s="1189"/>
      <c r="AG26" s="1189"/>
      <c r="AH26" s="1189"/>
      <c r="AI26" s="1189"/>
      <c r="AJ26" s="1210"/>
      <c r="AK26" s="1189"/>
      <c r="AL26" s="1189"/>
      <c r="AM26" s="1189"/>
      <c r="AN26" s="1189"/>
      <c r="AO26" s="1189"/>
      <c r="AP26" s="1189"/>
      <c r="AQ26" s="1189"/>
      <c r="AR26" s="1189"/>
      <c r="AS26" s="1189"/>
      <c r="AT26" s="1189"/>
      <c r="AU26" s="1189"/>
      <c r="AV26" s="1189"/>
      <c r="AW26" s="1211"/>
      <c r="AX26" s="1189"/>
    </row>
    <row r="27" spans="1:50" ht="12.6">
      <c r="A27" s="1123"/>
      <c r="B27" s="147"/>
      <c r="C27" s="100"/>
      <c r="D27" s="705"/>
      <c r="E27" s="142"/>
      <c r="F27" s="235"/>
      <c r="G27" s="240"/>
      <c r="H27" s="240"/>
      <c r="I27" s="240"/>
      <c r="J27" s="100"/>
      <c r="K27" s="1527">
        <f t="shared" si="1"/>
        <v>0</v>
      </c>
      <c r="L27" s="1527"/>
      <c r="M27" s="1207" t="str">
        <f t="shared" si="2"/>
        <v/>
      </c>
      <c r="N27" s="1551">
        <f>IF(E28&gt;9,F28,0)</f>
        <v>0</v>
      </c>
      <c r="O27" s="1551"/>
      <c r="P27" s="1525"/>
      <c r="Q27" s="1526"/>
      <c r="R27" s="1189"/>
      <c r="S27" s="1189"/>
      <c r="T27" s="1552" t="s">
        <v>883</v>
      </c>
      <c r="U27" s="1552"/>
      <c r="V27" s="1189"/>
      <c r="W27" s="1207" t="e">
        <f t="shared" si="3"/>
        <v>#VALUE!</v>
      </c>
      <c r="X27" s="1189"/>
      <c r="Y27" s="1189"/>
      <c r="Z27" s="1189"/>
      <c r="AA27" s="1189"/>
      <c r="AB27" s="1189"/>
      <c r="AC27" s="1189"/>
      <c r="AD27" s="1189"/>
      <c r="AE27" s="1189"/>
      <c r="AF27" s="1189"/>
      <c r="AG27" s="1189"/>
      <c r="AH27" s="1189"/>
      <c r="AI27" s="1189"/>
      <c r="AJ27" s="1210"/>
      <c r="AK27" s="1189"/>
      <c r="AL27" s="1189"/>
      <c r="AM27" s="1189"/>
      <c r="AN27" s="1189"/>
      <c r="AO27" s="1189"/>
      <c r="AP27" s="1189"/>
      <c r="AQ27" s="1189"/>
      <c r="AR27" s="1189"/>
      <c r="AS27" s="1189"/>
      <c r="AT27" s="1189"/>
      <c r="AU27" s="1189"/>
      <c r="AV27" s="1189"/>
      <c r="AW27" s="1211"/>
      <c r="AX27" s="1189"/>
    </row>
    <row r="28" spans="1:50" ht="12.6">
      <c r="A28" s="1123"/>
      <c r="B28" s="1586" t="s">
        <v>884</v>
      </c>
      <c r="C28" s="1586"/>
      <c r="D28" s="142" t="s">
        <v>802</v>
      </c>
      <c r="E28" s="242">
        <f>VLOOKUP(E8,'Pricelist Link'!A6:AG358,18,FALSE)</f>
        <v>1</v>
      </c>
      <c r="F28" s="1558">
        <f>F26/E28</f>
        <v>424313.35716298391</v>
      </c>
      <c r="G28" s="1559"/>
      <c r="H28" s="1559"/>
      <c r="I28" s="1560"/>
      <c r="J28" s="100"/>
      <c r="K28" s="1527">
        <f t="shared" si="1"/>
        <v>0</v>
      </c>
      <c r="L28" s="1527"/>
      <c r="M28" s="1207" t="str">
        <f t="shared" si="2"/>
        <v/>
      </c>
      <c r="N28" s="1551">
        <f>IF(E28&gt;10,F28,0)</f>
        <v>0</v>
      </c>
      <c r="O28" s="1551"/>
      <c r="P28" s="1525"/>
      <c r="Q28" s="1526"/>
      <c r="R28" s="1189"/>
      <c r="S28" s="1189"/>
      <c r="T28" s="1552" t="s">
        <v>885</v>
      </c>
      <c r="U28" s="1552"/>
      <c r="V28" s="1189"/>
      <c r="W28" s="1207" t="e">
        <f t="shared" si="3"/>
        <v>#VALUE!</v>
      </c>
      <c r="X28" s="1189"/>
      <c r="Y28" s="1189"/>
      <c r="Z28" s="1189"/>
      <c r="AA28" s="1189"/>
      <c r="AB28" s="1189"/>
      <c r="AC28" s="1189"/>
      <c r="AD28" s="1189"/>
      <c r="AE28" s="1189"/>
      <c r="AF28" s="1189"/>
      <c r="AG28" s="1189"/>
      <c r="AH28" s="1189"/>
      <c r="AI28" s="1189"/>
      <c r="AJ28" s="1210"/>
      <c r="AK28" s="1189"/>
      <c r="AL28" s="1189"/>
      <c r="AM28" s="1189"/>
      <c r="AN28" s="1189"/>
      <c r="AO28" s="1189"/>
      <c r="AP28" s="1189"/>
      <c r="AQ28" s="1189"/>
      <c r="AR28" s="1189"/>
      <c r="AS28" s="1189"/>
      <c r="AT28" s="1189"/>
      <c r="AU28" s="1189"/>
      <c r="AV28" s="1189"/>
      <c r="AW28" s="1211"/>
      <c r="AX28" s="1189"/>
    </row>
    <row r="29" spans="1:50" ht="12.6">
      <c r="A29" s="1218"/>
      <c r="B29" s="1123"/>
      <c r="C29" s="178"/>
      <c r="D29" s="705"/>
      <c r="E29" s="243"/>
      <c r="F29" s="235"/>
      <c r="G29" s="235"/>
      <c r="H29" s="235"/>
      <c r="I29" s="235"/>
      <c r="J29" s="100"/>
      <c r="K29" s="1527">
        <f t="shared" si="1"/>
        <v>0</v>
      </c>
      <c r="L29" s="1527"/>
      <c r="M29" s="1207" t="str">
        <f t="shared" si="2"/>
        <v/>
      </c>
      <c r="N29" s="1557">
        <f>IF(E28&gt;11,F28,0)</f>
        <v>0</v>
      </c>
      <c r="O29" s="1557"/>
      <c r="P29" s="1525"/>
      <c r="Q29" s="1526"/>
      <c r="R29" s="1189"/>
      <c r="S29" s="1189"/>
      <c r="T29" s="1552" t="s">
        <v>886</v>
      </c>
      <c r="U29" s="1552"/>
      <c r="V29" s="1189"/>
      <c r="W29" s="1207" t="e">
        <f t="shared" si="3"/>
        <v>#VALUE!</v>
      </c>
      <c r="X29" s="1189"/>
      <c r="Y29" s="1189"/>
      <c r="Z29" s="1189"/>
      <c r="AA29" s="1189"/>
      <c r="AB29" s="1189"/>
      <c r="AC29" s="1189"/>
      <c r="AD29" s="1189"/>
      <c r="AE29" s="1189"/>
      <c r="AF29" s="1189"/>
      <c r="AG29" s="1189"/>
      <c r="AH29" s="1189"/>
      <c r="AI29" s="1189"/>
      <c r="AJ29" s="1210"/>
      <c r="AK29" s="1189"/>
      <c r="AL29" s="1189"/>
      <c r="AM29" s="1189"/>
      <c r="AN29" s="1189"/>
      <c r="AO29" s="1189"/>
      <c r="AP29" s="1189"/>
      <c r="AQ29" s="1189"/>
      <c r="AR29" s="1189"/>
      <c r="AS29" s="1189"/>
      <c r="AT29" s="1189"/>
      <c r="AU29" s="1189"/>
      <c r="AV29" s="1189"/>
      <c r="AW29" s="1211"/>
      <c r="AX29" s="1189"/>
    </row>
    <row r="30" spans="1:50" ht="12.6">
      <c r="A30" s="1123"/>
      <c r="B30" s="129" t="s">
        <v>887</v>
      </c>
      <c r="C30" s="129"/>
      <c r="D30" s="142" t="s">
        <v>802</v>
      </c>
      <c r="E30" s="241">
        <f>100%-E24</f>
        <v>0.875</v>
      </c>
      <c r="F30" s="1558">
        <f>F22*E30</f>
        <v>3180193.5001408872</v>
      </c>
      <c r="G30" s="1559"/>
      <c r="H30" s="1559"/>
      <c r="I30" s="1560"/>
      <c r="J30" s="100"/>
      <c r="K30" s="1527">
        <f t="shared" si="1"/>
        <v>0</v>
      </c>
      <c r="L30" s="1527"/>
      <c r="M30" s="1207" t="str">
        <f t="shared" si="2"/>
        <v/>
      </c>
      <c r="N30" s="1557">
        <f>IF(E28&gt;12,F28,0)</f>
        <v>0</v>
      </c>
      <c r="O30" s="1557"/>
      <c r="P30" s="1525"/>
      <c r="Q30" s="1526"/>
      <c r="R30" s="1189"/>
      <c r="S30" s="1189"/>
      <c r="T30" s="1552" t="s">
        <v>888</v>
      </c>
      <c r="U30" s="1552"/>
      <c r="V30" s="1189"/>
      <c r="W30" s="1207" t="e">
        <f t="shared" si="3"/>
        <v>#VALUE!</v>
      </c>
      <c r="X30" s="1189"/>
      <c r="Y30" s="1189"/>
      <c r="Z30" s="1189"/>
      <c r="AA30" s="1189"/>
      <c r="AB30" s="1189"/>
      <c r="AC30" s="1189"/>
      <c r="AD30" s="1189"/>
      <c r="AE30" s="1189"/>
      <c r="AF30" s="1189"/>
      <c r="AG30" s="1189"/>
      <c r="AH30" s="1189"/>
      <c r="AI30" s="1189"/>
      <c r="AJ30" s="1210"/>
      <c r="AK30" s="1189"/>
      <c r="AL30" s="1189"/>
      <c r="AM30" s="1189"/>
      <c r="AN30" s="1189"/>
      <c r="AO30" s="1189"/>
      <c r="AP30" s="1189"/>
      <c r="AQ30" s="1189"/>
      <c r="AR30" s="1189"/>
      <c r="AS30" s="1189"/>
      <c r="AT30" s="1189"/>
      <c r="AU30" s="1189"/>
      <c r="AV30" s="1189"/>
      <c r="AW30" s="1211"/>
      <c r="AX30" s="1189"/>
    </row>
    <row r="31" spans="1:50" ht="12.6">
      <c r="A31" s="1123"/>
      <c r="B31" s="1123"/>
      <c r="C31" s="178"/>
      <c r="D31" s="243"/>
      <c r="E31" s="243"/>
      <c r="F31" s="243"/>
      <c r="G31" s="244"/>
      <c r="H31" s="244"/>
      <c r="I31" s="244"/>
      <c r="J31" s="100"/>
      <c r="K31" s="1527">
        <f t="shared" si="1"/>
        <v>0</v>
      </c>
      <c r="L31" s="1527"/>
      <c r="M31" s="1207" t="str">
        <f t="shared" si="2"/>
        <v/>
      </c>
      <c r="N31" s="1557">
        <f>IF(E28&gt;13,F28,0)</f>
        <v>0</v>
      </c>
      <c r="O31" s="1557"/>
      <c r="P31" s="1525"/>
      <c r="Q31" s="1526"/>
      <c r="R31" s="1189"/>
      <c r="S31" s="1189"/>
      <c r="T31" s="1552" t="s">
        <v>889</v>
      </c>
      <c r="U31" s="1552"/>
      <c r="V31" s="1189"/>
      <c r="W31" s="1207" t="e">
        <f t="shared" si="3"/>
        <v>#VALUE!</v>
      </c>
      <c r="X31" s="1189"/>
      <c r="Y31" s="1189"/>
      <c r="Z31" s="1189"/>
      <c r="AA31" s="1189"/>
      <c r="AB31" s="1189"/>
      <c r="AC31" s="1189"/>
      <c r="AD31" s="1189"/>
      <c r="AE31" s="1189"/>
      <c r="AF31" s="1189"/>
      <c r="AG31" s="1189"/>
      <c r="AH31" s="1189"/>
      <c r="AI31" s="1189"/>
      <c r="AJ31" s="1210"/>
      <c r="AK31" s="1189"/>
      <c r="AL31" s="1189"/>
      <c r="AM31" s="1189"/>
      <c r="AN31" s="1189"/>
      <c r="AO31" s="1189"/>
      <c r="AP31" s="1189"/>
      <c r="AQ31" s="1189"/>
      <c r="AR31" s="1189"/>
      <c r="AS31" s="1189"/>
      <c r="AT31" s="1189"/>
      <c r="AU31" s="1189"/>
      <c r="AV31" s="1189"/>
      <c r="AW31" s="1211"/>
      <c r="AX31" s="1189"/>
    </row>
    <row r="32" spans="1:50" ht="12.6">
      <c r="A32" s="1123"/>
      <c r="B32" s="101" t="s">
        <v>890</v>
      </c>
      <c r="C32" s="238"/>
      <c r="D32" s="245"/>
      <c r="E32" s="1219"/>
      <c r="F32" s="243"/>
      <c r="G32" s="244"/>
      <c r="H32" s="244"/>
      <c r="I32" s="244"/>
      <c r="J32" s="179"/>
      <c r="K32" s="1527">
        <f t="shared" si="1"/>
        <v>0</v>
      </c>
      <c r="L32" s="1527"/>
      <c r="M32" s="1207" t="str">
        <f t="shared" si="2"/>
        <v/>
      </c>
      <c r="N32" s="1557">
        <f>IF(E28&gt;14,F28,0)</f>
        <v>0</v>
      </c>
      <c r="O32" s="1557"/>
      <c r="P32" s="1525"/>
      <c r="Q32" s="1526"/>
      <c r="R32" s="1189"/>
      <c r="S32" s="1189"/>
      <c r="T32" s="1552" t="s">
        <v>891</v>
      </c>
      <c r="U32" s="1552"/>
      <c r="V32" s="1189"/>
      <c r="W32" s="1207" t="e">
        <f t="shared" si="3"/>
        <v>#VALUE!</v>
      </c>
      <c r="X32" s="1189"/>
      <c r="Y32" s="1189"/>
      <c r="Z32" s="1189"/>
      <c r="AA32" s="1189"/>
      <c r="AB32" s="1189"/>
      <c r="AC32" s="1189"/>
      <c r="AD32" s="1189"/>
      <c r="AE32" s="1189"/>
      <c r="AF32" s="1189"/>
      <c r="AG32" s="1189"/>
      <c r="AH32" s="1189"/>
      <c r="AI32" s="1189"/>
      <c r="AJ32" s="1210"/>
      <c r="AK32" s="1189"/>
      <c r="AL32" s="1189"/>
      <c r="AM32" s="1189"/>
      <c r="AN32" s="1189"/>
      <c r="AO32" s="1189"/>
      <c r="AP32" s="1189"/>
      <c r="AQ32" s="1189"/>
      <c r="AR32" s="1189"/>
      <c r="AS32" s="1189"/>
      <c r="AT32" s="1189"/>
      <c r="AU32" s="1189"/>
      <c r="AV32" s="1189"/>
      <c r="AW32" s="1211"/>
      <c r="AX32" s="1189"/>
    </row>
    <row r="33" spans="1:50" ht="12.6">
      <c r="A33" s="1123"/>
      <c r="B33" s="1123"/>
      <c r="C33" s="178"/>
      <c r="D33" s="178"/>
      <c r="E33" s="1220"/>
      <c r="F33" s="1125"/>
      <c r="G33" s="1125"/>
      <c r="H33" s="1125"/>
      <c r="I33" s="1125"/>
      <c r="J33" s="142"/>
      <c r="K33" s="1527">
        <f t="shared" si="1"/>
        <v>0</v>
      </c>
      <c r="L33" s="1527"/>
      <c r="M33" s="1207" t="str">
        <f t="shared" si="2"/>
        <v/>
      </c>
      <c r="N33" s="1557">
        <f>IF(E28&gt;15,F28,0)</f>
        <v>0</v>
      </c>
      <c r="O33" s="1557"/>
      <c r="P33" s="1525"/>
      <c r="Q33" s="1526"/>
      <c r="R33" s="1189"/>
      <c r="S33" s="1189"/>
      <c r="T33" s="1552" t="s">
        <v>892</v>
      </c>
      <c r="U33" s="1552"/>
      <c r="V33" s="1189"/>
      <c r="W33" s="1207" t="e">
        <f t="shared" si="3"/>
        <v>#VALUE!</v>
      </c>
      <c r="X33" s="1189"/>
      <c r="Y33" s="1189"/>
      <c r="Z33" s="1189"/>
      <c r="AA33" s="1189"/>
      <c r="AB33" s="1189"/>
      <c r="AC33" s="1189"/>
      <c r="AD33" s="1189"/>
      <c r="AE33" s="1189"/>
      <c r="AF33" s="1189"/>
      <c r="AG33" s="1189"/>
      <c r="AH33" s="1189"/>
      <c r="AI33" s="1189"/>
      <c r="AJ33" s="1210"/>
      <c r="AK33" s="1189"/>
      <c r="AL33" s="1189"/>
      <c r="AM33" s="1189"/>
      <c r="AN33" s="1189"/>
      <c r="AO33" s="1189"/>
      <c r="AP33" s="1189"/>
      <c r="AQ33" s="1189"/>
      <c r="AR33" s="1189"/>
      <c r="AS33" s="1189"/>
      <c r="AT33" s="1189"/>
      <c r="AU33" s="1189"/>
      <c r="AV33" s="1189"/>
      <c r="AW33" s="1211"/>
      <c r="AX33" s="1189"/>
    </row>
    <row r="34" spans="1:50" ht="12.6">
      <c r="A34" s="1123"/>
      <c r="B34" s="208" t="s">
        <v>56</v>
      </c>
      <c r="C34" s="208" t="s">
        <v>57</v>
      </c>
      <c r="D34" s="208" t="s">
        <v>58</v>
      </c>
      <c r="E34" s="208" t="s">
        <v>893</v>
      </c>
      <c r="F34" s="1549" t="s">
        <v>894</v>
      </c>
      <c r="G34" s="1549"/>
      <c r="H34" s="1549"/>
      <c r="I34" s="1549"/>
      <c r="J34" s="178"/>
      <c r="K34" s="1527">
        <f t="shared" si="1"/>
        <v>0</v>
      </c>
      <c r="L34" s="1527"/>
      <c r="M34" s="1207" t="str">
        <f t="shared" si="2"/>
        <v/>
      </c>
      <c r="N34" s="1557">
        <f>IF(E28&gt;16,F28,0)</f>
        <v>0</v>
      </c>
      <c r="O34" s="1557"/>
      <c r="P34" s="1525"/>
      <c r="Q34" s="1526"/>
      <c r="R34" s="1189"/>
      <c r="S34" s="1189"/>
      <c r="T34" s="1552" t="s">
        <v>895</v>
      </c>
      <c r="U34" s="1552"/>
      <c r="V34" s="1189"/>
      <c r="W34" s="1207" t="e">
        <f t="shared" si="3"/>
        <v>#VALUE!</v>
      </c>
      <c r="X34" s="1189"/>
      <c r="Y34" s="1189"/>
      <c r="Z34" s="1189"/>
      <c r="AA34" s="1189"/>
      <c r="AB34" s="1189"/>
      <c r="AC34" s="1189"/>
      <c r="AD34" s="1189"/>
      <c r="AE34" s="1189"/>
      <c r="AF34" s="1189"/>
      <c r="AG34" s="1189"/>
      <c r="AH34" s="1189"/>
      <c r="AI34" s="1189"/>
      <c r="AJ34" s="1210"/>
      <c r="AK34" s="1189"/>
      <c r="AL34" s="1189"/>
      <c r="AM34" s="1189"/>
      <c r="AN34" s="1189"/>
      <c r="AO34" s="1189"/>
      <c r="AP34" s="1189"/>
      <c r="AQ34" s="1189"/>
      <c r="AR34" s="1189"/>
      <c r="AS34" s="1189"/>
      <c r="AT34" s="1189"/>
      <c r="AU34" s="1189"/>
      <c r="AV34" s="1189"/>
      <c r="AW34" s="1211"/>
      <c r="AX34" s="1189"/>
    </row>
    <row r="35" spans="1:50" ht="12.6">
      <c r="A35" s="1123"/>
      <c r="B35" s="246">
        <v>5</v>
      </c>
      <c r="C35" s="247">
        <v>6.5000000000000002E-2</v>
      </c>
      <c r="D35" s="248">
        <f>PMT(C35/12,B35*12,-1)</f>
        <v>1.9566148218728541E-2</v>
      </c>
      <c r="E35" s="1127">
        <f>F30*D35</f>
        <v>62224.137387993702</v>
      </c>
      <c r="F35" s="1551">
        <f>E35/0.33</f>
        <v>188557.9920848294</v>
      </c>
      <c r="G35" s="1551"/>
      <c r="H35" s="1551"/>
      <c r="I35" s="1551"/>
      <c r="J35" s="100"/>
      <c r="K35" s="1527">
        <f t="shared" si="1"/>
        <v>0</v>
      </c>
      <c r="L35" s="1527"/>
      <c r="M35" s="1207" t="str">
        <f t="shared" si="2"/>
        <v/>
      </c>
      <c r="N35" s="1557">
        <f>IF(E28&gt;17,F28,0)</f>
        <v>0</v>
      </c>
      <c r="O35" s="1557"/>
      <c r="P35" s="1525"/>
      <c r="Q35" s="1526"/>
      <c r="R35" s="1189"/>
      <c r="S35" s="1189"/>
      <c r="T35" s="1552" t="s">
        <v>896</v>
      </c>
      <c r="U35" s="1552"/>
      <c r="V35" s="1189"/>
      <c r="W35" s="1207" t="e">
        <f t="shared" si="3"/>
        <v>#VALUE!</v>
      </c>
      <c r="X35" s="1189"/>
      <c r="Y35" s="1189"/>
      <c r="Z35" s="1189"/>
      <c r="AA35" s="1189"/>
      <c r="AB35" s="1189"/>
      <c r="AC35" s="1189"/>
      <c r="AD35" s="1189"/>
      <c r="AE35" s="1189"/>
      <c r="AF35" s="1189"/>
      <c r="AG35" s="1189"/>
      <c r="AH35" s="1189"/>
      <c r="AI35" s="1189"/>
      <c r="AJ35" s="1210"/>
      <c r="AK35" s="1189"/>
      <c r="AL35" s="1189"/>
      <c r="AM35" s="1189"/>
      <c r="AN35" s="1189"/>
      <c r="AO35" s="1189"/>
      <c r="AP35" s="1189"/>
      <c r="AQ35" s="1189"/>
      <c r="AR35" s="1189"/>
      <c r="AS35" s="1189"/>
      <c r="AT35" s="1189"/>
      <c r="AU35" s="1189"/>
      <c r="AV35" s="1189"/>
      <c r="AW35" s="1211"/>
      <c r="AX35" s="1189"/>
    </row>
    <row r="36" spans="1:50" ht="12.6">
      <c r="A36" s="1123"/>
      <c r="B36" s="246">
        <v>10</v>
      </c>
      <c r="C36" s="247">
        <v>6.5000000000000002E-2</v>
      </c>
      <c r="D36" s="248">
        <f>PMT(C36/12,B36*12,-1)</f>
        <v>1.13547977220026E-2</v>
      </c>
      <c r="E36" s="1127">
        <f>F30*D36</f>
        <v>36110.453910927223</v>
      </c>
      <c r="F36" s="1551">
        <f>E36/0.33</f>
        <v>109425.61791190067</v>
      </c>
      <c r="G36" s="1551"/>
      <c r="H36" s="1551"/>
      <c r="I36" s="1551"/>
      <c r="J36" s="100"/>
      <c r="K36" s="1527">
        <f t="shared" si="1"/>
        <v>0</v>
      </c>
      <c r="L36" s="1527"/>
      <c r="M36" s="1207" t="str">
        <f t="shared" si="2"/>
        <v/>
      </c>
      <c r="N36" s="1557">
        <f>IF(E28&gt;18,F28,0)</f>
        <v>0</v>
      </c>
      <c r="O36" s="1557"/>
      <c r="P36" s="1525"/>
      <c r="Q36" s="1526"/>
      <c r="R36" s="1189"/>
      <c r="S36" s="1189"/>
      <c r="T36" s="1552" t="s">
        <v>897</v>
      </c>
      <c r="U36" s="1552"/>
      <c r="V36" s="1189"/>
      <c r="W36" s="1207" t="e">
        <f t="shared" si="3"/>
        <v>#VALUE!</v>
      </c>
      <c r="X36" s="1189"/>
      <c r="Y36" s="1189"/>
      <c r="Z36" s="1189"/>
      <c r="AA36" s="1189"/>
      <c r="AB36" s="1189"/>
      <c r="AC36" s="1189"/>
      <c r="AD36" s="1189"/>
      <c r="AE36" s="1189"/>
      <c r="AF36" s="1189"/>
      <c r="AG36" s="1189"/>
      <c r="AH36" s="1189"/>
      <c r="AI36" s="1189"/>
      <c r="AJ36" s="1210"/>
      <c r="AK36" s="1189"/>
      <c r="AL36" s="1189"/>
      <c r="AM36" s="1189"/>
      <c r="AN36" s="1189"/>
      <c r="AO36" s="1189"/>
      <c r="AP36" s="1189"/>
      <c r="AQ36" s="1189"/>
      <c r="AR36" s="1189"/>
      <c r="AS36" s="1189"/>
      <c r="AT36" s="1189"/>
      <c r="AU36" s="1189"/>
      <c r="AV36" s="1189"/>
      <c r="AW36" s="1211"/>
      <c r="AX36" s="1189"/>
    </row>
    <row r="37" spans="1:50" ht="12.6">
      <c r="A37" s="1123"/>
      <c r="B37" s="246">
        <v>15</v>
      </c>
      <c r="C37" s="247">
        <v>6.5000000000000002E-2</v>
      </c>
      <c r="D37" s="248">
        <f t="shared" ref="D37:D38" si="4">PMT(C37/12,B37*12,-1)</f>
        <v>8.7110736529736159E-3</v>
      </c>
      <c r="E37" s="1127">
        <f>F30*D37</f>
        <v>27702.899810435229</v>
      </c>
      <c r="F37" s="1551">
        <f>E37/0.33</f>
        <v>83948.181243743107</v>
      </c>
      <c r="G37" s="1551"/>
      <c r="H37" s="1551"/>
      <c r="I37" s="1551"/>
      <c r="J37" s="100"/>
      <c r="K37" s="1527">
        <f t="shared" si="1"/>
        <v>0</v>
      </c>
      <c r="L37" s="1527"/>
      <c r="M37" s="1207" t="str">
        <f t="shared" si="2"/>
        <v/>
      </c>
      <c r="N37" s="1557">
        <f>IF(E28&gt;19,F28,0)</f>
        <v>0</v>
      </c>
      <c r="O37" s="1557"/>
      <c r="P37" s="1525"/>
      <c r="Q37" s="1526"/>
      <c r="R37" s="1189"/>
      <c r="S37" s="1189"/>
      <c r="T37" s="1552" t="s">
        <v>898</v>
      </c>
      <c r="U37" s="1552"/>
      <c r="V37" s="1189"/>
      <c r="W37" s="1207" t="e">
        <f t="shared" si="3"/>
        <v>#VALUE!</v>
      </c>
      <c r="X37" s="1189"/>
      <c r="Y37" s="1189"/>
      <c r="Z37" s="1189"/>
      <c r="AA37" s="1189"/>
      <c r="AB37" s="1189"/>
      <c r="AC37" s="1189"/>
      <c r="AD37" s="1189"/>
      <c r="AE37" s="1189"/>
      <c r="AF37" s="1189"/>
      <c r="AG37" s="1189"/>
      <c r="AH37" s="1189"/>
      <c r="AI37" s="1189"/>
      <c r="AJ37" s="1210"/>
      <c r="AK37" s="1189"/>
      <c r="AL37" s="1189"/>
      <c r="AM37" s="1189"/>
      <c r="AN37" s="1189"/>
      <c r="AO37" s="1189"/>
      <c r="AP37" s="1189"/>
      <c r="AQ37" s="1189"/>
      <c r="AR37" s="1189"/>
      <c r="AS37" s="1189"/>
      <c r="AT37" s="1189"/>
      <c r="AU37" s="1189"/>
      <c r="AV37" s="1189"/>
      <c r="AW37" s="1211"/>
      <c r="AX37" s="1189"/>
    </row>
    <row r="38" spans="1:50" ht="12.6">
      <c r="A38" s="1123"/>
      <c r="B38" s="246">
        <v>20</v>
      </c>
      <c r="C38" s="247">
        <v>6.5000000000000002E-2</v>
      </c>
      <c r="D38" s="248">
        <f t="shared" si="4"/>
        <v>7.4557313551509704E-3</v>
      </c>
      <c r="E38" s="1127">
        <f>F30*D38</f>
        <v>23710.668394447726</v>
      </c>
      <c r="F38" s="1551">
        <f>E38/0.33</f>
        <v>71850.51028620523</v>
      </c>
      <c r="G38" s="1551"/>
      <c r="H38" s="1551"/>
      <c r="I38" s="1551"/>
      <c r="J38" s="100"/>
      <c r="K38" s="1527">
        <f t="shared" si="1"/>
        <v>0</v>
      </c>
      <c r="L38" s="1527"/>
      <c r="M38" s="1207" t="str">
        <f t="shared" si="2"/>
        <v/>
      </c>
      <c r="N38" s="1557">
        <f>IF(E28&gt;20,F28,0)</f>
        <v>0</v>
      </c>
      <c r="O38" s="1557"/>
      <c r="P38" s="1525"/>
      <c r="Q38" s="1526"/>
      <c r="R38" s="1189"/>
      <c r="S38" s="1189"/>
      <c r="T38" s="1552" t="s">
        <v>899</v>
      </c>
      <c r="U38" s="1552"/>
      <c r="V38" s="1189"/>
      <c r="W38" s="1207" t="e">
        <f t="shared" si="3"/>
        <v>#VALUE!</v>
      </c>
      <c r="X38" s="1189"/>
      <c r="Y38" s="1189"/>
      <c r="Z38" s="1189"/>
      <c r="AA38" s="1189"/>
      <c r="AB38" s="1189"/>
      <c r="AC38" s="1189"/>
      <c r="AD38" s="1189"/>
      <c r="AE38" s="1189"/>
      <c r="AF38" s="1189"/>
      <c r="AG38" s="1189"/>
      <c r="AH38" s="1189"/>
      <c r="AI38" s="1189"/>
      <c r="AJ38" s="1210"/>
      <c r="AK38" s="1189"/>
      <c r="AL38" s="1189"/>
      <c r="AM38" s="1189"/>
      <c r="AN38" s="1189"/>
      <c r="AO38" s="1189"/>
      <c r="AP38" s="1189"/>
      <c r="AQ38" s="1189"/>
      <c r="AR38" s="1189"/>
      <c r="AS38" s="1189"/>
      <c r="AT38" s="1189"/>
      <c r="AU38" s="1189"/>
      <c r="AV38" s="1189"/>
      <c r="AW38" s="1211"/>
      <c r="AX38" s="1189"/>
    </row>
    <row r="39" spans="1:50" ht="12.6">
      <c r="A39" s="1123"/>
      <c r="B39" s="260" t="s">
        <v>900</v>
      </c>
      <c r="C39" s="172"/>
      <c r="D39" s="173"/>
      <c r="E39" s="1221"/>
      <c r="F39" s="1576"/>
      <c r="G39" s="1576"/>
      <c r="H39" s="1222"/>
      <c r="I39" s="1123"/>
      <c r="J39" s="100"/>
      <c r="K39" s="1527">
        <f t="shared" si="1"/>
        <v>0</v>
      </c>
      <c r="L39" s="1527"/>
      <c r="M39" s="1207" t="str">
        <f t="shared" si="2"/>
        <v/>
      </c>
      <c r="N39" s="1557">
        <f>IF(E28&gt;21,F28,0)</f>
        <v>0</v>
      </c>
      <c r="O39" s="1557"/>
      <c r="P39" s="1525"/>
      <c r="Q39" s="1526"/>
      <c r="R39" s="1189"/>
      <c r="S39" s="1189"/>
      <c r="T39" s="1552" t="s">
        <v>901</v>
      </c>
      <c r="U39" s="1552"/>
      <c r="V39" s="1189"/>
      <c r="W39" s="1207" t="e">
        <f t="shared" si="3"/>
        <v>#VALUE!</v>
      </c>
      <c r="X39" s="1189"/>
      <c r="Y39" s="1189"/>
      <c r="Z39" s="1189"/>
      <c r="AA39" s="1189"/>
      <c r="AB39" s="1189"/>
      <c r="AC39" s="1189"/>
      <c r="AD39" s="1189"/>
      <c r="AE39" s="1189"/>
      <c r="AF39" s="1189"/>
      <c r="AG39" s="1189"/>
      <c r="AH39" s="1189"/>
      <c r="AI39" s="1189"/>
      <c r="AJ39" s="1210"/>
      <c r="AK39" s="1189"/>
      <c r="AL39" s="1189"/>
      <c r="AM39" s="1189"/>
      <c r="AN39" s="1189"/>
      <c r="AO39" s="1189"/>
      <c r="AP39" s="1189"/>
      <c r="AQ39" s="1189"/>
      <c r="AR39" s="1189"/>
      <c r="AS39" s="1189"/>
      <c r="AT39" s="1189"/>
      <c r="AU39" s="1189"/>
      <c r="AV39" s="1189"/>
      <c r="AW39" s="1211"/>
      <c r="AX39" s="1189"/>
    </row>
    <row r="40" spans="1:50" ht="12.6">
      <c r="A40" s="1123"/>
      <c r="B40" s="260" t="s">
        <v>941</v>
      </c>
      <c r="C40" s="249"/>
      <c r="D40" s="705"/>
      <c r="E40" s="1123"/>
      <c r="F40" s="1123"/>
      <c r="G40" s="1123"/>
      <c r="H40" s="1123"/>
      <c r="I40" s="1123"/>
      <c r="J40" s="100"/>
      <c r="K40" s="1527">
        <f t="shared" si="1"/>
        <v>0</v>
      </c>
      <c r="L40" s="1527"/>
      <c r="M40" s="1207" t="str">
        <f t="shared" si="2"/>
        <v/>
      </c>
      <c r="N40" s="1557">
        <f>IF(E28&gt;22,F28,0)</f>
        <v>0</v>
      </c>
      <c r="O40" s="1557"/>
      <c r="P40" s="1525"/>
      <c r="Q40" s="1526"/>
      <c r="R40" s="1189"/>
      <c r="S40" s="1189"/>
      <c r="T40" s="1552" t="s">
        <v>903</v>
      </c>
      <c r="U40" s="1552"/>
      <c r="V40" s="1189"/>
      <c r="W40" s="1207" t="e">
        <f t="shared" si="3"/>
        <v>#VALUE!</v>
      </c>
      <c r="X40" s="1189"/>
      <c r="Y40" s="1189"/>
      <c r="Z40" s="1189"/>
      <c r="AA40" s="1189"/>
      <c r="AB40" s="1189"/>
      <c r="AC40" s="1189"/>
      <c r="AD40" s="1189"/>
      <c r="AE40" s="1189"/>
      <c r="AF40" s="1189"/>
      <c r="AG40" s="1189"/>
      <c r="AH40" s="1189"/>
      <c r="AI40" s="1189"/>
      <c r="AJ40" s="1210"/>
      <c r="AK40" s="1189"/>
      <c r="AL40" s="1189"/>
      <c r="AM40" s="1189"/>
      <c r="AN40" s="1223">
        <v>3128865.99</v>
      </c>
      <c r="AO40" s="1189"/>
      <c r="AP40" s="1189"/>
      <c r="AQ40" s="1189"/>
      <c r="AR40" s="1189"/>
      <c r="AS40" s="1189"/>
      <c r="AT40" s="1189"/>
      <c r="AU40" s="1189"/>
      <c r="AV40" s="1189"/>
      <c r="AW40" s="1211"/>
      <c r="AX40" s="1189"/>
    </row>
    <row r="41" spans="1:50" ht="12.6">
      <c r="A41" s="1123"/>
      <c r="B41" s="166" t="s">
        <v>904</v>
      </c>
      <c r="C41" s="1123"/>
      <c r="D41" s="705"/>
      <c r="E41" s="1123"/>
      <c r="F41" s="1123"/>
      <c r="G41" s="1123"/>
      <c r="H41" s="1123"/>
      <c r="I41" s="1123"/>
      <c r="J41" s="100"/>
      <c r="K41" s="1527">
        <f t="shared" si="1"/>
        <v>0</v>
      </c>
      <c r="L41" s="1527"/>
      <c r="M41" s="1207" t="str">
        <f t="shared" si="2"/>
        <v/>
      </c>
      <c r="N41" s="1557">
        <f>IF(E28&gt;24,F28,0)</f>
        <v>0</v>
      </c>
      <c r="O41" s="1557"/>
      <c r="P41" s="1525"/>
      <c r="Q41" s="1526"/>
      <c r="R41" s="1189"/>
      <c r="S41" s="1189"/>
      <c r="T41" s="1552" t="s">
        <v>905</v>
      </c>
      <c r="U41" s="1552"/>
      <c r="V41" s="1189"/>
      <c r="W41" s="1207" t="e">
        <f t="shared" si="3"/>
        <v>#VALUE!</v>
      </c>
      <c r="X41" s="1189"/>
      <c r="Y41" s="1189"/>
      <c r="Z41" s="1189"/>
      <c r="AA41" s="1189"/>
      <c r="AB41" s="1189"/>
      <c r="AC41" s="1189"/>
      <c r="AD41" s="1189"/>
      <c r="AE41" s="1189"/>
      <c r="AF41" s="1189"/>
      <c r="AG41" s="1189"/>
      <c r="AH41" s="1189"/>
      <c r="AI41" s="1189"/>
      <c r="AJ41" s="1210"/>
      <c r="AK41" s="1189"/>
      <c r="AL41" s="1189"/>
      <c r="AM41" s="1189"/>
      <c r="AN41" s="1189"/>
      <c r="AO41" s="1189"/>
      <c r="AP41" s="1189"/>
      <c r="AQ41" s="1189"/>
      <c r="AR41" s="1189"/>
      <c r="AS41" s="1189"/>
      <c r="AT41" s="1189"/>
      <c r="AU41" s="1189"/>
      <c r="AV41" s="1189"/>
      <c r="AW41" s="1211"/>
      <c r="AX41" s="1189"/>
    </row>
    <row r="42" spans="1:50" ht="12.6">
      <c r="A42" s="1123"/>
      <c r="B42" s="166" t="s">
        <v>906</v>
      </c>
      <c r="C42" s="249"/>
      <c r="D42" s="705"/>
      <c r="E42" s="1123"/>
      <c r="F42" s="1123"/>
      <c r="G42" s="1123"/>
      <c r="H42" s="1123"/>
      <c r="I42" s="1123"/>
      <c r="J42" s="142"/>
      <c r="K42" s="1527">
        <f t="shared" si="1"/>
        <v>0</v>
      </c>
      <c r="L42" s="1527"/>
      <c r="M42" s="1207" t="str">
        <f t="shared" si="2"/>
        <v/>
      </c>
      <c r="N42" s="1557">
        <f>IF(E28&gt;24,F28,0)</f>
        <v>0</v>
      </c>
      <c r="O42" s="1557"/>
      <c r="P42" s="1525"/>
      <c r="Q42" s="1526"/>
      <c r="R42" s="1189"/>
      <c r="S42" s="1189"/>
      <c r="T42" s="1552" t="s">
        <v>907</v>
      </c>
      <c r="U42" s="1552"/>
      <c r="V42" s="1189"/>
      <c r="W42" s="1207" t="e">
        <f t="shared" si="3"/>
        <v>#VALUE!</v>
      </c>
      <c r="X42" s="1189"/>
      <c r="Y42" s="1189"/>
      <c r="Z42" s="1189"/>
      <c r="AA42" s="1189"/>
      <c r="AB42" s="1189"/>
      <c r="AC42" s="1189"/>
      <c r="AD42" s="1189"/>
      <c r="AE42" s="1189"/>
      <c r="AF42" s="1189"/>
      <c r="AG42" s="1189"/>
      <c r="AH42" s="1189"/>
      <c r="AI42" s="1189"/>
      <c r="AJ42" s="1210"/>
      <c r="AK42" s="1189"/>
      <c r="AL42" s="1189"/>
      <c r="AM42" s="1189"/>
      <c r="AN42" s="1189"/>
      <c r="AO42" s="1189"/>
      <c r="AP42" s="1189"/>
      <c r="AQ42" s="1189"/>
      <c r="AR42" s="1189"/>
      <c r="AS42" s="1189"/>
      <c r="AT42" s="1189"/>
      <c r="AU42" s="1189"/>
      <c r="AV42" s="1189"/>
      <c r="AW42" s="1211"/>
      <c r="AX42" s="1189"/>
    </row>
    <row r="43" spans="1:50" ht="12.6">
      <c r="A43" s="1123"/>
      <c r="B43" s="311"/>
      <c r="C43" s="310"/>
      <c r="D43" s="434"/>
      <c r="E43" s="22"/>
      <c r="F43" s="22"/>
      <c r="G43" s="22"/>
      <c r="H43" s="22"/>
      <c r="I43" s="22"/>
      <c r="J43" s="142"/>
      <c r="K43" s="1527">
        <f t="shared" si="1"/>
        <v>0</v>
      </c>
      <c r="L43" s="1527"/>
      <c r="M43" s="1207" t="str">
        <f t="shared" si="2"/>
        <v/>
      </c>
      <c r="N43" s="1557">
        <f>IF(E28&gt;25,F28,0)</f>
        <v>0</v>
      </c>
      <c r="O43" s="1557"/>
      <c r="P43" s="1525"/>
      <c r="Q43" s="1526"/>
      <c r="R43" s="1189"/>
      <c r="S43" s="1189"/>
      <c r="T43" s="1552" t="s">
        <v>908</v>
      </c>
      <c r="U43" s="1552"/>
      <c r="V43" s="1189"/>
      <c r="W43" s="1207" t="e">
        <f t="shared" si="3"/>
        <v>#VALUE!</v>
      </c>
      <c r="X43" s="1189"/>
      <c r="Y43" s="1189"/>
      <c r="Z43" s="1189"/>
      <c r="AA43" s="1189"/>
      <c r="AB43" s="1189"/>
      <c r="AC43" s="1189"/>
      <c r="AD43" s="1189"/>
      <c r="AE43" s="1189"/>
      <c r="AF43" s="1189"/>
      <c r="AG43" s="1189"/>
      <c r="AH43" s="1189"/>
      <c r="AI43" s="1189"/>
      <c r="AJ43" s="1210"/>
      <c r="AK43" s="1189"/>
      <c r="AL43" s="1189"/>
      <c r="AM43" s="1189"/>
      <c r="AN43" s="1189"/>
      <c r="AO43" s="1189"/>
      <c r="AP43" s="1189"/>
      <c r="AQ43" s="1189"/>
      <c r="AR43" s="1189"/>
      <c r="AS43" s="1189"/>
      <c r="AT43" s="1189"/>
      <c r="AU43" s="1189"/>
      <c r="AV43" s="1189"/>
      <c r="AW43" s="1211"/>
      <c r="AX43" s="1189"/>
    </row>
    <row r="44" spans="1:50" ht="12.6">
      <c r="A44" s="1123"/>
      <c r="B44" s="101" t="s">
        <v>909</v>
      </c>
      <c r="C44" s="238"/>
      <c r="D44" s="245"/>
      <c r="E44" s="1120"/>
      <c r="F44" s="924"/>
      <c r="G44" s="167"/>
      <c r="H44" s="167"/>
      <c r="I44" s="167"/>
      <c r="J44" s="142"/>
      <c r="K44" s="1527">
        <f t="shared" si="1"/>
        <v>0</v>
      </c>
      <c r="L44" s="1527"/>
      <c r="M44" s="1207" t="str">
        <f t="shared" si="2"/>
        <v/>
      </c>
      <c r="N44" s="1557">
        <f>IF(E28&gt;26,F28,0)</f>
        <v>0</v>
      </c>
      <c r="O44" s="1557"/>
      <c r="P44" s="1525"/>
      <c r="Q44" s="1526"/>
      <c r="R44" s="1189"/>
      <c r="S44" s="1189"/>
      <c r="T44" s="1552" t="s">
        <v>910</v>
      </c>
      <c r="U44" s="1552"/>
      <c r="V44" s="1189"/>
      <c r="W44" s="1207" t="e">
        <f t="shared" si="3"/>
        <v>#VALUE!</v>
      </c>
      <c r="X44" s="1189"/>
      <c r="Y44" s="1189"/>
      <c r="Z44" s="1189"/>
      <c r="AA44" s="1189"/>
      <c r="AB44" s="1189"/>
      <c r="AC44" s="1189"/>
      <c r="AD44" s="1189"/>
      <c r="AE44" s="1189"/>
      <c r="AF44" s="1189"/>
      <c r="AG44" s="1189"/>
      <c r="AH44" s="1189"/>
      <c r="AI44" s="1189"/>
      <c r="AJ44" s="1210"/>
      <c r="AK44" s="1189"/>
      <c r="AL44" s="1189"/>
      <c r="AM44" s="1189"/>
      <c r="AN44" s="1189"/>
      <c r="AO44" s="1189"/>
      <c r="AP44" s="1189"/>
      <c r="AQ44" s="1189"/>
      <c r="AR44" s="1189"/>
      <c r="AS44" s="1189"/>
      <c r="AT44" s="1189"/>
      <c r="AU44" s="1189"/>
      <c r="AV44" s="1189"/>
      <c r="AW44" s="1211"/>
      <c r="AX44" s="1189"/>
    </row>
    <row r="45" spans="1:50" ht="12.6">
      <c r="A45" s="1123"/>
      <c r="B45" s="175"/>
      <c r="C45" s="245"/>
      <c r="D45" s="245"/>
      <c r="E45" s="1121"/>
      <c r="F45" s="1122"/>
      <c r="G45" s="496"/>
      <c r="H45" s="496"/>
      <c r="I45" s="496"/>
      <c r="J45" s="142"/>
      <c r="K45" s="1527">
        <f t="shared" si="1"/>
        <v>0</v>
      </c>
      <c r="L45" s="1527"/>
      <c r="M45" s="1207" t="str">
        <f t="shared" si="2"/>
        <v/>
      </c>
      <c r="N45" s="1557">
        <f>IF($E$28&gt;27,$F$28,0)</f>
        <v>0</v>
      </c>
      <c r="O45" s="1557"/>
      <c r="P45" s="1525"/>
      <c r="Q45" s="1526"/>
      <c r="R45" s="1189"/>
      <c r="S45" s="1189"/>
      <c r="T45" s="1552" t="s">
        <v>911</v>
      </c>
      <c r="U45" s="1552"/>
      <c r="V45" s="1189"/>
      <c r="W45" s="1207" t="e">
        <f t="shared" si="3"/>
        <v>#VALUE!</v>
      </c>
      <c r="X45" s="1189"/>
      <c r="Y45" s="1189"/>
      <c r="Z45" s="1189"/>
      <c r="AA45" s="1189"/>
      <c r="AB45" s="1189"/>
      <c r="AC45" s="1189"/>
      <c r="AD45" s="1189"/>
      <c r="AE45" s="1189"/>
      <c r="AF45" s="1189"/>
      <c r="AG45" s="1189"/>
      <c r="AH45" s="1189"/>
      <c r="AI45" s="1189"/>
      <c r="AJ45" s="1210"/>
      <c r="AK45" s="1189"/>
      <c r="AL45" s="1189"/>
      <c r="AM45" s="1189"/>
      <c r="AN45" s="1189"/>
      <c r="AO45" s="1189"/>
      <c r="AP45" s="1189"/>
      <c r="AQ45" s="1189"/>
      <c r="AR45" s="1189"/>
      <c r="AS45" s="1189"/>
      <c r="AT45" s="1189"/>
      <c r="AU45" s="1189"/>
      <c r="AV45" s="1189"/>
      <c r="AW45" s="1211"/>
      <c r="AX45" s="1189"/>
    </row>
    <row r="46" spans="1:50" ht="12.6">
      <c r="A46" s="1123"/>
      <c r="B46" s="129" t="s">
        <v>912</v>
      </c>
      <c r="C46" s="129"/>
      <c r="D46" s="142" t="s">
        <v>802</v>
      </c>
      <c r="E46" s="241">
        <f>IF(E10="COMMERCIAL",60%,80%)</f>
        <v>0.8</v>
      </c>
      <c r="F46" s="1558">
        <f>E46*F22</f>
        <v>2907605.4858430973</v>
      </c>
      <c r="G46" s="1559"/>
      <c r="H46" s="1559"/>
      <c r="I46" s="1560"/>
      <c r="J46" s="142"/>
      <c r="K46" s="1527">
        <f t="shared" si="1"/>
        <v>0</v>
      </c>
      <c r="L46" s="1527"/>
      <c r="M46" s="1207" t="str">
        <f t="shared" si="2"/>
        <v/>
      </c>
      <c r="N46" s="1557">
        <f>IF($E$28&gt;28,$F$28,0)</f>
        <v>0</v>
      </c>
      <c r="O46" s="1557"/>
      <c r="P46" s="1525"/>
      <c r="Q46" s="1526"/>
      <c r="R46" s="1189"/>
      <c r="S46" s="1189"/>
      <c r="T46" s="1552" t="s">
        <v>913</v>
      </c>
      <c r="U46" s="1552"/>
      <c r="V46" s="1189"/>
      <c r="W46" s="1207" t="e">
        <f t="shared" si="3"/>
        <v>#VALUE!</v>
      </c>
      <c r="X46" s="1189"/>
      <c r="Y46" s="1189"/>
      <c r="Z46" s="1189"/>
      <c r="AA46" s="1189"/>
      <c r="AB46" s="1189"/>
      <c r="AC46" s="1189"/>
      <c r="AD46" s="1189"/>
      <c r="AE46" s="1189"/>
      <c r="AF46" s="1189"/>
      <c r="AG46" s="1189"/>
      <c r="AH46" s="1189"/>
      <c r="AI46" s="1189"/>
      <c r="AJ46" s="1189"/>
      <c r="AK46" s="1189"/>
      <c r="AL46" s="1189"/>
      <c r="AM46" s="1189"/>
      <c r="AN46" s="1189"/>
      <c r="AO46" s="1189"/>
      <c r="AP46" s="1189"/>
      <c r="AQ46" s="1189"/>
      <c r="AR46" s="1189"/>
      <c r="AS46" s="1189"/>
      <c r="AT46" s="1189"/>
      <c r="AU46" s="1189"/>
      <c r="AV46" s="1189"/>
      <c r="AW46" s="1189"/>
      <c r="AX46" s="1189"/>
    </row>
    <row r="47" spans="1:50" ht="12.6">
      <c r="A47" s="1123"/>
      <c r="B47" s="1123"/>
      <c r="C47" s="178"/>
      <c r="D47" s="178"/>
      <c r="E47" s="1124"/>
      <c r="F47" s="1125"/>
      <c r="G47" s="1125"/>
      <c r="H47" s="1125"/>
      <c r="I47" s="1125"/>
      <c r="J47" s="142"/>
      <c r="K47" s="1527">
        <f t="shared" si="1"/>
        <v>0</v>
      </c>
      <c r="L47" s="1527"/>
      <c r="M47" s="1207" t="str">
        <f t="shared" si="2"/>
        <v/>
      </c>
      <c r="N47" s="1557">
        <f>IF($E$28&gt;29,$F$28,0)</f>
        <v>0</v>
      </c>
      <c r="O47" s="1557"/>
      <c r="P47" s="1525"/>
      <c r="Q47" s="1526"/>
      <c r="R47" s="1189"/>
      <c r="S47" s="1189"/>
      <c r="T47" s="1552" t="s">
        <v>914</v>
      </c>
      <c r="U47" s="1552"/>
      <c r="V47" s="1189"/>
      <c r="W47" s="1207" t="e">
        <f t="shared" si="3"/>
        <v>#VALUE!</v>
      </c>
      <c r="X47" s="1189"/>
      <c r="Y47" s="1189"/>
      <c r="Z47" s="1189"/>
      <c r="AA47" s="1189"/>
      <c r="AB47" s="1189"/>
      <c r="AC47" s="1189"/>
      <c r="AD47" s="1189"/>
      <c r="AE47" s="1189"/>
      <c r="AF47" s="1189"/>
      <c r="AG47" s="1189"/>
      <c r="AH47" s="1189"/>
      <c r="AI47" s="1189"/>
      <c r="AJ47" s="1189"/>
      <c r="AK47" s="1189"/>
      <c r="AL47" s="1189"/>
      <c r="AM47" s="1189"/>
      <c r="AN47" s="1189"/>
      <c r="AO47" s="1189"/>
      <c r="AP47" s="1189"/>
      <c r="AQ47" s="1189"/>
      <c r="AR47" s="1189"/>
      <c r="AS47" s="1189"/>
      <c r="AT47" s="1189"/>
      <c r="AU47" s="1189"/>
      <c r="AV47" s="1189"/>
      <c r="AW47" s="1189"/>
      <c r="AX47" s="1189"/>
    </row>
    <row r="48" spans="1:50" ht="15" customHeight="1">
      <c r="A48" s="1123"/>
      <c r="B48" s="208" t="s">
        <v>56</v>
      </c>
      <c r="C48" s="208" t="s">
        <v>57</v>
      </c>
      <c r="D48" s="208" t="s">
        <v>58</v>
      </c>
      <c r="E48" s="208" t="s">
        <v>893</v>
      </c>
      <c r="F48" s="1549" t="s">
        <v>894</v>
      </c>
      <c r="G48" s="1549"/>
      <c r="H48" s="1549"/>
      <c r="I48" s="1549"/>
      <c r="J48" s="142"/>
      <c r="K48" s="1527">
        <f t="shared" si="1"/>
        <v>0</v>
      </c>
      <c r="L48" s="1527"/>
      <c r="M48" s="1207" t="str">
        <f t="shared" si="2"/>
        <v/>
      </c>
      <c r="N48" s="1557">
        <f>IF($E$28&gt;30,$F$28,0)</f>
        <v>0</v>
      </c>
      <c r="O48" s="1557"/>
      <c r="P48" s="1525"/>
      <c r="Q48" s="1526"/>
      <c r="R48" s="1189"/>
      <c r="S48" s="1189"/>
      <c r="T48" s="1565" t="s">
        <v>915</v>
      </c>
      <c r="U48" s="1565"/>
      <c r="V48" s="1189"/>
      <c r="W48" s="1207" t="e">
        <f t="shared" si="3"/>
        <v>#VALUE!</v>
      </c>
      <c r="X48" s="1189"/>
      <c r="Y48" s="1189"/>
      <c r="Z48" s="1189"/>
      <c r="AA48" s="1189"/>
      <c r="AB48" s="1189"/>
      <c r="AC48" s="1189"/>
      <c r="AD48" s="1189"/>
      <c r="AE48" s="1189"/>
      <c r="AF48" s="1189"/>
      <c r="AG48" s="1189"/>
      <c r="AH48" s="1189"/>
      <c r="AI48" s="1189"/>
      <c r="AJ48" s="1189"/>
      <c r="AK48" s="1189"/>
      <c r="AL48" s="1189"/>
      <c r="AM48" s="1189"/>
      <c r="AN48" s="1189"/>
      <c r="AO48" s="1189"/>
      <c r="AP48" s="1189"/>
      <c r="AQ48" s="1189"/>
      <c r="AR48" s="1189"/>
      <c r="AS48" s="1189"/>
      <c r="AT48" s="1189"/>
      <c r="AU48" s="1189"/>
      <c r="AV48" s="1189"/>
      <c r="AW48" s="1189"/>
      <c r="AX48" s="1189"/>
    </row>
    <row r="49" spans="1:50" ht="12.6">
      <c r="A49" s="1123"/>
      <c r="B49" s="246">
        <v>1</v>
      </c>
      <c r="C49" s="1126">
        <v>0.12</v>
      </c>
      <c r="D49" s="248">
        <f>PMT(C49/12,B49*12,-1)</f>
        <v>8.88487886783417E-2</v>
      </c>
      <c r="E49" s="1127">
        <f>D49*$F$46</f>
        <v>258337.2253716604</v>
      </c>
      <c r="F49" s="1551">
        <f>E49/0.33</f>
        <v>782840.07688381942</v>
      </c>
      <c r="G49" s="1551"/>
      <c r="H49" s="1551"/>
      <c r="I49" s="1551"/>
      <c r="J49" s="142"/>
      <c r="K49" s="1527">
        <f t="shared" si="1"/>
        <v>0</v>
      </c>
      <c r="L49" s="1527"/>
      <c r="M49" s="1207" t="str">
        <f t="shared" si="2"/>
        <v/>
      </c>
      <c r="N49" s="1557">
        <f>IF($E$28&gt;31,$F$28,0)</f>
        <v>0</v>
      </c>
      <c r="O49" s="1557"/>
      <c r="P49" s="1525"/>
      <c r="Q49" s="1526"/>
      <c r="R49" s="1189"/>
      <c r="S49" s="1189"/>
      <c r="T49" s="1565" t="s">
        <v>916</v>
      </c>
      <c r="U49" s="1565"/>
      <c r="V49" s="1189"/>
      <c r="W49" s="1207" t="e">
        <f t="shared" si="3"/>
        <v>#VALUE!</v>
      </c>
      <c r="X49" s="1189"/>
      <c r="Y49" s="1189"/>
      <c r="Z49" s="1189"/>
      <c r="AA49" s="1189"/>
      <c r="AB49" s="1189"/>
      <c r="AC49" s="1189"/>
      <c r="AD49" s="1189"/>
      <c r="AE49" s="1189"/>
      <c r="AF49" s="1189"/>
      <c r="AG49" s="1189"/>
      <c r="AH49" s="1189"/>
      <c r="AI49" s="1189"/>
      <c r="AJ49" s="1189"/>
      <c r="AK49" s="1189"/>
      <c r="AL49" s="1189"/>
      <c r="AM49" s="1189"/>
      <c r="AN49" s="1189"/>
      <c r="AO49" s="1189"/>
      <c r="AP49" s="1189"/>
      <c r="AQ49" s="1189"/>
      <c r="AR49" s="1189"/>
      <c r="AS49" s="1189"/>
      <c r="AT49" s="1189"/>
      <c r="AU49" s="1189"/>
      <c r="AV49" s="1189"/>
      <c r="AW49" s="1189"/>
      <c r="AX49" s="1189"/>
    </row>
    <row r="50" spans="1:50" ht="15" customHeight="1">
      <c r="A50" s="1123"/>
      <c r="B50" s="246">
        <v>3</v>
      </c>
      <c r="C50" s="1126">
        <v>0.16</v>
      </c>
      <c r="D50" s="248">
        <f>PMT(C50/12,B50*12,-1)</f>
        <v>3.5157033036350094E-2</v>
      </c>
      <c r="E50" s="1127">
        <f>D50*$F$46</f>
        <v>102222.78212245854</v>
      </c>
      <c r="F50" s="1551">
        <f>E50/0.33</f>
        <v>309766.00643169251</v>
      </c>
      <c r="G50" s="1551"/>
      <c r="H50" s="1551"/>
      <c r="I50" s="1551"/>
      <c r="J50" s="142"/>
      <c r="K50" s="1527">
        <f t="shared" si="1"/>
        <v>0</v>
      </c>
      <c r="L50" s="1527"/>
      <c r="M50" s="1207" t="str">
        <f t="shared" si="2"/>
        <v/>
      </c>
      <c r="N50" s="1557">
        <f>IF($E$28&gt;32,$F$28,0)</f>
        <v>0</v>
      </c>
      <c r="O50" s="1557"/>
      <c r="P50" s="1525"/>
      <c r="Q50" s="1526"/>
      <c r="R50" s="1189"/>
      <c r="S50" s="1189"/>
      <c r="T50" s="1552" t="s">
        <v>917</v>
      </c>
      <c r="U50" s="1552"/>
      <c r="V50" s="1189"/>
      <c r="W50" s="1207" t="e">
        <f t="shared" si="3"/>
        <v>#VALUE!</v>
      </c>
      <c r="X50" s="1189"/>
      <c r="Y50" s="1189"/>
      <c r="Z50" s="1189"/>
      <c r="AA50" s="1189"/>
      <c r="AB50" s="1189"/>
      <c r="AC50" s="1189"/>
      <c r="AD50" s="1189"/>
      <c r="AE50" s="1189"/>
      <c r="AF50" s="1189"/>
      <c r="AG50" s="1189"/>
      <c r="AH50" s="1189"/>
      <c r="AI50" s="1189"/>
      <c r="AJ50" s="1189"/>
      <c r="AK50" s="1189"/>
      <c r="AL50" s="1189"/>
      <c r="AM50" s="1189"/>
      <c r="AN50" s="1189"/>
      <c r="AO50" s="1189"/>
      <c r="AP50" s="1189"/>
      <c r="AQ50" s="1189"/>
      <c r="AR50" s="1189"/>
      <c r="AS50" s="1189"/>
      <c r="AT50" s="1189"/>
      <c r="AU50" s="1189"/>
      <c r="AV50" s="1189"/>
      <c r="AW50" s="1189"/>
      <c r="AX50" s="1189"/>
    </row>
    <row r="51" spans="1:50" ht="12.6">
      <c r="A51" s="1123"/>
      <c r="B51" s="246">
        <v>5</v>
      </c>
      <c r="C51" s="1126">
        <v>0.18</v>
      </c>
      <c r="D51" s="248">
        <f>PMT(C51/12,B51*12,-1)</f>
        <v>2.5393427427109084E-2</v>
      </c>
      <c r="E51" s="1127">
        <f>D51*$F$46</f>
        <v>73834.068891420946</v>
      </c>
      <c r="F51" s="1551">
        <f>E51/0.33</f>
        <v>223739.60270127558</v>
      </c>
      <c r="G51" s="1551"/>
      <c r="H51" s="1551"/>
      <c r="I51" s="1551"/>
      <c r="J51" s="142"/>
      <c r="K51" s="1527">
        <f t="shared" si="1"/>
        <v>0</v>
      </c>
      <c r="L51" s="1527"/>
      <c r="M51" s="1207" t="str">
        <f t="shared" si="2"/>
        <v/>
      </c>
      <c r="N51" s="1557">
        <f>IF($E$28&gt;33,$F$28,0)</f>
        <v>0</v>
      </c>
      <c r="O51" s="1557"/>
      <c r="P51" s="1525"/>
      <c r="Q51" s="1526"/>
      <c r="R51" s="1189"/>
      <c r="S51" s="1189"/>
      <c r="T51" s="1552" t="s">
        <v>918</v>
      </c>
      <c r="U51" s="1552"/>
      <c r="V51" s="1189"/>
      <c r="W51" s="1207" t="e">
        <f t="shared" si="3"/>
        <v>#VALUE!</v>
      </c>
      <c r="X51" s="1189"/>
      <c r="Y51" s="1189"/>
      <c r="Z51" s="1189"/>
      <c r="AA51" s="1189"/>
      <c r="AB51" s="1189"/>
      <c r="AC51" s="1189"/>
      <c r="AD51" s="1189"/>
      <c r="AE51" s="1189"/>
      <c r="AF51" s="1189"/>
      <c r="AG51" s="1189"/>
      <c r="AH51" s="1189"/>
      <c r="AI51" s="1189"/>
      <c r="AJ51" s="1189"/>
      <c r="AK51" s="1189"/>
      <c r="AL51" s="1189"/>
      <c r="AM51" s="1189"/>
      <c r="AN51" s="1189"/>
      <c r="AO51" s="1189"/>
      <c r="AP51" s="1189"/>
      <c r="AQ51" s="1189"/>
      <c r="AR51" s="1189"/>
      <c r="AS51" s="1189"/>
      <c r="AT51" s="1189"/>
      <c r="AU51" s="1189"/>
      <c r="AV51" s="1189"/>
      <c r="AW51" s="1189"/>
      <c r="AX51" s="1189"/>
    </row>
    <row r="52" spans="1:50" ht="15" customHeight="1">
      <c r="A52" s="1123"/>
      <c r="B52" s="246">
        <v>10</v>
      </c>
      <c r="C52" s="1126">
        <v>0.2</v>
      </c>
      <c r="D52" s="248">
        <f>PMT(C52/12,B52*12,-1)</f>
        <v>1.9325567219932577E-2</v>
      </c>
      <c r="E52" s="1127">
        <f>D52*$F$46</f>
        <v>56191.125265705501</v>
      </c>
      <c r="F52" s="1551">
        <f>E52/0.33</f>
        <v>170276.13716880453</v>
      </c>
      <c r="G52" s="1551"/>
      <c r="H52" s="1551"/>
      <c r="I52" s="1551"/>
      <c r="J52" s="142"/>
      <c r="K52" s="1527">
        <f t="shared" si="1"/>
        <v>0</v>
      </c>
      <c r="L52" s="1527"/>
      <c r="M52" s="1207" t="str">
        <f t="shared" si="2"/>
        <v/>
      </c>
      <c r="N52" s="1557">
        <f>IF($E$28&gt;34,$F$28,0)</f>
        <v>0</v>
      </c>
      <c r="O52" s="1557"/>
      <c r="P52" s="1525"/>
      <c r="Q52" s="1526"/>
      <c r="R52" s="1189"/>
      <c r="S52" s="1189"/>
      <c r="T52" s="1552" t="s">
        <v>919</v>
      </c>
      <c r="U52" s="1552"/>
      <c r="V52" s="1189"/>
      <c r="W52" s="1207" t="e">
        <f t="shared" si="3"/>
        <v>#VALUE!</v>
      </c>
      <c r="X52" s="1189"/>
      <c r="Y52" s="1189"/>
      <c r="Z52" s="1189"/>
      <c r="AA52" s="1189"/>
      <c r="AB52" s="1189"/>
      <c r="AC52" s="1189"/>
      <c r="AD52" s="1189"/>
      <c r="AE52" s="1189"/>
      <c r="AF52" s="1189"/>
      <c r="AG52" s="1189"/>
      <c r="AH52" s="1189"/>
      <c r="AI52" s="1189"/>
      <c r="AJ52" s="1189"/>
      <c r="AK52" s="1189"/>
      <c r="AL52" s="1189"/>
      <c r="AM52" s="1189"/>
      <c r="AN52" s="1189"/>
      <c r="AO52" s="1189"/>
      <c r="AP52" s="1189"/>
      <c r="AQ52" s="1189"/>
      <c r="AR52" s="1189"/>
      <c r="AS52" s="1189"/>
      <c r="AT52" s="1189"/>
      <c r="AU52" s="1189"/>
      <c r="AV52" s="1189"/>
      <c r="AW52" s="1189"/>
      <c r="AX52" s="1189"/>
    </row>
    <row r="53" spans="1:50" ht="12.95" thickBot="1">
      <c r="A53" s="1123"/>
      <c r="B53" s="1167" t="s">
        <v>920</v>
      </c>
      <c r="C53" s="1128"/>
      <c r="D53" s="1128"/>
      <c r="E53" s="1128"/>
      <c r="F53" s="1128"/>
      <c r="G53" s="1128"/>
      <c r="H53" s="1128"/>
      <c r="I53" s="1128"/>
      <c r="J53" s="142"/>
      <c r="K53" s="1527">
        <f t="shared" si="1"/>
        <v>0</v>
      </c>
      <c r="L53" s="1527"/>
      <c r="M53" s="1207" t="str">
        <f t="shared" si="2"/>
        <v/>
      </c>
      <c r="N53" s="1557">
        <f>IF($E$28&gt;35,$F$28,0)</f>
        <v>0</v>
      </c>
      <c r="O53" s="1557"/>
      <c r="P53" s="1525"/>
      <c r="Q53" s="1526"/>
      <c r="R53" s="1189"/>
      <c r="S53" s="1189"/>
      <c r="T53" s="1552" t="s">
        <v>921</v>
      </c>
      <c r="U53" s="1552"/>
      <c r="V53" s="1189"/>
      <c r="W53" s="1207" t="e">
        <f t="shared" si="3"/>
        <v>#VALUE!</v>
      </c>
      <c r="X53" s="1189"/>
      <c r="Y53" s="1189"/>
      <c r="Z53" s="1189"/>
      <c r="AA53" s="1189"/>
      <c r="AB53" s="1189"/>
      <c r="AC53" s="1189"/>
      <c r="AD53" s="1189"/>
      <c r="AE53" s="1189"/>
      <c r="AF53" s="1189"/>
      <c r="AG53" s="1189"/>
      <c r="AH53" s="1189"/>
      <c r="AI53" s="1189"/>
      <c r="AJ53" s="1189"/>
      <c r="AK53" s="1189"/>
      <c r="AL53" s="1189"/>
      <c r="AM53" s="1189"/>
      <c r="AN53" s="1189"/>
      <c r="AO53" s="1189"/>
      <c r="AP53" s="1189"/>
      <c r="AQ53" s="1189"/>
      <c r="AR53" s="1189"/>
      <c r="AS53" s="1189"/>
      <c r="AT53" s="1189"/>
      <c r="AU53" s="1189"/>
      <c r="AV53" s="1189"/>
      <c r="AW53" s="1189"/>
      <c r="AX53" s="1189"/>
    </row>
    <row r="54" spans="1:50" ht="15" customHeight="1">
      <c r="A54" s="1123"/>
      <c r="B54" s="166"/>
      <c r="C54" s="249"/>
      <c r="D54" s="705"/>
      <c r="E54" s="1123"/>
      <c r="F54" s="1123"/>
      <c r="G54" s="1123"/>
      <c r="H54" s="1123"/>
      <c r="I54" s="1123"/>
      <c r="J54" s="142"/>
      <c r="K54" s="1527">
        <f t="shared" si="1"/>
        <v>0</v>
      </c>
      <c r="L54" s="1527"/>
      <c r="M54" s="1207" t="str">
        <f t="shared" si="2"/>
        <v/>
      </c>
      <c r="N54" s="1557">
        <f>IF($E$28&gt;36,$F$28,0)</f>
        <v>0</v>
      </c>
      <c r="O54" s="1557"/>
      <c r="P54" s="1525"/>
      <c r="Q54" s="1526"/>
      <c r="R54" s="1189"/>
      <c r="S54" s="1189"/>
      <c r="T54" s="1552" t="s">
        <v>922</v>
      </c>
      <c r="U54" s="1552"/>
      <c r="V54" s="1189"/>
      <c r="W54" s="1207" t="e">
        <f>IF(AND(DAY(W53)&gt;=6,DAY(W53)&lt;=20),DATE(YEAR(W53),MONTH(W53)+1,DAY(20)),IF(AND(DAY(W53)&gt;=21,DAY(W53)&lt;=30),DATE(YEAR(W53),MONTH(W53)+1,IF(DAY(EOMONTH(W53,1))&lt;30,DAY(EOMONTH(W53,1)),DAY(30))),DATE(YEAR(W53),MONTH(W53)+1,DAY(5))))</f>
        <v>#VALUE!</v>
      </c>
      <c r="X54" s="1189"/>
      <c r="Y54" s="1189"/>
      <c r="Z54" s="1189"/>
      <c r="AA54" s="1189"/>
      <c r="AB54" s="1189"/>
      <c r="AC54" s="1189"/>
      <c r="AD54" s="1189"/>
      <c r="AE54" s="1189"/>
      <c r="AF54" s="1189"/>
      <c r="AG54" s="1189"/>
      <c r="AH54" s="1189"/>
      <c r="AI54" s="1189"/>
      <c r="AJ54" s="1189"/>
      <c r="AK54" s="1189"/>
      <c r="AL54" s="1189"/>
      <c r="AM54" s="1189"/>
      <c r="AN54" s="1189"/>
      <c r="AO54" s="1189"/>
      <c r="AP54" s="1189"/>
      <c r="AQ54" s="1189"/>
      <c r="AR54" s="1189"/>
      <c r="AS54" s="1189"/>
      <c r="AT54" s="1189"/>
      <c r="AU54" s="1189"/>
      <c r="AV54" s="1189"/>
      <c r="AW54" s="1189"/>
      <c r="AX54" s="1189"/>
    </row>
    <row r="55" spans="1:50" ht="12.6">
      <c r="A55" s="1123"/>
      <c r="B55" s="161"/>
      <c r="C55" s="1123"/>
      <c r="D55" s="1123"/>
      <c r="E55" s="1123"/>
      <c r="F55" s="1123"/>
      <c r="G55" s="1123"/>
      <c r="H55" s="1123"/>
      <c r="I55" s="1123"/>
      <c r="J55" s="705"/>
      <c r="K55" s="1527">
        <f t="shared" si="1"/>
        <v>0</v>
      </c>
      <c r="L55" s="1527"/>
      <c r="M55" s="1207" t="str">
        <f t="shared" si="2"/>
        <v/>
      </c>
      <c r="N55" s="1557">
        <f>IF($E$28&gt;37,$F$28,0)</f>
        <v>0</v>
      </c>
      <c r="O55" s="1557"/>
      <c r="P55" s="1525"/>
      <c r="Q55" s="1526"/>
      <c r="R55" s="1189"/>
      <c r="S55" s="1189"/>
      <c r="T55" s="1552" t="s">
        <v>923</v>
      </c>
      <c r="U55" s="1552"/>
      <c r="V55" s="1189"/>
      <c r="W55" s="1207" t="e">
        <f t="shared" si="3"/>
        <v>#VALUE!</v>
      </c>
      <c r="X55" s="1189"/>
      <c r="Y55" s="1189"/>
      <c r="Z55" s="1189"/>
      <c r="AA55" s="1189"/>
      <c r="AB55" s="1189"/>
      <c r="AC55" s="1189"/>
      <c r="AD55" s="1189"/>
      <c r="AE55" s="1189"/>
      <c r="AF55" s="1189"/>
      <c r="AG55" s="1189"/>
      <c r="AH55" s="1189"/>
      <c r="AI55" s="1189"/>
      <c r="AJ55" s="1189"/>
      <c r="AK55" s="1189"/>
      <c r="AL55" s="1189"/>
      <c r="AM55" s="1189"/>
      <c r="AN55" s="1189"/>
      <c r="AO55" s="1189"/>
      <c r="AP55" s="1189"/>
      <c r="AQ55" s="1189"/>
      <c r="AR55" s="1189"/>
      <c r="AS55" s="1189"/>
      <c r="AT55" s="1189"/>
      <c r="AU55" s="1189"/>
      <c r="AV55" s="1189"/>
      <c r="AW55" s="1189"/>
      <c r="AX55" s="1189"/>
    </row>
    <row r="56" spans="1:50" ht="15" customHeight="1">
      <c r="A56" s="1123"/>
      <c r="B56" s="129" t="s">
        <v>924</v>
      </c>
      <c r="C56" s="129"/>
      <c r="D56" s="178"/>
      <c r="E56" s="178"/>
      <c r="F56" s="178"/>
      <c r="G56" s="178"/>
      <c r="H56" s="178"/>
      <c r="I56" s="178"/>
      <c r="J56" s="705"/>
      <c r="K56" s="1527">
        <f t="shared" si="1"/>
        <v>0</v>
      </c>
      <c r="L56" s="1527"/>
      <c r="M56" s="1207" t="str">
        <f t="shared" si="2"/>
        <v/>
      </c>
      <c r="N56" s="1557">
        <f>IF($E$28&gt;38,$F$28,0)</f>
        <v>0</v>
      </c>
      <c r="O56" s="1557"/>
      <c r="P56" s="1525"/>
      <c r="Q56" s="1526"/>
      <c r="R56" s="1189"/>
      <c r="S56" s="1189"/>
      <c r="T56" s="1552" t="s">
        <v>925</v>
      </c>
      <c r="U56" s="1552"/>
      <c r="V56" s="1189"/>
      <c r="W56" s="1207" t="e">
        <f t="shared" si="3"/>
        <v>#VALUE!</v>
      </c>
      <c r="X56" s="1189"/>
      <c r="Y56" s="1189"/>
      <c r="Z56" s="1189"/>
      <c r="AA56" s="1189"/>
      <c r="AB56" s="1189"/>
      <c r="AC56" s="1189"/>
      <c r="AD56" s="1189"/>
      <c r="AE56" s="1189"/>
      <c r="AF56" s="1189"/>
      <c r="AG56" s="1189"/>
      <c r="AH56" s="1189"/>
      <c r="AI56" s="1189"/>
      <c r="AJ56" s="1189"/>
      <c r="AK56" s="1189"/>
      <c r="AL56" s="1189"/>
      <c r="AM56" s="1189"/>
      <c r="AN56" s="1189"/>
      <c r="AO56" s="1189"/>
      <c r="AP56" s="1189"/>
      <c r="AQ56" s="1189"/>
      <c r="AR56" s="1189"/>
      <c r="AS56" s="1189"/>
      <c r="AT56" s="1189"/>
      <c r="AU56" s="1189"/>
      <c r="AV56" s="1189"/>
      <c r="AW56" s="1189"/>
      <c r="AX56" s="1189"/>
    </row>
    <row r="57" spans="1:50" ht="12.6">
      <c r="A57" s="1123"/>
      <c r="B57" s="178"/>
      <c r="C57" s="178"/>
      <c r="D57" s="178"/>
      <c r="E57" s="178"/>
      <c r="F57" s="178"/>
      <c r="G57" s="178"/>
      <c r="H57" s="178"/>
      <c r="I57" s="178"/>
      <c r="J57" s="705"/>
      <c r="K57" s="1527">
        <f t="shared" si="1"/>
        <v>0</v>
      </c>
      <c r="L57" s="1527"/>
      <c r="M57" s="1207" t="str">
        <f t="shared" si="2"/>
        <v/>
      </c>
      <c r="N57" s="1557">
        <f>IF($E$28&gt;39,$F$28,0)</f>
        <v>0</v>
      </c>
      <c r="O57" s="1557"/>
      <c r="P57" s="1525"/>
      <c r="Q57" s="1526"/>
      <c r="R57" s="1189"/>
      <c r="S57" s="1189"/>
      <c r="T57" s="1552" t="s">
        <v>926</v>
      </c>
      <c r="U57" s="1552"/>
      <c r="V57" s="1189"/>
      <c r="W57" s="1207" t="e">
        <f t="shared" si="3"/>
        <v>#VALUE!</v>
      </c>
      <c r="X57" s="1189"/>
      <c r="Y57" s="1189"/>
      <c r="Z57" s="1189"/>
      <c r="AA57" s="1189"/>
      <c r="AB57" s="1189"/>
      <c r="AC57" s="1189"/>
      <c r="AD57" s="1189"/>
      <c r="AE57" s="1189"/>
      <c r="AF57" s="1189"/>
      <c r="AG57" s="1189"/>
      <c r="AH57" s="1189"/>
      <c r="AI57" s="1189"/>
      <c r="AJ57" s="1189"/>
      <c r="AK57" s="1189"/>
      <c r="AL57" s="1189"/>
      <c r="AM57" s="1189"/>
      <c r="AN57" s="1189"/>
      <c r="AO57" s="1189"/>
      <c r="AP57" s="1189"/>
      <c r="AQ57" s="1189"/>
      <c r="AR57" s="1189"/>
      <c r="AS57" s="1189"/>
      <c r="AT57" s="1189"/>
      <c r="AU57" s="1189"/>
      <c r="AV57" s="1189"/>
      <c r="AW57" s="1189"/>
      <c r="AX57" s="1189"/>
    </row>
    <row r="58" spans="1:50" ht="12.75" customHeight="1">
      <c r="A58" s="1123"/>
      <c r="B58" s="1549" t="s">
        <v>927</v>
      </c>
      <c r="C58" s="1549"/>
      <c r="D58" s="1549" t="s">
        <v>775</v>
      </c>
      <c r="E58" s="1549"/>
      <c r="F58" s="1549"/>
      <c r="G58" s="1549" t="s">
        <v>928</v>
      </c>
      <c r="H58" s="1549"/>
      <c r="I58" s="1549"/>
      <c r="J58" s="705"/>
      <c r="K58" s="1527">
        <f t="shared" si="1"/>
        <v>0</v>
      </c>
      <c r="L58" s="1527"/>
      <c r="M58" s="1207" t="str">
        <f t="shared" si="2"/>
        <v/>
      </c>
      <c r="N58" s="1557">
        <f>IF($E$28&gt;40,$F$28,0)</f>
        <v>0</v>
      </c>
      <c r="O58" s="1557"/>
      <c r="P58" s="1525"/>
      <c r="Q58" s="1526"/>
      <c r="R58" s="1189"/>
      <c r="S58" s="1189"/>
      <c r="T58" s="1552" t="s">
        <v>929</v>
      </c>
      <c r="U58" s="1552"/>
      <c r="V58" s="1189"/>
      <c r="W58" s="1207" t="e">
        <f t="shared" si="3"/>
        <v>#VALUE!</v>
      </c>
      <c r="X58" s="1189"/>
      <c r="Y58" s="1189"/>
      <c r="Z58" s="1189"/>
      <c r="AA58" s="1189"/>
      <c r="AB58" s="1189"/>
      <c r="AC58" s="1189"/>
      <c r="AD58" s="1189"/>
      <c r="AE58" s="1189"/>
      <c r="AF58" s="1189"/>
      <c r="AG58" s="1189"/>
      <c r="AH58" s="1189"/>
      <c r="AI58" s="1189"/>
      <c r="AJ58" s="1189"/>
      <c r="AK58" s="1189"/>
      <c r="AL58" s="1189"/>
      <c r="AM58" s="1189"/>
      <c r="AN58" s="1189"/>
      <c r="AO58" s="1189"/>
      <c r="AP58" s="1189"/>
      <c r="AQ58" s="1189"/>
      <c r="AR58" s="1189"/>
      <c r="AS58" s="1189"/>
      <c r="AT58" s="1189"/>
      <c r="AU58" s="1189"/>
      <c r="AV58" s="1189"/>
      <c r="AW58" s="1189"/>
      <c r="AX58" s="1189"/>
    </row>
    <row r="59" spans="1:50" ht="12.6">
      <c r="A59" s="1123"/>
      <c r="B59" s="1508">
        <f>FORM!O19</f>
        <v>0</v>
      </c>
      <c r="C59" s="1509"/>
      <c r="D59" s="1508">
        <f>FORM!S19</f>
        <v>0</v>
      </c>
      <c r="E59" s="1512"/>
      <c r="F59" s="1509"/>
      <c r="G59" s="1514">
        <f>FORM!V19</f>
        <v>0</v>
      </c>
      <c r="H59" s="1515"/>
      <c r="I59" s="1516"/>
      <c r="J59" s="142"/>
      <c r="K59" s="1527">
        <f t="shared" si="1"/>
        <v>0</v>
      </c>
      <c r="L59" s="1527"/>
      <c r="M59" s="1207" t="str">
        <f t="shared" si="2"/>
        <v/>
      </c>
      <c r="N59" s="1557">
        <f>IF($E$28&gt;41,$F$28,0)</f>
        <v>0</v>
      </c>
      <c r="O59" s="1557"/>
      <c r="P59" s="1525"/>
      <c r="Q59" s="1526"/>
      <c r="R59" s="1189"/>
      <c r="S59" s="1189"/>
      <c r="T59" s="1552" t="s">
        <v>930</v>
      </c>
      <c r="U59" s="1552"/>
      <c r="V59" s="1189"/>
      <c r="W59" s="1207" t="e">
        <f t="shared" si="3"/>
        <v>#VALUE!</v>
      </c>
      <c r="X59" s="1189"/>
      <c r="Y59" s="1189"/>
      <c r="Z59" s="1189"/>
      <c r="AA59" s="1189"/>
      <c r="AB59" s="1189"/>
      <c r="AC59" s="1189"/>
      <c r="AD59" s="1189"/>
      <c r="AE59" s="1189"/>
      <c r="AF59" s="1189"/>
      <c r="AG59" s="1189"/>
      <c r="AH59" s="1189"/>
      <c r="AI59" s="1189"/>
      <c r="AJ59" s="1189"/>
      <c r="AK59" s="1189"/>
      <c r="AL59" s="1189"/>
      <c r="AM59" s="1189"/>
      <c r="AN59" s="1189"/>
      <c r="AO59" s="1189"/>
      <c r="AP59" s="1189"/>
      <c r="AQ59" s="1189"/>
      <c r="AR59" s="1189"/>
      <c r="AS59" s="1189"/>
      <c r="AT59" s="1189"/>
      <c r="AU59" s="1189"/>
      <c r="AV59" s="1189"/>
      <c r="AW59" s="1189"/>
      <c r="AX59" s="1189"/>
    </row>
    <row r="60" spans="1:50" ht="12.6">
      <c r="A60" s="1123"/>
      <c r="B60" s="1510"/>
      <c r="C60" s="1511"/>
      <c r="D60" s="1510"/>
      <c r="E60" s="1513"/>
      <c r="F60" s="1511"/>
      <c r="G60" s="1517"/>
      <c r="H60" s="1518"/>
      <c r="I60" s="1519"/>
      <c r="J60" s="142"/>
      <c r="K60" s="1527">
        <f t="shared" si="1"/>
        <v>0</v>
      </c>
      <c r="L60" s="1527"/>
      <c r="M60" s="1207" t="str">
        <f t="shared" si="2"/>
        <v/>
      </c>
      <c r="N60" s="1557">
        <f>IF($E$28&gt;42,$F$28,0)</f>
        <v>0</v>
      </c>
      <c r="O60" s="1557"/>
      <c r="P60" s="1525"/>
      <c r="Q60" s="1526"/>
      <c r="R60" s="1189"/>
      <c r="S60" s="1189"/>
      <c r="T60" s="1552" t="s">
        <v>931</v>
      </c>
      <c r="U60" s="1552"/>
      <c r="V60" s="1189"/>
      <c r="W60" s="1207" t="e">
        <f t="shared" si="3"/>
        <v>#VALUE!</v>
      </c>
      <c r="X60" s="1189"/>
      <c r="Y60" s="1189"/>
      <c r="Z60" s="1189"/>
      <c r="AA60" s="1189"/>
      <c r="AB60" s="1189"/>
      <c r="AC60" s="1189"/>
      <c r="AD60" s="1189"/>
      <c r="AE60" s="1189"/>
      <c r="AF60" s="1189"/>
      <c r="AG60" s="1189"/>
      <c r="AH60" s="1189"/>
      <c r="AI60" s="1189"/>
      <c r="AJ60" s="1189"/>
      <c r="AK60" s="1189"/>
      <c r="AL60" s="1189"/>
      <c r="AM60" s="1189"/>
      <c r="AN60" s="1189"/>
      <c r="AO60" s="1189"/>
      <c r="AP60" s="1189"/>
      <c r="AQ60" s="1189"/>
      <c r="AR60" s="1189"/>
      <c r="AS60" s="1189"/>
      <c r="AT60" s="1189"/>
      <c r="AU60" s="1189"/>
      <c r="AV60" s="1189"/>
      <c r="AW60" s="1189"/>
      <c r="AX60" s="1189"/>
    </row>
    <row r="61" spans="1:50" ht="12.6">
      <c r="A61" s="1123"/>
      <c r="B61" s="1508">
        <f>FORM!O21</f>
        <v>0</v>
      </c>
      <c r="C61" s="1509"/>
      <c r="D61" s="1508">
        <f>FORM!S21</f>
        <v>0</v>
      </c>
      <c r="E61" s="1512"/>
      <c r="F61" s="1509"/>
      <c r="G61" s="1514">
        <f>FORM!V21</f>
        <v>0</v>
      </c>
      <c r="H61" s="1515"/>
      <c r="I61" s="1516"/>
      <c r="J61" s="1125"/>
      <c r="K61" s="1527">
        <f t="shared" si="1"/>
        <v>0</v>
      </c>
      <c r="L61" s="1527"/>
      <c r="M61" s="1207" t="str">
        <f t="shared" si="2"/>
        <v/>
      </c>
      <c r="N61" s="1557">
        <f>IF($E$28&gt;43,$F$28,0)</f>
        <v>0</v>
      </c>
      <c r="O61" s="1557"/>
      <c r="P61" s="1525"/>
      <c r="Q61" s="1526"/>
      <c r="R61" s="1189"/>
      <c r="S61" s="1189"/>
      <c r="T61" s="1552" t="s">
        <v>932</v>
      </c>
      <c r="U61" s="1552"/>
      <c r="V61" s="1189"/>
      <c r="W61" s="1207" t="e">
        <f t="shared" si="3"/>
        <v>#VALUE!</v>
      </c>
      <c r="X61" s="1189"/>
      <c r="Y61" s="1189"/>
      <c r="Z61" s="1189"/>
      <c r="AA61" s="1189"/>
      <c r="AB61" s="1189"/>
      <c r="AC61" s="1189"/>
      <c r="AD61" s="1189"/>
      <c r="AE61" s="1189"/>
      <c r="AF61" s="1189"/>
      <c r="AG61" s="1189"/>
      <c r="AH61" s="1189"/>
      <c r="AI61" s="1189"/>
      <c r="AJ61" s="1189"/>
      <c r="AK61" s="1189"/>
      <c r="AL61" s="1189"/>
      <c r="AM61" s="1189"/>
      <c r="AN61" s="1189"/>
      <c r="AO61" s="1189"/>
      <c r="AP61" s="1189"/>
      <c r="AQ61" s="1189"/>
      <c r="AR61" s="1189"/>
      <c r="AS61" s="1189"/>
      <c r="AT61" s="1189"/>
      <c r="AU61" s="1189"/>
      <c r="AV61" s="1189"/>
      <c r="AW61" s="1189"/>
      <c r="AX61" s="1189"/>
    </row>
    <row r="62" spans="1:50" ht="12.6" hidden="1">
      <c r="A62" s="1123"/>
      <c r="B62" s="1510"/>
      <c r="C62" s="1511"/>
      <c r="D62" s="1510"/>
      <c r="E62" s="1513"/>
      <c r="F62" s="1511"/>
      <c r="G62" s="1517"/>
      <c r="H62" s="1518"/>
      <c r="I62" s="1519"/>
      <c r="J62" s="1125"/>
      <c r="K62" s="1527">
        <f t="shared" si="1"/>
        <v>0</v>
      </c>
      <c r="L62" s="1527"/>
      <c r="M62" s="1207" t="str">
        <f t="shared" si="2"/>
        <v/>
      </c>
      <c r="N62" s="1557">
        <f>IF($E$28&gt;44,$F$28,0)</f>
        <v>0</v>
      </c>
      <c r="O62" s="1557"/>
      <c r="P62" s="1224"/>
      <c r="Q62" s="1224"/>
      <c r="R62" s="1189"/>
      <c r="S62" s="1189"/>
      <c r="T62" s="1552" t="s">
        <v>933</v>
      </c>
      <c r="U62" s="1552"/>
      <c r="V62" s="1189"/>
      <c r="W62" s="1207" t="e">
        <f>IF(AND(DAY(W61)&gt;=6,DAY(W61)&lt;=20),DATE(YEAR(W61),MONTH(W61)+1,DAY(20)),IF(AND(DAY(W61)&gt;=21,DAY(W61)&lt;=30),DATE(YEAR(W61),MONTH(W61)+1,IF(DAY(EOMONTH(W61,1))&lt;30,DAY(EOMONTH(W61,1)),DAY(30))),DATE(YEAR(W61),MONTH(W61)+1,DAY(5))))</f>
        <v>#VALUE!</v>
      </c>
      <c r="X62" s="1189"/>
      <c r="Y62" s="1189"/>
      <c r="Z62" s="1189"/>
      <c r="AA62" s="1189"/>
      <c r="AB62" s="1189"/>
      <c r="AC62" s="1189"/>
      <c r="AD62" s="1189"/>
      <c r="AE62" s="1189"/>
      <c r="AF62" s="1189"/>
      <c r="AG62" s="1189"/>
      <c r="AH62" s="1189"/>
      <c r="AI62" s="1189"/>
      <c r="AJ62" s="1189"/>
      <c r="AK62" s="1189"/>
      <c r="AL62" s="1189"/>
      <c r="AM62" s="1189"/>
      <c r="AN62" s="1189"/>
      <c r="AO62" s="1189"/>
      <c r="AP62" s="1189"/>
      <c r="AQ62" s="1189"/>
      <c r="AR62" s="1189"/>
      <c r="AS62" s="1189"/>
      <c r="AT62" s="1189"/>
      <c r="AU62" s="1189"/>
      <c r="AV62" s="1189"/>
      <c r="AW62" s="1189"/>
      <c r="AX62" s="1189"/>
    </row>
    <row r="63" spans="1:50" ht="12.6" hidden="1">
      <c r="A63" s="1123"/>
      <c r="B63" s="1508">
        <f>FORM!O25</f>
        <v>0</v>
      </c>
      <c r="C63" s="1509"/>
      <c r="D63" s="1508">
        <f>FORM!S25</f>
        <v>0</v>
      </c>
      <c r="E63" s="1512"/>
      <c r="F63" s="1509"/>
      <c r="G63" s="1514">
        <f>FORM!V25</f>
        <v>0</v>
      </c>
      <c r="H63" s="1515"/>
      <c r="I63" s="1516"/>
      <c r="J63" s="1125"/>
      <c r="K63" s="1525">
        <f t="shared" si="1"/>
        <v>0</v>
      </c>
      <c r="L63" s="1526"/>
      <c r="M63" s="1207" t="str">
        <f t="shared" si="2"/>
        <v/>
      </c>
      <c r="N63" s="1561">
        <f>IF($E$28&gt;45,$F$28,0)</f>
        <v>0</v>
      </c>
      <c r="O63" s="1562"/>
      <c r="P63" s="1224"/>
      <c r="Q63" s="1224"/>
      <c r="R63" s="1189"/>
      <c r="S63" s="1189"/>
      <c r="T63" s="1552" t="s">
        <v>934</v>
      </c>
      <c r="U63" s="1552"/>
      <c r="V63" s="1189"/>
      <c r="W63" s="1189"/>
      <c r="X63" s="1189"/>
      <c r="Y63" s="1189"/>
      <c r="Z63" s="1189"/>
      <c r="AA63" s="1189"/>
      <c r="AB63" s="1189"/>
      <c r="AC63" s="1189"/>
      <c r="AD63" s="1189"/>
      <c r="AE63" s="1189"/>
      <c r="AF63" s="1189"/>
      <c r="AG63" s="1189"/>
      <c r="AH63" s="1189"/>
      <c r="AI63" s="1189"/>
      <c r="AJ63" s="1189"/>
      <c r="AK63" s="1189"/>
      <c r="AL63" s="1189"/>
      <c r="AM63" s="1189"/>
      <c r="AN63" s="1189"/>
      <c r="AO63" s="1189"/>
      <c r="AP63" s="1189"/>
      <c r="AQ63" s="1189"/>
      <c r="AR63" s="1189"/>
      <c r="AS63" s="1189"/>
      <c r="AT63" s="1189"/>
      <c r="AU63" s="1189"/>
      <c r="AV63" s="1189"/>
      <c r="AW63" s="1189"/>
      <c r="AX63" s="1189"/>
    </row>
    <row r="64" spans="1:50" ht="12.6">
      <c r="A64" s="1123"/>
      <c r="B64" s="1510"/>
      <c r="C64" s="1511"/>
      <c r="D64" s="1510"/>
      <c r="E64" s="1513"/>
      <c r="F64" s="1511"/>
      <c r="G64" s="1517"/>
      <c r="H64" s="1518"/>
      <c r="I64" s="1519"/>
      <c r="J64" s="1123"/>
      <c r="K64" s="1563" t="s">
        <v>935</v>
      </c>
      <c r="L64" s="1563"/>
      <c r="M64" s="251" t="e">
        <f>IF(DAY(W17)=31,Y19,AA19)</f>
        <v>#VALUE!</v>
      </c>
      <c r="N64" s="1564">
        <f>F30</f>
        <v>3180193.5001408872</v>
      </c>
      <c r="O64" s="1564"/>
      <c r="P64" s="1520"/>
      <c r="Q64" s="1521"/>
      <c r="R64" s="1189"/>
      <c r="S64" s="1189"/>
      <c r="T64" s="1208"/>
      <c r="U64" s="1208"/>
      <c r="V64" s="1189"/>
      <c r="W64" s="1189"/>
      <c r="X64" s="1189"/>
      <c r="Y64" s="1189"/>
      <c r="Z64" s="1189"/>
      <c r="AA64" s="1189"/>
      <c r="AB64" s="1189"/>
      <c r="AC64" s="1189"/>
      <c r="AD64" s="1189"/>
      <c r="AE64" s="1189"/>
      <c r="AF64" s="1189"/>
      <c r="AG64" s="1189"/>
      <c r="AH64" s="1189"/>
      <c r="AI64" s="1189"/>
      <c r="AJ64" s="1189"/>
      <c r="AK64" s="1189"/>
      <c r="AL64" s="1189"/>
      <c r="AM64" s="1189"/>
      <c r="AN64" s="1189"/>
      <c r="AO64" s="1189"/>
      <c r="AP64" s="1189"/>
      <c r="AQ64" s="1189"/>
      <c r="AR64" s="1189"/>
      <c r="AS64" s="1189"/>
      <c r="AT64" s="1189"/>
      <c r="AU64" s="1189"/>
      <c r="AV64" s="1189"/>
      <c r="AW64" s="1189"/>
      <c r="AX64" s="1189"/>
    </row>
    <row r="65" spans="1:50" ht="12.6" hidden="1">
      <c r="A65" s="1123"/>
      <c r="B65" s="1508">
        <f>FORM!O27</f>
        <v>0</v>
      </c>
      <c r="C65" s="1509"/>
      <c r="D65" s="1508">
        <f>FORM!S27</f>
        <v>0</v>
      </c>
      <c r="E65" s="1512"/>
      <c r="F65" s="1509"/>
      <c r="G65" s="1514">
        <f>FORM!V27</f>
        <v>0</v>
      </c>
      <c r="H65" s="1515"/>
      <c r="I65" s="1516"/>
      <c r="J65" s="1123"/>
      <c r="K65" s="1574"/>
      <c r="L65" s="1574"/>
      <c r="M65" s="252"/>
      <c r="N65" s="1575"/>
      <c r="O65" s="1575"/>
      <c r="P65" s="253"/>
      <c r="Q65" s="100"/>
      <c r="R65" s="1189"/>
      <c r="S65" s="1189"/>
      <c r="T65" s="1208"/>
      <c r="U65" s="1208"/>
      <c r="V65" s="1189"/>
      <c r="W65" s="1189"/>
      <c r="X65" s="1189"/>
      <c r="Y65" s="1189"/>
      <c r="Z65" s="1189"/>
      <c r="AA65" s="1189"/>
      <c r="AB65" s="1189"/>
      <c r="AC65" s="1189"/>
      <c r="AD65" s="1189"/>
      <c r="AE65" s="1189"/>
      <c r="AF65" s="1189"/>
      <c r="AG65" s="1189"/>
      <c r="AH65" s="1189"/>
      <c r="AI65" s="1189"/>
      <c r="AJ65" s="1189"/>
      <c r="AK65" s="1189"/>
      <c r="AL65" s="1189"/>
      <c r="AM65" s="1189"/>
      <c r="AN65" s="1189"/>
      <c r="AO65" s="1189"/>
      <c r="AP65" s="1189"/>
      <c r="AQ65" s="1189"/>
      <c r="AR65" s="1189"/>
      <c r="AS65" s="1189"/>
      <c r="AT65" s="1189"/>
      <c r="AU65" s="1189"/>
      <c r="AV65" s="1189"/>
      <c r="AW65" s="1189"/>
      <c r="AX65" s="1189"/>
    </row>
    <row r="66" spans="1:50" ht="12.6">
      <c r="A66" s="1123"/>
      <c r="B66" s="1510"/>
      <c r="C66" s="1511"/>
      <c r="D66" s="1510"/>
      <c r="E66" s="1513"/>
      <c r="F66" s="1511"/>
      <c r="G66" s="1517"/>
      <c r="H66" s="1518"/>
      <c r="I66" s="1519"/>
      <c r="J66" s="1123"/>
      <c r="K66" s="1189"/>
      <c r="L66" s="1225"/>
      <c r="M66" s="1189"/>
      <c r="N66" s="1189"/>
      <c r="O66" s="1189"/>
      <c r="P66" s="1189"/>
      <c r="Q66" s="1189"/>
      <c r="R66" s="1189"/>
      <c r="S66" s="1189"/>
      <c r="T66" s="1208"/>
      <c r="U66" s="1208"/>
      <c r="V66" s="1189"/>
      <c r="W66" s="1189"/>
      <c r="X66" s="1189"/>
      <c r="Y66" s="1189"/>
      <c r="Z66" s="1189"/>
      <c r="AA66" s="1189"/>
      <c r="AB66" s="1189"/>
      <c r="AC66" s="1189"/>
      <c r="AD66" s="1189"/>
      <c r="AE66" s="1189"/>
      <c r="AF66" s="1189"/>
      <c r="AG66" s="1189"/>
      <c r="AH66" s="1189"/>
      <c r="AI66" s="1189"/>
      <c r="AJ66" s="1189"/>
      <c r="AK66" s="1189"/>
      <c r="AL66" s="1189"/>
      <c r="AM66" s="1189"/>
      <c r="AN66" s="1189"/>
      <c r="AO66" s="1189"/>
      <c r="AP66" s="1189"/>
      <c r="AQ66" s="1189"/>
      <c r="AR66" s="1189"/>
      <c r="AS66" s="1189"/>
      <c r="AT66" s="1189"/>
      <c r="AU66" s="1189"/>
      <c r="AV66" s="1189"/>
      <c r="AW66" s="1189"/>
      <c r="AX66" s="1189"/>
    </row>
    <row r="67" spans="1:50" ht="12" customHeight="1">
      <c r="A67" s="1123"/>
      <c r="B67" s="1508">
        <f>FORM!O31</f>
        <v>0</v>
      </c>
      <c r="C67" s="1509"/>
      <c r="D67" s="1508">
        <f>FORM!S31</f>
        <v>0</v>
      </c>
      <c r="E67" s="1512"/>
      <c r="F67" s="1509"/>
      <c r="G67" s="1514">
        <f>FORM!V31</f>
        <v>0</v>
      </c>
      <c r="H67" s="1515"/>
      <c r="I67" s="1516"/>
      <c r="J67" s="1123"/>
      <c r="K67" s="100" t="s">
        <v>936</v>
      </c>
      <c r="L67" s="1123"/>
      <c r="M67" s="1123"/>
      <c r="N67" s="1123"/>
      <c r="O67" s="100" t="s">
        <v>937</v>
      </c>
      <c r="P67" s="1123"/>
      <c r="Q67" s="1123"/>
      <c r="R67" s="1189"/>
      <c r="S67" s="1189"/>
      <c r="T67" s="1208"/>
      <c r="U67" s="1208"/>
      <c r="V67" s="1189"/>
      <c r="W67" s="1189"/>
      <c r="X67" s="1189"/>
      <c r="Y67" s="1189"/>
      <c r="Z67" s="1189"/>
      <c r="AA67" s="1189"/>
      <c r="AB67" s="1189"/>
      <c r="AC67" s="1189"/>
      <c r="AD67" s="1189"/>
      <c r="AE67" s="1189"/>
      <c r="AF67" s="1189"/>
      <c r="AG67" s="1189"/>
      <c r="AH67" s="1189"/>
      <c r="AI67" s="1189"/>
      <c r="AJ67" s="1189"/>
      <c r="AK67" s="1189"/>
      <c r="AL67" s="1189"/>
      <c r="AM67" s="1189"/>
      <c r="AN67" s="1189"/>
      <c r="AO67" s="1189"/>
      <c r="AP67" s="1189"/>
      <c r="AQ67" s="1189"/>
      <c r="AR67" s="1189"/>
      <c r="AS67" s="1189"/>
      <c r="AT67" s="1189"/>
      <c r="AU67" s="1189"/>
      <c r="AV67" s="1189"/>
      <c r="AW67" s="1189"/>
      <c r="AX67" s="1189"/>
    </row>
    <row r="68" spans="1:50" ht="12" customHeight="1">
      <c r="A68" s="1123"/>
      <c r="B68" s="1510"/>
      <c r="C68" s="1511"/>
      <c r="D68" s="1510"/>
      <c r="E68" s="1513"/>
      <c r="F68" s="1511"/>
      <c r="G68" s="1517"/>
      <c r="H68" s="1518"/>
      <c r="I68" s="1519"/>
      <c r="J68" s="1123"/>
      <c r="K68" s="1123"/>
      <c r="L68" s="1123"/>
      <c r="M68" s="705"/>
      <c r="N68" s="1123"/>
      <c r="O68" s="1123"/>
      <c r="P68" s="1123"/>
      <c r="Q68" s="1123"/>
      <c r="R68" s="1189"/>
      <c r="S68" s="1189"/>
      <c r="T68" s="1208"/>
      <c r="U68" s="1208"/>
      <c r="V68" s="1189"/>
      <c r="W68" s="1189"/>
      <c r="X68" s="1189"/>
      <c r="Y68" s="1189"/>
      <c r="Z68" s="1189"/>
      <c r="AA68" s="1189"/>
      <c r="AB68" s="1189"/>
      <c r="AC68" s="1189"/>
      <c r="AD68" s="1189"/>
      <c r="AE68" s="1189"/>
      <c r="AF68" s="1189"/>
      <c r="AG68" s="1189"/>
      <c r="AH68" s="1189"/>
      <c r="AI68" s="1189"/>
      <c r="AJ68" s="1189"/>
      <c r="AK68" s="1189"/>
      <c r="AL68" s="1189"/>
      <c r="AM68" s="1189"/>
      <c r="AN68" s="1189"/>
      <c r="AO68" s="1189"/>
      <c r="AP68" s="1189"/>
      <c r="AQ68" s="1189"/>
      <c r="AR68" s="1189"/>
      <c r="AS68" s="1189"/>
      <c r="AT68" s="1189"/>
      <c r="AU68" s="1189"/>
      <c r="AV68" s="1189"/>
      <c r="AW68" s="1189"/>
      <c r="AX68" s="1189"/>
    </row>
    <row r="69" spans="1:50" ht="12" customHeight="1">
      <c r="A69" s="1123"/>
      <c r="B69" s="1508">
        <f>FORM!O33</f>
        <v>0</v>
      </c>
      <c r="C69" s="1509"/>
      <c r="D69" s="1508">
        <f>FORM!S33</f>
        <v>0</v>
      </c>
      <c r="E69" s="1512"/>
      <c r="F69" s="1509"/>
      <c r="G69" s="1514">
        <f>FORM!V33</f>
        <v>0</v>
      </c>
      <c r="H69" s="1515"/>
      <c r="I69" s="1516"/>
      <c r="J69" s="1125"/>
      <c r="K69" s="1123"/>
      <c r="L69" s="1123"/>
      <c r="M69" s="705"/>
      <c r="N69" s="1123"/>
      <c r="O69" s="1123"/>
      <c r="P69" s="1123"/>
      <c r="Q69" s="1123"/>
      <c r="R69" s="1189"/>
      <c r="S69" s="1189"/>
      <c r="T69" s="1208"/>
      <c r="U69" s="1208"/>
      <c r="V69" s="1189"/>
      <c r="W69" s="1189"/>
      <c r="X69" s="1189"/>
      <c r="Y69" s="1189"/>
      <c r="Z69" s="1189"/>
      <c r="AA69" s="1189"/>
      <c r="AB69" s="1189"/>
      <c r="AC69" s="1189"/>
      <c r="AD69" s="1189"/>
      <c r="AE69" s="1189"/>
      <c r="AF69" s="1189"/>
      <c r="AG69" s="1189"/>
      <c r="AH69" s="1189"/>
      <c r="AI69" s="1189"/>
      <c r="AJ69" s="1189"/>
      <c r="AK69" s="1189"/>
      <c r="AL69" s="1189"/>
      <c r="AM69" s="1189"/>
      <c r="AN69" s="1189"/>
      <c r="AO69" s="1189"/>
      <c r="AP69" s="1189"/>
      <c r="AQ69" s="1189"/>
      <c r="AR69" s="1189"/>
      <c r="AS69" s="1189"/>
      <c r="AT69" s="1189"/>
      <c r="AU69" s="1189"/>
      <c r="AV69" s="1189"/>
      <c r="AW69" s="1189"/>
      <c r="AX69" s="1189"/>
    </row>
    <row r="70" spans="1:50" ht="12" customHeight="1">
      <c r="A70" s="1123"/>
      <c r="B70" s="1510"/>
      <c r="C70" s="1511"/>
      <c r="D70" s="1510"/>
      <c r="E70" s="1513"/>
      <c r="F70" s="1511"/>
      <c r="G70" s="1517"/>
      <c r="H70" s="1518"/>
      <c r="I70" s="1519"/>
      <c r="J70" s="1125"/>
      <c r="K70" s="1568" t="str">
        <f>FORM!I28</f>
        <v xml:space="preserve">agent </v>
      </c>
      <c r="L70" s="1568"/>
      <c r="M70" s="1568"/>
      <c r="N70" s="100"/>
      <c r="O70" s="1571" t="str">
        <f>FORM!I26</f>
        <v>cnc</v>
      </c>
      <c r="P70" s="1571"/>
      <c r="Q70" s="1571"/>
      <c r="R70" s="1189"/>
      <c r="S70" s="1189"/>
      <c r="T70" s="1208"/>
      <c r="U70" s="1208"/>
      <c r="V70" s="1189"/>
      <c r="W70" s="1189"/>
      <c r="X70" s="1189"/>
      <c r="Y70" s="1189"/>
      <c r="Z70" s="1189"/>
      <c r="AA70" s="1189"/>
      <c r="AB70" s="1189"/>
      <c r="AC70" s="1189"/>
      <c r="AD70" s="1189"/>
      <c r="AE70" s="1189"/>
      <c r="AF70" s="1189"/>
      <c r="AG70" s="1189"/>
      <c r="AH70" s="1189"/>
      <c r="AI70" s="1189"/>
      <c r="AJ70" s="1189"/>
      <c r="AK70" s="1189"/>
      <c r="AL70" s="1189"/>
      <c r="AM70" s="1189"/>
      <c r="AN70" s="1189"/>
      <c r="AO70" s="1189"/>
      <c r="AP70" s="1189"/>
      <c r="AQ70" s="1189"/>
      <c r="AR70" s="1189"/>
      <c r="AS70" s="1189"/>
      <c r="AT70" s="1189"/>
      <c r="AU70" s="1189"/>
      <c r="AV70" s="1189"/>
      <c r="AW70" s="1189"/>
      <c r="AX70" s="1189"/>
    </row>
    <row r="71" spans="1:50" ht="12" customHeight="1">
      <c r="A71" s="1123"/>
      <c r="B71" s="161"/>
      <c r="C71" s="1123"/>
      <c r="D71" s="1123" t="s">
        <v>819</v>
      </c>
      <c r="E71" s="1123"/>
      <c r="F71" s="1123"/>
      <c r="G71" s="1123"/>
      <c r="H71" s="1123"/>
      <c r="I71" s="1123"/>
      <c r="J71" s="1125"/>
      <c r="K71" s="1226" t="s">
        <v>938</v>
      </c>
      <c r="L71" s="1569"/>
      <c r="M71" s="1569"/>
      <c r="N71" s="1123"/>
      <c r="O71" s="1572" t="s">
        <v>939</v>
      </c>
      <c r="P71" s="1572"/>
      <c r="Q71" s="1572"/>
      <c r="R71" s="1189"/>
      <c r="S71" s="1189"/>
      <c r="T71" s="1208"/>
      <c r="U71" s="1208"/>
      <c r="V71" s="1189"/>
      <c r="W71" s="1189"/>
      <c r="X71" s="1189"/>
      <c r="Y71" s="1189"/>
      <c r="Z71" s="1189"/>
      <c r="AA71" s="1189"/>
      <c r="AB71" s="1189"/>
      <c r="AC71" s="1189"/>
      <c r="AD71" s="1189"/>
      <c r="AE71" s="1189"/>
      <c r="AF71" s="1189"/>
      <c r="AG71" s="1189"/>
      <c r="AH71" s="1189"/>
      <c r="AI71" s="1189"/>
      <c r="AJ71" s="1189"/>
      <c r="AK71" s="1189"/>
      <c r="AL71" s="1189"/>
      <c r="AM71" s="1189"/>
      <c r="AN71" s="1189"/>
      <c r="AO71" s="1189"/>
      <c r="AP71" s="1189"/>
      <c r="AQ71" s="1189"/>
      <c r="AR71" s="1189"/>
      <c r="AS71" s="1189"/>
      <c r="AT71" s="1189"/>
      <c r="AU71" s="1189"/>
      <c r="AV71" s="1189"/>
      <c r="AW71" s="1189"/>
      <c r="AX71" s="1189"/>
    </row>
    <row r="72" spans="1:50" ht="12" customHeight="1">
      <c r="A72" s="1123"/>
      <c r="B72" s="1189"/>
      <c r="C72" s="250" t="s">
        <v>940</v>
      </c>
      <c r="D72" s="1573"/>
      <c r="E72" s="1573"/>
      <c r="F72" s="1573"/>
      <c r="G72" s="1123"/>
      <c r="H72" s="1123"/>
      <c r="I72" s="1123"/>
      <c r="J72" s="1125"/>
      <c r="K72" s="1189"/>
      <c r="L72" s="1189"/>
      <c r="M72" s="1189"/>
      <c r="N72" s="1189"/>
      <c r="O72" s="1189"/>
      <c r="P72" s="1189"/>
      <c r="Q72" s="1189"/>
      <c r="R72" s="1189"/>
      <c r="S72" s="1189"/>
      <c r="T72" s="1208"/>
      <c r="U72" s="1208"/>
      <c r="V72" s="1189"/>
      <c r="W72" s="1189"/>
      <c r="X72" s="1189"/>
      <c r="Y72" s="1189"/>
      <c r="Z72" s="1189"/>
      <c r="AA72" s="1189"/>
      <c r="AB72" s="1189"/>
      <c r="AC72" s="1189"/>
      <c r="AD72" s="1189"/>
      <c r="AE72" s="1189"/>
      <c r="AF72" s="1189"/>
      <c r="AG72" s="1189"/>
      <c r="AH72" s="1189"/>
      <c r="AI72" s="1189"/>
      <c r="AJ72" s="1189"/>
      <c r="AK72" s="1189"/>
      <c r="AL72" s="1189"/>
      <c r="AM72" s="1189"/>
      <c r="AN72" s="1189"/>
      <c r="AO72" s="1189"/>
      <c r="AP72" s="1189"/>
      <c r="AQ72" s="1189"/>
      <c r="AR72" s="1189"/>
      <c r="AS72" s="1189"/>
      <c r="AT72" s="1189"/>
      <c r="AU72" s="1189"/>
      <c r="AV72" s="1189"/>
      <c r="AW72" s="1189"/>
      <c r="AX72" s="1189"/>
    </row>
    <row r="73" spans="1:50" ht="12" customHeight="1">
      <c r="A73" s="1123"/>
      <c r="B73" s="250"/>
      <c r="C73" s="1123"/>
      <c r="D73" s="1228"/>
      <c r="E73" s="1228"/>
      <c r="F73" s="1123"/>
      <c r="G73" s="1123"/>
      <c r="H73" s="1123"/>
      <c r="I73" s="1123"/>
      <c r="J73" s="1125"/>
      <c r="K73" s="156"/>
      <c r="L73" s="1123"/>
      <c r="M73" s="1205"/>
      <c r="N73" s="1123"/>
      <c r="O73" s="1123"/>
      <c r="P73" s="1123"/>
      <c r="Q73" s="1123"/>
      <c r="R73" s="1189"/>
      <c r="S73" s="1189"/>
      <c r="T73" s="1208"/>
      <c r="U73" s="1208"/>
      <c r="V73" s="1189"/>
      <c r="W73" s="1189"/>
      <c r="X73" s="1189"/>
      <c r="Y73" s="1189"/>
      <c r="Z73" s="1189"/>
      <c r="AA73" s="1189"/>
      <c r="AB73" s="1189"/>
      <c r="AC73" s="1189"/>
      <c r="AD73" s="1189"/>
      <c r="AE73" s="1189"/>
      <c r="AF73" s="1189"/>
      <c r="AG73" s="1189"/>
      <c r="AH73" s="1189"/>
      <c r="AI73" s="1189"/>
      <c r="AJ73" s="1189"/>
      <c r="AK73" s="1189"/>
      <c r="AL73" s="1189"/>
      <c r="AM73" s="1189"/>
      <c r="AN73" s="1189"/>
      <c r="AO73" s="1189"/>
      <c r="AP73" s="1189"/>
      <c r="AQ73" s="1189"/>
      <c r="AR73" s="1189"/>
      <c r="AS73" s="1189"/>
      <c r="AT73" s="1189"/>
      <c r="AU73" s="1189"/>
      <c r="AV73" s="1189"/>
      <c r="AW73" s="1189"/>
      <c r="AX73" s="1189"/>
    </row>
    <row r="74" spans="1:50" ht="12" customHeight="1">
      <c r="A74" s="1123"/>
      <c r="B74" s="250"/>
      <c r="C74" s="1123"/>
      <c r="D74" s="1228"/>
      <c r="E74" s="1228"/>
      <c r="F74" s="1123"/>
      <c r="G74" s="1123"/>
      <c r="H74" s="1123"/>
      <c r="I74" s="1123"/>
      <c r="J74" s="1125"/>
      <c r="K74" s="156"/>
      <c r="L74" s="1123"/>
      <c r="M74" s="1205"/>
      <c r="N74" s="1123"/>
      <c r="O74" s="1123"/>
      <c r="P74" s="1123"/>
      <c r="Q74" s="1123"/>
      <c r="R74" s="1189"/>
      <c r="S74" s="1189"/>
      <c r="T74" s="1208"/>
      <c r="U74" s="1208"/>
      <c r="V74" s="1189"/>
      <c r="W74" s="1189"/>
      <c r="X74" s="1189"/>
      <c r="Y74" s="1189"/>
      <c r="Z74" s="1189"/>
      <c r="AA74" s="1189"/>
      <c r="AB74" s="1189"/>
      <c r="AC74" s="1189"/>
      <c r="AD74" s="1189"/>
      <c r="AE74" s="1189"/>
      <c r="AF74" s="1189"/>
      <c r="AG74" s="1189"/>
      <c r="AH74" s="1189"/>
      <c r="AI74" s="1189"/>
      <c r="AJ74" s="1189"/>
      <c r="AK74" s="1189"/>
      <c r="AL74" s="1189"/>
      <c r="AM74" s="1189"/>
      <c r="AN74" s="1189"/>
      <c r="AO74" s="1189"/>
      <c r="AP74" s="1189"/>
      <c r="AQ74" s="1189"/>
      <c r="AR74" s="1189"/>
      <c r="AS74" s="1189"/>
      <c r="AT74" s="1189"/>
      <c r="AU74" s="1189"/>
      <c r="AV74" s="1189"/>
      <c r="AW74" s="1189"/>
      <c r="AX74" s="1189"/>
    </row>
    <row r="75" spans="1:50" ht="12" customHeight="1">
      <c r="A75" s="1123"/>
      <c r="B75" s="250"/>
      <c r="C75" s="1123"/>
      <c r="D75" s="1228"/>
      <c r="E75" s="1228"/>
      <c r="F75" s="1123"/>
      <c r="G75" s="1123"/>
      <c r="H75" s="1123"/>
      <c r="I75" s="1123"/>
      <c r="J75" s="1125"/>
      <c r="K75" s="156"/>
      <c r="L75" s="1123"/>
      <c r="M75" s="1205"/>
      <c r="N75" s="1123"/>
      <c r="O75" s="1123"/>
      <c r="P75" s="1123"/>
      <c r="Q75" s="1123"/>
      <c r="R75" s="1189"/>
      <c r="S75" s="1189"/>
      <c r="T75" s="1208"/>
      <c r="U75" s="1208"/>
      <c r="V75" s="1189"/>
      <c r="W75" s="1189"/>
      <c r="X75" s="1189"/>
      <c r="Y75" s="1189"/>
      <c r="Z75" s="1189"/>
      <c r="AA75" s="1189"/>
      <c r="AB75" s="1189"/>
      <c r="AC75" s="1189"/>
      <c r="AD75" s="1189"/>
      <c r="AE75" s="1189"/>
      <c r="AF75" s="1189"/>
      <c r="AG75" s="1189"/>
      <c r="AH75" s="1189"/>
      <c r="AI75" s="1189"/>
      <c r="AJ75" s="1189"/>
      <c r="AK75" s="1189"/>
      <c r="AL75" s="1189"/>
      <c r="AM75" s="1189"/>
      <c r="AN75" s="1189"/>
      <c r="AO75" s="1189"/>
      <c r="AP75" s="1189"/>
      <c r="AQ75" s="1189"/>
      <c r="AR75" s="1189"/>
      <c r="AS75" s="1189"/>
      <c r="AT75" s="1189"/>
      <c r="AU75" s="1189"/>
      <c r="AV75" s="1189"/>
      <c r="AW75" s="1189"/>
      <c r="AX75" s="1189"/>
    </row>
    <row r="76" spans="1:50" ht="12" customHeight="1">
      <c r="A76" s="1123"/>
      <c r="B76" s="250"/>
      <c r="C76" s="1123"/>
      <c r="D76" s="1228"/>
      <c r="E76" s="1228"/>
      <c r="F76" s="1123"/>
      <c r="G76" s="1123"/>
      <c r="H76" s="1123"/>
      <c r="I76" s="1123"/>
      <c r="J76" s="1125"/>
      <c r="K76" s="156"/>
      <c r="L76" s="1123"/>
      <c r="M76" s="1205"/>
      <c r="N76" s="1123"/>
      <c r="O76" s="1123"/>
      <c r="P76" s="1123"/>
      <c r="Q76" s="1123"/>
      <c r="R76" s="1189"/>
      <c r="S76" s="1189"/>
      <c r="T76" s="1208"/>
      <c r="U76" s="1208"/>
      <c r="V76" s="1189"/>
      <c r="W76" s="1189"/>
      <c r="X76" s="1189"/>
      <c r="Y76" s="1189"/>
      <c r="Z76" s="1189"/>
      <c r="AA76" s="1189"/>
      <c r="AB76" s="1189"/>
      <c r="AC76" s="1189"/>
      <c r="AD76" s="1189"/>
      <c r="AE76" s="1189"/>
      <c r="AF76" s="1189"/>
      <c r="AG76" s="1189"/>
      <c r="AH76" s="1189"/>
      <c r="AI76" s="1189"/>
      <c r="AJ76" s="1189"/>
      <c r="AK76" s="1189"/>
      <c r="AL76" s="1189"/>
      <c r="AM76" s="1189"/>
      <c r="AN76" s="1189"/>
      <c r="AO76" s="1189"/>
      <c r="AP76" s="1189"/>
      <c r="AQ76" s="1189"/>
      <c r="AR76" s="1189"/>
      <c r="AS76" s="1189"/>
      <c r="AT76" s="1189"/>
      <c r="AU76" s="1189"/>
      <c r="AV76" s="1189"/>
      <c r="AW76" s="1189"/>
      <c r="AX76" s="1189"/>
    </row>
    <row r="77" spans="1:50" ht="12" customHeight="1">
      <c r="A77" s="1123"/>
      <c r="B77" s="250"/>
      <c r="C77" s="1123"/>
      <c r="D77" s="1228"/>
      <c r="E77" s="1228"/>
      <c r="F77" s="1123"/>
      <c r="G77" s="1123"/>
      <c r="H77" s="1123"/>
      <c r="I77" s="1123"/>
      <c r="J77" s="1125"/>
      <c r="K77" s="156"/>
      <c r="L77" s="1123"/>
      <c r="M77" s="1205"/>
      <c r="N77" s="1123"/>
      <c r="O77" s="1123"/>
      <c r="P77" s="1123"/>
      <c r="Q77" s="1123"/>
      <c r="R77" s="1189"/>
      <c r="S77" s="1189"/>
      <c r="T77" s="1208"/>
      <c r="U77" s="1208"/>
      <c r="V77" s="1189"/>
      <c r="W77" s="1189"/>
      <c r="X77" s="1189"/>
      <c r="Y77" s="1189"/>
      <c r="Z77" s="1189"/>
      <c r="AA77" s="1189"/>
      <c r="AB77" s="1189"/>
      <c r="AC77" s="1189"/>
      <c r="AD77" s="1189"/>
      <c r="AE77" s="1189"/>
      <c r="AF77" s="1189"/>
      <c r="AG77" s="1189"/>
      <c r="AH77" s="1189"/>
      <c r="AI77" s="1189"/>
      <c r="AJ77" s="1189"/>
      <c r="AK77" s="1189"/>
      <c r="AL77" s="1189"/>
      <c r="AM77" s="1189"/>
      <c r="AN77" s="1189"/>
      <c r="AO77" s="1189"/>
      <c r="AP77" s="1189"/>
      <c r="AQ77" s="1189"/>
      <c r="AR77" s="1189"/>
      <c r="AS77" s="1189"/>
      <c r="AT77" s="1189"/>
      <c r="AU77" s="1189"/>
      <c r="AV77" s="1189"/>
      <c r="AW77" s="1189"/>
      <c r="AX77" s="1189"/>
    </row>
    <row r="78" spans="1:50" ht="12" customHeight="1">
      <c r="A78" s="1123"/>
      <c r="B78" s="100" t="s">
        <v>936</v>
      </c>
      <c r="C78" s="1123"/>
      <c r="D78" s="1123"/>
      <c r="E78" s="1123"/>
      <c r="F78" s="100" t="s">
        <v>937</v>
      </c>
      <c r="G78" s="1123"/>
      <c r="H78" s="1123"/>
      <c r="I78" s="1123"/>
      <c r="J78" s="1125"/>
      <c r="K78" s="156"/>
      <c r="L78" s="1123"/>
      <c r="M78" s="1205"/>
      <c r="N78" s="1123"/>
      <c r="O78" s="1123"/>
      <c r="P78" s="1123"/>
      <c r="Q78" s="1123"/>
      <c r="R78" s="1189"/>
      <c r="S78" s="1189"/>
      <c r="T78" s="1208"/>
      <c r="U78" s="1208"/>
      <c r="V78" s="1189"/>
      <c r="W78" s="1189"/>
      <c r="X78" s="1189"/>
      <c r="Y78" s="1189"/>
      <c r="Z78" s="1189"/>
      <c r="AA78" s="1189"/>
      <c r="AB78" s="1189"/>
      <c r="AC78" s="1189"/>
      <c r="AD78" s="1189"/>
      <c r="AE78" s="1189"/>
      <c r="AF78" s="1189"/>
      <c r="AG78" s="1189"/>
      <c r="AH78" s="1189"/>
      <c r="AI78" s="1189"/>
      <c r="AJ78" s="1189"/>
      <c r="AK78" s="1189"/>
      <c r="AL78" s="1189"/>
      <c r="AM78" s="1189"/>
      <c r="AN78" s="1189"/>
      <c r="AO78" s="1189"/>
      <c r="AP78" s="1189"/>
      <c r="AQ78" s="1189"/>
      <c r="AR78" s="1189"/>
      <c r="AS78" s="1189"/>
      <c r="AT78" s="1189"/>
      <c r="AU78" s="1189"/>
      <c r="AV78" s="1189"/>
      <c r="AW78" s="1189"/>
      <c r="AX78" s="1189"/>
    </row>
    <row r="79" spans="1:50" ht="12" customHeight="1">
      <c r="A79" s="1123"/>
      <c r="B79" s="1123"/>
      <c r="C79" s="1123"/>
      <c r="D79" s="705"/>
      <c r="E79" s="1123"/>
      <c r="F79" s="1123"/>
      <c r="G79" s="1123"/>
      <c r="H79" s="1123"/>
      <c r="I79" s="1123"/>
      <c r="J79" s="1125"/>
      <c r="K79" s="156"/>
      <c r="L79" s="1123"/>
      <c r="M79" s="1205"/>
      <c r="N79" s="1123"/>
      <c r="O79" s="1123"/>
      <c r="P79" s="1123"/>
      <c r="Q79" s="1123"/>
      <c r="R79" s="1189"/>
      <c r="S79" s="1189"/>
      <c r="T79" s="1208"/>
      <c r="U79" s="1208"/>
      <c r="V79" s="1189"/>
      <c r="W79" s="1189"/>
      <c r="X79" s="1189"/>
      <c r="Y79" s="1189"/>
      <c r="Z79" s="1189"/>
      <c r="AA79" s="1189"/>
      <c r="AB79" s="1189"/>
      <c r="AC79" s="1189"/>
      <c r="AD79" s="1189"/>
      <c r="AE79" s="1189"/>
      <c r="AF79" s="1189"/>
      <c r="AG79" s="1189"/>
      <c r="AH79" s="1189"/>
      <c r="AI79" s="1189"/>
      <c r="AJ79" s="1189"/>
      <c r="AK79" s="1189"/>
      <c r="AL79" s="1189"/>
      <c r="AM79" s="1189"/>
      <c r="AN79" s="1189"/>
      <c r="AO79" s="1189"/>
      <c r="AP79" s="1189"/>
      <c r="AQ79" s="1189"/>
      <c r="AR79" s="1189"/>
      <c r="AS79" s="1189"/>
      <c r="AT79" s="1189"/>
      <c r="AU79" s="1189"/>
      <c r="AV79" s="1189"/>
      <c r="AW79" s="1189"/>
      <c r="AX79" s="1189"/>
    </row>
    <row r="80" spans="1:50" ht="12" customHeight="1">
      <c r="A80" s="1123"/>
      <c r="B80" s="1123"/>
      <c r="C80" s="1123"/>
      <c r="D80" s="705"/>
      <c r="E80" s="1123"/>
      <c r="F80" s="1123"/>
      <c r="G80" s="1123"/>
      <c r="H80" s="1123"/>
      <c r="I80" s="1123"/>
      <c r="J80" s="1125"/>
      <c r="K80" s="156"/>
      <c r="L80" s="1123"/>
      <c r="M80" s="1205"/>
      <c r="N80" s="1123"/>
      <c r="O80" s="1123"/>
      <c r="P80" s="1123"/>
      <c r="Q80" s="1123"/>
      <c r="R80" s="1189"/>
      <c r="S80" s="1189"/>
      <c r="T80" s="1208"/>
      <c r="U80" s="1208"/>
      <c r="V80" s="1189"/>
      <c r="W80" s="1189"/>
      <c r="X80" s="1189"/>
      <c r="Y80" s="1189"/>
      <c r="Z80" s="1189"/>
      <c r="AA80" s="1189"/>
      <c r="AB80" s="1189"/>
      <c r="AC80" s="1189"/>
      <c r="AD80" s="1189"/>
      <c r="AE80" s="1189"/>
      <c r="AF80" s="1189"/>
      <c r="AG80" s="1189"/>
      <c r="AH80" s="1189"/>
      <c r="AI80" s="1189"/>
      <c r="AJ80" s="1189"/>
      <c r="AK80" s="1189"/>
      <c r="AL80" s="1189"/>
      <c r="AM80" s="1189"/>
      <c r="AN80" s="1189"/>
      <c r="AO80" s="1189"/>
      <c r="AP80" s="1189"/>
      <c r="AQ80" s="1189"/>
      <c r="AR80" s="1189"/>
      <c r="AS80" s="1189"/>
      <c r="AT80" s="1189"/>
      <c r="AU80" s="1189"/>
      <c r="AV80" s="1189"/>
      <c r="AW80" s="1189"/>
      <c r="AX80" s="1189"/>
    </row>
    <row r="81" spans="1:50" ht="12" customHeight="1">
      <c r="A81" s="1123"/>
      <c r="B81" s="1568" t="str">
        <f>FORM!I28</f>
        <v xml:space="preserve">agent </v>
      </c>
      <c r="C81" s="1568"/>
      <c r="D81" s="1568"/>
      <c r="E81" s="100"/>
      <c r="F81" s="1568" t="str">
        <f>FORM!I26</f>
        <v>cnc</v>
      </c>
      <c r="G81" s="1568"/>
      <c r="H81" s="1568"/>
      <c r="I81" s="1568"/>
      <c r="J81" s="1125"/>
      <c r="K81" s="156"/>
      <c r="L81" s="1123"/>
      <c r="M81" s="1205"/>
      <c r="N81" s="1123"/>
      <c r="O81" s="1123"/>
      <c r="P81" s="1123"/>
      <c r="Q81" s="1123"/>
      <c r="R81" s="1189"/>
      <c r="S81" s="1189"/>
      <c r="T81" s="1208"/>
      <c r="U81" s="1208"/>
      <c r="V81" s="1189"/>
      <c r="W81" s="1189"/>
      <c r="X81" s="1189"/>
      <c r="Y81" s="1189"/>
      <c r="Z81" s="1189"/>
      <c r="AA81" s="1189"/>
      <c r="AB81" s="1189"/>
      <c r="AC81" s="1189"/>
      <c r="AD81" s="1189"/>
      <c r="AE81" s="1189"/>
      <c r="AF81" s="1189"/>
      <c r="AG81" s="1189"/>
      <c r="AH81" s="1189"/>
      <c r="AI81" s="1189"/>
      <c r="AJ81" s="1189"/>
      <c r="AK81" s="1189"/>
      <c r="AL81" s="1189"/>
      <c r="AM81" s="1189"/>
      <c r="AN81" s="1189"/>
      <c r="AO81" s="1189"/>
      <c r="AP81" s="1189"/>
      <c r="AQ81" s="1189"/>
      <c r="AR81" s="1189"/>
      <c r="AS81" s="1189"/>
      <c r="AT81" s="1189"/>
      <c r="AU81" s="1189"/>
      <c r="AV81" s="1189"/>
      <c r="AW81" s="1189"/>
      <c r="AX81" s="1189"/>
    </row>
    <row r="82" spans="1:50" ht="12" customHeight="1">
      <c r="A82" s="1123"/>
      <c r="B82" s="1226" t="s">
        <v>938</v>
      </c>
      <c r="C82" s="1569"/>
      <c r="D82" s="1569"/>
      <c r="E82" s="1123"/>
      <c r="F82" s="1570" t="s">
        <v>939</v>
      </c>
      <c r="G82" s="1570"/>
      <c r="H82" s="1570"/>
      <c r="I82" s="1229"/>
      <c r="J82" s="1125"/>
      <c r="K82" s="156"/>
      <c r="L82" s="1123"/>
      <c r="M82" s="1205"/>
      <c r="N82" s="1123"/>
      <c r="O82" s="1123"/>
      <c r="P82" s="1123"/>
      <c r="Q82" s="1123"/>
      <c r="R82" s="1189"/>
      <c r="S82" s="1189"/>
      <c r="T82" s="1208"/>
      <c r="U82" s="1208"/>
      <c r="V82" s="1189"/>
      <c r="W82" s="1189"/>
      <c r="X82" s="1189"/>
      <c r="Y82" s="1189"/>
      <c r="Z82" s="1189"/>
      <c r="AA82" s="1189"/>
      <c r="AB82" s="1189"/>
      <c r="AC82" s="1189"/>
      <c r="AD82" s="1189"/>
      <c r="AE82" s="1189"/>
      <c r="AF82" s="1189"/>
      <c r="AG82" s="1189"/>
      <c r="AH82" s="1189"/>
      <c r="AI82" s="1189"/>
      <c r="AJ82" s="1189"/>
      <c r="AK82" s="1189"/>
      <c r="AL82" s="1189"/>
      <c r="AM82" s="1189"/>
      <c r="AN82" s="1189"/>
      <c r="AO82" s="1189"/>
      <c r="AP82" s="1189"/>
      <c r="AQ82" s="1189"/>
      <c r="AR82" s="1189"/>
      <c r="AS82" s="1189"/>
      <c r="AT82" s="1189"/>
      <c r="AU82" s="1189"/>
      <c r="AV82" s="1189"/>
      <c r="AW82" s="1189"/>
      <c r="AX82" s="1189"/>
    </row>
    <row r="83" spans="1:50" ht="12" customHeight="1">
      <c r="A83" s="1123"/>
      <c r="B83" s="161"/>
      <c r="C83" s="1123"/>
      <c r="D83" s="1123"/>
      <c r="E83" s="1123"/>
      <c r="F83" s="1123"/>
      <c r="G83" s="1123"/>
      <c r="H83" s="1123"/>
      <c r="I83" s="1123"/>
      <c r="J83" s="1125"/>
      <c r="K83" s="156"/>
      <c r="L83" s="1123"/>
      <c r="M83" s="1205"/>
      <c r="N83" s="1123"/>
      <c r="O83" s="1123"/>
      <c r="P83" s="1123"/>
      <c r="Q83" s="1123"/>
      <c r="R83" s="1189"/>
      <c r="S83" s="1189"/>
      <c r="T83" s="1208"/>
      <c r="U83" s="1208"/>
      <c r="V83" s="1189"/>
      <c r="W83" s="1189"/>
      <c r="X83" s="1189"/>
      <c r="Y83" s="1189"/>
      <c r="Z83" s="1189"/>
      <c r="AA83" s="1189"/>
      <c r="AB83" s="1189"/>
      <c r="AC83" s="1189"/>
      <c r="AD83" s="1189"/>
      <c r="AE83" s="1189"/>
      <c r="AF83" s="1189"/>
      <c r="AG83" s="1189"/>
      <c r="AH83" s="1189"/>
      <c r="AI83" s="1189"/>
      <c r="AJ83" s="1189"/>
      <c r="AK83" s="1189"/>
      <c r="AL83" s="1189"/>
      <c r="AM83" s="1189"/>
      <c r="AN83" s="1189"/>
      <c r="AO83" s="1189"/>
      <c r="AP83" s="1189"/>
      <c r="AQ83" s="1189"/>
      <c r="AR83" s="1189"/>
      <c r="AS83" s="1189"/>
      <c r="AT83" s="1189"/>
      <c r="AU83" s="1189"/>
      <c r="AV83" s="1189"/>
      <c r="AW83" s="1189"/>
      <c r="AX83" s="1189"/>
    </row>
    <row r="84" spans="1:50" ht="12" customHeight="1">
      <c r="A84" s="1123"/>
      <c r="B84" s="161"/>
      <c r="C84" s="1123"/>
      <c r="D84" s="1123"/>
      <c r="E84" s="1123"/>
      <c r="F84" s="1123"/>
      <c r="G84" s="1123"/>
      <c r="H84" s="1123"/>
      <c r="I84" s="1123"/>
      <c r="J84" s="1125"/>
      <c r="K84" s="156"/>
      <c r="L84" s="1123"/>
      <c r="M84" s="1205"/>
      <c r="N84" s="1123"/>
      <c r="O84" s="1123"/>
      <c r="P84" s="1123"/>
      <c r="Q84" s="1123"/>
      <c r="R84" s="1189"/>
      <c r="S84" s="1189"/>
      <c r="T84" s="1208"/>
      <c r="U84" s="1208"/>
      <c r="V84" s="1189"/>
      <c r="W84" s="1189"/>
      <c r="X84" s="1189"/>
      <c r="Y84" s="1189"/>
      <c r="Z84" s="1189"/>
      <c r="AA84" s="1189"/>
      <c r="AB84" s="1189"/>
      <c r="AC84" s="1189"/>
      <c r="AD84" s="1189"/>
      <c r="AE84" s="1189"/>
      <c r="AF84" s="1189"/>
      <c r="AG84" s="1189"/>
      <c r="AH84" s="1189"/>
      <c r="AI84" s="1189"/>
      <c r="AJ84" s="1189"/>
      <c r="AK84" s="1189"/>
      <c r="AL84" s="1189"/>
      <c r="AM84" s="1189"/>
      <c r="AN84" s="1189"/>
      <c r="AO84" s="1189"/>
      <c r="AP84" s="1189"/>
      <c r="AQ84" s="1189"/>
      <c r="AR84" s="1189"/>
      <c r="AS84" s="1189"/>
      <c r="AT84" s="1189"/>
      <c r="AU84" s="1189"/>
      <c r="AV84" s="1189"/>
      <c r="AW84" s="1189"/>
      <c r="AX84" s="1189"/>
    </row>
    <row r="85" spans="1:50" ht="12" customHeight="1">
      <c r="A85" s="1123"/>
      <c r="B85" s="161"/>
      <c r="C85" s="1123"/>
      <c r="D85" s="1123"/>
      <c r="E85" s="1123"/>
      <c r="F85" s="1123"/>
      <c r="G85" s="1123"/>
      <c r="H85" s="1123"/>
      <c r="I85" s="1123"/>
      <c r="J85" s="1125"/>
      <c r="K85" s="156"/>
      <c r="L85" s="1123"/>
      <c r="M85" s="1205"/>
      <c r="N85" s="1123"/>
      <c r="O85" s="1123"/>
      <c r="P85" s="1123"/>
      <c r="Q85" s="1123"/>
      <c r="R85" s="1189"/>
      <c r="S85" s="1189"/>
      <c r="T85" s="1208"/>
      <c r="U85" s="1208"/>
      <c r="V85" s="1189"/>
      <c r="W85" s="1189"/>
      <c r="X85" s="1189"/>
      <c r="Y85" s="1189"/>
      <c r="Z85" s="1189"/>
      <c r="AA85" s="1189"/>
      <c r="AB85" s="1189"/>
      <c r="AC85" s="1189"/>
      <c r="AD85" s="1189"/>
      <c r="AE85" s="1189"/>
      <c r="AF85" s="1189"/>
      <c r="AG85" s="1189"/>
      <c r="AH85" s="1189"/>
      <c r="AI85" s="1189"/>
      <c r="AJ85" s="1189"/>
      <c r="AK85" s="1189"/>
      <c r="AL85" s="1189"/>
      <c r="AM85" s="1189"/>
      <c r="AN85" s="1189"/>
      <c r="AO85" s="1189"/>
      <c r="AP85" s="1189"/>
      <c r="AQ85" s="1189"/>
      <c r="AR85" s="1189"/>
      <c r="AS85" s="1189"/>
      <c r="AT85" s="1189"/>
      <c r="AU85" s="1189"/>
      <c r="AV85" s="1189"/>
      <c r="AW85" s="1189"/>
      <c r="AX85" s="1189"/>
    </row>
    <row r="86" spans="1:50" ht="12" customHeight="1">
      <c r="A86" s="1123"/>
      <c r="B86" s="161"/>
      <c r="C86" s="1123"/>
      <c r="D86" s="1123"/>
      <c r="E86" s="1123"/>
      <c r="F86" s="1123"/>
      <c r="G86" s="1123"/>
      <c r="H86" s="1123"/>
      <c r="I86" s="1123"/>
      <c r="J86" s="1125"/>
      <c r="K86" s="156"/>
      <c r="L86" s="1123"/>
      <c r="M86" s="1205"/>
      <c r="N86" s="1123"/>
      <c r="O86" s="1123"/>
      <c r="P86" s="1123"/>
      <c r="Q86" s="1123"/>
      <c r="R86" s="1189"/>
      <c r="S86" s="1189"/>
      <c r="T86" s="1208"/>
      <c r="U86" s="1208"/>
      <c r="V86" s="1189"/>
      <c r="W86" s="1189"/>
      <c r="X86" s="1189"/>
      <c r="Y86" s="1189"/>
      <c r="Z86" s="1189"/>
      <c r="AA86" s="1189"/>
      <c r="AB86" s="1189"/>
      <c r="AC86" s="1189"/>
      <c r="AD86" s="1189"/>
      <c r="AE86" s="1189"/>
      <c r="AF86" s="1189"/>
      <c r="AG86" s="1189"/>
      <c r="AH86" s="1189"/>
      <c r="AI86" s="1189"/>
      <c r="AJ86" s="1189"/>
      <c r="AK86" s="1189"/>
      <c r="AL86" s="1189"/>
      <c r="AM86" s="1189"/>
      <c r="AN86" s="1189"/>
      <c r="AO86" s="1189"/>
      <c r="AP86" s="1189"/>
      <c r="AQ86" s="1189"/>
      <c r="AR86" s="1189"/>
      <c r="AS86" s="1189"/>
      <c r="AT86" s="1189"/>
      <c r="AU86" s="1189"/>
      <c r="AV86" s="1189"/>
      <c r="AW86" s="1189"/>
      <c r="AX86" s="1189"/>
    </row>
    <row r="87" spans="1:50" ht="12" customHeight="1">
      <c r="A87" s="1123"/>
      <c r="B87" s="161"/>
      <c r="C87" s="1123"/>
      <c r="D87" s="1123"/>
      <c r="E87" s="1123"/>
      <c r="F87" s="1123"/>
      <c r="G87" s="1123"/>
      <c r="H87" s="1123"/>
      <c r="I87" s="1123"/>
      <c r="J87" s="1125"/>
      <c r="K87" s="156"/>
      <c r="L87" s="1123"/>
      <c r="M87" s="1205"/>
      <c r="N87" s="1123"/>
      <c r="O87" s="1123"/>
      <c r="P87" s="1123"/>
      <c r="Q87" s="1123"/>
      <c r="R87" s="1189"/>
      <c r="S87" s="1189"/>
      <c r="T87" s="1208"/>
      <c r="U87" s="1208"/>
      <c r="V87" s="1189"/>
      <c r="W87" s="1189"/>
      <c r="X87" s="1189"/>
      <c r="Y87" s="1189"/>
      <c r="Z87" s="1189"/>
      <c r="AA87" s="1189"/>
      <c r="AB87" s="1189"/>
      <c r="AC87" s="1189"/>
      <c r="AD87" s="1189"/>
      <c r="AE87" s="1189"/>
      <c r="AF87" s="1189"/>
      <c r="AG87" s="1189"/>
      <c r="AH87" s="1189"/>
      <c r="AI87" s="1189"/>
      <c r="AJ87" s="1189"/>
      <c r="AK87" s="1189"/>
      <c r="AL87" s="1189"/>
      <c r="AM87" s="1189"/>
      <c r="AN87" s="1189"/>
      <c r="AO87" s="1189"/>
      <c r="AP87" s="1189"/>
      <c r="AQ87" s="1189"/>
      <c r="AR87" s="1189"/>
      <c r="AS87" s="1189"/>
      <c r="AT87" s="1189"/>
      <c r="AU87" s="1189"/>
      <c r="AV87" s="1189"/>
      <c r="AW87" s="1189"/>
      <c r="AX87" s="1189"/>
    </row>
    <row r="88" spans="1:50" ht="12.6">
      <c r="A88" s="1123"/>
      <c r="B88" s="161"/>
      <c r="C88" s="1123"/>
      <c r="D88" s="705"/>
      <c r="E88" s="1123"/>
      <c r="F88" s="1123"/>
      <c r="G88" s="1123"/>
      <c r="H88" s="1123"/>
      <c r="I88" s="1123"/>
      <c r="J88" s="1125"/>
      <c r="K88" s="156"/>
      <c r="L88" s="1123"/>
      <c r="M88" s="1205"/>
      <c r="N88" s="1123"/>
      <c r="O88" s="1123"/>
      <c r="P88" s="1123"/>
      <c r="Q88" s="1123"/>
      <c r="R88" s="1189"/>
      <c r="S88" s="1189"/>
      <c r="T88" s="1208"/>
      <c r="U88" s="1208"/>
      <c r="V88" s="1189"/>
      <c r="W88" s="1189"/>
      <c r="X88" s="1189"/>
      <c r="Y88" s="1189"/>
      <c r="Z88" s="1189"/>
      <c r="AA88" s="1189"/>
      <c r="AB88" s="1189"/>
      <c r="AC88" s="1189"/>
      <c r="AD88" s="1189"/>
      <c r="AE88" s="1189"/>
      <c r="AF88" s="1189"/>
      <c r="AG88" s="1189"/>
      <c r="AH88" s="1189"/>
      <c r="AI88" s="1189"/>
      <c r="AJ88" s="1189"/>
      <c r="AK88" s="1189"/>
      <c r="AL88" s="1189"/>
      <c r="AM88" s="1189"/>
      <c r="AN88" s="1189"/>
      <c r="AO88" s="1189"/>
      <c r="AP88" s="1189"/>
      <c r="AQ88" s="1189"/>
      <c r="AR88" s="1189"/>
      <c r="AS88" s="1189"/>
      <c r="AT88" s="1189"/>
      <c r="AU88" s="1189"/>
      <c r="AV88" s="1189"/>
      <c r="AW88" s="1189"/>
      <c r="AX88" s="1189"/>
    </row>
    <row r="89" spans="1:50" ht="12" customHeight="1">
      <c r="A89" s="1123"/>
      <c r="B89" s="161"/>
      <c r="C89" s="1123"/>
      <c r="D89" s="705"/>
      <c r="E89" s="1123"/>
      <c r="F89" s="1123"/>
      <c r="G89" s="1123"/>
      <c r="H89" s="1123"/>
      <c r="I89" s="1123"/>
      <c r="J89" s="1125"/>
      <c r="K89" s="156"/>
      <c r="L89" s="1123"/>
      <c r="M89" s="1205"/>
      <c r="N89" s="1123"/>
      <c r="O89" s="1123"/>
      <c r="P89" s="1123"/>
      <c r="Q89" s="1123"/>
      <c r="R89" s="1189"/>
      <c r="S89" s="1189"/>
      <c r="T89" s="1208"/>
      <c r="U89" s="1208"/>
      <c r="V89" s="1189"/>
      <c r="W89" s="1189"/>
      <c r="X89" s="1189"/>
      <c r="Y89" s="1189"/>
      <c r="Z89" s="1189"/>
      <c r="AA89" s="1189"/>
      <c r="AB89" s="1189"/>
      <c r="AC89" s="1189"/>
      <c r="AD89" s="1189"/>
      <c r="AE89" s="1189"/>
      <c r="AF89" s="1189"/>
      <c r="AG89" s="1189"/>
      <c r="AH89" s="1189"/>
      <c r="AI89" s="1189"/>
      <c r="AJ89" s="1189"/>
      <c r="AK89" s="1189"/>
      <c r="AL89" s="1189"/>
      <c r="AM89" s="1189"/>
      <c r="AN89" s="1189"/>
      <c r="AO89" s="1189"/>
      <c r="AP89" s="1189"/>
      <c r="AQ89" s="1189"/>
      <c r="AR89" s="1189"/>
      <c r="AS89" s="1189"/>
      <c r="AT89" s="1189"/>
      <c r="AU89" s="1189"/>
      <c r="AV89" s="1189"/>
      <c r="AW89" s="1189"/>
      <c r="AX89" s="1189"/>
    </row>
    <row r="90" spans="1:50" ht="12" customHeight="1">
      <c r="A90" s="1123"/>
      <c r="B90" s="161"/>
      <c r="C90" s="1123"/>
      <c r="D90" s="705"/>
      <c r="E90" s="1123"/>
      <c r="F90" s="1123"/>
      <c r="G90" s="1123"/>
      <c r="H90" s="1123"/>
      <c r="I90" s="1123"/>
      <c r="J90" s="1125"/>
      <c r="K90" s="156"/>
      <c r="L90" s="1123"/>
      <c r="M90" s="1205"/>
      <c r="N90" s="1123"/>
      <c r="O90" s="1123"/>
      <c r="P90" s="1123"/>
      <c r="Q90" s="1123"/>
      <c r="R90" s="1189"/>
      <c r="S90" s="1189"/>
      <c r="T90" s="1208"/>
      <c r="U90" s="1208"/>
      <c r="V90" s="1189"/>
      <c r="W90" s="1189"/>
      <c r="X90" s="1189"/>
      <c r="Y90" s="1189"/>
      <c r="Z90" s="1189"/>
      <c r="AA90" s="1189"/>
      <c r="AB90" s="1189"/>
      <c r="AC90" s="1189"/>
      <c r="AD90" s="1189"/>
      <c r="AE90" s="1189"/>
      <c r="AF90" s="1189"/>
      <c r="AG90" s="1189"/>
      <c r="AH90" s="1189"/>
      <c r="AI90" s="1189"/>
      <c r="AJ90" s="1189"/>
      <c r="AK90" s="1189"/>
      <c r="AL90" s="1189"/>
      <c r="AM90" s="1189"/>
      <c r="AN90" s="1189"/>
      <c r="AO90" s="1189"/>
      <c r="AP90" s="1189"/>
      <c r="AQ90" s="1189"/>
      <c r="AR90" s="1189"/>
      <c r="AS90" s="1189"/>
      <c r="AT90" s="1189"/>
      <c r="AU90" s="1189"/>
      <c r="AV90" s="1189"/>
      <c r="AW90" s="1189"/>
      <c r="AX90" s="1189"/>
    </row>
    <row r="91" spans="1:50" ht="12" customHeight="1">
      <c r="A91" s="1123"/>
      <c r="B91" s="161"/>
      <c r="C91" s="1123"/>
      <c r="D91" s="1123"/>
      <c r="E91" s="1123"/>
      <c r="F91" s="1123"/>
      <c r="G91" s="1123"/>
      <c r="H91" s="1123"/>
      <c r="I91" s="1123"/>
      <c r="J91" s="1125"/>
      <c r="K91" s="156"/>
      <c r="L91" s="1123"/>
      <c r="M91" s="1205"/>
      <c r="N91" s="1123"/>
      <c r="O91" s="1123"/>
      <c r="P91" s="1123"/>
      <c r="Q91" s="1123"/>
      <c r="R91" s="1189"/>
      <c r="S91" s="1189"/>
      <c r="T91" s="1208"/>
      <c r="U91" s="1208"/>
      <c r="V91" s="1189"/>
      <c r="W91" s="1189"/>
      <c r="X91" s="1189"/>
      <c r="Y91" s="1189"/>
      <c r="Z91" s="1189"/>
      <c r="AA91" s="1189"/>
      <c r="AB91" s="1189"/>
      <c r="AC91" s="1189"/>
      <c r="AD91" s="1189"/>
      <c r="AE91" s="1189"/>
      <c r="AF91" s="1189"/>
      <c r="AG91" s="1189"/>
      <c r="AH91" s="1189"/>
      <c r="AI91" s="1189"/>
      <c r="AJ91" s="1189"/>
      <c r="AK91" s="1189"/>
      <c r="AL91" s="1189"/>
      <c r="AM91" s="1189"/>
      <c r="AN91" s="1189"/>
      <c r="AO91" s="1189"/>
      <c r="AP91" s="1189"/>
      <c r="AQ91" s="1189"/>
      <c r="AR91" s="1189"/>
      <c r="AS91" s="1189"/>
      <c r="AT91" s="1189"/>
      <c r="AU91" s="1189"/>
      <c r="AV91" s="1189"/>
      <c r="AW91" s="1189"/>
      <c r="AX91" s="1189"/>
    </row>
    <row r="92" spans="1:50" ht="12" customHeight="1">
      <c r="A92" s="1123"/>
      <c r="B92" s="161"/>
      <c r="C92" s="1123"/>
      <c r="D92" s="1123"/>
      <c r="E92" s="1123"/>
      <c r="F92" s="1123"/>
      <c r="G92" s="1123"/>
      <c r="H92" s="1123"/>
      <c r="I92" s="1123"/>
      <c r="J92" s="1125"/>
      <c r="K92" s="156"/>
      <c r="L92" s="1123"/>
      <c r="M92" s="1205"/>
      <c r="N92" s="1123"/>
      <c r="O92" s="1123"/>
      <c r="P92" s="1123"/>
      <c r="Q92" s="1123"/>
      <c r="R92" s="1189"/>
      <c r="S92" s="1189"/>
      <c r="T92" s="1208"/>
      <c r="U92" s="1208"/>
      <c r="V92" s="1189"/>
      <c r="W92" s="1189"/>
      <c r="X92" s="1189"/>
      <c r="Y92" s="1189"/>
      <c r="Z92" s="1189"/>
      <c r="AA92" s="1189"/>
      <c r="AB92" s="1189"/>
      <c r="AC92" s="1189"/>
      <c r="AD92" s="1189"/>
      <c r="AE92" s="1189"/>
      <c r="AF92" s="1189"/>
      <c r="AG92" s="1189"/>
      <c r="AH92" s="1189"/>
      <c r="AI92" s="1189"/>
      <c r="AJ92" s="1189"/>
      <c r="AK92" s="1189"/>
      <c r="AL92" s="1189"/>
      <c r="AM92" s="1189"/>
      <c r="AN92" s="1189"/>
      <c r="AO92" s="1189"/>
      <c r="AP92" s="1189"/>
      <c r="AQ92" s="1189"/>
      <c r="AR92" s="1189"/>
      <c r="AS92" s="1189"/>
      <c r="AT92" s="1189"/>
      <c r="AU92" s="1189"/>
      <c r="AV92" s="1189"/>
      <c r="AW92" s="1189"/>
      <c r="AX92" s="1189"/>
    </row>
    <row r="93" spans="1:50" ht="12" customHeight="1">
      <c r="A93" s="1123"/>
      <c r="B93" s="161"/>
      <c r="C93" s="1123"/>
      <c r="D93" s="1123"/>
      <c r="E93" s="1123"/>
      <c r="F93" s="1123"/>
      <c r="G93" s="1123"/>
      <c r="H93" s="1123"/>
      <c r="I93" s="1123"/>
      <c r="J93" s="1125"/>
      <c r="K93" s="156"/>
      <c r="L93" s="1123"/>
      <c r="M93" s="1205"/>
      <c r="N93" s="1123"/>
      <c r="O93" s="1123"/>
      <c r="P93" s="1123"/>
      <c r="Q93" s="1123"/>
      <c r="R93" s="1189"/>
      <c r="S93" s="1189"/>
      <c r="T93" s="1208"/>
      <c r="U93" s="1208"/>
      <c r="V93" s="1189"/>
      <c r="W93" s="1189"/>
      <c r="X93" s="1189"/>
      <c r="Y93" s="1189"/>
      <c r="Z93" s="1189"/>
      <c r="AA93" s="1189"/>
      <c r="AB93" s="1189"/>
      <c r="AC93" s="1189"/>
      <c r="AD93" s="1189"/>
      <c r="AE93" s="1189"/>
      <c r="AF93" s="1189"/>
      <c r="AG93" s="1189"/>
      <c r="AH93" s="1189"/>
      <c r="AI93" s="1189"/>
      <c r="AJ93" s="1189"/>
      <c r="AK93" s="1189"/>
      <c r="AL93" s="1189"/>
      <c r="AM93" s="1189"/>
      <c r="AN93" s="1189"/>
      <c r="AO93" s="1189"/>
      <c r="AP93" s="1189"/>
      <c r="AQ93" s="1189"/>
      <c r="AR93" s="1189"/>
      <c r="AS93" s="1189"/>
      <c r="AT93" s="1189"/>
      <c r="AU93" s="1189"/>
      <c r="AV93" s="1189"/>
      <c r="AW93" s="1189"/>
      <c r="AX93" s="1189"/>
    </row>
    <row r="94" spans="1:50" ht="12" customHeight="1">
      <c r="A94" s="1123"/>
      <c r="B94" s="161"/>
      <c r="C94" s="1123"/>
      <c r="D94" s="1123"/>
      <c r="E94" s="1123"/>
      <c r="F94" s="1123"/>
      <c r="G94" s="1123"/>
      <c r="H94" s="1123"/>
      <c r="I94" s="1123"/>
      <c r="J94" s="1125"/>
      <c r="K94" s="156"/>
      <c r="L94" s="1123"/>
      <c r="M94" s="1205"/>
      <c r="N94" s="1123"/>
      <c r="O94" s="1123"/>
      <c r="P94" s="1123"/>
      <c r="Q94" s="1123"/>
      <c r="R94" s="1189"/>
      <c r="S94" s="1189"/>
      <c r="T94" s="1208"/>
      <c r="U94" s="1208"/>
      <c r="V94" s="1189"/>
      <c r="W94" s="1189"/>
      <c r="X94" s="1189"/>
      <c r="Y94" s="1189"/>
      <c r="Z94" s="1189"/>
      <c r="AA94" s="1189"/>
      <c r="AB94" s="1189"/>
      <c r="AC94" s="1189"/>
      <c r="AD94" s="1189"/>
      <c r="AE94" s="1189"/>
      <c r="AF94" s="1189"/>
      <c r="AG94" s="1189"/>
      <c r="AH94" s="1189"/>
      <c r="AI94" s="1189"/>
      <c r="AJ94" s="1189"/>
      <c r="AK94" s="1189"/>
      <c r="AL94" s="1189"/>
      <c r="AM94" s="1189"/>
      <c r="AN94" s="1189"/>
      <c r="AO94" s="1189"/>
      <c r="AP94" s="1189"/>
      <c r="AQ94" s="1189"/>
      <c r="AR94" s="1189"/>
      <c r="AS94" s="1189"/>
      <c r="AT94" s="1189"/>
      <c r="AU94" s="1189"/>
      <c r="AV94" s="1189"/>
      <c r="AW94" s="1189"/>
      <c r="AX94" s="1189"/>
    </row>
    <row r="95" spans="1:50" ht="12" customHeight="1">
      <c r="A95" s="1123"/>
      <c r="B95" s="161"/>
      <c r="C95" s="1123"/>
      <c r="D95" s="1123"/>
      <c r="E95" s="1123"/>
      <c r="F95" s="1123"/>
      <c r="G95" s="1123"/>
      <c r="H95" s="1123"/>
      <c r="I95" s="1123"/>
      <c r="J95" s="1125"/>
      <c r="K95" s="156"/>
      <c r="L95" s="1123"/>
      <c r="M95" s="1205"/>
      <c r="N95" s="1123"/>
      <c r="O95" s="1123"/>
      <c r="P95" s="1123"/>
      <c r="Q95" s="1123"/>
      <c r="R95" s="1189"/>
      <c r="S95" s="1189"/>
      <c r="T95" s="1208"/>
      <c r="U95" s="1208"/>
      <c r="V95" s="1189"/>
      <c r="W95" s="1189"/>
      <c r="X95" s="1189"/>
      <c r="Y95" s="1189"/>
      <c r="Z95" s="1189"/>
      <c r="AA95" s="1189"/>
      <c r="AB95" s="1189"/>
      <c r="AC95" s="1189"/>
      <c r="AD95" s="1189"/>
      <c r="AE95" s="1189"/>
      <c r="AF95" s="1189"/>
      <c r="AG95" s="1189"/>
      <c r="AH95" s="1189"/>
      <c r="AI95" s="1189"/>
      <c r="AJ95" s="1189"/>
      <c r="AK95" s="1189"/>
      <c r="AL95" s="1189"/>
      <c r="AM95" s="1189"/>
      <c r="AN95" s="1189"/>
      <c r="AO95" s="1189"/>
      <c r="AP95" s="1189"/>
      <c r="AQ95" s="1189"/>
      <c r="AR95" s="1189"/>
      <c r="AS95" s="1189"/>
      <c r="AT95" s="1189"/>
      <c r="AU95" s="1189"/>
      <c r="AV95" s="1189"/>
      <c r="AW95" s="1189"/>
      <c r="AX95" s="1189"/>
    </row>
    <row r="96" spans="1:50" ht="12" customHeight="1">
      <c r="A96" s="1123"/>
      <c r="B96" s="161"/>
      <c r="C96" s="1123"/>
      <c r="D96" s="1123"/>
      <c r="E96" s="1123"/>
      <c r="F96" s="1123"/>
      <c r="G96" s="1123"/>
      <c r="H96" s="1123"/>
      <c r="I96" s="1123"/>
      <c r="J96" s="1125"/>
      <c r="K96" s="156"/>
      <c r="L96" s="1123"/>
      <c r="M96" s="1205"/>
      <c r="N96" s="1123"/>
      <c r="O96" s="1123"/>
      <c r="P96" s="1123"/>
      <c r="Q96" s="1123"/>
      <c r="R96" s="1189"/>
      <c r="S96" s="1189"/>
      <c r="T96" s="1208"/>
      <c r="U96" s="1208"/>
      <c r="V96" s="1189"/>
      <c r="W96" s="1189"/>
      <c r="X96" s="1189"/>
      <c r="Y96" s="1189"/>
      <c r="Z96" s="1189"/>
      <c r="AA96" s="1189"/>
      <c r="AB96" s="1189"/>
      <c r="AC96" s="1189"/>
      <c r="AD96" s="1189"/>
      <c r="AE96" s="1189"/>
      <c r="AF96" s="1189"/>
      <c r="AG96" s="1189"/>
      <c r="AH96" s="1189"/>
      <c r="AI96" s="1189"/>
      <c r="AJ96" s="1189"/>
      <c r="AK96" s="1189"/>
      <c r="AL96" s="1189"/>
      <c r="AM96" s="1189"/>
      <c r="AN96" s="1189"/>
      <c r="AO96" s="1189"/>
      <c r="AP96" s="1189"/>
      <c r="AQ96" s="1189"/>
      <c r="AR96" s="1189"/>
      <c r="AS96" s="1189"/>
      <c r="AT96" s="1189"/>
      <c r="AU96" s="1189"/>
      <c r="AV96" s="1189"/>
      <c r="AW96" s="1189"/>
      <c r="AX96" s="1189"/>
    </row>
    <row r="97" spans="1:50" ht="12" customHeight="1">
      <c r="A97" s="1123"/>
      <c r="B97" s="161"/>
      <c r="C97" s="1123"/>
      <c r="D97" s="1123"/>
      <c r="E97" s="1123"/>
      <c r="F97" s="1123"/>
      <c r="G97" s="1123"/>
      <c r="H97" s="1123"/>
      <c r="I97" s="1123"/>
      <c r="J97" s="1125"/>
      <c r="K97" s="156"/>
      <c r="L97" s="1123"/>
      <c r="M97" s="1205"/>
      <c r="N97" s="1123"/>
      <c r="O97" s="1123"/>
      <c r="P97" s="1123"/>
      <c r="Q97" s="1123"/>
      <c r="R97" s="1189"/>
      <c r="S97" s="1189"/>
      <c r="T97" s="1208"/>
      <c r="U97" s="1208"/>
      <c r="V97" s="1189"/>
      <c r="W97" s="1189"/>
      <c r="X97" s="1189"/>
      <c r="Y97" s="1189"/>
      <c r="Z97" s="1189"/>
      <c r="AA97" s="1189"/>
      <c r="AB97" s="1189"/>
      <c r="AC97" s="1189"/>
      <c r="AD97" s="1189"/>
      <c r="AE97" s="1189"/>
      <c r="AF97" s="1189"/>
      <c r="AG97" s="1189"/>
      <c r="AH97" s="1189"/>
      <c r="AI97" s="1189"/>
      <c r="AJ97" s="1189"/>
      <c r="AK97" s="1189"/>
      <c r="AL97" s="1189"/>
      <c r="AM97" s="1189"/>
      <c r="AN97" s="1189"/>
      <c r="AO97" s="1189"/>
      <c r="AP97" s="1189"/>
      <c r="AQ97" s="1189"/>
      <c r="AR97" s="1189"/>
      <c r="AS97" s="1189"/>
      <c r="AT97" s="1189"/>
      <c r="AU97" s="1189"/>
      <c r="AV97" s="1189"/>
      <c r="AW97" s="1189"/>
      <c r="AX97" s="1189"/>
    </row>
    <row r="98" spans="1:50" ht="12" customHeight="1">
      <c r="A98" s="1123"/>
      <c r="B98" s="161"/>
      <c r="C98" s="1123"/>
      <c r="D98" s="1123"/>
      <c r="E98" s="1123"/>
      <c r="F98" s="1123"/>
      <c r="G98" s="1123"/>
      <c r="H98" s="1123"/>
      <c r="I98" s="1123"/>
      <c r="J98" s="1125"/>
      <c r="K98" s="156"/>
      <c r="L98" s="1123"/>
      <c r="M98" s="1205"/>
      <c r="N98" s="1123"/>
      <c r="O98" s="1123"/>
      <c r="P98" s="1123"/>
      <c r="Q98" s="1123"/>
      <c r="R98" s="1189"/>
      <c r="S98" s="1189"/>
      <c r="T98" s="1208"/>
      <c r="U98" s="1208"/>
      <c r="V98" s="1189"/>
      <c r="W98" s="1189"/>
      <c r="X98" s="1189"/>
      <c r="Y98" s="1189"/>
      <c r="Z98" s="1189"/>
      <c r="AA98" s="1189"/>
      <c r="AB98" s="1189"/>
      <c r="AC98" s="1189"/>
      <c r="AD98" s="1189"/>
      <c r="AE98" s="1189"/>
      <c r="AF98" s="1189"/>
      <c r="AG98" s="1189"/>
      <c r="AH98" s="1189"/>
      <c r="AI98" s="1189"/>
      <c r="AJ98" s="1189"/>
      <c r="AK98" s="1189"/>
      <c r="AL98" s="1189"/>
      <c r="AM98" s="1189"/>
      <c r="AN98" s="1189"/>
      <c r="AO98" s="1189"/>
      <c r="AP98" s="1189"/>
      <c r="AQ98" s="1189"/>
      <c r="AR98" s="1189"/>
      <c r="AS98" s="1189"/>
      <c r="AT98" s="1189"/>
      <c r="AU98" s="1189"/>
      <c r="AV98" s="1189"/>
      <c r="AW98" s="1189"/>
      <c r="AX98" s="1189"/>
    </row>
    <row r="99" spans="1:50" ht="12" customHeight="1">
      <c r="A99" s="1123"/>
      <c r="B99" s="161"/>
      <c r="C99" s="1123"/>
      <c r="D99" s="1123"/>
      <c r="E99" s="1123"/>
      <c r="F99" s="1123"/>
      <c r="G99" s="1123"/>
      <c r="H99" s="1123"/>
      <c r="I99" s="1123"/>
      <c r="J99" s="1125"/>
      <c r="K99" s="156"/>
      <c r="L99" s="1123"/>
      <c r="M99" s="1205"/>
      <c r="N99" s="1123"/>
      <c r="O99" s="1123"/>
      <c r="P99" s="1123"/>
      <c r="Q99" s="1123"/>
      <c r="R99" s="1189"/>
      <c r="S99" s="1189"/>
      <c r="T99" s="1208"/>
      <c r="U99" s="1208"/>
      <c r="V99" s="1189"/>
      <c r="W99" s="1189"/>
      <c r="X99" s="1189"/>
      <c r="Y99" s="1189"/>
      <c r="Z99" s="1189"/>
      <c r="AA99" s="1189"/>
      <c r="AB99" s="1189"/>
      <c r="AC99" s="1189"/>
      <c r="AD99" s="1189"/>
      <c r="AE99" s="1189"/>
      <c r="AF99" s="1189"/>
      <c r="AG99" s="1189"/>
      <c r="AH99" s="1189"/>
      <c r="AI99" s="1189"/>
      <c r="AJ99" s="1189"/>
      <c r="AK99" s="1189"/>
      <c r="AL99" s="1189"/>
      <c r="AM99" s="1189"/>
      <c r="AN99" s="1189"/>
      <c r="AO99" s="1189"/>
      <c r="AP99" s="1189"/>
      <c r="AQ99" s="1189"/>
      <c r="AR99" s="1189"/>
      <c r="AS99" s="1189"/>
      <c r="AT99" s="1189"/>
      <c r="AU99" s="1189"/>
      <c r="AV99" s="1189"/>
      <c r="AW99" s="1189"/>
      <c r="AX99" s="1189"/>
    </row>
    <row r="100" spans="1:50" ht="12" customHeight="1">
      <c r="A100" s="1123"/>
      <c r="B100" s="161"/>
      <c r="C100" s="1123"/>
      <c r="D100" s="1123"/>
      <c r="E100" s="1123"/>
      <c r="F100" s="1123"/>
      <c r="G100" s="1123"/>
      <c r="H100" s="1123"/>
      <c r="I100" s="1123"/>
      <c r="J100" s="1125"/>
      <c r="K100" s="156"/>
      <c r="L100" s="1123"/>
      <c r="M100" s="1205"/>
      <c r="N100" s="1123"/>
      <c r="O100" s="1123"/>
      <c r="P100" s="1123"/>
      <c r="Q100" s="1123"/>
      <c r="R100" s="1189"/>
      <c r="S100" s="1189"/>
      <c r="T100" s="1208"/>
      <c r="U100" s="1208"/>
      <c r="V100" s="1189"/>
      <c r="W100" s="1189"/>
      <c r="X100" s="1189"/>
      <c r="Y100" s="1189"/>
      <c r="Z100" s="1189"/>
      <c r="AA100" s="1189"/>
      <c r="AB100" s="1189"/>
      <c r="AC100" s="1189"/>
      <c r="AD100" s="1189"/>
      <c r="AE100" s="1189"/>
      <c r="AF100" s="1189"/>
      <c r="AG100" s="1189"/>
      <c r="AH100" s="1189"/>
      <c r="AI100" s="1189"/>
      <c r="AJ100" s="1189"/>
      <c r="AK100" s="1189"/>
      <c r="AL100" s="1189"/>
      <c r="AM100" s="1189"/>
      <c r="AN100" s="1189"/>
      <c r="AO100" s="1189"/>
      <c r="AP100" s="1189"/>
      <c r="AQ100" s="1189"/>
      <c r="AR100" s="1189"/>
      <c r="AS100" s="1189"/>
      <c r="AT100" s="1189"/>
      <c r="AU100" s="1189"/>
      <c r="AV100" s="1189"/>
      <c r="AW100" s="1189"/>
      <c r="AX100" s="1189"/>
    </row>
    <row r="101" spans="1:50" ht="12" customHeight="1">
      <c r="A101" s="1123"/>
      <c r="B101" s="161"/>
      <c r="C101" s="1123"/>
      <c r="D101" s="1123"/>
      <c r="E101" s="1123"/>
      <c r="F101" s="1123"/>
      <c r="G101" s="1123"/>
      <c r="H101" s="1123"/>
      <c r="I101" s="1123"/>
      <c r="J101" s="1125"/>
      <c r="K101" s="156"/>
      <c r="L101" s="1123"/>
      <c r="M101" s="1205"/>
      <c r="N101" s="1123"/>
      <c r="O101" s="1123"/>
      <c r="P101" s="1123"/>
      <c r="Q101" s="1123"/>
      <c r="R101" s="1189"/>
      <c r="S101" s="1189"/>
      <c r="T101" s="1208"/>
      <c r="U101" s="1208"/>
      <c r="V101" s="1189"/>
      <c r="W101" s="1189"/>
      <c r="X101" s="1189"/>
      <c r="Y101" s="1189"/>
      <c r="Z101" s="1189"/>
      <c r="AA101" s="1189"/>
      <c r="AB101" s="1189"/>
      <c r="AC101" s="1189"/>
      <c r="AD101" s="1189"/>
      <c r="AE101" s="1189"/>
      <c r="AF101" s="1189"/>
      <c r="AG101" s="1189"/>
      <c r="AH101" s="1189"/>
      <c r="AI101" s="1189"/>
      <c r="AJ101" s="1189"/>
      <c r="AK101" s="1189"/>
      <c r="AL101" s="1189"/>
      <c r="AM101" s="1189"/>
      <c r="AN101" s="1189"/>
      <c r="AO101" s="1189"/>
      <c r="AP101" s="1189"/>
      <c r="AQ101" s="1189"/>
      <c r="AR101" s="1189"/>
      <c r="AS101" s="1189"/>
      <c r="AT101" s="1189"/>
      <c r="AU101" s="1189"/>
      <c r="AV101" s="1189"/>
      <c r="AW101" s="1189"/>
      <c r="AX101" s="1189"/>
    </row>
    <row r="102" spans="1:50" ht="12" customHeight="1">
      <c r="A102" s="1123"/>
      <c r="B102" s="161"/>
      <c r="C102" s="1123"/>
      <c r="D102" s="1123"/>
      <c r="E102" s="1123"/>
      <c r="F102" s="1123"/>
      <c r="G102" s="1123"/>
      <c r="H102" s="1123"/>
      <c r="I102" s="1123"/>
      <c r="J102" s="1125"/>
      <c r="K102" s="156"/>
      <c r="L102" s="1123"/>
      <c r="M102" s="1205"/>
      <c r="N102" s="1123"/>
      <c r="O102" s="1123"/>
      <c r="P102" s="1123"/>
      <c r="Q102" s="1123"/>
      <c r="R102" s="1189"/>
      <c r="S102" s="1189"/>
      <c r="T102" s="1208"/>
      <c r="U102" s="1208"/>
      <c r="V102" s="1189"/>
      <c r="W102" s="1189"/>
      <c r="X102" s="1189"/>
      <c r="Y102" s="1189"/>
      <c r="Z102" s="1189"/>
      <c r="AA102" s="1189"/>
      <c r="AB102" s="1189"/>
      <c r="AC102" s="1189"/>
      <c r="AD102" s="1189"/>
      <c r="AE102" s="1189"/>
      <c r="AF102" s="1189"/>
      <c r="AG102" s="1189"/>
      <c r="AH102" s="1189"/>
      <c r="AI102" s="1189"/>
      <c r="AJ102" s="1189"/>
      <c r="AK102" s="1189"/>
      <c r="AL102" s="1189"/>
      <c r="AM102" s="1189"/>
      <c r="AN102" s="1189"/>
      <c r="AO102" s="1189"/>
      <c r="AP102" s="1189"/>
      <c r="AQ102" s="1189"/>
      <c r="AR102" s="1189"/>
      <c r="AS102" s="1189"/>
      <c r="AT102" s="1189"/>
      <c r="AU102" s="1189"/>
      <c r="AV102" s="1189"/>
      <c r="AW102" s="1189"/>
      <c r="AX102" s="1189"/>
    </row>
    <row r="103" spans="1:50" ht="12" customHeight="1">
      <c r="A103" s="1123"/>
      <c r="B103" s="161"/>
      <c r="C103" s="1123"/>
      <c r="D103" s="1123"/>
      <c r="E103" s="1123"/>
      <c r="F103" s="1123"/>
      <c r="G103" s="1123"/>
      <c r="H103" s="1123"/>
      <c r="I103" s="1123"/>
      <c r="J103" s="1125"/>
      <c r="K103" s="156"/>
      <c r="L103" s="1123"/>
      <c r="M103" s="1205"/>
      <c r="N103" s="1123"/>
      <c r="O103" s="1123"/>
      <c r="P103" s="1123"/>
      <c r="Q103" s="1123"/>
      <c r="R103" s="1189"/>
      <c r="S103" s="1189"/>
      <c r="T103" s="1208"/>
      <c r="U103" s="1208"/>
      <c r="V103" s="1189"/>
      <c r="W103" s="1189"/>
      <c r="X103" s="1189"/>
      <c r="Y103" s="1189"/>
      <c r="Z103" s="1189"/>
      <c r="AA103" s="1189"/>
      <c r="AB103" s="1189"/>
      <c r="AC103" s="1189"/>
      <c r="AD103" s="1189"/>
      <c r="AE103" s="1189"/>
      <c r="AF103" s="1189"/>
      <c r="AG103" s="1189"/>
      <c r="AH103" s="1189"/>
      <c r="AI103" s="1189"/>
      <c r="AJ103" s="1189"/>
      <c r="AK103" s="1189"/>
      <c r="AL103" s="1189"/>
      <c r="AM103" s="1189"/>
      <c r="AN103" s="1189"/>
      <c r="AO103" s="1189"/>
      <c r="AP103" s="1189"/>
      <c r="AQ103" s="1189"/>
      <c r="AR103" s="1189"/>
      <c r="AS103" s="1189"/>
      <c r="AT103" s="1189"/>
      <c r="AU103" s="1189"/>
      <c r="AV103" s="1189"/>
      <c r="AW103" s="1189"/>
      <c r="AX103" s="1189"/>
    </row>
    <row r="104" spans="1:50" ht="12" customHeight="1">
      <c r="A104" s="1123"/>
      <c r="B104" s="161"/>
      <c r="C104" s="1123"/>
      <c r="D104" s="1123"/>
      <c r="E104" s="1123"/>
      <c r="F104" s="1123"/>
      <c r="G104" s="1123"/>
      <c r="H104" s="1123"/>
      <c r="I104" s="1123"/>
      <c r="J104" s="1125"/>
      <c r="K104" s="156"/>
      <c r="L104" s="1123"/>
      <c r="M104" s="1205"/>
      <c r="N104" s="1123"/>
      <c r="O104" s="1123"/>
      <c r="P104" s="1123"/>
      <c r="Q104" s="1123"/>
      <c r="R104" s="1189"/>
      <c r="S104" s="1189"/>
      <c r="T104" s="1208"/>
      <c r="U104" s="1208"/>
      <c r="V104" s="1189"/>
      <c r="W104" s="1189"/>
      <c r="X104" s="1189"/>
      <c r="Y104" s="1189"/>
      <c r="Z104" s="1189"/>
      <c r="AA104" s="1189"/>
      <c r="AB104" s="1189"/>
      <c r="AC104" s="1189"/>
      <c r="AD104" s="1189"/>
      <c r="AE104" s="1189"/>
      <c r="AF104" s="1189"/>
      <c r="AG104" s="1189"/>
      <c r="AH104" s="1189"/>
      <c r="AI104" s="1189"/>
      <c r="AJ104" s="1189"/>
      <c r="AK104" s="1189"/>
      <c r="AL104" s="1189"/>
      <c r="AM104" s="1189"/>
      <c r="AN104" s="1189"/>
      <c r="AO104" s="1189"/>
      <c r="AP104" s="1189"/>
      <c r="AQ104" s="1189"/>
      <c r="AR104" s="1189"/>
      <c r="AS104" s="1189"/>
      <c r="AT104" s="1189"/>
      <c r="AU104" s="1189"/>
      <c r="AV104" s="1189"/>
      <c r="AW104" s="1189"/>
      <c r="AX104" s="1189"/>
    </row>
    <row r="105" spans="1:50" ht="12" customHeight="1">
      <c r="A105" s="1123"/>
      <c r="B105" s="161"/>
      <c r="C105" s="1123"/>
      <c r="D105" s="1123"/>
      <c r="E105" s="1123"/>
      <c r="F105" s="1123"/>
      <c r="G105" s="1123"/>
      <c r="H105" s="1123"/>
      <c r="I105" s="1123"/>
      <c r="J105" s="1125"/>
      <c r="K105" s="156"/>
      <c r="L105" s="1123"/>
      <c r="M105" s="1205"/>
      <c r="N105" s="1123"/>
      <c r="O105" s="1123"/>
      <c r="P105" s="1123"/>
      <c r="Q105" s="1123"/>
      <c r="R105" s="1189"/>
      <c r="S105" s="1189"/>
      <c r="T105" s="1208"/>
      <c r="U105" s="1208"/>
      <c r="V105" s="1189"/>
      <c r="W105" s="1189"/>
      <c r="X105" s="1189"/>
      <c r="Y105" s="1189"/>
      <c r="Z105" s="1189"/>
      <c r="AA105" s="1189"/>
      <c r="AB105" s="1189"/>
      <c r="AC105" s="1189"/>
      <c r="AD105" s="1189"/>
      <c r="AE105" s="1189"/>
      <c r="AF105" s="1189"/>
      <c r="AG105" s="1189"/>
      <c r="AH105" s="1189"/>
      <c r="AI105" s="1189"/>
      <c r="AJ105" s="1189"/>
      <c r="AK105" s="1189"/>
      <c r="AL105" s="1189"/>
      <c r="AM105" s="1189"/>
      <c r="AN105" s="1189"/>
      <c r="AO105" s="1189"/>
      <c r="AP105" s="1189"/>
      <c r="AQ105" s="1189"/>
      <c r="AR105" s="1189"/>
      <c r="AS105" s="1189"/>
      <c r="AT105" s="1189"/>
      <c r="AU105" s="1189"/>
      <c r="AV105" s="1189"/>
      <c r="AW105" s="1189"/>
      <c r="AX105" s="1189"/>
    </row>
    <row r="106" spans="1:50" ht="12" customHeight="1">
      <c r="A106" s="1123"/>
      <c r="B106" s="161"/>
      <c r="C106" s="1123"/>
      <c r="D106" s="1123"/>
      <c r="E106" s="1123"/>
      <c r="F106" s="1123"/>
      <c r="G106" s="1123"/>
      <c r="H106" s="1123"/>
      <c r="I106" s="1123"/>
      <c r="J106" s="1125"/>
      <c r="K106" s="156"/>
      <c r="L106" s="1123"/>
      <c r="M106" s="1205"/>
      <c r="N106" s="1123"/>
      <c r="O106" s="1123"/>
      <c r="P106" s="1123"/>
      <c r="Q106" s="1123"/>
      <c r="R106" s="1189"/>
      <c r="S106" s="1189"/>
      <c r="T106" s="1208"/>
      <c r="U106" s="1208"/>
      <c r="V106" s="1189"/>
      <c r="W106" s="1189"/>
      <c r="X106" s="1189"/>
      <c r="Y106" s="1189"/>
      <c r="Z106" s="1189"/>
      <c r="AA106" s="1189"/>
      <c r="AB106" s="1189"/>
      <c r="AC106" s="1189"/>
      <c r="AD106" s="1189"/>
      <c r="AE106" s="1189"/>
      <c r="AF106" s="1189"/>
      <c r="AG106" s="1189"/>
      <c r="AH106" s="1189"/>
      <c r="AI106" s="1189"/>
      <c r="AJ106" s="1189"/>
      <c r="AK106" s="1189"/>
      <c r="AL106" s="1189"/>
      <c r="AM106" s="1189"/>
      <c r="AN106" s="1189"/>
      <c r="AO106" s="1189"/>
      <c r="AP106" s="1189"/>
      <c r="AQ106" s="1189"/>
      <c r="AR106" s="1189"/>
      <c r="AS106" s="1189"/>
      <c r="AT106" s="1189"/>
      <c r="AU106" s="1189"/>
      <c r="AV106" s="1189"/>
      <c r="AW106" s="1189"/>
      <c r="AX106" s="1189"/>
    </row>
    <row r="107" spans="1:50" ht="12" customHeight="1">
      <c r="A107" s="1123"/>
      <c r="B107" s="161"/>
      <c r="C107" s="1123"/>
      <c r="D107" s="1123"/>
      <c r="E107" s="1123"/>
      <c r="F107" s="1123"/>
      <c r="G107" s="1123"/>
      <c r="H107" s="1123"/>
      <c r="I107" s="1123"/>
      <c r="J107" s="1125"/>
      <c r="K107" s="156"/>
      <c r="L107" s="1123"/>
      <c r="M107" s="1205"/>
      <c r="N107" s="1123"/>
      <c r="O107" s="1123"/>
      <c r="P107" s="1123"/>
      <c r="Q107" s="1123"/>
      <c r="R107" s="1189"/>
      <c r="S107" s="1189"/>
      <c r="T107" s="1208"/>
      <c r="U107" s="1208"/>
      <c r="V107" s="1189"/>
      <c r="W107" s="1189"/>
      <c r="X107" s="1189"/>
      <c r="Y107" s="1189"/>
      <c r="Z107" s="1189"/>
      <c r="AA107" s="1189"/>
      <c r="AB107" s="1189"/>
      <c r="AC107" s="1189"/>
      <c r="AD107" s="1189"/>
      <c r="AE107" s="1189"/>
      <c r="AF107" s="1189"/>
      <c r="AG107" s="1189"/>
      <c r="AH107" s="1189"/>
      <c r="AI107" s="1189"/>
      <c r="AJ107" s="1189"/>
      <c r="AK107" s="1189"/>
      <c r="AL107" s="1189"/>
      <c r="AM107" s="1189"/>
      <c r="AN107" s="1189"/>
      <c r="AO107" s="1189"/>
      <c r="AP107" s="1189"/>
      <c r="AQ107" s="1189"/>
      <c r="AR107" s="1189"/>
      <c r="AS107" s="1189"/>
      <c r="AT107" s="1189"/>
      <c r="AU107" s="1189"/>
      <c r="AV107" s="1189"/>
      <c r="AW107" s="1189"/>
      <c r="AX107" s="1189"/>
    </row>
    <row r="108" spans="1:50" ht="12" customHeight="1">
      <c r="A108" s="1123"/>
      <c r="B108" s="161"/>
      <c r="C108" s="1123"/>
      <c r="D108" s="1123"/>
      <c r="E108" s="1123"/>
      <c r="F108" s="1123"/>
      <c r="G108" s="1123"/>
      <c r="H108" s="1123"/>
      <c r="I108" s="1123"/>
      <c r="J108" s="1125"/>
      <c r="K108" s="156"/>
      <c r="L108" s="1123"/>
      <c r="M108" s="1205"/>
      <c r="N108" s="1123"/>
      <c r="O108" s="1123"/>
      <c r="P108" s="1123"/>
      <c r="Q108" s="1123"/>
      <c r="R108" s="1189"/>
      <c r="S108" s="1189"/>
      <c r="T108" s="1208"/>
      <c r="U108" s="1208"/>
      <c r="V108" s="1189"/>
      <c r="W108" s="1189"/>
      <c r="X108" s="1189"/>
      <c r="Y108" s="1189"/>
      <c r="Z108" s="1189"/>
      <c r="AA108" s="1189"/>
      <c r="AB108" s="1189"/>
      <c r="AC108" s="1189"/>
      <c r="AD108" s="1189"/>
      <c r="AE108" s="1189"/>
      <c r="AF108" s="1189"/>
      <c r="AG108" s="1189"/>
      <c r="AH108" s="1189"/>
      <c r="AI108" s="1189"/>
      <c r="AJ108" s="1189"/>
      <c r="AK108" s="1189"/>
      <c r="AL108" s="1189"/>
      <c r="AM108" s="1189"/>
      <c r="AN108" s="1189"/>
      <c r="AO108" s="1189"/>
      <c r="AP108" s="1189"/>
      <c r="AQ108" s="1189"/>
      <c r="AR108" s="1189"/>
      <c r="AS108" s="1189"/>
      <c r="AT108" s="1189"/>
      <c r="AU108" s="1189"/>
      <c r="AV108" s="1189"/>
      <c r="AW108" s="1189"/>
      <c r="AX108" s="1189"/>
    </row>
    <row r="109" spans="1:50" ht="12" customHeight="1">
      <c r="A109" s="1123"/>
      <c r="B109" s="161"/>
      <c r="C109" s="1123"/>
      <c r="D109" s="1123"/>
      <c r="E109" s="1123"/>
      <c r="F109" s="1123"/>
      <c r="G109" s="1123"/>
      <c r="H109" s="1123"/>
      <c r="I109" s="1123"/>
      <c r="J109" s="1125"/>
      <c r="K109" s="156"/>
      <c r="L109" s="1123"/>
      <c r="M109" s="1205"/>
      <c r="N109" s="1123"/>
      <c r="O109" s="1123"/>
      <c r="P109" s="1123"/>
      <c r="Q109" s="1123"/>
      <c r="R109" s="1189"/>
      <c r="S109" s="1189"/>
      <c r="T109" s="1208"/>
      <c r="U109" s="1208"/>
      <c r="V109" s="1189"/>
      <c r="W109" s="1189"/>
      <c r="X109" s="1189"/>
      <c r="Y109" s="1189"/>
      <c r="Z109" s="1189"/>
      <c r="AA109" s="1189"/>
      <c r="AB109" s="1189"/>
      <c r="AC109" s="1189"/>
      <c r="AD109" s="1189"/>
      <c r="AE109" s="1189"/>
      <c r="AF109" s="1189"/>
      <c r="AG109" s="1189"/>
      <c r="AH109" s="1189"/>
      <c r="AI109" s="1189"/>
      <c r="AJ109" s="1189"/>
      <c r="AK109" s="1189"/>
      <c r="AL109" s="1189"/>
      <c r="AM109" s="1189"/>
      <c r="AN109" s="1189"/>
      <c r="AO109" s="1189"/>
      <c r="AP109" s="1189"/>
      <c r="AQ109" s="1189"/>
      <c r="AR109" s="1189"/>
      <c r="AS109" s="1189"/>
      <c r="AT109" s="1189"/>
      <c r="AU109" s="1189"/>
      <c r="AV109" s="1189"/>
      <c r="AW109" s="1189"/>
      <c r="AX109" s="1189"/>
    </row>
    <row r="110" spans="1:50" ht="12" customHeight="1">
      <c r="A110" s="1123"/>
      <c r="B110" s="161"/>
      <c r="C110" s="1123"/>
      <c r="D110" s="1123"/>
      <c r="E110" s="1123"/>
      <c r="F110" s="1123"/>
      <c r="G110" s="1123"/>
      <c r="H110" s="1123"/>
      <c r="I110" s="1123"/>
      <c r="J110" s="1125"/>
      <c r="K110" s="156"/>
      <c r="L110" s="1123"/>
      <c r="M110" s="1205"/>
      <c r="N110" s="1123"/>
      <c r="O110" s="1123"/>
      <c r="P110" s="1123"/>
      <c r="Q110" s="1123"/>
      <c r="R110" s="1189"/>
      <c r="S110" s="1189"/>
      <c r="T110" s="1208"/>
      <c r="U110" s="1208"/>
      <c r="V110" s="1189"/>
      <c r="W110" s="1189"/>
      <c r="X110" s="1189"/>
      <c r="Y110" s="1189"/>
      <c r="Z110" s="1189"/>
      <c r="AA110" s="1189"/>
      <c r="AB110" s="1189"/>
      <c r="AC110" s="1189"/>
      <c r="AD110" s="1189"/>
      <c r="AE110" s="1189"/>
      <c r="AF110" s="1189"/>
      <c r="AG110" s="1189"/>
      <c r="AH110" s="1189"/>
      <c r="AI110" s="1189"/>
      <c r="AJ110" s="1189"/>
      <c r="AK110" s="1189"/>
      <c r="AL110" s="1189"/>
      <c r="AM110" s="1189"/>
      <c r="AN110" s="1189"/>
      <c r="AO110" s="1189"/>
      <c r="AP110" s="1189"/>
      <c r="AQ110" s="1189"/>
      <c r="AR110" s="1189"/>
      <c r="AS110" s="1189"/>
      <c r="AT110" s="1189"/>
      <c r="AU110" s="1189"/>
      <c r="AV110" s="1189"/>
      <c r="AW110" s="1189"/>
      <c r="AX110" s="1189"/>
    </row>
    <row r="111" spans="1:50" ht="12" customHeight="1">
      <c r="A111" s="1123"/>
      <c r="B111" s="161"/>
      <c r="C111" s="1123"/>
      <c r="D111" s="1123"/>
      <c r="E111" s="1123"/>
      <c r="F111" s="1123"/>
      <c r="G111" s="1123"/>
      <c r="H111" s="1123"/>
      <c r="I111" s="1123"/>
      <c r="J111" s="1125"/>
      <c r="K111" s="156"/>
      <c r="L111" s="1123"/>
      <c r="M111" s="1205"/>
      <c r="N111" s="1123"/>
      <c r="O111" s="1123"/>
      <c r="P111" s="1123"/>
      <c r="Q111" s="1123"/>
      <c r="R111" s="1189"/>
      <c r="S111" s="1189"/>
      <c r="T111" s="1208"/>
      <c r="U111" s="1208"/>
      <c r="V111" s="1189"/>
      <c r="W111" s="1189"/>
      <c r="X111" s="1189"/>
      <c r="Y111" s="1189"/>
      <c r="Z111" s="1189"/>
      <c r="AA111" s="1189"/>
      <c r="AB111" s="1189"/>
      <c r="AC111" s="1189"/>
      <c r="AD111" s="1189"/>
      <c r="AE111" s="1189"/>
      <c r="AF111" s="1189"/>
      <c r="AG111" s="1189"/>
      <c r="AH111" s="1189"/>
      <c r="AI111" s="1189"/>
      <c r="AJ111" s="1189"/>
      <c r="AK111" s="1189"/>
      <c r="AL111" s="1189"/>
      <c r="AM111" s="1189"/>
      <c r="AN111" s="1189"/>
      <c r="AO111" s="1189"/>
      <c r="AP111" s="1189"/>
      <c r="AQ111" s="1189"/>
      <c r="AR111" s="1189"/>
      <c r="AS111" s="1189"/>
      <c r="AT111" s="1189"/>
      <c r="AU111" s="1189"/>
      <c r="AV111" s="1189"/>
      <c r="AW111" s="1189"/>
      <c r="AX111" s="1189"/>
    </row>
    <row r="112" spans="1:50" ht="12" customHeight="1">
      <c r="A112" s="1123"/>
      <c r="B112" s="161"/>
      <c r="C112" s="1123"/>
      <c r="D112" s="1123"/>
      <c r="E112" s="1123"/>
      <c r="F112" s="1123"/>
      <c r="G112" s="1123"/>
      <c r="H112" s="1123"/>
      <c r="I112" s="1123"/>
      <c r="J112" s="1125"/>
      <c r="K112" s="156"/>
      <c r="L112" s="1123"/>
      <c r="M112" s="1205"/>
      <c r="N112" s="1123"/>
      <c r="O112" s="1123"/>
      <c r="P112" s="1123"/>
      <c r="Q112" s="1123"/>
      <c r="R112" s="1189"/>
      <c r="S112" s="1189"/>
      <c r="T112" s="1208"/>
      <c r="U112" s="1208"/>
      <c r="V112" s="1189"/>
      <c r="W112" s="1189"/>
      <c r="X112" s="1189"/>
      <c r="Y112" s="1189"/>
      <c r="Z112" s="1189"/>
      <c r="AA112" s="1189"/>
      <c r="AB112" s="1189"/>
      <c r="AC112" s="1189"/>
      <c r="AD112" s="1189"/>
      <c r="AE112" s="1189"/>
      <c r="AF112" s="1189"/>
      <c r="AG112" s="1189"/>
      <c r="AH112" s="1189"/>
      <c r="AI112" s="1189"/>
      <c r="AJ112" s="1189"/>
      <c r="AK112" s="1189"/>
      <c r="AL112" s="1189"/>
      <c r="AM112" s="1189"/>
      <c r="AN112" s="1189"/>
      <c r="AO112" s="1189"/>
      <c r="AP112" s="1189"/>
      <c r="AQ112" s="1189"/>
      <c r="AR112" s="1189"/>
      <c r="AS112" s="1189"/>
      <c r="AT112" s="1189"/>
      <c r="AU112" s="1189"/>
      <c r="AV112" s="1189"/>
      <c r="AW112" s="1189"/>
      <c r="AX112" s="1189"/>
    </row>
    <row r="113" spans="1:50" ht="12" customHeight="1">
      <c r="A113" s="1123"/>
      <c r="B113" s="161"/>
      <c r="C113" s="1123"/>
      <c r="D113" s="1123"/>
      <c r="E113" s="1123"/>
      <c r="F113" s="1123"/>
      <c r="G113" s="1123"/>
      <c r="H113" s="1123"/>
      <c r="I113" s="1123"/>
      <c r="J113" s="1125"/>
      <c r="K113" s="156"/>
      <c r="L113" s="1123"/>
      <c r="M113" s="1205"/>
      <c r="N113" s="1123"/>
      <c r="O113" s="1123"/>
      <c r="P113" s="1123"/>
      <c r="Q113" s="1123"/>
      <c r="R113" s="1189"/>
      <c r="S113" s="1189"/>
      <c r="T113" s="1208"/>
      <c r="U113" s="1208"/>
      <c r="V113" s="1189"/>
      <c r="W113" s="1189"/>
      <c r="X113" s="1189"/>
      <c r="Y113" s="1189"/>
      <c r="Z113" s="1189"/>
      <c r="AA113" s="1189"/>
      <c r="AB113" s="1189"/>
      <c r="AC113" s="1189"/>
      <c r="AD113" s="1189"/>
      <c r="AE113" s="1189"/>
      <c r="AF113" s="1189"/>
      <c r="AG113" s="1189"/>
      <c r="AH113" s="1189"/>
      <c r="AI113" s="1189"/>
      <c r="AJ113" s="1189"/>
      <c r="AK113" s="1189"/>
      <c r="AL113" s="1189"/>
      <c r="AM113" s="1189"/>
      <c r="AN113" s="1189"/>
      <c r="AO113" s="1189"/>
      <c r="AP113" s="1189"/>
      <c r="AQ113" s="1189"/>
      <c r="AR113" s="1189"/>
      <c r="AS113" s="1189"/>
      <c r="AT113" s="1189"/>
      <c r="AU113" s="1189"/>
      <c r="AV113" s="1189"/>
      <c r="AW113" s="1189"/>
      <c r="AX113" s="1189"/>
    </row>
    <row r="114" spans="1:50" ht="12" customHeight="1">
      <c r="A114" s="1123"/>
      <c r="B114" s="161"/>
      <c r="C114" s="1123"/>
      <c r="D114" s="1123"/>
      <c r="E114" s="1123"/>
      <c r="F114" s="1123"/>
      <c r="G114" s="1123"/>
      <c r="H114" s="1123"/>
      <c r="I114" s="1123"/>
      <c r="J114" s="1125"/>
      <c r="K114" s="156"/>
      <c r="L114" s="1123"/>
      <c r="M114" s="1205"/>
      <c r="N114" s="1123"/>
      <c r="O114" s="1123"/>
      <c r="P114" s="1123"/>
      <c r="Q114" s="1123"/>
      <c r="R114" s="1189"/>
      <c r="S114" s="1189"/>
      <c r="T114" s="1208"/>
      <c r="U114" s="1208"/>
      <c r="V114" s="1189"/>
      <c r="W114" s="1189"/>
      <c r="X114" s="1189"/>
      <c r="Y114" s="1189"/>
      <c r="Z114" s="1189"/>
      <c r="AA114" s="1189"/>
      <c r="AB114" s="1189"/>
      <c r="AC114" s="1189"/>
      <c r="AD114" s="1189"/>
      <c r="AE114" s="1189"/>
      <c r="AF114" s="1189"/>
      <c r="AG114" s="1189"/>
      <c r="AH114" s="1189"/>
      <c r="AI114" s="1189"/>
      <c r="AJ114" s="1189"/>
      <c r="AK114" s="1189"/>
      <c r="AL114" s="1189"/>
      <c r="AM114" s="1189"/>
      <c r="AN114" s="1189"/>
      <c r="AO114" s="1189"/>
      <c r="AP114" s="1189"/>
      <c r="AQ114" s="1189"/>
      <c r="AR114" s="1189"/>
      <c r="AS114" s="1189"/>
      <c r="AT114" s="1189"/>
      <c r="AU114" s="1189"/>
      <c r="AV114" s="1189"/>
      <c r="AW114" s="1189"/>
      <c r="AX114" s="1189"/>
    </row>
    <row r="115" spans="1:50" ht="12" customHeight="1">
      <c r="A115" s="1123"/>
      <c r="B115" s="161"/>
      <c r="C115" s="1123"/>
      <c r="D115" s="1123"/>
      <c r="E115" s="1123"/>
      <c r="F115" s="1123"/>
      <c r="G115" s="1123"/>
      <c r="H115" s="1123"/>
      <c r="I115" s="1123"/>
      <c r="J115" s="1125"/>
      <c r="K115" s="156"/>
      <c r="L115" s="1123"/>
      <c r="M115" s="1205"/>
      <c r="N115" s="1123"/>
      <c r="O115" s="1123"/>
      <c r="P115" s="1123"/>
      <c r="Q115" s="1123"/>
      <c r="R115" s="1189"/>
      <c r="S115" s="1189"/>
      <c r="T115" s="1208"/>
      <c r="U115" s="1208"/>
      <c r="V115" s="1189"/>
      <c r="W115" s="1189"/>
      <c r="X115" s="1189"/>
      <c r="Y115" s="1189"/>
      <c r="Z115" s="1189"/>
      <c r="AA115" s="1189"/>
      <c r="AB115" s="1189"/>
      <c r="AC115" s="1189"/>
      <c r="AD115" s="1189"/>
      <c r="AE115" s="1189"/>
      <c r="AF115" s="1189"/>
      <c r="AG115" s="1189"/>
      <c r="AH115" s="1189"/>
      <c r="AI115" s="1189"/>
      <c r="AJ115" s="1189"/>
      <c r="AK115" s="1189"/>
      <c r="AL115" s="1189"/>
      <c r="AM115" s="1189"/>
      <c r="AN115" s="1189"/>
      <c r="AO115" s="1189"/>
      <c r="AP115" s="1189"/>
      <c r="AQ115" s="1189"/>
      <c r="AR115" s="1189"/>
      <c r="AS115" s="1189"/>
      <c r="AT115" s="1189"/>
      <c r="AU115" s="1189"/>
      <c r="AV115" s="1189"/>
      <c r="AW115" s="1189"/>
      <c r="AX115" s="1189"/>
    </row>
    <row r="116" spans="1:50" ht="12" customHeight="1">
      <c r="A116" s="1123"/>
      <c r="B116" s="161"/>
      <c r="C116" s="1123"/>
      <c r="D116" s="1123"/>
      <c r="E116" s="1123"/>
      <c r="F116" s="1123"/>
      <c r="G116" s="1123"/>
      <c r="H116" s="1123"/>
      <c r="I116" s="1123"/>
      <c r="J116" s="1125"/>
      <c r="K116" s="156"/>
      <c r="L116" s="1123"/>
      <c r="M116" s="1205"/>
      <c r="N116" s="1123"/>
      <c r="O116" s="1123"/>
      <c r="P116" s="1123"/>
      <c r="Q116" s="1123"/>
      <c r="R116" s="1189"/>
      <c r="S116" s="1189"/>
      <c r="T116" s="1208"/>
      <c r="U116" s="1208"/>
      <c r="V116" s="1189"/>
      <c r="W116" s="1189"/>
      <c r="X116" s="1189"/>
      <c r="Y116" s="1189"/>
      <c r="Z116" s="1189"/>
      <c r="AA116" s="1189"/>
      <c r="AB116" s="1189"/>
      <c r="AC116" s="1189"/>
      <c r="AD116" s="1189"/>
      <c r="AE116" s="1189"/>
      <c r="AF116" s="1189"/>
      <c r="AG116" s="1189"/>
      <c r="AH116" s="1189"/>
      <c r="AI116" s="1189"/>
      <c r="AJ116" s="1189"/>
      <c r="AK116" s="1189"/>
      <c r="AL116" s="1189"/>
      <c r="AM116" s="1189"/>
      <c r="AN116" s="1189"/>
      <c r="AO116" s="1189"/>
      <c r="AP116" s="1189"/>
      <c r="AQ116" s="1189"/>
      <c r="AR116" s="1189"/>
      <c r="AS116" s="1189"/>
      <c r="AT116" s="1189"/>
      <c r="AU116" s="1189"/>
      <c r="AV116" s="1189"/>
      <c r="AW116" s="1189"/>
      <c r="AX116" s="1189"/>
    </row>
    <row r="117" spans="1:50" ht="12" customHeight="1">
      <c r="A117" s="1123"/>
      <c r="B117" s="161"/>
      <c r="C117" s="1123"/>
      <c r="D117" s="1123"/>
      <c r="E117" s="1123"/>
      <c r="F117" s="1123"/>
      <c r="G117" s="1123"/>
      <c r="H117" s="1123"/>
      <c r="I117" s="1123"/>
      <c r="J117" s="1125"/>
      <c r="K117" s="156"/>
      <c r="L117" s="1123"/>
      <c r="M117" s="1205"/>
      <c r="N117" s="1123"/>
      <c r="O117" s="1123"/>
      <c r="P117" s="1123"/>
      <c r="Q117" s="1123"/>
      <c r="R117" s="1189"/>
      <c r="S117" s="1189"/>
      <c r="T117" s="1208"/>
      <c r="U117" s="1208"/>
      <c r="V117" s="1189"/>
      <c r="W117" s="1189"/>
      <c r="X117" s="1189"/>
      <c r="Y117" s="1189"/>
      <c r="Z117" s="1189"/>
      <c r="AA117" s="1189"/>
      <c r="AB117" s="1189"/>
      <c r="AC117" s="1189"/>
      <c r="AD117" s="1189"/>
      <c r="AE117" s="1189"/>
      <c r="AF117" s="1189"/>
      <c r="AG117" s="1189"/>
      <c r="AH117" s="1189"/>
      <c r="AI117" s="1189"/>
      <c r="AJ117" s="1189"/>
      <c r="AK117" s="1189"/>
      <c r="AL117" s="1189"/>
      <c r="AM117" s="1189"/>
      <c r="AN117" s="1189"/>
      <c r="AO117" s="1189"/>
      <c r="AP117" s="1189"/>
      <c r="AQ117" s="1189"/>
      <c r="AR117" s="1189"/>
      <c r="AS117" s="1189"/>
      <c r="AT117" s="1189"/>
      <c r="AU117" s="1189"/>
      <c r="AV117" s="1189"/>
      <c r="AW117" s="1189"/>
      <c r="AX117" s="1189"/>
    </row>
    <row r="118" spans="1:50" ht="12" customHeight="1">
      <c r="A118" s="1123"/>
      <c r="B118" s="161"/>
      <c r="C118" s="1123"/>
      <c r="D118" s="1123"/>
      <c r="E118" s="1123"/>
      <c r="F118" s="1123"/>
      <c r="G118" s="1123"/>
      <c r="H118" s="1123"/>
      <c r="I118" s="1123"/>
      <c r="J118" s="1125"/>
      <c r="K118" s="156"/>
      <c r="L118" s="1123"/>
      <c r="M118" s="1205"/>
      <c r="N118" s="1123"/>
      <c r="O118" s="1123"/>
      <c r="P118" s="1123"/>
      <c r="Q118" s="1123"/>
      <c r="R118" s="1189"/>
      <c r="S118" s="1189"/>
      <c r="T118" s="1208"/>
      <c r="U118" s="1208"/>
      <c r="V118" s="1189"/>
      <c r="W118" s="1189"/>
      <c r="X118" s="1189"/>
      <c r="Y118" s="1189"/>
      <c r="Z118" s="1189"/>
      <c r="AA118" s="1189"/>
      <c r="AB118" s="1189"/>
      <c r="AC118" s="1189"/>
      <c r="AD118" s="1189"/>
      <c r="AE118" s="1189"/>
      <c r="AF118" s="1189"/>
      <c r="AG118" s="1189"/>
      <c r="AH118" s="1189"/>
      <c r="AI118" s="1189"/>
      <c r="AJ118" s="1189"/>
      <c r="AK118" s="1189"/>
      <c r="AL118" s="1189"/>
      <c r="AM118" s="1189"/>
      <c r="AN118" s="1189"/>
      <c r="AO118" s="1189"/>
      <c r="AP118" s="1189"/>
      <c r="AQ118" s="1189"/>
      <c r="AR118" s="1189"/>
      <c r="AS118" s="1189"/>
      <c r="AT118" s="1189"/>
      <c r="AU118" s="1189"/>
      <c r="AV118" s="1189"/>
      <c r="AW118" s="1189"/>
      <c r="AX118" s="1189"/>
    </row>
    <row r="119" spans="1:50" ht="12" customHeight="1">
      <c r="A119" s="1123"/>
      <c r="B119" s="161"/>
      <c r="C119" s="1123"/>
      <c r="D119" s="1123"/>
      <c r="E119" s="1123"/>
      <c r="F119" s="1123"/>
      <c r="G119" s="1123"/>
      <c r="H119" s="1123"/>
      <c r="I119" s="1123"/>
      <c r="J119" s="1125"/>
      <c r="K119" s="156"/>
      <c r="L119" s="1123"/>
      <c r="M119" s="1205"/>
      <c r="N119" s="1123"/>
      <c r="O119" s="1123"/>
      <c r="P119" s="1123"/>
      <c r="Q119" s="1123"/>
      <c r="R119" s="1189"/>
      <c r="S119" s="1189"/>
      <c r="T119" s="1208"/>
      <c r="U119" s="1208"/>
      <c r="V119" s="1189"/>
      <c r="W119" s="1189"/>
      <c r="X119" s="1189"/>
      <c r="Y119" s="1189"/>
      <c r="Z119" s="1189"/>
      <c r="AA119" s="1189"/>
      <c r="AB119" s="1189"/>
      <c r="AC119" s="1189"/>
      <c r="AD119" s="1189"/>
      <c r="AE119" s="1189"/>
      <c r="AF119" s="1189"/>
      <c r="AG119" s="1189"/>
      <c r="AH119" s="1189"/>
      <c r="AI119" s="1189"/>
      <c r="AJ119" s="1189"/>
      <c r="AK119" s="1189"/>
      <c r="AL119" s="1189"/>
      <c r="AM119" s="1189"/>
      <c r="AN119" s="1189"/>
      <c r="AO119" s="1189"/>
      <c r="AP119" s="1189"/>
      <c r="AQ119" s="1189"/>
      <c r="AR119" s="1189"/>
      <c r="AS119" s="1189"/>
      <c r="AT119" s="1189"/>
      <c r="AU119" s="1189"/>
      <c r="AV119" s="1189"/>
      <c r="AW119" s="1189"/>
      <c r="AX119" s="1189"/>
    </row>
    <row r="120" spans="1:50" ht="12" customHeight="1">
      <c r="A120" s="1123"/>
      <c r="B120" s="161"/>
      <c r="C120" s="1123"/>
      <c r="D120" s="1123"/>
      <c r="E120" s="1123"/>
      <c r="F120" s="1123"/>
      <c r="G120" s="1123"/>
      <c r="H120" s="1123"/>
      <c r="I120" s="1123"/>
      <c r="J120" s="1125"/>
      <c r="K120" s="156"/>
      <c r="L120" s="1123"/>
      <c r="M120" s="1205"/>
      <c r="N120" s="1123"/>
      <c r="O120" s="1123"/>
      <c r="P120" s="1123"/>
      <c r="Q120" s="1123"/>
      <c r="R120" s="1189"/>
      <c r="S120" s="1189"/>
      <c r="T120" s="1208"/>
      <c r="U120" s="1208"/>
      <c r="V120" s="1189"/>
      <c r="W120" s="1189"/>
      <c r="X120" s="1189"/>
      <c r="Y120" s="1189"/>
      <c r="Z120" s="1189"/>
      <c r="AA120" s="1189"/>
      <c r="AB120" s="1189"/>
      <c r="AC120" s="1189"/>
      <c r="AD120" s="1189"/>
      <c r="AE120" s="1189"/>
      <c r="AF120" s="1189"/>
      <c r="AG120" s="1189"/>
      <c r="AH120" s="1189"/>
      <c r="AI120" s="1189"/>
      <c r="AJ120" s="1189"/>
      <c r="AK120" s="1189"/>
      <c r="AL120" s="1189"/>
      <c r="AM120" s="1189"/>
      <c r="AN120" s="1189"/>
      <c r="AO120" s="1189"/>
      <c r="AP120" s="1189"/>
      <c r="AQ120" s="1189"/>
      <c r="AR120" s="1189"/>
      <c r="AS120" s="1189"/>
      <c r="AT120" s="1189"/>
      <c r="AU120" s="1189"/>
      <c r="AV120" s="1189"/>
      <c r="AW120" s="1189"/>
      <c r="AX120" s="1189"/>
    </row>
    <row r="121" spans="1:50" ht="12" customHeight="1">
      <c r="A121" s="1123"/>
      <c r="B121" s="161"/>
      <c r="C121" s="1123"/>
      <c r="D121" s="1123"/>
      <c r="E121" s="1123"/>
      <c r="F121" s="1123"/>
      <c r="G121" s="1123"/>
      <c r="H121" s="1123"/>
      <c r="I121" s="1123"/>
      <c r="J121" s="1125"/>
      <c r="K121" s="156"/>
      <c r="L121" s="1123"/>
      <c r="M121" s="1205"/>
      <c r="N121" s="1123"/>
      <c r="O121" s="1123"/>
      <c r="P121" s="1123"/>
      <c r="Q121" s="1123"/>
      <c r="R121" s="1189"/>
      <c r="S121" s="1189"/>
      <c r="T121" s="1208"/>
      <c r="U121" s="1208"/>
      <c r="V121" s="1189"/>
      <c r="W121" s="1189"/>
      <c r="X121" s="1189"/>
      <c r="Y121" s="1189"/>
      <c r="Z121" s="1189"/>
      <c r="AA121" s="1189"/>
      <c r="AB121" s="1189"/>
      <c r="AC121" s="1189"/>
      <c r="AD121" s="1189"/>
      <c r="AE121" s="1189"/>
      <c r="AF121" s="1189"/>
      <c r="AG121" s="1189"/>
      <c r="AH121" s="1189"/>
      <c r="AI121" s="1189"/>
      <c r="AJ121" s="1189"/>
      <c r="AK121" s="1189"/>
      <c r="AL121" s="1189"/>
      <c r="AM121" s="1189"/>
      <c r="AN121" s="1189"/>
      <c r="AO121" s="1189"/>
      <c r="AP121" s="1189"/>
      <c r="AQ121" s="1189"/>
      <c r="AR121" s="1189"/>
      <c r="AS121" s="1189"/>
      <c r="AT121" s="1189"/>
      <c r="AU121" s="1189"/>
      <c r="AV121" s="1189"/>
      <c r="AW121" s="1189"/>
      <c r="AX121" s="1189"/>
    </row>
    <row r="122" spans="1:50" ht="12" customHeight="1">
      <c r="A122" s="1123"/>
      <c r="B122" s="161"/>
      <c r="C122" s="1123"/>
      <c r="D122" s="1123"/>
      <c r="E122" s="1123"/>
      <c r="F122" s="1123"/>
      <c r="G122" s="1123"/>
      <c r="H122" s="1123"/>
      <c r="I122" s="1123"/>
      <c r="J122" s="1125"/>
      <c r="K122" s="156"/>
      <c r="L122" s="1123"/>
      <c r="M122" s="1205"/>
      <c r="N122" s="1123"/>
      <c r="O122" s="1123"/>
      <c r="P122" s="1123"/>
      <c r="Q122" s="1123"/>
      <c r="R122" s="1189"/>
      <c r="S122" s="1189"/>
      <c r="T122" s="1208"/>
      <c r="U122" s="1208"/>
      <c r="V122" s="1189"/>
      <c r="W122" s="1189"/>
      <c r="X122" s="1189"/>
      <c r="Y122" s="1189"/>
      <c r="Z122" s="1189"/>
      <c r="AA122" s="1189"/>
      <c r="AB122" s="1189"/>
      <c r="AC122" s="1189"/>
      <c r="AD122" s="1189"/>
      <c r="AE122" s="1189"/>
      <c r="AF122" s="1189"/>
      <c r="AG122" s="1189"/>
      <c r="AH122" s="1189"/>
      <c r="AI122" s="1189"/>
      <c r="AJ122" s="1189"/>
      <c r="AK122" s="1189"/>
      <c r="AL122" s="1189"/>
      <c r="AM122" s="1189"/>
      <c r="AN122" s="1189"/>
      <c r="AO122" s="1189"/>
      <c r="AP122" s="1189"/>
      <c r="AQ122" s="1189"/>
      <c r="AR122" s="1189"/>
      <c r="AS122" s="1189"/>
      <c r="AT122" s="1189"/>
      <c r="AU122" s="1189"/>
      <c r="AV122" s="1189"/>
      <c r="AW122" s="1189"/>
      <c r="AX122" s="1189"/>
    </row>
    <row r="123" spans="1:50" ht="12" customHeight="1">
      <c r="A123" s="1123"/>
      <c r="B123" s="161"/>
      <c r="C123" s="1123"/>
      <c r="D123" s="1123"/>
      <c r="E123" s="1123"/>
      <c r="F123" s="1123"/>
      <c r="G123" s="1123"/>
      <c r="H123" s="1123"/>
      <c r="I123" s="1123"/>
      <c r="J123" s="1125"/>
      <c r="K123" s="156"/>
      <c r="L123" s="1123"/>
      <c r="M123" s="1205"/>
      <c r="N123" s="1123"/>
      <c r="O123" s="1123"/>
      <c r="P123" s="1123"/>
      <c r="Q123" s="1123"/>
      <c r="R123" s="1189"/>
      <c r="S123" s="1189"/>
      <c r="T123" s="1208"/>
      <c r="U123" s="1208"/>
      <c r="V123" s="1189"/>
      <c r="W123" s="1189"/>
      <c r="X123" s="1189"/>
      <c r="Y123" s="1189"/>
      <c r="Z123" s="1189"/>
      <c r="AA123" s="1189"/>
      <c r="AB123" s="1189"/>
      <c r="AC123" s="1189"/>
      <c r="AD123" s="1189"/>
      <c r="AE123" s="1189"/>
      <c r="AF123" s="1189"/>
      <c r="AG123" s="1189"/>
      <c r="AH123" s="1189"/>
      <c r="AI123" s="1189"/>
      <c r="AJ123" s="1189"/>
      <c r="AK123" s="1189"/>
      <c r="AL123" s="1189"/>
      <c r="AM123" s="1189"/>
      <c r="AN123" s="1189"/>
      <c r="AO123" s="1189"/>
      <c r="AP123" s="1189"/>
      <c r="AQ123" s="1189"/>
      <c r="AR123" s="1189"/>
      <c r="AS123" s="1189"/>
      <c r="AT123" s="1189"/>
      <c r="AU123" s="1189"/>
      <c r="AV123" s="1189"/>
      <c r="AW123" s="1189"/>
      <c r="AX123" s="1189"/>
    </row>
    <row r="124" spans="1:50" ht="12" customHeight="1">
      <c r="A124" s="1123"/>
      <c r="B124" s="161"/>
      <c r="C124" s="1123"/>
      <c r="D124" s="1123"/>
      <c r="E124" s="1123"/>
      <c r="F124" s="1123"/>
      <c r="G124" s="1123"/>
      <c r="H124" s="1123"/>
      <c r="I124" s="1123"/>
      <c r="J124" s="1125"/>
      <c r="K124" s="156"/>
      <c r="L124" s="1123"/>
      <c r="M124" s="1205"/>
      <c r="N124" s="1123"/>
      <c r="O124" s="1123"/>
      <c r="P124" s="1123"/>
      <c r="Q124" s="1123"/>
      <c r="R124" s="1189"/>
      <c r="S124" s="1189"/>
      <c r="T124" s="1208"/>
      <c r="U124" s="1208"/>
      <c r="V124" s="1189"/>
      <c r="W124" s="1189"/>
      <c r="X124" s="1189"/>
      <c r="Y124" s="1189"/>
      <c r="Z124" s="1189"/>
      <c r="AA124" s="1189"/>
      <c r="AB124" s="1189"/>
      <c r="AC124" s="1189"/>
      <c r="AD124" s="1189"/>
      <c r="AE124" s="1189"/>
      <c r="AF124" s="1189"/>
      <c r="AG124" s="1189"/>
      <c r="AH124" s="1189"/>
      <c r="AI124" s="1189"/>
      <c r="AJ124" s="1189"/>
      <c r="AK124" s="1189"/>
      <c r="AL124" s="1189"/>
      <c r="AM124" s="1189"/>
      <c r="AN124" s="1189"/>
      <c r="AO124" s="1189"/>
      <c r="AP124" s="1189"/>
      <c r="AQ124" s="1189"/>
      <c r="AR124" s="1189"/>
      <c r="AS124" s="1189"/>
      <c r="AT124" s="1189"/>
      <c r="AU124" s="1189"/>
      <c r="AV124" s="1189"/>
      <c r="AW124" s="1189"/>
      <c r="AX124" s="1189"/>
    </row>
    <row r="125" spans="1:50" ht="12" customHeight="1">
      <c r="A125" s="1123"/>
      <c r="B125" s="161"/>
      <c r="C125" s="1123"/>
      <c r="D125" s="1123"/>
      <c r="E125" s="1123"/>
      <c r="F125" s="1123"/>
      <c r="G125" s="1123"/>
      <c r="H125" s="1123"/>
      <c r="I125" s="1123"/>
      <c r="J125" s="1125"/>
      <c r="K125" s="156"/>
      <c r="L125" s="1123"/>
      <c r="M125" s="1205"/>
      <c r="N125" s="1123"/>
      <c r="O125" s="1123"/>
      <c r="P125" s="1123"/>
      <c r="Q125" s="1123"/>
      <c r="R125" s="1189"/>
      <c r="S125" s="1189"/>
      <c r="T125" s="1208"/>
      <c r="U125" s="1208"/>
      <c r="V125" s="1189"/>
      <c r="W125" s="1189"/>
      <c r="X125" s="1189"/>
      <c r="Y125" s="1189"/>
      <c r="Z125" s="1189"/>
      <c r="AA125" s="1189"/>
      <c r="AB125" s="1189"/>
      <c r="AC125" s="1189"/>
      <c r="AD125" s="1189"/>
      <c r="AE125" s="1189"/>
      <c r="AF125" s="1189"/>
      <c r="AG125" s="1189"/>
      <c r="AH125" s="1189"/>
      <c r="AI125" s="1189"/>
      <c r="AJ125" s="1189"/>
      <c r="AK125" s="1189"/>
      <c r="AL125" s="1189"/>
      <c r="AM125" s="1189"/>
      <c r="AN125" s="1189"/>
      <c r="AO125" s="1189"/>
      <c r="AP125" s="1189"/>
      <c r="AQ125" s="1189"/>
      <c r="AR125" s="1189"/>
      <c r="AS125" s="1189"/>
      <c r="AT125" s="1189"/>
      <c r="AU125" s="1189"/>
      <c r="AV125" s="1189"/>
      <c r="AW125" s="1189"/>
      <c r="AX125" s="1189"/>
    </row>
    <row r="126" spans="1:50" ht="12" customHeight="1">
      <c r="A126" s="1123"/>
      <c r="B126" s="161"/>
      <c r="C126" s="1123"/>
      <c r="D126" s="1123"/>
      <c r="E126" s="1123"/>
      <c r="F126" s="1123"/>
      <c r="G126" s="1123"/>
      <c r="H126" s="1123"/>
      <c r="I126" s="1123"/>
      <c r="J126" s="1125"/>
      <c r="K126" s="156"/>
      <c r="L126" s="1123"/>
      <c r="M126" s="1205"/>
      <c r="N126" s="1123"/>
      <c r="O126" s="1123"/>
      <c r="P126" s="1123"/>
      <c r="Q126" s="1123"/>
      <c r="R126" s="1189"/>
      <c r="S126" s="1189"/>
      <c r="T126" s="1208"/>
      <c r="U126" s="1208"/>
      <c r="V126" s="1189"/>
      <c r="W126" s="1189"/>
      <c r="X126" s="1189"/>
      <c r="Y126" s="1189"/>
      <c r="Z126" s="1189"/>
      <c r="AA126" s="1189"/>
      <c r="AB126" s="1189"/>
      <c r="AC126" s="1189"/>
      <c r="AD126" s="1189"/>
      <c r="AE126" s="1189"/>
      <c r="AF126" s="1189"/>
      <c r="AG126" s="1189"/>
      <c r="AH126" s="1189"/>
      <c r="AI126" s="1189"/>
      <c r="AJ126" s="1189"/>
      <c r="AK126" s="1189"/>
      <c r="AL126" s="1189"/>
      <c r="AM126" s="1189"/>
      <c r="AN126" s="1189"/>
      <c r="AO126" s="1189"/>
      <c r="AP126" s="1189"/>
      <c r="AQ126" s="1189"/>
      <c r="AR126" s="1189"/>
      <c r="AS126" s="1189"/>
      <c r="AT126" s="1189"/>
      <c r="AU126" s="1189"/>
      <c r="AV126" s="1189"/>
      <c r="AW126" s="1189"/>
      <c r="AX126" s="1189"/>
    </row>
    <row r="127" spans="1:50" ht="12" customHeight="1">
      <c r="A127" s="1123"/>
      <c r="B127" s="161"/>
      <c r="C127" s="1123"/>
      <c r="D127" s="1123"/>
      <c r="E127" s="1123"/>
      <c r="F127" s="1123"/>
      <c r="G127" s="1123"/>
      <c r="H127" s="1123"/>
      <c r="I127" s="1123"/>
      <c r="J127" s="1125"/>
      <c r="K127" s="156"/>
      <c r="L127" s="1123"/>
      <c r="M127" s="1205"/>
      <c r="N127" s="1123"/>
      <c r="O127" s="1123"/>
      <c r="P127" s="1123"/>
      <c r="Q127" s="1123"/>
      <c r="R127" s="1189"/>
      <c r="S127" s="1189"/>
      <c r="T127" s="1208"/>
      <c r="U127" s="1208"/>
      <c r="V127" s="1189"/>
      <c r="W127" s="1189"/>
      <c r="X127" s="1189"/>
      <c r="Y127" s="1189"/>
      <c r="Z127" s="1189"/>
      <c r="AA127" s="1189"/>
      <c r="AB127" s="1189"/>
      <c r="AC127" s="1189"/>
      <c r="AD127" s="1189"/>
      <c r="AE127" s="1189"/>
      <c r="AF127" s="1189"/>
      <c r="AG127" s="1189"/>
      <c r="AH127" s="1189"/>
      <c r="AI127" s="1189"/>
      <c r="AJ127" s="1189"/>
      <c r="AK127" s="1189"/>
      <c r="AL127" s="1189"/>
      <c r="AM127" s="1189"/>
      <c r="AN127" s="1189"/>
      <c r="AO127" s="1189"/>
      <c r="AP127" s="1189"/>
      <c r="AQ127" s="1189"/>
      <c r="AR127" s="1189"/>
      <c r="AS127" s="1189"/>
      <c r="AT127" s="1189"/>
      <c r="AU127" s="1189"/>
      <c r="AV127" s="1189"/>
      <c r="AW127" s="1189"/>
      <c r="AX127" s="1189"/>
    </row>
    <row r="128" spans="1:50" ht="12" customHeight="1">
      <c r="A128" s="1123"/>
      <c r="B128" s="161"/>
      <c r="C128" s="1123"/>
      <c r="D128" s="1123"/>
      <c r="E128" s="1123"/>
      <c r="F128" s="1123"/>
      <c r="G128" s="1123"/>
      <c r="H128" s="1123"/>
      <c r="I128" s="1123"/>
      <c r="J128" s="1125"/>
      <c r="K128" s="156"/>
      <c r="L128" s="1123"/>
      <c r="M128" s="1205"/>
      <c r="N128" s="1123"/>
      <c r="O128" s="1123"/>
      <c r="P128" s="1123"/>
      <c r="Q128" s="1123"/>
      <c r="R128" s="1189"/>
      <c r="S128" s="1189"/>
      <c r="T128" s="1208"/>
      <c r="U128" s="1208"/>
      <c r="V128" s="1189"/>
      <c r="W128" s="1189"/>
      <c r="X128" s="1189"/>
      <c r="Y128" s="1189"/>
      <c r="Z128" s="1189"/>
      <c r="AA128" s="1189"/>
      <c r="AB128" s="1189"/>
      <c r="AC128" s="1189"/>
      <c r="AD128" s="1189"/>
      <c r="AE128" s="1189"/>
      <c r="AF128" s="1189"/>
      <c r="AG128" s="1189"/>
      <c r="AH128" s="1189"/>
      <c r="AI128" s="1189"/>
      <c r="AJ128" s="1189"/>
      <c r="AK128" s="1189"/>
      <c r="AL128" s="1189"/>
      <c r="AM128" s="1189"/>
      <c r="AN128" s="1189"/>
      <c r="AO128" s="1189"/>
      <c r="AP128" s="1189"/>
      <c r="AQ128" s="1189"/>
      <c r="AR128" s="1189"/>
      <c r="AS128" s="1189"/>
      <c r="AT128" s="1189"/>
      <c r="AU128" s="1189"/>
      <c r="AV128" s="1189"/>
      <c r="AW128" s="1189"/>
      <c r="AX128" s="1189"/>
    </row>
    <row r="129" spans="1:50" ht="12" customHeight="1">
      <c r="A129" s="1123"/>
      <c r="B129" s="161"/>
      <c r="C129" s="1123"/>
      <c r="D129" s="1123"/>
      <c r="E129" s="1123"/>
      <c r="F129" s="1123"/>
      <c r="G129" s="1123"/>
      <c r="H129" s="1123"/>
      <c r="I129" s="1123"/>
      <c r="J129" s="1125"/>
      <c r="K129" s="156"/>
      <c r="L129" s="1123"/>
      <c r="M129" s="1205"/>
      <c r="N129" s="1123"/>
      <c r="O129" s="1123"/>
      <c r="P129" s="1123"/>
      <c r="Q129" s="1123"/>
      <c r="R129" s="1189"/>
      <c r="S129" s="1189"/>
      <c r="T129" s="1208"/>
      <c r="U129" s="1208"/>
      <c r="V129" s="1189"/>
      <c r="W129" s="1189"/>
      <c r="X129" s="1189"/>
      <c r="Y129" s="1189"/>
      <c r="Z129" s="1189"/>
      <c r="AA129" s="1189"/>
      <c r="AB129" s="1189"/>
      <c r="AC129" s="1189"/>
      <c r="AD129" s="1189"/>
      <c r="AE129" s="1189"/>
      <c r="AF129" s="1189"/>
      <c r="AG129" s="1189"/>
      <c r="AH129" s="1189"/>
      <c r="AI129" s="1189"/>
      <c r="AJ129" s="1189"/>
      <c r="AK129" s="1189"/>
      <c r="AL129" s="1189"/>
      <c r="AM129" s="1189"/>
      <c r="AN129" s="1189"/>
      <c r="AO129" s="1189"/>
      <c r="AP129" s="1189"/>
      <c r="AQ129" s="1189"/>
      <c r="AR129" s="1189"/>
      <c r="AS129" s="1189"/>
      <c r="AT129" s="1189"/>
      <c r="AU129" s="1189"/>
      <c r="AV129" s="1189"/>
      <c r="AW129" s="1189"/>
      <c r="AX129" s="1189"/>
    </row>
    <row r="130" spans="1:50" ht="12" customHeight="1">
      <c r="A130" s="1123"/>
      <c r="B130" s="161"/>
      <c r="C130" s="1123"/>
      <c r="D130" s="1123"/>
      <c r="E130" s="1123"/>
      <c r="F130" s="1123"/>
      <c r="G130" s="1123"/>
      <c r="H130" s="1123"/>
      <c r="I130" s="1123"/>
      <c r="J130" s="1125"/>
      <c r="K130" s="156"/>
      <c r="L130" s="1123"/>
      <c r="M130" s="1205"/>
      <c r="N130" s="1123"/>
      <c r="O130" s="1123"/>
      <c r="P130" s="1123"/>
      <c r="Q130" s="1123"/>
      <c r="R130" s="1189"/>
      <c r="S130" s="1189"/>
      <c r="T130" s="1208"/>
      <c r="U130" s="1208"/>
      <c r="V130" s="1189"/>
      <c r="W130" s="1189"/>
      <c r="X130" s="1189"/>
      <c r="Y130" s="1189"/>
      <c r="Z130" s="1189"/>
      <c r="AA130" s="1189"/>
      <c r="AB130" s="1189"/>
      <c r="AC130" s="1189"/>
      <c r="AD130" s="1189"/>
      <c r="AE130" s="1189"/>
      <c r="AF130" s="1189"/>
      <c r="AG130" s="1189"/>
      <c r="AH130" s="1189"/>
      <c r="AI130" s="1189"/>
      <c r="AJ130" s="1189"/>
      <c r="AK130" s="1189"/>
      <c r="AL130" s="1189"/>
      <c r="AM130" s="1189"/>
      <c r="AN130" s="1189"/>
      <c r="AO130" s="1189"/>
      <c r="AP130" s="1189"/>
      <c r="AQ130" s="1189"/>
      <c r="AR130" s="1189"/>
      <c r="AS130" s="1189"/>
      <c r="AT130" s="1189"/>
      <c r="AU130" s="1189"/>
      <c r="AV130" s="1189"/>
      <c r="AW130" s="1189"/>
      <c r="AX130" s="1189"/>
    </row>
    <row r="131" spans="1:50" ht="12" customHeight="1">
      <c r="A131" s="1123"/>
      <c r="B131" s="161"/>
      <c r="C131" s="1123"/>
      <c r="D131" s="1123"/>
      <c r="E131" s="1123"/>
      <c r="F131" s="1123"/>
      <c r="G131" s="1123"/>
      <c r="H131" s="1123"/>
      <c r="I131" s="1123"/>
      <c r="J131" s="1125"/>
      <c r="K131" s="156"/>
      <c r="L131" s="1123"/>
      <c r="M131" s="1205"/>
      <c r="N131" s="1123"/>
      <c r="O131" s="1123"/>
      <c r="P131" s="1123"/>
      <c r="Q131" s="1123"/>
      <c r="R131" s="1189"/>
      <c r="S131" s="1189"/>
      <c r="T131" s="1208"/>
      <c r="U131" s="1208"/>
      <c r="V131" s="1189"/>
      <c r="W131" s="1189"/>
      <c r="X131" s="1189"/>
      <c r="Y131" s="1189"/>
      <c r="Z131" s="1189"/>
      <c r="AA131" s="1189"/>
      <c r="AB131" s="1189"/>
      <c r="AC131" s="1189"/>
      <c r="AD131" s="1189"/>
      <c r="AE131" s="1189"/>
      <c r="AF131" s="1189"/>
      <c r="AG131" s="1189"/>
      <c r="AH131" s="1189"/>
      <c r="AI131" s="1189"/>
      <c r="AJ131" s="1189"/>
      <c r="AK131" s="1189"/>
      <c r="AL131" s="1189"/>
      <c r="AM131" s="1189"/>
      <c r="AN131" s="1189"/>
      <c r="AO131" s="1189"/>
      <c r="AP131" s="1189"/>
      <c r="AQ131" s="1189"/>
      <c r="AR131" s="1189"/>
      <c r="AS131" s="1189"/>
      <c r="AT131" s="1189"/>
      <c r="AU131" s="1189"/>
      <c r="AV131" s="1189"/>
      <c r="AW131" s="1189"/>
      <c r="AX131" s="1189"/>
    </row>
    <row r="132" spans="1:50" ht="12" customHeight="1">
      <c r="A132" s="1123"/>
      <c r="B132" s="161"/>
      <c r="C132" s="1123"/>
      <c r="D132" s="1123"/>
      <c r="E132" s="1123"/>
      <c r="F132" s="1123"/>
      <c r="G132" s="1123"/>
      <c r="H132" s="1123"/>
      <c r="I132" s="1123"/>
      <c r="J132" s="1125"/>
      <c r="K132" s="156"/>
      <c r="L132" s="1123"/>
      <c r="M132" s="1205"/>
      <c r="N132" s="1123"/>
      <c r="O132" s="1123"/>
      <c r="P132" s="1123"/>
      <c r="Q132" s="1123"/>
      <c r="R132" s="1189"/>
      <c r="S132" s="1189"/>
      <c r="T132" s="1208"/>
      <c r="U132" s="1208"/>
      <c r="V132" s="1189"/>
      <c r="W132" s="1189"/>
      <c r="X132" s="1189"/>
      <c r="Y132" s="1189"/>
      <c r="Z132" s="1189"/>
      <c r="AA132" s="1189"/>
      <c r="AB132" s="1189"/>
      <c r="AC132" s="1189"/>
      <c r="AD132" s="1189"/>
      <c r="AE132" s="1189"/>
      <c r="AF132" s="1189"/>
      <c r="AG132" s="1189"/>
      <c r="AH132" s="1189"/>
      <c r="AI132" s="1189"/>
      <c r="AJ132" s="1189"/>
      <c r="AK132" s="1189"/>
      <c r="AL132" s="1189"/>
      <c r="AM132" s="1189"/>
      <c r="AN132" s="1189"/>
      <c r="AO132" s="1189"/>
      <c r="AP132" s="1189"/>
      <c r="AQ132" s="1189"/>
      <c r="AR132" s="1189"/>
      <c r="AS132" s="1189"/>
      <c r="AT132" s="1189"/>
      <c r="AU132" s="1189"/>
      <c r="AV132" s="1189"/>
      <c r="AW132" s="1189"/>
      <c r="AX132" s="1189"/>
    </row>
    <row r="133" spans="1:50" ht="12" customHeight="1">
      <c r="A133" s="1123"/>
      <c r="B133" s="161"/>
      <c r="C133" s="1123"/>
      <c r="D133" s="1123"/>
      <c r="E133" s="1123"/>
      <c r="F133" s="1123"/>
      <c r="G133" s="1123"/>
      <c r="H133" s="1123"/>
      <c r="I133" s="1123"/>
      <c r="J133" s="1125"/>
      <c r="K133" s="156"/>
      <c r="L133" s="1123"/>
      <c r="M133" s="1205"/>
      <c r="N133" s="1123"/>
      <c r="O133" s="1123"/>
      <c r="P133" s="1123"/>
      <c r="Q133" s="1123"/>
      <c r="R133" s="1189"/>
      <c r="S133" s="1189"/>
      <c r="T133" s="1208"/>
      <c r="U133" s="1208"/>
      <c r="V133" s="1189"/>
      <c r="W133" s="1189"/>
      <c r="X133" s="1189"/>
      <c r="Y133" s="1189"/>
      <c r="Z133" s="1189"/>
      <c r="AA133" s="1189"/>
      <c r="AB133" s="1189"/>
      <c r="AC133" s="1189"/>
      <c r="AD133" s="1189"/>
      <c r="AE133" s="1189"/>
      <c r="AF133" s="1189"/>
      <c r="AG133" s="1189"/>
      <c r="AH133" s="1189"/>
      <c r="AI133" s="1189"/>
      <c r="AJ133" s="1189"/>
      <c r="AK133" s="1189"/>
      <c r="AL133" s="1189"/>
      <c r="AM133" s="1189"/>
      <c r="AN133" s="1189"/>
      <c r="AO133" s="1189"/>
      <c r="AP133" s="1189"/>
      <c r="AQ133" s="1189"/>
      <c r="AR133" s="1189"/>
      <c r="AS133" s="1189"/>
      <c r="AT133" s="1189"/>
      <c r="AU133" s="1189"/>
      <c r="AV133" s="1189"/>
      <c r="AW133" s="1189"/>
      <c r="AX133" s="1189"/>
    </row>
    <row r="134" spans="1:50" ht="12" customHeight="1">
      <c r="A134" s="1123"/>
      <c r="B134" s="161"/>
      <c r="C134" s="1123"/>
      <c r="D134" s="1123"/>
      <c r="E134" s="1123"/>
      <c r="F134" s="1123"/>
      <c r="G134" s="1123"/>
      <c r="H134" s="1123"/>
      <c r="I134" s="1123"/>
      <c r="J134" s="1125"/>
      <c r="K134" s="156"/>
      <c r="L134" s="1123"/>
      <c r="M134" s="1205"/>
      <c r="N134" s="1123"/>
      <c r="O134" s="1123"/>
      <c r="P134" s="1123"/>
      <c r="Q134" s="1123"/>
      <c r="R134" s="1189"/>
      <c r="S134" s="1189"/>
      <c r="T134" s="1208"/>
      <c r="U134" s="1208"/>
      <c r="V134" s="1189"/>
      <c r="W134" s="1189"/>
      <c r="X134" s="1189"/>
      <c r="Y134" s="1189"/>
      <c r="Z134" s="1189"/>
      <c r="AA134" s="1189"/>
      <c r="AB134" s="1189"/>
      <c r="AC134" s="1189"/>
      <c r="AD134" s="1189"/>
      <c r="AE134" s="1189"/>
      <c r="AF134" s="1189"/>
      <c r="AG134" s="1189"/>
      <c r="AH134" s="1189"/>
      <c r="AI134" s="1189"/>
      <c r="AJ134" s="1189"/>
      <c r="AK134" s="1189"/>
      <c r="AL134" s="1189"/>
      <c r="AM134" s="1189"/>
      <c r="AN134" s="1189"/>
      <c r="AO134" s="1189"/>
      <c r="AP134" s="1189"/>
      <c r="AQ134" s="1189"/>
      <c r="AR134" s="1189"/>
      <c r="AS134" s="1189"/>
      <c r="AT134" s="1189"/>
      <c r="AU134" s="1189"/>
      <c r="AV134" s="1189"/>
      <c r="AW134" s="1189"/>
      <c r="AX134" s="1189"/>
    </row>
    <row r="135" spans="1:50" ht="12" customHeight="1">
      <c r="A135" s="1123"/>
      <c r="B135" s="161"/>
      <c r="C135" s="1123"/>
      <c r="D135" s="1123"/>
      <c r="E135" s="1123"/>
      <c r="F135" s="1123"/>
      <c r="G135" s="1123"/>
      <c r="H135" s="1123"/>
      <c r="I135" s="1123"/>
      <c r="J135" s="1125"/>
      <c r="K135" s="156"/>
      <c r="L135" s="1123"/>
      <c r="M135" s="1205"/>
      <c r="N135" s="1123"/>
      <c r="O135" s="1123"/>
      <c r="P135" s="1123"/>
      <c r="Q135" s="1123"/>
      <c r="R135" s="1189"/>
      <c r="S135" s="1189"/>
      <c r="T135" s="1208"/>
      <c r="U135" s="1208"/>
      <c r="V135" s="1189"/>
      <c r="W135" s="1189"/>
      <c r="X135" s="1189"/>
      <c r="Y135" s="1189"/>
      <c r="Z135" s="1189"/>
      <c r="AA135" s="1189"/>
      <c r="AB135" s="1189"/>
      <c r="AC135" s="1189"/>
      <c r="AD135" s="1189"/>
      <c r="AE135" s="1189"/>
      <c r="AF135" s="1189"/>
      <c r="AG135" s="1189"/>
      <c r="AH135" s="1189"/>
      <c r="AI135" s="1189"/>
      <c r="AJ135" s="1189"/>
      <c r="AK135" s="1189"/>
      <c r="AL135" s="1189"/>
      <c r="AM135" s="1189"/>
      <c r="AN135" s="1189"/>
      <c r="AO135" s="1189"/>
      <c r="AP135" s="1189"/>
      <c r="AQ135" s="1189"/>
      <c r="AR135" s="1189"/>
      <c r="AS135" s="1189"/>
      <c r="AT135" s="1189"/>
      <c r="AU135" s="1189"/>
      <c r="AV135" s="1189"/>
      <c r="AW135" s="1189"/>
      <c r="AX135" s="1189"/>
    </row>
    <row r="136" spans="1:50" ht="12" customHeight="1">
      <c r="A136" s="1123"/>
      <c r="B136" s="161"/>
      <c r="C136" s="1123"/>
      <c r="D136" s="1123"/>
      <c r="E136" s="1123"/>
      <c r="F136" s="1123"/>
      <c r="G136" s="1123"/>
      <c r="H136" s="1123"/>
      <c r="I136" s="1123"/>
      <c r="J136" s="1125"/>
      <c r="K136" s="156"/>
      <c r="L136" s="1123"/>
      <c r="M136" s="1205"/>
      <c r="N136" s="1123"/>
      <c r="O136" s="1123"/>
      <c r="P136" s="1123"/>
      <c r="Q136" s="1123"/>
      <c r="R136" s="1189"/>
      <c r="S136" s="1189"/>
      <c r="T136" s="1208"/>
      <c r="U136" s="1208"/>
      <c r="V136" s="1189"/>
      <c r="W136" s="1189"/>
      <c r="X136" s="1189"/>
      <c r="Y136" s="1189"/>
      <c r="Z136" s="1189"/>
      <c r="AA136" s="1189"/>
      <c r="AB136" s="1189"/>
      <c r="AC136" s="1189"/>
      <c r="AD136" s="1189"/>
      <c r="AE136" s="1189"/>
      <c r="AF136" s="1189"/>
      <c r="AG136" s="1189"/>
      <c r="AH136" s="1189"/>
      <c r="AI136" s="1189"/>
      <c r="AJ136" s="1189"/>
      <c r="AK136" s="1189"/>
      <c r="AL136" s="1189"/>
      <c r="AM136" s="1189"/>
      <c r="AN136" s="1189"/>
      <c r="AO136" s="1189"/>
      <c r="AP136" s="1189"/>
      <c r="AQ136" s="1189"/>
      <c r="AR136" s="1189"/>
      <c r="AS136" s="1189"/>
      <c r="AT136" s="1189"/>
      <c r="AU136" s="1189"/>
      <c r="AV136" s="1189"/>
      <c r="AW136" s="1189"/>
      <c r="AX136" s="1189"/>
    </row>
    <row r="137" spans="1:50" ht="12" customHeight="1">
      <c r="A137" s="1123"/>
      <c r="B137" s="161"/>
      <c r="C137" s="1123"/>
      <c r="D137" s="1123"/>
      <c r="E137" s="1123"/>
      <c r="F137" s="1123"/>
      <c r="G137" s="1123"/>
      <c r="H137" s="1123"/>
      <c r="I137" s="1123"/>
      <c r="J137" s="1125"/>
      <c r="K137" s="156"/>
      <c r="L137" s="1123"/>
      <c r="M137" s="1205"/>
      <c r="N137" s="1123"/>
      <c r="O137" s="1123"/>
      <c r="P137" s="1123"/>
      <c r="Q137" s="1123"/>
      <c r="R137" s="1189"/>
      <c r="S137" s="1189"/>
      <c r="T137" s="1208"/>
      <c r="U137" s="1208"/>
      <c r="V137" s="1189"/>
      <c r="W137" s="1189"/>
      <c r="X137" s="1189"/>
      <c r="Y137" s="1189"/>
      <c r="Z137" s="1189"/>
      <c r="AA137" s="1189"/>
      <c r="AB137" s="1189"/>
      <c r="AC137" s="1189"/>
      <c r="AD137" s="1189"/>
      <c r="AE137" s="1189"/>
      <c r="AF137" s="1189"/>
      <c r="AG137" s="1189"/>
      <c r="AH137" s="1189"/>
      <c r="AI137" s="1189"/>
      <c r="AJ137" s="1189"/>
      <c r="AK137" s="1189"/>
      <c r="AL137" s="1189"/>
      <c r="AM137" s="1189"/>
      <c r="AN137" s="1189"/>
      <c r="AO137" s="1189"/>
      <c r="AP137" s="1189"/>
      <c r="AQ137" s="1189"/>
      <c r="AR137" s="1189"/>
      <c r="AS137" s="1189"/>
      <c r="AT137" s="1189"/>
      <c r="AU137" s="1189"/>
      <c r="AV137" s="1189"/>
      <c r="AW137" s="1189"/>
      <c r="AX137" s="1189"/>
    </row>
    <row r="138" spans="1:50" ht="12" customHeight="1">
      <c r="A138" s="1123"/>
      <c r="B138" s="161"/>
      <c r="C138" s="1123"/>
      <c r="D138" s="1123"/>
      <c r="E138" s="1123"/>
      <c r="F138" s="1123"/>
      <c r="G138" s="1123"/>
      <c r="H138" s="1123"/>
      <c r="I138" s="1123"/>
      <c r="J138" s="1125"/>
      <c r="K138" s="156"/>
      <c r="L138" s="1123"/>
      <c r="M138" s="1205"/>
      <c r="N138" s="1123"/>
      <c r="O138" s="1123"/>
      <c r="P138" s="1123"/>
      <c r="Q138" s="1123"/>
      <c r="R138" s="1189"/>
      <c r="S138" s="1189"/>
      <c r="T138" s="1208"/>
      <c r="U138" s="1208"/>
      <c r="V138" s="1189"/>
      <c r="W138" s="1189"/>
      <c r="X138" s="1189"/>
      <c r="Y138" s="1189"/>
      <c r="Z138" s="1189"/>
      <c r="AA138" s="1189"/>
      <c r="AB138" s="1189"/>
      <c r="AC138" s="1189"/>
      <c r="AD138" s="1189"/>
      <c r="AE138" s="1189"/>
      <c r="AF138" s="1189"/>
      <c r="AG138" s="1189"/>
      <c r="AH138" s="1189"/>
      <c r="AI138" s="1189"/>
      <c r="AJ138" s="1189"/>
      <c r="AK138" s="1189"/>
      <c r="AL138" s="1189"/>
      <c r="AM138" s="1189"/>
      <c r="AN138" s="1189"/>
      <c r="AO138" s="1189"/>
      <c r="AP138" s="1189"/>
      <c r="AQ138" s="1189"/>
      <c r="AR138" s="1189"/>
      <c r="AS138" s="1189"/>
      <c r="AT138" s="1189"/>
      <c r="AU138" s="1189"/>
      <c r="AV138" s="1189"/>
      <c r="AW138" s="1189"/>
      <c r="AX138" s="1189"/>
    </row>
    <row r="139" spans="1:50" ht="12" customHeight="1">
      <c r="A139" s="1123"/>
      <c r="B139" s="161"/>
      <c r="C139" s="1123"/>
      <c r="D139" s="1123"/>
      <c r="E139" s="1123"/>
      <c r="F139" s="1123"/>
      <c r="G139" s="1123"/>
      <c r="H139" s="1123"/>
      <c r="I139" s="1123"/>
      <c r="J139" s="1125"/>
      <c r="K139" s="156"/>
      <c r="L139" s="1123"/>
      <c r="M139" s="1205"/>
      <c r="N139" s="1123"/>
      <c r="O139" s="1123"/>
      <c r="P139" s="1123"/>
      <c r="Q139" s="1123"/>
      <c r="R139" s="1189"/>
      <c r="S139" s="1189"/>
      <c r="T139" s="1208"/>
      <c r="U139" s="1208"/>
      <c r="V139" s="1189"/>
      <c r="W139" s="1189"/>
      <c r="X139" s="1189"/>
      <c r="Y139" s="1189"/>
      <c r="Z139" s="1189"/>
      <c r="AA139" s="1189"/>
      <c r="AB139" s="1189"/>
      <c r="AC139" s="1189"/>
      <c r="AD139" s="1189"/>
      <c r="AE139" s="1189"/>
      <c r="AF139" s="1189"/>
      <c r="AG139" s="1189"/>
      <c r="AH139" s="1189"/>
      <c r="AI139" s="1189"/>
      <c r="AJ139" s="1189"/>
      <c r="AK139" s="1189"/>
      <c r="AL139" s="1189"/>
      <c r="AM139" s="1189"/>
      <c r="AN139" s="1189"/>
      <c r="AO139" s="1189"/>
      <c r="AP139" s="1189"/>
      <c r="AQ139" s="1189"/>
      <c r="AR139" s="1189"/>
      <c r="AS139" s="1189"/>
      <c r="AT139" s="1189"/>
      <c r="AU139" s="1189"/>
      <c r="AV139" s="1189"/>
      <c r="AW139" s="1189"/>
      <c r="AX139" s="1189"/>
    </row>
    <row r="140" spans="1:50" ht="12" customHeight="1">
      <c r="A140" s="1123"/>
      <c r="B140" s="161"/>
      <c r="C140" s="1123"/>
      <c r="D140" s="1123"/>
      <c r="E140" s="1123"/>
      <c r="F140" s="1123"/>
      <c r="G140" s="1123"/>
      <c r="H140" s="1123"/>
      <c r="I140" s="1123"/>
      <c r="J140" s="1125"/>
      <c r="K140" s="156"/>
      <c r="L140" s="1123"/>
      <c r="M140" s="1205"/>
      <c r="N140" s="1123"/>
      <c r="O140" s="1123"/>
      <c r="P140" s="1123"/>
      <c r="Q140" s="1123"/>
      <c r="R140" s="1189"/>
      <c r="S140" s="1189"/>
      <c r="T140" s="1208"/>
      <c r="U140" s="1208"/>
      <c r="V140" s="1189"/>
      <c r="W140" s="1189"/>
      <c r="X140" s="1189"/>
      <c r="Y140" s="1189"/>
      <c r="Z140" s="1189"/>
      <c r="AA140" s="1189"/>
      <c r="AB140" s="1189"/>
      <c r="AC140" s="1189"/>
      <c r="AD140" s="1189"/>
      <c r="AE140" s="1189"/>
      <c r="AF140" s="1189"/>
      <c r="AG140" s="1189"/>
      <c r="AH140" s="1189"/>
      <c r="AI140" s="1189"/>
      <c r="AJ140" s="1189"/>
      <c r="AK140" s="1189"/>
      <c r="AL140" s="1189"/>
      <c r="AM140" s="1189"/>
      <c r="AN140" s="1189"/>
      <c r="AO140" s="1189"/>
      <c r="AP140" s="1189"/>
      <c r="AQ140" s="1189"/>
      <c r="AR140" s="1189"/>
      <c r="AS140" s="1189"/>
      <c r="AT140" s="1189"/>
      <c r="AU140" s="1189"/>
      <c r="AV140" s="1189"/>
      <c r="AW140" s="1189"/>
      <c r="AX140" s="1189"/>
    </row>
    <row r="141" spans="1:50" ht="12" customHeight="1">
      <c r="A141" s="1123"/>
      <c r="B141" s="161"/>
      <c r="C141" s="1123"/>
      <c r="D141" s="1123"/>
      <c r="E141" s="1123"/>
      <c r="F141" s="1123"/>
      <c r="G141" s="1123"/>
      <c r="H141" s="1123"/>
      <c r="I141" s="1123"/>
      <c r="J141" s="1125"/>
      <c r="K141" s="156"/>
      <c r="L141" s="1123"/>
      <c r="M141" s="1205"/>
      <c r="N141" s="1123"/>
      <c r="O141" s="1123"/>
      <c r="P141" s="1123"/>
      <c r="Q141" s="1123"/>
      <c r="R141" s="1189"/>
      <c r="S141" s="1189"/>
      <c r="T141" s="1208"/>
      <c r="U141" s="1208"/>
      <c r="V141" s="1189"/>
      <c r="W141" s="1189"/>
      <c r="X141" s="1189"/>
      <c r="Y141" s="1189"/>
      <c r="Z141" s="1189"/>
      <c r="AA141" s="1189"/>
      <c r="AB141" s="1189"/>
      <c r="AC141" s="1189"/>
      <c r="AD141" s="1189"/>
      <c r="AE141" s="1189"/>
      <c r="AF141" s="1189"/>
      <c r="AG141" s="1189"/>
      <c r="AH141" s="1189"/>
      <c r="AI141" s="1189"/>
      <c r="AJ141" s="1189"/>
      <c r="AK141" s="1189"/>
      <c r="AL141" s="1189"/>
      <c r="AM141" s="1189"/>
      <c r="AN141" s="1189"/>
      <c r="AO141" s="1189"/>
      <c r="AP141" s="1189"/>
      <c r="AQ141" s="1189"/>
      <c r="AR141" s="1189"/>
      <c r="AS141" s="1189"/>
      <c r="AT141" s="1189"/>
      <c r="AU141" s="1189"/>
      <c r="AV141" s="1189"/>
      <c r="AW141" s="1189"/>
      <c r="AX141" s="1189"/>
    </row>
    <row r="142" spans="1:50" ht="12" customHeight="1">
      <c r="A142" s="1123"/>
      <c r="B142" s="161"/>
      <c r="C142" s="1123"/>
      <c r="D142" s="1123"/>
      <c r="E142" s="1123"/>
      <c r="F142" s="1123"/>
      <c r="G142" s="1123"/>
      <c r="H142" s="1123"/>
      <c r="I142" s="1123"/>
      <c r="J142" s="1125"/>
      <c r="K142" s="156"/>
      <c r="L142" s="1123"/>
      <c r="M142" s="1205"/>
      <c r="N142" s="1123"/>
      <c r="O142" s="1123"/>
      <c r="P142" s="1123"/>
      <c r="Q142" s="1123"/>
      <c r="R142" s="1189"/>
      <c r="S142" s="1189"/>
      <c r="T142" s="1208"/>
      <c r="U142" s="1208"/>
      <c r="V142" s="1189"/>
      <c r="W142" s="1189"/>
      <c r="X142" s="1189"/>
      <c r="Y142" s="1189"/>
      <c r="Z142" s="1189"/>
      <c r="AA142" s="1189"/>
      <c r="AB142" s="1189"/>
      <c r="AC142" s="1189"/>
      <c r="AD142" s="1189"/>
      <c r="AE142" s="1189"/>
      <c r="AF142" s="1189"/>
      <c r="AG142" s="1189"/>
      <c r="AH142" s="1189"/>
      <c r="AI142" s="1189"/>
      <c r="AJ142" s="1189"/>
      <c r="AK142" s="1189"/>
      <c r="AL142" s="1189"/>
      <c r="AM142" s="1189"/>
      <c r="AN142" s="1189"/>
      <c r="AO142" s="1189"/>
      <c r="AP142" s="1189"/>
      <c r="AQ142" s="1189"/>
      <c r="AR142" s="1189"/>
      <c r="AS142" s="1189"/>
      <c r="AT142" s="1189"/>
      <c r="AU142" s="1189"/>
      <c r="AV142" s="1189"/>
      <c r="AW142" s="1189"/>
      <c r="AX142" s="1189"/>
    </row>
    <row r="143" spans="1:50" ht="12" customHeight="1">
      <c r="A143" s="1123"/>
      <c r="B143" s="161"/>
      <c r="C143" s="1123"/>
      <c r="D143" s="1123"/>
      <c r="E143" s="1123"/>
      <c r="F143" s="1123"/>
      <c r="G143" s="1123"/>
      <c r="H143" s="1123"/>
      <c r="I143" s="1123"/>
      <c r="J143" s="1125"/>
      <c r="K143" s="156"/>
      <c r="L143" s="1123"/>
      <c r="M143" s="1205"/>
      <c r="N143" s="1123"/>
      <c r="O143" s="1123"/>
      <c r="P143" s="1123"/>
      <c r="Q143" s="1123"/>
      <c r="R143" s="1189"/>
      <c r="S143" s="1189"/>
      <c r="T143" s="1208"/>
      <c r="U143" s="1208"/>
      <c r="V143" s="1189"/>
      <c r="W143" s="1189"/>
      <c r="X143" s="1189"/>
      <c r="Y143" s="1189"/>
      <c r="Z143" s="1189"/>
      <c r="AA143" s="1189"/>
      <c r="AB143" s="1189"/>
      <c r="AC143" s="1189"/>
      <c r="AD143" s="1189"/>
      <c r="AE143" s="1189"/>
      <c r="AF143" s="1189"/>
      <c r="AG143" s="1189"/>
      <c r="AH143" s="1189"/>
      <c r="AI143" s="1189"/>
      <c r="AJ143" s="1189"/>
      <c r="AK143" s="1189"/>
      <c r="AL143" s="1189"/>
      <c r="AM143" s="1189"/>
      <c r="AN143" s="1189"/>
      <c r="AO143" s="1189"/>
      <c r="AP143" s="1189"/>
      <c r="AQ143" s="1189"/>
      <c r="AR143" s="1189"/>
      <c r="AS143" s="1189"/>
      <c r="AT143" s="1189"/>
      <c r="AU143" s="1189"/>
      <c r="AV143" s="1189"/>
      <c r="AW143" s="1189"/>
      <c r="AX143" s="1189"/>
    </row>
    <row r="144" spans="1:50" ht="12" customHeight="1">
      <c r="A144" s="1123"/>
      <c r="B144" s="161"/>
      <c r="C144" s="1123"/>
      <c r="D144" s="1123"/>
      <c r="E144" s="1123"/>
      <c r="F144" s="1123"/>
      <c r="G144" s="1123"/>
      <c r="H144" s="1123"/>
      <c r="I144" s="1123"/>
      <c r="J144" s="1125"/>
      <c r="K144" s="156"/>
      <c r="L144" s="1123"/>
      <c r="M144" s="1205"/>
      <c r="N144" s="1123"/>
      <c r="O144" s="1123"/>
      <c r="P144" s="1123"/>
      <c r="Q144" s="1123"/>
      <c r="R144" s="1189"/>
      <c r="S144" s="1189"/>
      <c r="T144" s="1208"/>
      <c r="U144" s="1208"/>
      <c r="V144" s="1189"/>
      <c r="W144" s="1189"/>
      <c r="X144" s="1189"/>
      <c r="Y144" s="1189"/>
      <c r="Z144" s="1189"/>
      <c r="AA144" s="1189"/>
      <c r="AB144" s="1189"/>
      <c r="AC144" s="1189"/>
      <c r="AD144" s="1189"/>
      <c r="AE144" s="1189"/>
      <c r="AF144" s="1189"/>
      <c r="AG144" s="1189"/>
      <c r="AH144" s="1189"/>
      <c r="AI144" s="1189"/>
      <c r="AJ144" s="1189"/>
      <c r="AK144" s="1189"/>
      <c r="AL144" s="1189"/>
      <c r="AM144" s="1189"/>
      <c r="AN144" s="1189"/>
      <c r="AO144" s="1189"/>
      <c r="AP144" s="1189"/>
      <c r="AQ144" s="1189"/>
      <c r="AR144" s="1189"/>
      <c r="AS144" s="1189"/>
      <c r="AT144" s="1189"/>
      <c r="AU144" s="1189"/>
      <c r="AV144" s="1189"/>
      <c r="AW144" s="1189"/>
      <c r="AX144" s="1189"/>
    </row>
    <row r="145" spans="1:50" ht="12" customHeight="1">
      <c r="A145" s="1123"/>
      <c r="B145" s="161"/>
      <c r="C145" s="1123"/>
      <c r="D145" s="1123"/>
      <c r="E145" s="1123"/>
      <c r="F145" s="1123"/>
      <c r="G145" s="1123"/>
      <c r="H145" s="1123"/>
      <c r="I145" s="1123"/>
      <c r="J145" s="1125"/>
      <c r="K145" s="156"/>
      <c r="L145" s="1123"/>
      <c r="M145" s="1205"/>
      <c r="N145" s="1123"/>
      <c r="O145" s="1123"/>
      <c r="P145" s="1123"/>
      <c r="Q145" s="1123"/>
      <c r="R145" s="1189"/>
      <c r="S145" s="1189"/>
      <c r="T145" s="1208"/>
      <c r="U145" s="1208"/>
      <c r="V145" s="1189"/>
      <c r="W145" s="1189"/>
      <c r="X145" s="1189"/>
      <c r="Y145" s="1189"/>
      <c r="Z145" s="1189"/>
      <c r="AA145" s="1189"/>
      <c r="AB145" s="1189"/>
      <c r="AC145" s="1189"/>
      <c r="AD145" s="1189"/>
      <c r="AE145" s="1189"/>
      <c r="AF145" s="1189"/>
      <c r="AG145" s="1189"/>
      <c r="AH145" s="1189"/>
      <c r="AI145" s="1189"/>
      <c r="AJ145" s="1189"/>
      <c r="AK145" s="1189"/>
      <c r="AL145" s="1189"/>
      <c r="AM145" s="1189"/>
      <c r="AN145" s="1189"/>
      <c r="AO145" s="1189"/>
      <c r="AP145" s="1189"/>
      <c r="AQ145" s="1189"/>
      <c r="AR145" s="1189"/>
      <c r="AS145" s="1189"/>
      <c r="AT145" s="1189"/>
      <c r="AU145" s="1189"/>
      <c r="AV145" s="1189"/>
      <c r="AW145" s="1189"/>
      <c r="AX145" s="1189"/>
    </row>
    <row r="146" spans="1:50" ht="12" customHeight="1">
      <c r="A146" s="1123"/>
      <c r="B146" s="161"/>
      <c r="C146" s="1123"/>
      <c r="D146" s="1123"/>
      <c r="E146" s="1123"/>
      <c r="F146" s="1123"/>
      <c r="G146" s="1123"/>
      <c r="H146" s="1123"/>
      <c r="I146" s="1123"/>
      <c r="J146" s="1125"/>
      <c r="K146" s="156"/>
      <c r="L146" s="1123"/>
      <c r="M146" s="1205"/>
      <c r="N146" s="1123"/>
      <c r="O146" s="1123"/>
      <c r="P146" s="1123"/>
      <c r="Q146" s="1123"/>
      <c r="R146" s="1189"/>
      <c r="S146" s="1189"/>
      <c r="T146" s="1208"/>
      <c r="U146" s="1208"/>
      <c r="V146" s="1189"/>
      <c r="W146" s="1189"/>
      <c r="X146" s="1189"/>
      <c r="Y146" s="1189"/>
      <c r="Z146" s="1189"/>
      <c r="AA146" s="1189"/>
      <c r="AB146" s="1189"/>
      <c r="AC146" s="1189"/>
      <c r="AD146" s="1189"/>
      <c r="AE146" s="1189"/>
      <c r="AF146" s="1189"/>
      <c r="AG146" s="1189"/>
      <c r="AH146" s="1189"/>
      <c r="AI146" s="1189"/>
      <c r="AJ146" s="1189"/>
      <c r="AK146" s="1189"/>
      <c r="AL146" s="1189"/>
      <c r="AM146" s="1189"/>
      <c r="AN146" s="1189"/>
      <c r="AO146" s="1189"/>
      <c r="AP146" s="1189"/>
      <c r="AQ146" s="1189"/>
      <c r="AR146" s="1189"/>
      <c r="AS146" s="1189"/>
      <c r="AT146" s="1189"/>
      <c r="AU146" s="1189"/>
      <c r="AV146" s="1189"/>
      <c r="AW146" s="1189"/>
      <c r="AX146" s="1189"/>
    </row>
    <row r="147" spans="1:50" ht="12" customHeight="1">
      <c r="A147" s="1123"/>
      <c r="B147" s="161"/>
      <c r="C147" s="1123"/>
      <c r="D147" s="1123"/>
      <c r="E147" s="1123"/>
      <c r="F147" s="1123"/>
      <c r="G147" s="1123"/>
      <c r="H147" s="1123"/>
      <c r="I147" s="1123"/>
      <c r="J147" s="1125"/>
      <c r="K147" s="156"/>
      <c r="L147" s="1123"/>
      <c r="M147" s="1205"/>
      <c r="N147" s="1123"/>
      <c r="O147" s="1123"/>
      <c r="P147" s="1123"/>
      <c r="Q147" s="1123"/>
      <c r="R147" s="1189"/>
      <c r="S147" s="1189"/>
      <c r="T147" s="1208"/>
      <c r="U147" s="1208"/>
      <c r="V147" s="1189"/>
      <c r="W147" s="1189"/>
      <c r="X147" s="1189"/>
      <c r="Y147" s="1189"/>
      <c r="Z147" s="1189"/>
      <c r="AA147" s="1189"/>
      <c r="AB147" s="1189"/>
      <c r="AC147" s="1189"/>
      <c r="AD147" s="1189"/>
      <c r="AE147" s="1189"/>
      <c r="AF147" s="1189"/>
      <c r="AG147" s="1189"/>
      <c r="AH147" s="1189"/>
      <c r="AI147" s="1189"/>
      <c r="AJ147" s="1189"/>
      <c r="AK147" s="1189"/>
      <c r="AL147" s="1189"/>
      <c r="AM147" s="1189"/>
      <c r="AN147" s="1189"/>
      <c r="AO147" s="1189"/>
      <c r="AP147" s="1189"/>
      <c r="AQ147" s="1189"/>
      <c r="AR147" s="1189"/>
      <c r="AS147" s="1189"/>
      <c r="AT147" s="1189"/>
      <c r="AU147" s="1189"/>
      <c r="AV147" s="1189"/>
      <c r="AW147" s="1189"/>
      <c r="AX147" s="1189"/>
    </row>
    <row r="148" spans="1:50" ht="12" customHeight="1">
      <c r="A148" s="1123"/>
      <c r="B148" s="161"/>
      <c r="C148" s="1123"/>
      <c r="D148" s="1123"/>
      <c r="E148" s="1123"/>
      <c r="F148" s="1123"/>
      <c r="G148" s="1123"/>
      <c r="H148" s="1123"/>
      <c r="I148" s="1123"/>
      <c r="J148" s="1125"/>
      <c r="K148" s="156"/>
      <c r="L148" s="1123"/>
      <c r="M148" s="1205"/>
      <c r="N148" s="1123"/>
      <c r="O148" s="1123"/>
      <c r="P148" s="1123"/>
      <c r="Q148" s="1123"/>
      <c r="R148" s="1189"/>
      <c r="S148" s="1189"/>
      <c r="T148" s="1208"/>
      <c r="U148" s="1208"/>
      <c r="V148" s="1189"/>
      <c r="W148" s="1189"/>
      <c r="X148" s="1189"/>
      <c r="Y148" s="1189"/>
      <c r="Z148" s="1189"/>
      <c r="AA148" s="1189"/>
      <c r="AB148" s="1189"/>
      <c r="AC148" s="1189"/>
      <c r="AD148" s="1189"/>
      <c r="AE148" s="1189"/>
      <c r="AF148" s="1189"/>
      <c r="AG148" s="1189"/>
      <c r="AH148" s="1189"/>
      <c r="AI148" s="1189"/>
      <c r="AJ148" s="1189"/>
      <c r="AK148" s="1189"/>
      <c r="AL148" s="1189"/>
      <c r="AM148" s="1189"/>
      <c r="AN148" s="1189"/>
      <c r="AO148" s="1189"/>
      <c r="AP148" s="1189"/>
      <c r="AQ148" s="1189"/>
      <c r="AR148" s="1189"/>
      <c r="AS148" s="1189"/>
      <c r="AT148" s="1189"/>
      <c r="AU148" s="1189"/>
      <c r="AV148" s="1189"/>
      <c r="AW148" s="1189"/>
      <c r="AX148" s="1189"/>
    </row>
    <row r="149" spans="1:50" ht="12" customHeight="1">
      <c r="A149" s="1123"/>
      <c r="B149" s="161"/>
      <c r="C149" s="1123"/>
      <c r="D149" s="1123"/>
      <c r="E149" s="1123"/>
      <c r="F149" s="1123"/>
      <c r="G149" s="1123"/>
      <c r="H149" s="1123"/>
      <c r="I149" s="1123"/>
      <c r="J149" s="1125"/>
      <c r="K149" s="156"/>
      <c r="L149" s="1123"/>
      <c r="M149" s="1205"/>
      <c r="N149" s="1123"/>
      <c r="O149" s="1123"/>
      <c r="P149" s="1123"/>
      <c r="Q149" s="1123"/>
      <c r="R149" s="1189"/>
      <c r="S149" s="1189"/>
      <c r="T149" s="1208"/>
      <c r="U149" s="1208"/>
      <c r="V149" s="1189"/>
      <c r="W149" s="1189"/>
      <c r="X149" s="1189"/>
      <c r="Y149" s="1189"/>
      <c r="Z149" s="1189"/>
      <c r="AA149" s="1189"/>
      <c r="AB149" s="1189"/>
      <c r="AC149" s="1189"/>
      <c r="AD149" s="1189"/>
      <c r="AE149" s="1189"/>
      <c r="AF149" s="1189"/>
      <c r="AG149" s="1189"/>
      <c r="AH149" s="1189"/>
      <c r="AI149" s="1189"/>
      <c r="AJ149" s="1189"/>
      <c r="AK149" s="1189"/>
      <c r="AL149" s="1189"/>
      <c r="AM149" s="1189"/>
      <c r="AN149" s="1189"/>
      <c r="AO149" s="1189"/>
      <c r="AP149" s="1189"/>
      <c r="AQ149" s="1189"/>
      <c r="AR149" s="1189"/>
      <c r="AS149" s="1189"/>
      <c r="AT149" s="1189"/>
      <c r="AU149" s="1189"/>
      <c r="AV149" s="1189"/>
      <c r="AW149" s="1189"/>
      <c r="AX149" s="1189"/>
    </row>
    <row r="150" spans="1:50" ht="12" customHeight="1">
      <c r="A150" s="1123"/>
      <c r="B150" s="161"/>
      <c r="C150" s="1123"/>
      <c r="D150" s="1123"/>
      <c r="E150" s="1123"/>
      <c r="F150" s="1123"/>
      <c r="G150" s="1123"/>
      <c r="H150" s="1123"/>
      <c r="I150" s="1123"/>
      <c r="J150" s="1125"/>
      <c r="K150" s="156"/>
      <c r="L150" s="1123"/>
      <c r="M150" s="1205"/>
      <c r="N150" s="1123"/>
      <c r="O150" s="1123"/>
      <c r="P150" s="1123"/>
      <c r="Q150" s="1123"/>
      <c r="R150" s="1189"/>
      <c r="S150" s="1189"/>
      <c r="T150" s="1208"/>
      <c r="U150" s="1208"/>
      <c r="V150" s="1189"/>
      <c r="W150" s="1189"/>
      <c r="X150" s="1189"/>
      <c r="Y150" s="1189"/>
      <c r="Z150" s="1189"/>
      <c r="AA150" s="1189"/>
      <c r="AB150" s="1189"/>
      <c r="AC150" s="1189"/>
      <c r="AD150" s="1189"/>
      <c r="AE150" s="1189"/>
      <c r="AF150" s="1189"/>
      <c r="AG150" s="1189"/>
      <c r="AH150" s="1189"/>
      <c r="AI150" s="1189"/>
      <c r="AJ150" s="1189"/>
      <c r="AK150" s="1189"/>
      <c r="AL150" s="1189"/>
      <c r="AM150" s="1189"/>
      <c r="AN150" s="1189"/>
      <c r="AO150" s="1189"/>
      <c r="AP150" s="1189"/>
      <c r="AQ150" s="1189"/>
      <c r="AR150" s="1189"/>
      <c r="AS150" s="1189"/>
      <c r="AT150" s="1189"/>
      <c r="AU150" s="1189"/>
      <c r="AV150" s="1189"/>
      <c r="AW150" s="1189"/>
      <c r="AX150" s="1189"/>
    </row>
    <row r="151" spans="1:50" ht="12" customHeight="1">
      <c r="A151" s="1123"/>
      <c r="B151" s="161"/>
      <c r="C151" s="1123"/>
      <c r="D151" s="1123"/>
      <c r="E151" s="1123"/>
      <c r="F151" s="1123"/>
      <c r="G151" s="1123"/>
      <c r="H151" s="1123"/>
      <c r="I151" s="1123"/>
      <c r="J151" s="1125"/>
      <c r="K151" s="156"/>
      <c r="L151" s="1123"/>
      <c r="M151" s="1205"/>
      <c r="N151" s="1123"/>
      <c r="O151" s="1123"/>
      <c r="P151" s="1123"/>
      <c r="Q151" s="1123"/>
      <c r="R151" s="1189"/>
      <c r="S151" s="1189"/>
      <c r="T151" s="1208"/>
      <c r="U151" s="1208"/>
      <c r="V151" s="1189"/>
      <c r="W151" s="1189"/>
      <c r="X151" s="1189"/>
      <c r="Y151" s="1189"/>
      <c r="Z151" s="1189"/>
      <c r="AA151" s="1189"/>
      <c r="AB151" s="1189"/>
      <c r="AC151" s="1189"/>
      <c r="AD151" s="1189"/>
      <c r="AE151" s="1189"/>
      <c r="AF151" s="1189"/>
      <c r="AG151" s="1189"/>
      <c r="AH151" s="1189"/>
      <c r="AI151" s="1189"/>
      <c r="AJ151" s="1189"/>
      <c r="AK151" s="1189"/>
      <c r="AL151" s="1189"/>
      <c r="AM151" s="1189"/>
      <c r="AN151" s="1189"/>
      <c r="AO151" s="1189"/>
      <c r="AP151" s="1189"/>
      <c r="AQ151" s="1189"/>
      <c r="AR151" s="1189"/>
      <c r="AS151" s="1189"/>
      <c r="AT151" s="1189"/>
      <c r="AU151" s="1189"/>
      <c r="AV151" s="1189"/>
      <c r="AW151" s="1189"/>
      <c r="AX151" s="1189"/>
    </row>
    <row r="152" spans="1:50" ht="12" customHeight="1">
      <c r="A152" s="1123"/>
      <c r="B152" s="161"/>
      <c r="C152" s="1123"/>
      <c r="D152" s="1123"/>
      <c r="E152" s="1123"/>
      <c r="F152" s="1123"/>
      <c r="G152" s="1123"/>
      <c r="H152" s="1123"/>
      <c r="I152" s="1123"/>
      <c r="J152" s="1125"/>
      <c r="K152" s="156"/>
      <c r="L152" s="1123"/>
      <c r="M152" s="1205"/>
      <c r="N152" s="1123"/>
      <c r="O152" s="1123"/>
      <c r="P152" s="1123"/>
      <c r="Q152" s="1123"/>
      <c r="R152" s="1189"/>
      <c r="S152" s="1189"/>
      <c r="T152" s="1208"/>
      <c r="U152" s="1208"/>
      <c r="V152" s="1189"/>
      <c r="W152" s="1189"/>
      <c r="X152" s="1189"/>
      <c r="Y152" s="1189"/>
      <c r="Z152" s="1189"/>
      <c r="AA152" s="1189"/>
      <c r="AB152" s="1189"/>
      <c r="AC152" s="1189"/>
      <c r="AD152" s="1189"/>
      <c r="AE152" s="1189"/>
      <c r="AF152" s="1189"/>
      <c r="AG152" s="1189"/>
      <c r="AH152" s="1189"/>
      <c r="AI152" s="1189"/>
      <c r="AJ152" s="1189"/>
      <c r="AK152" s="1189"/>
      <c r="AL152" s="1189"/>
      <c r="AM152" s="1189"/>
      <c r="AN152" s="1189"/>
      <c r="AO152" s="1189"/>
      <c r="AP152" s="1189"/>
      <c r="AQ152" s="1189"/>
      <c r="AR152" s="1189"/>
      <c r="AS152" s="1189"/>
      <c r="AT152" s="1189"/>
      <c r="AU152" s="1189"/>
      <c r="AV152" s="1189"/>
      <c r="AW152" s="1189"/>
      <c r="AX152" s="1189"/>
    </row>
    <row r="153" spans="1:50" ht="12" customHeight="1">
      <c r="A153" s="1123"/>
      <c r="B153" s="161"/>
      <c r="C153" s="1123"/>
      <c r="D153" s="1123"/>
      <c r="E153" s="1123"/>
      <c r="F153" s="1123"/>
      <c r="G153" s="1123"/>
      <c r="H153" s="1123"/>
      <c r="I153" s="1123"/>
      <c r="J153" s="1125"/>
      <c r="K153" s="156"/>
      <c r="L153" s="1123"/>
      <c r="M153" s="1205"/>
      <c r="N153" s="1123"/>
      <c r="O153" s="1123"/>
      <c r="P153" s="1123"/>
      <c r="Q153" s="1123"/>
      <c r="R153" s="1189"/>
      <c r="S153" s="1189"/>
      <c r="T153" s="1208"/>
      <c r="U153" s="1208"/>
      <c r="V153" s="1189"/>
      <c r="W153" s="1189"/>
      <c r="X153" s="1189"/>
      <c r="Y153" s="1189"/>
      <c r="Z153" s="1189"/>
      <c r="AA153" s="1189"/>
      <c r="AB153" s="1189"/>
      <c r="AC153" s="1189"/>
      <c r="AD153" s="1189"/>
      <c r="AE153" s="1189"/>
      <c r="AF153" s="1189"/>
      <c r="AG153" s="1189"/>
      <c r="AH153" s="1189"/>
      <c r="AI153" s="1189"/>
      <c r="AJ153" s="1189"/>
      <c r="AK153" s="1189"/>
      <c r="AL153" s="1189"/>
      <c r="AM153" s="1189"/>
      <c r="AN153" s="1189"/>
      <c r="AO153" s="1189"/>
      <c r="AP153" s="1189"/>
      <c r="AQ153" s="1189"/>
      <c r="AR153" s="1189"/>
      <c r="AS153" s="1189"/>
      <c r="AT153" s="1189"/>
      <c r="AU153" s="1189"/>
      <c r="AV153" s="1189"/>
      <c r="AW153" s="1189"/>
      <c r="AX153" s="1189"/>
    </row>
    <row r="154" spans="1:50" ht="12" customHeight="1">
      <c r="A154" s="1123"/>
      <c r="B154" s="161"/>
      <c r="C154" s="1123"/>
      <c r="D154" s="1123"/>
      <c r="E154" s="1123"/>
      <c r="F154" s="1123"/>
      <c r="G154" s="1123"/>
      <c r="H154" s="1123"/>
      <c r="I154" s="1123"/>
      <c r="J154" s="1125"/>
      <c r="K154" s="156"/>
      <c r="L154" s="1123"/>
      <c r="M154" s="1205"/>
      <c r="N154" s="1123"/>
      <c r="O154" s="1123"/>
      <c r="P154" s="1123"/>
      <c r="Q154" s="1123"/>
      <c r="R154" s="1189"/>
      <c r="S154" s="1189"/>
      <c r="T154" s="1208"/>
      <c r="U154" s="1208"/>
      <c r="V154" s="1189"/>
      <c r="W154" s="1189"/>
      <c r="X154" s="1189"/>
      <c r="Y154" s="1189"/>
      <c r="Z154" s="1189"/>
      <c r="AA154" s="1189"/>
      <c r="AB154" s="1189"/>
      <c r="AC154" s="1189"/>
      <c r="AD154" s="1189"/>
      <c r="AE154" s="1189"/>
      <c r="AF154" s="1189"/>
      <c r="AG154" s="1189"/>
      <c r="AH154" s="1189"/>
      <c r="AI154" s="1189"/>
      <c r="AJ154" s="1189"/>
      <c r="AK154" s="1189"/>
      <c r="AL154" s="1189"/>
      <c r="AM154" s="1189"/>
      <c r="AN154" s="1189"/>
      <c r="AO154" s="1189"/>
      <c r="AP154" s="1189"/>
      <c r="AQ154" s="1189"/>
      <c r="AR154" s="1189"/>
      <c r="AS154" s="1189"/>
      <c r="AT154" s="1189"/>
      <c r="AU154" s="1189"/>
      <c r="AV154" s="1189"/>
      <c r="AW154" s="1189"/>
      <c r="AX154" s="1189"/>
    </row>
    <row r="155" spans="1:50" ht="12" customHeight="1">
      <c r="A155" s="1123"/>
      <c r="B155" s="161"/>
      <c r="C155" s="1123"/>
      <c r="D155" s="1123"/>
      <c r="E155" s="1123"/>
      <c r="F155" s="1123"/>
      <c r="G155" s="1123"/>
      <c r="H155" s="1123"/>
      <c r="I155" s="1123"/>
      <c r="J155" s="1125"/>
      <c r="K155" s="156"/>
      <c r="L155" s="1123"/>
      <c r="M155" s="1205"/>
      <c r="N155" s="1123"/>
      <c r="O155" s="1123"/>
      <c r="P155" s="1123"/>
      <c r="Q155" s="1123"/>
      <c r="R155" s="1189"/>
      <c r="S155" s="1189"/>
      <c r="T155" s="1208"/>
      <c r="U155" s="1208"/>
      <c r="V155" s="1189"/>
      <c r="W155" s="1189"/>
      <c r="X155" s="1189"/>
      <c r="Y155" s="1189"/>
      <c r="Z155" s="1189"/>
      <c r="AA155" s="1189"/>
      <c r="AB155" s="1189"/>
      <c r="AC155" s="1189"/>
      <c r="AD155" s="1189"/>
      <c r="AE155" s="1189"/>
      <c r="AF155" s="1189"/>
      <c r="AG155" s="1189"/>
      <c r="AH155" s="1189"/>
      <c r="AI155" s="1189"/>
      <c r="AJ155" s="1189"/>
      <c r="AK155" s="1189"/>
      <c r="AL155" s="1189"/>
      <c r="AM155" s="1189"/>
      <c r="AN155" s="1189"/>
      <c r="AO155" s="1189"/>
      <c r="AP155" s="1189"/>
      <c r="AQ155" s="1189"/>
      <c r="AR155" s="1189"/>
      <c r="AS155" s="1189"/>
      <c r="AT155" s="1189"/>
      <c r="AU155" s="1189"/>
      <c r="AV155" s="1189"/>
      <c r="AW155" s="1189"/>
      <c r="AX155" s="1189"/>
    </row>
    <row r="156" spans="1:50" ht="12" customHeight="1">
      <c r="A156" s="1123"/>
      <c r="B156" s="161"/>
      <c r="C156" s="1123"/>
      <c r="D156" s="1123"/>
      <c r="E156" s="1123"/>
      <c r="F156" s="1123"/>
      <c r="G156" s="1123"/>
      <c r="H156" s="1123"/>
      <c r="I156" s="1123"/>
      <c r="J156" s="1125"/>
      <c r="K156" s="156"/>
      <c r="L156" s="1123"/>
      <c r="M156" s="1205"/>
      <c r="N156" s="1123"/>
      <c r="O156" s="1123"/>
      <c r="P156" s="1123"/>
      <c r="Q156" s="1123"/>
      <c r="R156" s="1189"/>
      <c r="S156" s="1189"/>
      <c r="T156" s="1208"/>
      <c r="U156" s="1208"/>
      <c r="V156" s="1189"/>
      <c r="W156" s="1189"/>
      <c r="X156" s="1189"/>
      <c r="Y156" s="1189"/>
      <c r="Z156" s="1189"/>
      <c r="AA156" s="1189"/>
      <c r="AB156" s="1189"/>
      <c r="AC156" s="1189"/>
      <c r="AD156" s="1189"/>
      <c r="AE156" s="1189"/>
      <c r="AF156" s="1189"/>
      <c r="AG156" s="1189"/>
      <c r="AH156" s="1189"/>
      <c r="AI156" s="1189"/>
      <c r="AJ156" s="1189"/>
      <c r="AK156" s="1189"/>
      <c r="AL156" s="1189"/>
      <c r="AM156" s="1189"/>
      <c r="AN156" s="1189"/>
      <c r="AO156" s="1189"/>
      <c r="AP156" s="1189"/>
      <c r="AQ156" s="1189"/>
      <c r="AR156" s="1189"/>
      <c r="AS156" s="1189"/>
      <c r="AT156" s="1189"/>
      <c r="AU156" s="1189"/>
      <c r="AV156" s="1189"/>
      <c r="AW156" s="1189"/>
      <c r="AX156" s="1189"/>
    </row>
    <row r="157" spans="1:50" ht="12" customHeight="1">
      <c r="A157" s="1123"/>
      <c r="B157" s="161"/>
      <c r="C157" s="1123"/>
      <c r="D157" s="1123"/>
      <c r="E157" s="1123"/>
      <c r="F157" s="1123"/>
      <c r="G157" s="1123"/>
      <c r="H157" s="1123"/>
      <c r="I157" s="1123"/>
      <c r="J157" s="1125"/>
      <c r="K157" s="156"/>
      <c r="L157" s="1123"/>
      <c r="M157" s="1205"/>
      <c r="N157" s="1123"/>
      <c r="O157" s="1123"/>
      <c r="P157" s="1123"/>
      <c r="Q157" s="1123"/>
      <c r="R157" s="1189"/>
      <c r="S157" s="1189"/>
      <c r="T157" s="1208"/>
      <c r="U157" s="1208"/>
      <c r="V157" s="1189"/>
      <c r="W157" s="1189"/>
      <c r="X157" s="1189"/>
      <c r="Y157" s="1189"/>
      <c r="Z157" s="1189"/>
      <c r="AA157" s="1189"/>
      <c r="AB157" s="1189"/>
      <c r="AC157" s="1189"/>
      <c r="AD157" s="1189"/>
      <c r="AE157" s="1189"/>
      <c r="AF157" s="1189"/>
      <c r="AG157" s="1189"/>
      <c r="AH157" s="1189"/>
      <c r="AI157" s="1189"/>
      <c r="AJ157" s="1189"/>
      <c r="AK157" s="1189"/>
      <c r="AL157" s="1189"/>
      <c r="AM157" s="1189"/>
      <c r="AN157" s="1189"/>
      <c r="AO157" s="1189"/>
      <c r="AP157" s="1189"/>
      <c r="AQ157" s="1189"/>
      <c r="AR157" s="1189"/>
      <c r="AS157" s="1189"/>
      <c r="AT157" s="1189"/>
      <c r="AU157" s="1189"/>
      <c r="AV157" s="1189"/>
      <c r="AW157" s="1189"/>
      <c r="AX157" s="1189"/>
    </row>
    <row r="158" spans="1:50" ht="12" customHeight="1">
      <c r="A158" s="1123"/>
      <c r="B158" s="161"/>
      <c r="C158" s="1123"/>
      <c r="D158" s="1123"/>
      <c r="E158" s="1123"/>
      <c r="F158" s="1123"/>
      <c r="G158" s="1123"/>
      <c r="H158" s="1123"/>
      <c r="I158" s="1123"/>
      <c r="J158" s="1125"/>
      <c r="K158" s="156"/>
      <c r="L158" s="1123"/>
      <c r="M158" s="1205"/>
      <c r="N158" s="1123"/>
      <c r="O158" s="1123"/>
      <c r="P158" s="1123"/>
      <c r="Q158" s="1123"/>
      <c r="R158" s="1189"/>
      <c r="S158" s="1189"/>
      <c r="T158" s="1208"/>
      <c r="U158" s="1208"/>
      <c r="V158" s="1189"/>
      <c r="W158" s="1189"/>
      <c r="X158" s="1189"/>
      <c r="Y158" s="1189"/>
      <c r="Z158" s="1189"/>
      <c r="AA158" s="1189"/>
      <c r="AB158" s="1189"/>
      <c r="AC158" s="1189"/>
      <c r="AD158" s="1189"/>
      <c r="AE158" s="1189"/>
      <c r="AF158" s="1189"/>
      <c r="AG158" s="1189"/>
      <c r="AH158" s="1189"/>
      <c r="AI158" s="1189"/>
      <c r="AJ158" s="1189"/>
      <c r="AK158" s="1189"/>
      <c r="AL158" s="1189"/>
      <c r="AM158" s="1189"/>
      <c r="AN158" s="1189"/>
      <c r="AO158" s="1189"/>
      <c r="AP158" s="1189"/>
      <c r="AQ158" s="1189"/>
      <c r="AR158" s="1189"/>
      <c r="AS158" s="1189"/>
      <c r="AT158" s="1189"/>
      <c r="AU158" s="1189"/>
      <c r="AV158" s="1189"/>
      <c r="AW158" s="1189"/>
      <c r="AX158" s="1189"/>
    </row>
    <row r="159" spans="1:50" ht="12" customHeight="1">
      <c r="A159" s="1123"/>
      <c r="B159" s="161"/>
      <c r="C159" s="1123"/>
      <c r="D159" s="1123"/>
      <c r="E159" s="1123"/>
      <c r="F159" s="1123"/>
      <c r="G159" s="1123"/>
      <c r="H159" s="1123"/>
      <c r="I159" s="1123"/>
      <c r="J159" s="1125"/>
      <c r="K159" s="156"/>
      <c r="L159" s="1123"/>
      <c r="M159" s="1205"/>
      <c r="N159" s="1123"/>
      <c r="O159" s="1123"/>
      <c r="P159" s="1123"/>
      <c r="Q159" s="1123"/>
      <c r="R159" s="1189"/>
      <c r="S159" s="1189"/>
      <c r="T159" s="1208"/>
      <c r="U159" s="1208"/>
      <c r="V159" s="1189"/>
      <c r="W159" s="1189"/>
      <c r="X159" s="1189"/>
      <c r="Y159" s="1189"/>
      <c r="Z159" s="1189"/>
      <c r="AA159" s="1189"/>
      <c r="AB159" s="1189"/>
      <c r="AC159" s="1189"/>
      <c r="AD159" s="1189"/>
      <c r="AE159" s="1189"/>
      <c r="AF159" s="1189"/>
      <c r="AG159" s="1189"/>
      <c r="AH159" s="1189"/>
      <c r="AI159" s="1189"/>
      <c r="AJ159" s="1189"/>
      <c r="AK159" s="1189"/>
      <c r="AL159" s="1189"/>
      <c r="AM159" s="1189"/>
      <c r="AN159" s="1189"/>
      <c r="AO159" s="1189"/>
      <c r="AP159" s="1189"/>
      <c r="AQ159" s="1189"/>
      <c r="AR159" s="1189"/>
      <c r="AS159" s="1189"/>
      <c r="AT159" s="1189"/>
      <c r="AU159" s="1189"/>
      <c r="AV159" s="1189"/>
      <c r="AW159" s="1189"/>
      <c r="AX159" s="1189"/>
    </row>
    <row r="160" spans="1:50" ht="12" customHeight="1">
      <c r="A160" s="1123"/>
      <c r="B160" s="161"/>
      <c r="C160" s="1123"/>
      <c r="D160" s="1123"/>
      <c r="E160" s="1123"/>
      <c r="F160" s="1123"/>
      <c r="G160" s="1123"/>
      <c r="H160" s="1123"/>
      <c r="I160" s="1123"/>
      <c r="J160" s="1125"/>
      <c r="K160" s="156"/>
      <c r="L160" s="1123"/>
      <c r="M160" s="1205"/>
      <c r="N160" s="1123"/>
      <c r="O160" s="1123"/>
      <c r="P160" s="1123"/>
      <c r="Q160" s="1123"/>
      <c r="R160" s="1189"/>
      <c r="S160" s="1189"/>
      <c r="T160" s="1208"/>
      <c r="U160" s="1208"/>
      <c r="V160" s="1189"/>
      <c r="W160" s="1189"/>
      <c r="X160" s="1189"/>
      <c r="Y160" s="1189"/>
      <c r="Z160" s="1189"/>
      <c r="AA160" s="1189"/>
      <c r="AB160" s="1189"/>
      <c r="AC160" s="1189"/>
      <c r="AD160" s="1189"/>
      <c r="AE160" s="1189"/>
      <c r="AF160" s="1189"/>
      <c r="AG160" s="1189"/>
      <c r="AH160" s="1189"/>
      <c r="AI160" s="1189"/>
      <c r="AJ160" s="1189"/>
      <c r="AK160" s="1189"/>
      <c r="AL160" s="1189"/>
      <c r="AM160" s="1189"/>
      <c r="AN160" s="1189"/>
      <c r="AO160" s="1189"/>
      <c r="AP160" s="1189"/>
      <c r="AQ160" s="1189"/>
      <c r="AR160" s="1189"/>
      <c r="AS160" s="1189"/>
      <c r="AT160" s="1189"/>
      <c r="AU160" s="1189"/>
      <c r="AV160" s="1189"/>
      <c r="AW160" s="1189"/>
      <c r="AX160" s="1189"/>
    </row>
    <row r="161" spans="1:50" ht="12" customHeight="1">
      <c r="A161" s="1123"/>
      <c r="B161" s="161"/>
      <c r="C161" s="1123"/>
      <c r="D161" s="1123"/>
      <c r="E161" s="1123"/>
      <c r="F161" s="1123"/>
      <c r="G161" s="1123"/>
      <c r="H161" s="1123"/>
      <c r="I161" s="1123"/>
      <c r="J161" s="1125"/>
      <c r="K161" s="156"/>
      <c r="L161" s="1123"/>
      <c r="M161" s="1205"/>
      <c r="N161" s="1123"/>
      <c r="O161" s="1123"/>
      <c r="P161" s="1123"/>
      <c r="Q161" s="1123"/>
      <c r="R161" s="1189"/>
      <c r="S161" s="1189"/>
      <c r="T161" s="1208"/>
      <c r="U161" s="1208"/>
      <c r="V161" s="1189"/>
      <c r="W161" s="1189"/>
      <c r="X161" s="1189"/>
      <c r="Y161" s="1189"/>
      <c r="Z161" s="1189"/>
      <c r="AA161" s="1189"/>
      <c r="AB161" s="1189"/>
      <c r="AC161" s="1189"/>
      <c r="AD161" s="1189"/>
      <c r="AE161" s="1189"/>
      <c r="AF161" s="1189"/>
      <c r="AG161" s="1189"/>
      <c r="AH161" s="1189"/>
      <c r="AI161" s="1189"/>
      <c r="AJ161" s="1189"/>
      <c r="AK161" s="1189"/>
      <c r="AL161" s="1189"/>
      <c r="AM161" s="1189"/>
      <c r="AN161" s="1189"/>
      <c r="AO161" s="1189"/>
      <c r="AP161" s="1189"/>
      <c r="AQ161" s="1189"/>
      <c r="AR161" s="1189"/>
      <c r="AS161" s="1189"/>
      <c r="AT161" s="1189"/>
      <c r="AU161" s="1189"/>
      <c r="AV161" s="1189"/>
      <c r="AW161" s="1189"/>
      <c r="AX161" s="1189"/>
    </row>
    <row r="162" spans="1:50" ht="12" customHeight="1">
      <c r="A162" s="1123"/>
      <c r="B162" s="161"/>
      <c r="C162" s="1123"/>
      <c r="D162" s="1123"/>
      <c r="E162" s="1123"/>
      <c r="F162" s="1123"/>
      <c r="G162" s="1123"/>
      <c r="H162" s="1123"/>
      <c r="I162" s="1123"/>
      <c r="J162" s="1125"/>
      <c r="K162" s="156"/>
      <c r="L162" s="1123"/>
      <c r="M162" s="1205"/>
      <c r="N162" s="1123"/>
      <c r="O162" s="1123"/>
      <c r="P162" s="1123"/>
      <c r="Q162" s="1123"/>
      <c r="R162" s="1189"/>
      <c r="S162" s="1189"/>
      <c r="T162" s="1208"/>
      <c r="U162" s="1208"/>
      <c r="V162" s="1189"/>
      <c r="W162" s="1189"/>
      <c r="X162" s="1189"/>
      <c r="Y162" s="1189"/>
      <c r="Z162" s="1189"/>
      <c r="AA162" s="1189"/>
      <c r="AB162" s="1189"/>
      <c r="AC162" s="1189"/>
      <c r="AD162" s="1189"/>
      <c r="AE162" s="1189"/>
      <c r="AF162" s="1189"/>
      <c r="AG162" s="1189"/>
      <c r="AH162" s="1189"/>
      <c r="AI162" s="1189"/>
      <c r="AJ162" s="1189"/>
      <c r="AK162" s="1189"/>
      <c r="AL162" s="1189"/>
      <c r="AM162" s="1189"/>
      <c r="AN162" s="1189"/>
      <c r="AO162" s="1189"/>
      <c r="AP162" s="1189"/>
      <c r="AQ162" s="1189"/>
      <c r="AR162" s="1189"/>
      <c r="AS162" s="1189"/>
      <c r="AT162" s="1189"/>
      <c r="AU162" s="1189"/>
      <c r="AV162" s="1189"/>
      <c r="AW162" s="1189"/>
      <c r="AX162" s="1189"/>
    </row>
    <row r="163" spans="1:50" ht="12" customHeight="1">
      <c r="A163" s="1123"/>
      <c r="B163" s="161"/>
      <c r="C163" s="1123"/>
      <c r="D163" s="1123"/>
      <c r="E163" s="1123"/>
      <c r="F163" s="1123"/>
      <c r="G163" s="1123"/>
      <c r="H163" s="1123"/>
      <c r="I163" s="1123"/>
      <c r="J163" s="1125"/>
      <c r="K163" s="156"/>
      <c r="L163" s="1123"/>
      <c r="M163" s="1205"/>
      <c r="N163" s="1123"/>
      <c r="O163" s="1123"/>
      <c r="P163" s="1123"/>
      <c r="Q163" s="1123"/>
      <c r="R163" s="1189"/>
      <c r="S163" s="1189"/>
      <c r="T163" s="1208"/>
      <c r="U163" s="1208"/>
      <c r="V163" s="1189"/>
      <c r="W163" s="1189"/>
      <c r="X163" s="1189"/>
      <c r="Y163" s="1189"/>
      <c r="Z163" s="1189"/>
      <c r="AA163" s="1189"/>
      <c r="AB163" s="1189"/>
      <c r="AC163" s="1189"/>
      <c r="AD163" s="1189"/>
      <c r="AE163" s="1189"/>
      <c r="AF163" s="1189"/>
      <c r="AG163" s="1189"/>
      <c r="AH163" s="1189"/>
      <c r="AI163" s="1189"/>
      <c r="AJ163" s="1189"/>
      <c r="AK163" s="1189"/>
      <c r="AL163" s="1189"/>
      <c r="AM163" s="1189"/>
      <c r="AN163" s="1189"/>
      <c r="AO163" s="1189"/>
      <c r="AP163" s="1189"/>
      <c r="AQ163" s="1189"/>
      <c r="AR163" s="1189"/>
      <c r="AS163" s="1189"/>
      <c r="AT163" s="1189"/>
      <c r="AU163" s="1189"/>
      <c r="AV163" s="1189"/>
      <c r="AW163" s="1189"/>
      <c r="AX163" s="1189"/>
    </row>
    <row r="164" spans="1:50" ht="12" customHeight="1">
      <c r="A164" s="1123"/>
      <c r="B164" s="161"/>
      <c r="C164" s="1123"/>
      <c r="D164" s="1123"/>
      <c r="E164" s="1123"/>
      <c r="F164" s="1123"/>
      <c r="G164" s="1123"/>
      <c r="H164" s="1123"/>
      <c r="I164" s="1123"/>
      <c r="J164" s="1125"/>
      <c r="K164" s="156"/>
      <c r="L164" s="1123"/>
      <c r="M164" s="1205"/>
      <c r="N164" s="1123"/>
      <c r="O164" s="1123"/>
      <c r="P164" s="1123"/>
      <c r="Q164" s="1123"/>
      <c r="R164" s="1189"/>
      <c r="S164" s="1189"/>
      <c r="T164" s="1208"/>
      <c r="U164" s="1208"/>
      <c r="V164" s="1189"/>
      <c r="W164" s="1189"/>
      <c r="X164" s="1189"/>
      <c r="Y164" s="1189"/>
      <c r="Z164" s="1189"/>
      <c r="AA164" s="1189"/>
      <c r="AB164" s="1189"/>
      <c r="AC164" s="1189"/>
      <c r="AD164" s="1189"/>
      <c r="AE164" s="1189"/>
      <c r="AF164" s="1189"/>
      <c r="AG164" s="1189"/>
      <c r="AH164" s="1189"/>
      <c r="AI164" s="1189"/>
      <c r="AJ164" s="1189"/>
      <c r="AK164" s="1189"/>
      <c r="AL164" s="1189"/>
      <c r="AM164" s="1189"/>
      <c r="AN164" s="1189"/>
      <c r="AO164" s="1189"/>
      <c r="AP164" s="1189"/>
      <c r="AQ164" s="1189"/>
      <c r="AR164" s="1189"/>
      <c r="AS164" s="1189"/>
      <c r="AT164" s="1189"/>
      <c r="AU164" s="1189"/>
      <c r="AV164" s="1189"/>
      <c r="AW164" s="1189"/>
      <c r="AX164" s="1189"/>
    </row>
    <row r="165" spans="1:50" ht="12" customHeight="1">
      <c r="A165" s="1123"/>
      <c r="B165" s="161"/>
      <c r="C165" s="1123"/>
      <c r="D165" s="1123"/>
      <c r="E165" s="1123"/>
      <c r="F165" s="1123"/>
      <c r="G165" s="1123"/>
      <c r="H165" s="1123"/>
      <c r="I165" s="1123"/>
      <c r="J165" s="1125"/>
      <c r="K165" s="156"/>
      <c r="L165" s="1123"/>
      <c r="M165" s="1205"/>
      <c r="N165" s="1123"/>
      <c r="O165" s="1123"/>
      <c r="P165" s="1123"/>
      <c r="Q165" s="1123"/>
      <c r="R165" s="1189"/>
      <c r="S165" s="1189"/>
      <c r="T165" s="1208"/>
      <c r="U165" s="1208"/>
      <c r="V165" s="1189"/>
      <c r="W165" s="1189"/>
      <c r="X165" s="1189"/>
      <c r="Y165" s="1189"/>
      <c r="Z165" s="1189"/>
      <c r="AA165" s="1189"/>
      <c r="AB165" s="1189"/>
      <c r="AC165" s="1189"/>
      <c r="AD165" s="1189"/>
      <c r="AE165" s="1189"/>
      <c r="AF165" s="1189"/>
      <c r="AG165" s="1189"/>
      <c r="AH165" s="1189"/>
      <c r="AI165" s="1189"/>
      <c r="AJ165" s="1189"/>
      <c r="AK165" s="1189"/>
      <c r="AL165" s="1189"/>
      <c r="AM165" s="1189"/>
      <c r="AN165" s="1189"/>
      <c r="AO165" s="1189"/>
      <c r="AP165" s="1189"/>
      <c r="AQ165" s="1189"/>
      <c r="AR165" s="1189"/>
      <c r="AS165" s="1189"/>
      <c r="AT165" s="1189"/>
      <c r="AU165" s="1189"/>
      <c r="AV165" s="1189"/>
      <c r="AW165" s="1189"/>
      <c r="AX165" s="1189"/>
    </row>
    <row r="166" spans="1:50" ht="12" customHeight="1">
      <c r="A166" s="1123"/>
      <c r="B166" s="161"/>
      <c r="C166" s="1123"/>
      <c r="D166" s="1123"/>
      <c r="E166" s="1123"/>
      <c r="F166" s="1123"/>
      <c r="G166" s="1123"/>
      <c r="H166" s="1123"/>
      <c r="I166" s="1123"/>
      <c r="J166" s="1125"/>
      <c r="K166" s="156"/>
      <c r="L166" s="1123"/>
      <c r="M166" s="1205"/>
      <c r="N166" s="1123"/>
      <c r="O166" s="1123"/>
      <c r="P166" s="1123"/>
      <c r="Q166" s="1123"/>
      <c r="R166" s="1189"/>
      <c r="S166" s="1189"/>
      <c r="T166" s="1208"/>
      <c r="U166" s="1208"/>
      <c r="V166" s="1189"/>
      <c r="W166" s="1189"/>
      <c r="X166" s="1189"/>
      <c r="Y166" s="1189"/>
      <c r="Z166" s="1189"/>
      <c r="AA166" s="1189"/>
      <c r="AB166" s="1189"/>
      <c r="AC166" s="1189"/>
      <c r="AD166" s="1189"/>
      <c r="AE166" s="1189"/>
      <c r="AF166" s="1189"/>
      <c r="AG166" s="1189"/>
      <c r="AH166" s="1189"/>
      <c r="AI166" s="1189"/>
      <c r="AJ166" s="1189"/>
      <c r="AK166" s="1189"/>
      <c r="AL166" s="1189"/>
      <c r="AM166" s="1189"/>
      <c r="AN166" s="1189"/>
      <c r="AO166" s="1189"/>
      <c r="AP166" s="1189"/>
      <c r="AQ166" s="1189"/>
      <c r="AR166" s="1189"/>
      <c r="AS166" s="1189"/>
      <c r="AT166" s="1189"/>
      <c r="AU166" s="1189"/>
      <c r="AV166" s="1189"/>
      <c r="AW166" s="1189"/>
      <c r="AX166" s="1189"/>
    </row>
    <row r="167" spans="1:50" ht="10.5" customHeight="1">
      <c r="A167" s="1123"/>
      <c r="B167" s="161"/>
      <c r="C167" s="1123"/>
      <c r="D167" s="1123"/>
      <c r="E167" s="1123"/>
      <c r="F167" s="1123"/>
      <c r="G167" s="1123"/>
      <c r="H167" s="1123"/>
      <c r="I167" s="1123"/>
      <c r="J167" s="1125"/>
      <c r="K167" s="156"/>
      <c r="L167" s="1123"/>
      <c r="M167" s="1205"/>
      <c r="N167" s="1123"/>
      <c r="O167" s="1123"/>
      <c r="P167" s="1123"/>
      <c r="Q167" s="1123"/>
      <c r="R167" s="1189"/>
      <c r="S167" s="1189"/>
      <c r="T167" s="1208"/>
      <c r="U167" s="1208"/>
      <c r="V167" s="1189"/>
      <c r="W167" s="1189"/>
      <c r="X167" s="1189"/>
      <c r="Y167" s="1189"/>
      <c r="Z167" s="1189"/>
      <c r="AA167" s="1189"/>
      <c r="AB167" s="1189"/>
      <c r="AC167" s="1189"/>
      <c r="AD167" s="1189"/>
      <c r="AE167" s="1189"/>
      <c r="AF167" s="1189"/>
      <c r="AG167" s="1189"/>
      <c r="AH167" s="1189"/>
      <c r="AI167" s="1189"/>
      <c r="AJ167" s="1189"/>
      <c r="AK167" s="1189"/>
      <c r="AL167" s="1189"/>
      <c r="AM167" s="1189"/>
      <c r="AN167" s="1189"/>
      <c r="AO167" s="1189"/>
      <c r="AP167" s="1189"/>
      <c r="AQ167" s="1189"/>
      <c r="AR167" s="1189"/>
      <c r="AS167" s="1189"/>
      <c r="AT167" s="1189"/>
      <c r="AU167" s="1189"/>
      <c r="AV167" s="1189"/>
      <c r="AW167" s="1189"/>
      <c r="AX167" s="1189"/>
    </row>
    <row r="168" spans="1:50" ht="12" customHeight="1">
      <c r="A168" s="1123"/>
      <c r="B168" s="161"/>
      <c r="C168" s="1123"/>
      <c r="D168" s="1123"/>
      <c r="E168" s="1123"/>
      <c r="F168" s="1123"/>
      <c r="G168" s="1123"/>
      <c r="H168" s="1123"/>
      <c r="I168" s="1123"/>
      <c r="J168" s="1125"/>
      <c r="K168" s="156"/>
      <c r="L168" s="1123"/>
      <c r="M168" s="1205"/>
      <c r="N168" s="1123"/>
      <c r="O168" s="1123"/>
      <c r="P168" s="1123"/>
      <c r="Q168" s="1123"/>
      <c r="R168" s="1189"/>
      <c r="S168" s="1189"/>
      <c r="T168" s="1208"/>
      <c r="U168" s="1208"/>
      <c r="V168" s="1189"/>
      <c r="W168" s="1189"/>
      <c r="X168" s="1189"/>
      <c r="Y168" s="1189"/>
      <c r="Z168" s="1189"/>
      <c r="AA168" s="1189"/>
      <c r="AB168" s="1189"/>
      <c r="AC168" s="1189"/>
      <c r="AD168" s="1189"/>
      <c r="AE168" s="1189"/>
      <c r="AF168" s="1189"/>
      <c r="AG168" s="1189"/>
      <c r="AH168" s="1189"/>
      <c r="AI168" s="1189"/>
      <c r="AJ168" s="1189"/>
      <c r="AK168" s="1189"/>
      <c r="AL168" s="1189"/>
      <c r="AM168" s="1189"/>
      <c r="AN168" s="1189"/>
      <c r="AO168" s="1189"/>
      <c r="AP168" s="1189"/>
      <c r="AQ168" s="1189"/>
      <c r="AR168" s="1189"/>
      <c r="AS168" s="1189"/>
      <c r="AT168" s="1189"/>
      <c r="AU168" s="1189"/>
      <c r="AV168" s="1189"/>
      <c r="AW168" s="1189"/>
      <c r="AX168" s="1189"/>
    </row>
    <row r="169" spans="1:50" ht="12" customHeight="1">
      <c r="A169" s="1123"/>
      <c r="B169" s="161"/>
      <c r="C169" s="1123"/>
      <c r="D169" s="1123"/>
      <c r="E169" s="1123"/>
      <c r="F169" s="1123"/>
      <c r="G169" s="1123"/>
      <c r="H169" s="1123"/>
      <c r="I169" s="1123"/>
      <c r="J169" s="1125"/>
      <c r="K169" s="156"/>
      <c r="L169" s="1123"/>
      <c r="M169" s="1205"/>
      <c r="N169" s="1123"/>
      <c r="O169" s="1123"/>
      <c r="P169" s="1123"/>
      <c r="Q169" s="1123"/>
      <c r="R169" s="1189"/>
      <c r="S169" s="1189"/>
      <c r="T169" s="1208"/>
      <c r="U169" s="1208"/>
      <c r="V169" s="1189"/>
      <c r="W169" s="1189"/>
      <c r="X169" s="1189"/>
      <c r="Y169" s="1189"/>
      <c r="Z169" s="1189"/>
      <c r="AA169" s="1189"/>
      <c r="AB169" s="1189"/>
      <c r="AC169" s="1189"/>
      <c r="AD169" s="1189"/>
      <c r="AE169" s="1189"/>
      <c r="AF169" s="1189"/>
      <c r="AG169" s="1189"/>
      <c r="AH169" s="1189"/>
      <c r="AI169" s="1189"/>
      <c r="AJ169" s="1189"/>
      <c r="AK169" s="1189"/>
      <c r="AL169" s="1189"/>
      <c r="AM169" s="1189"/>
      <c r="AN169" s="1189"/>
      <c r="AO169" s="1189"/>
      <c r="AP169" s="1189"/>
      <c r="AQ169" s="1189"/>
      <c r="AR169" s="1189"/>
      <c r="AS169" s="1189"/>
      <c r="AT169" s="1189"/>
      <c r="AU169" s="1189"/>
      <c r="AV169" s="1189"/>
      <c r="AW169" s="1189"/>
      <c r="AX169" s="1189"/>
    </row>
    <row r="170" spans="1:50" ht="12" customHeight="1">
      <c r="A170" s="1123"/>
      <c r="B170" s="161"/>
      <c r="C170" s="1123"/>
      <c r="D170" s="1123"/>
      <c r="E170" s="1123"/>
      <c r="F170" s="1123"/>
      <c r="G170" s="1123"/>
      <c r="H170" s="1123"/>
      <c r="I170" s="1123"/>
      <c r="J170" s="1125"/>
      <c r="K170" s="156"/>
      <c r="L170" s="1123"/>
      <c r="M170" s="1205"/>
      <c r="N170" s="1123"/>
      <c r="O170" s="1123"/>
      <c r="P170" s="1123"/>
      <c r="Q170" s="1123"/>
      <c r="R170" s="1189"/>
      <c r="S170" s="1189"/>
      <c r="T170" s="1208"/>
      <c r="U170" s="1208"/>
      <c r="V170" s="1189"/>
      <c r="W170" s="1189"/>
      <c r="X170" s="1189"/>
      <c r="Y170" s="1189"/>
      <c r="Z170" s="1189"/>
      <c r="AA170" s="1189"/>
      <c r="AB170" s="1189"/>
      <c r="AC170" s="1189"/>
      <c r="AD170" s="1189"/>
      <c r="AE170" s="1189"/>
      <c r="AF170" s="1189"/>
      <c r="AG170" s="1189"/>
      <c r="AH170" s="1189"/>
      <c r="AI170" s="1189"/>
      <c r="AJ170" s="1189"/>
      <c r="AK170" s="1189"/>
      <c r="AL170" s="1189"/>
      <c r="AM170" s="1189"/>
      <c r="AN170" s="1189"/>
      <c r="AO170" s="1189"/>
      <c r="AP170" s="1189"/>
      <c r="AQ170" s="1189"/>
      <c r="AR170" s="1189"/>
      <c r="AS170" s="1189"/>
      <c r="AT170" s="1189"/>
      <c r="AU170" s="1189"/>
      <c r="AV170" s="1189"/>
      <c r="AW170" s="1189"/>
      <c r="AX170" s="1189"/>
    </row>
    <row r="171" spans="1:50" ht="12" customHeight="1">
      <c r="A171" s="1123"/>
      <c r="B171" s="161"/>
      <c r="C171" s="1123"/>
      <c r="D171" s="1123"/>
      <c r="E171" s="1123"/>
      <c r="F171" s="1123"/>
      <c r="G171" s="1123"/>
      <c r="H171" s="1123"/>
      <c r="I171" s="1123"/>
      <c r="J171" s="1125"/>
      <c r="K171" s="156"/>
      <c r="L171" s="1123"/>
      <c r="M171" s="1205"/>
      <c r="N171" s="1123"/>
      <c r="O171" s="1123"/>
      <c r="P171" s="1123"/>
      <c r="Q171" s="1123"/>
      <c r="R171" s="1189"/>
      <c r="S171" s="1189"/>
      <c r="T171" s="1208"/>
      <c r="U171" s="1208"/>
      <c r="V171" s="1189"/>
      <c r="W171" s="1189"/>
      <c r="X171" s="1189"/>
      <c r="Y171" s="1189"/>
      <c r="Z171" s="1189"/>
      <c r="AA171" s="1189"/>
      <c r="AB171" s="1189"/>
      <c r="AC171" s="1189"/>
      <c r="AD171" s="1189"/>
      <c r="AE171" s="1189"/>
      <c r="AF171" s="1189"/>
      <c r="AG171" s="1189"/>
      <c r="AH171" s="1189"/>
      <c r="AI171" s="1189"/>
      <c r="AJ171" s="1189"/>
      <c r="AK171" s="1189"/>
      <c r="AL171" s="1189"/>
      <c r="AM171" s="1189"/>
      <c r="AN171" s="1189"/>
      <c r="AO171" s="1189"/>
      <c r="AP171" s="1189"/>
      <c r="AQ171" s="1189"/>
      <c r="AR171" s="1189"/>
      <c r="AS171" s="1189"/>
      <c r="AT171" s="1189"/>
      <c r="AU171" s="1189"/>
      <c r="AV171" s="1189"/>
      <c r="AW171" s="1189"/>
      <c r="AX171" s="1189"/>
    </row>
    <row r="172" spans="1:50" ht="12" customHeight="1">
      <c r="A172" s="1123"/>
      <c r="B172" s="161"/>
      <c r="C172" s="1123"/>
      <c r="D172" s="1123"/>
      <c r="E172" s="1123"/>
      <c r="F172" s="1123"/>
      <c r="G172" s="1123"/>
      <c r="H172" s="1123"/>
      <c r="I172" s="1123"/>
      <c r="J172" s="1125"/>
      <c r="K172" s="156"/>
      <c r="L172" s="1123"/>
      <c r="M172" s="1205"/>
      <c r="N172" s="1123"/>
      <c r="O172" s="1123"/>
      <c r="P172" s="1123"/>
      <c r="Q172" s="1123"/>
      <c r="R172" s="1189"/>
      <c r="S172" s="1189"/>
      <c r="T172" s="1208"/>
      <c r="U172" s="1208"/>
      <c r="V172" s="1189"/>
      <c r="W172" s="1189"/>
      <c r="X172" s="1189"/>
      <c r="Y172" s="1189"/>
      <c r="Z172" s="1189"/>
      <c r="AA172" s="1189"/>
      <c r="AB172" s="1189"/>
      <c r="AC172" s="1189"/>
      <c r="AD172" s="1189"/>
      <c r="AE172" s="1189"/>
      <c r="AF172" s="1189"/>
      <c r="AG172" s="1189"/>
      <c r="AH172" s="1189"/>
      <c r="AI172" s="1189"/>
      <c r="AJ172" s="1189"/>
      <c r="AK172" s="1189"/>
      <c r="AL172" s="1189"/>
      <c r="AM172" s="1189"/>
      <c r="AN172" s="1189"/>
      <c r="AO172" s="1189"/>
      <c r="AP172" s="1189"/>
      <c r="AQ172" s="1189"/>
      <c r="AR172" s="1189"/>
      <c r="AS172" s="1189"/>
      <c r="AT172" s="1189"/>
      <c r="AU172" s="1189"/>
      <c r="AV172" s="1189"/>
      <c r="AW172" s="1189"/>
      <c r="AX172" s="1189"/>
    </row>
    <row r="173" spans="1:50" ht="12" customHeight="1">
      <c r="A173" s="1123"/>
      <c r="B173" s="161"/>
      <c r="C173" s="1123"/>
      <c r="D173" s="1123"/>
      <c r="E173" s="1123"/>
      <c r="F173" s="1123"/>
      <c r="G173" s="1123"/>
      <c r="H173" s="1123"/>
      <c r="I173" s="1123"/>
      <c r="J173" s="1125"/>
      <c r="K173" s="156"/>
      <c r="L173" s="1123"/>
      <c r="M173" s="1205"/>
      <c r="N173" s="1123"/>
      <c r="O173" s="1123"/>
      <c r="P173" s="1123"/>
      <c r="Q173" s="1123"/>
      <c r="R173" s="1189"/>
      <c r="S173" s="1189"/>
      <c r="T173" s="1208"/>
      <c r="U173" s="1208"/>
      <c r="V173" s="1189"/>
      <c r="W173" s="1189"/>
      <c r="X173" s="1189"/>
      <c r="Y173" s="1189"/>
      <c r="Z173" s="1189"/>
      <c r="AA173" s="1189"/>
      <c r="AB173" s="1189"/>
      <c r="AC173" s="1189"/>
      <c r="AD173" s="1189"/>
      <c r="AE173" s="1189"/>
      <c r="AF173" s="1189"/>
      <c r="AG173" s="1189"/>
      <c r="AH173" s="1189"/>
      <c r="AI173" s="1189"/>
      <c r="AJ173" s="1189"/>
      <c r="AK173" s="1189"/>
      <c r="AL173" s="1189"/>
      <c r="AM173" s="1189"/>
      <c r="AN173" s="1189"/>
      <c r="AO173" s="1189"/>
      <c r="AP173" s="1189"/>
      <c r="AQ173" s="1189"/>
      <c r="AR173" s="1189"/>
      <c r="AS173" s="1189"/>
      <c r="AT173" s="1189"/>
      <c r="AU173" s="1189"/>
      <c r="AV173" s="1189"/>
      <c r="AW173" s="1189"/>
      <c r="AX173" s="1189"/>
    </row>
    <row r="174" spans="1:50" ht="12" customHeight="1">
      <c r="A174" s="1123"/>
      <c r="B174" s="161"/>
      <c r="C174" s="1123"/>
      <c r="D174" s="1123"/>
      <c r="E174" s="1123"/>
      <c r="F174" s="1123"/>
      <c r="G174" s="1123"/>
      <c r="H174" s="1123"/>
      <c r="I174" s="1123"/>
      <c r="J174" s="1125"/>
      <c r="K174" s="156"/>
      <c r="L174" s="1123"/>
      <c r="M174" s="1205"/>
      <c r="N174" s="1123"/>
      <c r="O174" s="1123"/>
      <c r="P174" s="1123"/>
      <c r="Q174" s="1123"/>
      <c r="R174" s="1189"/>
      <c r="S174" s="1189"/>
      <c r="T174" s="1208"/>
      <c r="U174" s="1208"/>
      <c r="V174" s="1189"/>
      <c r="W174" s="1189"/>
      <c r="X174" s="1189"/>
      <c r="Y174" s="1189"/>
      <c r="Z174" s="1189"/>
      <c r="AA174" s="1189"/>
      <c r="AB174" s="1189"/>
      <c r="AC174" s="1189"/>
      <c r="AD174" s="1189"/>
      <c r="AE174" s="1189"/>
      <c r="AF174" s="1189"/>
      <c r="AG174" s="1189"/>
      <c r="AH174" s="1189"/>
      <c r="AI174" s="1189"/>
      <c r="AJ174" s="1189"/>
      <c r="AK174" s="1189"/>
      <c r="AL174" s="1189"/>
      <c r="AM174" s="1189"/>
      <c r="AN174" s="1189"/>
      <c r="AO174" s="1189"/>
      <c r="AP174" s="1189"/>
      <c r="AQ174" s="1189"/>
      <c r="AR174" s="1189"/>
      <c r="AS174" s="1189"/>
      <c r="AT174" s="1189"/>
      <c r="AU174" s="1189"/>
      <c r="AV174" s="1189"/>
      <c r="AW174" s="1189"/>
      <c r="AX174" s="1189"/>
    </row>
    <row r="175" spans="1:50" ht="12" customHeight="1">
      <c r="A175" s="1123"/>
      <c r="B175" s="161"/>
      <c r="C175" s="1123"/>
      <c r="D175" s="1123"/>
      <c r="E175" s="1123"/>
      <c r="F175" s="1123"/>
      <c r="G175" s="1123"/>
      <c r="H175" s="1123"/>
      <c r="I175" s="1123"/>
      <c r="J175" s="1125"/>
      <c r="K175" s="156"/>
      <c r="L175" s="1123"/>
      <c r="M175" s="1205"/>
      <c r="N175" s="1123"/>
      <c r="O175" s="1123"/>
      <c r="P175" s="1123"/>
      <c r="Q175" s="1123"/>
      <c r="R175" s="1189"/>
      <c r="S175" s="1189"/>
      <c r="T175" s="1208"/>
      <c r="U175" s="1208"/>
      <c r="V175" s="1189"/>
      <c r="W175" s="1189"/>
      <c r="X175" s="1189"/>
      <c r="Y175" s="1189"/>
      <c r="Z175" s="1189"/>
      <c r="AA175" s="1189"/>
      <c r="AB175" s="1189"/>
      <c r="AC175" s="1189"/>
      <c r="AD175" s="1189"/>
      <c r="AE175" s="1189"/>
      <c r="AF175" s="1189"/>
      <c r="AG175" s="1189"/>
      <c r="AH175" s="1189"/>
      <c r="AI175" s="1189"/>
      <c r="AJ175" s="1189"/>
      <c r="AK175" s="1189"/>
      <c r="AL175" s="1189"/>
      <c r="AM175" s="1189"/>
      <c r="AN175" s="1189"/>
      <c r="AO175" s="1189"/>
      <c r="AP175" s="1189"/>
      <c r="AQ175" s="1189"/>
      <c r="AR175" s="1189"/>
      <c r="AS175" s="1189"/>
      <c r="AT175" s="1189"/>
      <c r="AU175" s="1189"/>
      <c r="AV175" s="1189"/>
      <c r="AW175" s="1189"/>
      <c r="AX175" s="1189"/>
    </row>
    <row r="176" spans="1:50" ht="12" customHeight="1">
      <c r="A176" s="1123"/>
      <c r="B176" s="161"/>
      <c r="C176" s="1123"/>
      <c r="D176" s="1123"/>
      <c r="E176" s="1123"/>
      <c r="F176" s="1123"/>
      <c r="G176" s="1123"/>
      <c r="H176" s="1123"/>
      <c r="I176" s="1123"/>
      <c r="J176" s="1125"/>
      <c r="K176" s="156"/>
      <c r="L176" s="1123"/>
      <c r="M176" s="1205"/>
      <c r="N176" s="1123"/>
      <c r="O176" s="1123"/>
      <c r="P176" s="1123"/>
      <c r="Q176" s="1123"/>
      <c r="R176" s="1189"/>
      <c r="S176" s="1189"/>
      <c r="T176" s="1208"/>
      <c r="U176" s="1208"/>
      <c r="V176" s="1189"/>
      <c r="W176" s="1189"/>
      <c r="X176" s="1189"/>
      <c r="Y176" s="1189"/>
      <c r="Z176" s="1189"/>
      <c r="AA176" s="1189"/>
      <c r="AB176" s="1189"/>
      <c r="AC176" s="1189"/>
      <c r="AD176" s="1189"/>
      <c r="AE176" s="1189"/>
      <c r="AF176" s="1189"/>
      <c r="AG176" s="1189"/>
      <c r="AH176" s="1189"/>
      <c r="AI176" s="1189"/>
      <c r="AJ176" s="1189"/>
      <c r="AK176" s="1189"/>
      <c r="AL176" s="1189"/>
      <c r="AM176" s="1189"/>
      <c r="AN176" s="1189"/>
      <c r="AO176" s="1189"/>
      <c r="AP176" s="1189"/>
      <c r="AQ176" s="1189"/>
      <c r="AR176" s="1189"/>
      <c r="AS176" s="1189"/>
      <c r="AT176" s="1189"/>
      <c r="AU176" s="1189"/>
      <c r="AV176" s="1189"/>
      <c r="AW176" s="1189"/>
      <c r="AX176" s="1189"/>
    </row>
    <row r="177" spans="1:50" ht="12" customHeight="1">
      <c r="A177" s="1123"/>
      <c r="B177" s="161"/>
      <c r="C177" s="1123"/>
      <c r="D177" s="1123"/>
      <c r="E177" s="1123"/>
      <c r="F177" s="1123"/>
      <c r="G177" s="1123"/>
      <c r="H177" s="1123"/>
      <c r="I177" s="1123"/>
      <c r="J177" s="1125"/>
      <c r="K177" s="156"/>
      <c r="L177" s="1123"/>
      <c r="M177" s="1205"/>
      <c r="N177" s="1123"/>
      <c r="O177" s="1123"/>
      <c r="P177" s="1123"/>
      <c r="Q177" s="1123"/>
      <c r="R177" s="1189"/>
      <c r="S177" s="1189"/>
      <c r="T177" s="1208"/>
      <c r="U177" s="1208"/>
      <c r="V177" s="1189"/>
      <c r="W177" s="1189"/>
      <c r="X177" s="1189"/>
      <c r="Y177" s="1189"/>
      <c r="Z177" s="1189"/>
      <c r="AA177" s="1189"/>
      <c r="AB177" s="1189"/>
      <c r="AC177" s="1189"/>
      <c r="AD177" s="1189"/>
      <c r="AE177" s="1189"/>
      <c r="AF177" s="1189"/>
      <c r="AG177" s="1189"/>
      <c r="AH177" s="1189"/>
      <c r="AI177" s="1189"/>
      <c r="AJ177" s="1189"/>
      <c r="AK177" s="1189"/>
      <c r="AL177" s="1189"/>
      <c r="AM177" s="1189"/>
      <c r="AN177" s="1189"/>
      <c r="AO177" s="1189"/>
      <c r="AP177" s="1189"/>
      <c r="AQ177" s="1189"/>
      <c r="AR177" s="1189"/>
      <c r="AS177" s="1189"/>
      <c r="AT177" s="1189"/>
      <c r="AU177" s="1189"/>
      <c r="AV177" s="1189"/>
      <c r="AW177" s="1189"/>
      <c r="AX177" s="1189"/>
    </row>
    <row r="178" spans="1:50" ht="12" customHeight="1">
      <c r="A178" s="1123"/>
      <c r="B178" s="161"/>
      <c r="C178" s="1123"/>
      <c r="D178" s="1123"/>
      <c r="E178" s="1123"/>
      <c r="F178" s="1123"/>
      <c r="G178" s="1123"/>
      <c r="H178" s="1123"/>
      <c r="I178" s="1123"/>
      <c r="J178" s="1125"/>
      <c r="K178" s="156"/>
      <c r="L178" s="1123"/>
      <c r="M178" s="1205"/>
      <c r="N178" s="1123"/>
      <c r="O178" s="1123"/>
      <c r="P178" s="1123"/>
      <c r="Q178" s="1123"/>
      <c r="R178" s="1189"/>
      <c r="S178" s="1189"/>
      <c r="T178" s="1208"/>
      <c r="U178" s="1208"/>
      <c r="V178" s="1189"/>
      <c r="W178" s="1189"/>
      <c r="X178" s="1189"/>
      <c r="Y178" s="1189"/>
      <c r="Z178" s="1189"/>
      <c r="AA178" s="1189"/>
      <c r="AB178" s="1189"/>
      <c r="AC178" s="1189"/>
      <c r="AD178" s="1189"/>
      <c r="AE178" s="1189"/>
      <c r="AF178" s="1189"/>
      <c r="AG178" s="1189"/>
      <c r="AH178" s="1189"/>
      <c r="AI178" s="1189"/>
      <c r="AJ178" s="1189"/>
      <c r="AK178" s="1189"/>
      <c r="AL178" s="1189"/>
      <c r="AM178" s="1189"/>
      <c r="AN178" s="1189"/>
      <c r="AO178" s="1189"/>
      <c r="AP178" s="1189"/>
      <c r="AQ178" s="1189"/>
      <c r="AR178" s="1189"/>
      <c r="AS178" s="1189"/>
      <c r="AT178" s="1189"/>
      <c r="AU178" s="1189"/>
      <c r="AV178" s="1189"/>
      <c r="AW178" s="1189"/>
      <c r="AX178" s="1189"/>
    </row>
    <row r="179" spans="1:50" ht="12" customHeight="1">
      <c r="A179" s="1123"/>
      <c r="B179" s="161"/>
      <c r="C179" s="1123"/>
      <c r="D179" s="1123"/>
      <c r="E179" s="1123"/>
      <c r="F179" s="1123"/>
      <c r="G179" s="1123"/>
      <c r="H179" s="1123"/>
      <c r="I179" s="1123"/>
      <c r="J179" s="1125"/>
      <c r="K179" s="156"/>
      <c r="L179" s="1123"/>
      <c r="M179" s="1205"/>
      <c r="N179" s="1123"/>
      <c r="O179" s="1123"/>
      <c r="P179" s="1123"/>
      <c r="Q179" s="1123"/>
      <c r="R179" s="1189"/>
      <c r="S179" s="1189"/>
      <c r="T179" s="1208"/>
      <c r="U179" s="1208"/>
      <c r="V179" s="1189"/>
      <c r="W179" s="1189"/>
      <c r="X179" s="1189"/>
      <c r="Y179" s="1189"/>
      <c r="Z179" s="1189"/>
      <c r="AA179" s="1189"/>
      <c r="AB179" s="1189"/>
      <c r="AC179" s="1189"/>
      <c r="AD179" s="1189"/>
      <c r="AE179" s="1189"/>
      <c r="AF179" s="1189"/>
      <c r="AG179" s="1189"/>
      <c r="AH179" s="1189"/>
      <c r="AI179" s="1189"/>
      <c r="AJ179" s="1189"/>
      <c r="AK179" s="1189"/>
      <c r="AL179" s="1189"/>
      <c r="AM179" s="1189"/>
      <c r="AN179" s="1189"/>
      <c r="AO179" s="1189"/>
      <c r="AP179" s="1189"/>
      <c r="AQ179" s="1189"/>
      <c r="AR179" s="1189"/>
      <c r="AS179" s="1189"/>
      <c r="AT179" s="1189"/>
      <c r="AU179" s="1189"/>
      <c r="AV179" s="1189"/>
      <c r="AW179" s="1189"/>
      <c r="AX179" s="1189"/>
    </row>
    <row r="180" spans="1:50" ht="12" customHeight="1">
      <c r="A180" s="1123"/>
      <c r="B180" s="161"/>
      <c r="C180" s="1123"/>
      <c r="D180" s="1123"/>
      <c r="E180" s="1123"/>
      <c r="F180" s="1123"/>
      <c r="G180" s="1123"/>
      <c r="H180" s="1123"/>
      <c r="I180" s="1123"/>
      <c r="J180" s="1125"/>
      <c r="K180" s="156"/>
      <c r="L180" s="1123"/>
      <c r="M180" s="1205"/>
      <c r="N180" s="1123"/>
      <c r="O180" s="1123"/>
      <c r="P180" s="1123"/>
      <c r="Q180" s="1123"/>
      <c r="R180" s="1189"/>
      <c r="S180" s="1189"/>
      <c r="T180" s="1208"/>
      <c r="U180" s="1208"/>
      <c r="V180" s="1189"/>
      <c r="W180" s="1189"/>
      <c r="X180" s="1189"/>
      <c r="Y180" s="1189"/>
      <c r="Z180" s="1189"/>
      <c r="AA180" s="1189"/>
      <c r="AB180" s="1189"/>
      <c r="AC180" s="1189"/>
      <c r="AD180" s="1189"/>
      <c r="AE180" s="1189"/>
      <c r="AF180" s="1189"/>
      <c r="AG180" s="1189"/>
      <c r="AH180" s="1189"/>
      <c r="AI180" s="1189"/>
      <c r="AJ180" s="1189"/>
      <c r="AK180" s="1189"/>
      <c r="AL180" s="1189"/>
      <c r="AM180" s="1189"/>
      <c r="AN180" s="1189"/>
      <c r="AO180" s="1189"/>
      <c r="AP180" s="1189"/>
      <c r="AQ180" s="1189"/>
      <c r="AR180" s="1189"/>
      <c r="AS180" s="1189"/>
      <c r="AT180" s="1189"/>
      <c r="AU180" s="1189"/>
      <c r="AV180" s="1189"/>
      <c r="AW180" s="1189"/>
      <c r="AX180" s="1189"/>
    </row>
    <row r="181" spans="1:50" ht="12" customHeight="1">
      <c r="A181" s="1123"/>
      <c r="B181" s="161"/>
      <c r="C181" s="1123"/>
      <c r="D181" s="1123"/>
      <c r="E181" s="1123"/>
      <c r="F181" s="1123"/>
      <c r="G181" s="1123"/>
      <c r="H181" s="1123"/>
      <c r="I181" s="1123"/>
      <c r="J181" s="1125"/>
      <c r="K181" s="156"/>
      <c r="L181" s="1123"/>
      <c r="M181" s="1205"/>
      <c r="N181" s="1123"/>
      <c r="O181" s="1123"/>
      <c r="P181" s="1123"/>
      <c r="Q181" s="1123"/>
      <c r="R181" s="1189"/>
      <c r="S181" s="1189"/>
      <c r="T181" s="1208"/>
      <c r="U181" s="1208"/>
      <c r="V181" s="1189"/>
      <c r="W181" s="1189"/>
      <c r="X181" s="1189"/>
      <c r="Y181" s="1189"/>
      <c r="Z181" s="1189"/>
      <c r="AA181" s="1189"/>
      <c r="AB181" s="1189"/>
      <c r="AC181" s="1189"/>
      <c r="AD181" s="1189"/>
      <c r="AE181" s="1189"/>
      <c r="AF181" s="1189"/>
      <c r="AG181" s="1189"/>
      <c r="AH181" s="1189"/>
      <c r="AI181" s="1189"/>
      <c r="AJ181" s="1189"/>
      <c r="AK181" s="1189"/>
      <c r="AL181" s="1189"/>
      <c r="AM181" s="1189"/>
      <c r="AN181" s="1189"/>
      <c r="AO181" s="1189"/>
      <c r="AP181" s="1189"/>
      <c r="AQ181" s="1189"/>
      <c r="AR181" s="1189"/>
      <c r="AS181" s="1189"/>
      <c r="AT181" s="1189"/>
      <c r="AU181" s="1189"/>
      <c r="AV181" s="1189"/>
      <c r="AW181" s="1189"/>
      <c r="AX181" s="1189"/>
    </row>
    <row r="182" spans="1:50" ht="12" customHeight="1">
      <c r="A182" s="1123"/>
      <c r="B182" s="161"/>
      <c r="C182" s="1123"/>
      <c r="D182" s="1123"/>
      <c r="E182" s="1123"/>
      <c r="F182" s="1123"/>
      <c r="G182" s="1123"/>
      <c r="H182" s="1123"/>
      <c r="I182" s="1123"/>
      <c r="J182" s="1125"/>
      <c r="K182" s="156"/>
      <c r="L182" s="1123"/>
      <c r="M182" s="1205"/>
      <c r="N182" s="1123"/>
      <c r="O182" s="1123"/>
      <c r="P182" s="1123"/>
      <c r="Q182" s="1123"/>
      <c r="R182" s="1189"/>
      <c r="S182" s="1189"/>
      <c r="T182" s="1208"/>
      <c r="U182" s="1208"/>
      <c r="V182" s="1189"/>
      <c r="W182" s="1189"/>
      <c r="X182" s="1189"/>
      <c r="Y182" s="1189"/>
      <c r="Z182" s="1189"/>
      <c r="AA182" s="1189"/>
      <c r="AB182" s="1189"/>
      <c r="AC182" s="1189"/>
      <c r="AD182" s="1189"/>
      <c r="AE182" s="1189"/>
      <c r="AF182" s="1189"/>
      <c r="AG182" s="1189"/>
      <c r="AH182" s="1189"/>
      <c r="AI182" s="1189"/>
      <c r="AJ182" s="1189"/>
      <c r="AK182" s="1189"/>
      <c r="AL182" s="1189"/>
      <c r="AM182" s="1189"/>
      <c r="AN182" s="1189"/>
      <c r="AO182" s="1189"/>
      <c r="AP182" s="1189"/>
      <c r="AQ182" s="1189"/>
      <c r="AR182" s="1189"/>
      <c r="AS182" s="1189"/>
      <c r="AT182" s="1189"/>
      <c r="AU182" s="1189"/>
      <c r="AV182" s="1189"/>
      <c r="AW182" s="1189"/>
      <c r="AX182" s="1189"/>
    </row>
    <row r="183" spans="1:50" ht="12" customHeight="1">
      <c r="A183" s="1123"/>
      <c r="B183" s="161"/>
      <c r="C183" s="1123"/>
      <c r="D183" s="1123"/>
      <c r="E183" s="1123"/>
      <c r="F183" s="1123"/>
      <c r="G183" s="1123"/>
      <c r="H183" s="1123"/>
      <c r="I183" s="1123"/>
      <c r="J183" s="1125"/>
      <c r="K183" s="156"/>
      <c r="L183" s="1123"/>
      <c r="M183" s="1205"/>
      <c r="N183" s="1123"/>
      <c r="O183" s="1123"/>
      <c r="P183" s="1123"/>
      <c r="Q183" s="1123"/>
      <c r="R183" s="1189"/>
      <c r="S183" s="1189"/>
      <c r="T183" s="1208"/>
      <c r="U183" s="1208"/>
      <c r="V183" s="1189"/>
      <c r="W183" s="1189"/>
      <c r="X183" s="1189"/>
      <c r="Y183" s="1189"/>
      <c r="Z183" s="1189"/>
      <c r="AA183" s="1189"/>
      <c r="AB183" s="1189"/>
      <c r="AC183" s="1189"/>
      <c r="AD183" s="1189"/>
      <c r="AE183" s="1189"/>
      <c r="AF183" s="1189"/>
      <c r="AG183" s="1189"/>
      <c r="AH183" s="1189"/>
      <c r="AI183" s="1189"/>
      <c r="AJ183" s="1189"/>
      <c r="AK183" s="1189"/>
      <c r="AL183" s="1189"/>
      <c r="AM183" s="1189"/>
      <c r="AN183" s="1189"/>
      <c r="AO183" s="1189"/>
      <c r="AP183" s="1189"/>
      <c r="AQ183" s="1189"/>
      <c r="AR183" s="1189"/>
      <c r="AS183" s="1189"/>
      <c r="AT183" s="1189"/>
      <c r="AU183" s="1189"/>
      <c r="AV183" s="1189"/>
      <c r="AW183" s="1189"/>
      <c r="AX183" s="1189"/>
    </row>
    <row r="184" spans="1:50" ht="12" customHeight="1">
      <c r="A184" s="1123"/>
      <c r="B184" s="161"/>
      <c r="C184" s="1123"/>
      <c r="D184" s="1123"/>
      <c r="E184" s="1123"/>
      <c r="F184" s="1123"/>
      <c r="G184" s="1123"/>
      <c r="H184" s="1123"/>
      <c r="I184" s="1123"/>
      <c r="J184" s="1125"/>
      <c r="K184" s="156"/>
      <c r="L184" s="1123"/>
      <c r="M184" s="1205"/>
      <c r="N184" s="1123"/>
      <c r="O184" s="1123"/>
      <c r="P184" s="1123"/>
      <c r="Q184" s="1123"/>
      <c r="R184" s="1189"/>
      <c r="S184" s="1189"/>
      <c r="T184" s="1208"/>
      <c r="U184" s="1208"/>
      <c r="V184" s="1189"/>
      <c r="W184" s="1189"/>
      <c r="X184" s="1189"/>
      <c r="Y184" s="1189"/>
      <c r="Z184" s="1189"/>
      <c r="AA184" s="1189"/>
      <c r="AB184" s="1189"/>
      <c r="AC184" s="1189"/>
      <c r="AD184" s="1189"/>
      <c r="AE184" s="1189"/>
      <c r="AF184" s="1189"/>
      <c r="AG184" s="1189"/>
      <c r="AH184" s="1189"/>
      <c r="AI184" s="1189"/>
      <c r="AJ184" s="1189"/>
      <c r="AK184" s="1189"/>
      <c r="AL184" s="1189"/>
      <c r="AM184" s="1189"/>
      <c r="AN184" s="1189"/>
      <c r="AO184" s="1189"/>
      <c r="AP184" s="1189"/>
      <c r="AQ184" s="1189"/>
      <c r="AR184" s="1189"/>
      <c r="AS184" s="1189"/>
      <c r="AT184" s="1189"/>
      <c r="AU184" s="1189"/>
      <c r="AV184" s="1189"/>
      <c r="AW184" s="1189"/>
      <c r="AX184" s="1189"/>
    </row>
    <row r="185" spans="1:50" ht="12" customHeight="1">
      <c r="A185" s="1123"/>
      <c r="B185" s="161"/>
      <c r="C185" s="1123"/>
      <c r="D185" s="1123"/>
      <c r="E185" s="1123"/>
      <c r="F185" s="1123"/>
      <c r="G185" s="1123"/>
      <c r="H185" s="1123"/>
      <c r="I185" s="1123"/>
      <c r="J185" s="1125"/>
      <c r="K185" s="156"/>
      <c r="L185" s="1123"/>
      <c r="M185" s="1205"/>
      <c r="N185" s="1123"/>
      <c r="O185" s="1123"/>
      <c r="P185" s="1123"/>
      <c r="Q185" s="1123"/>
      <c r="R185" s="1189"/>
      <c r="S185" s="1189"/>
      <c r="T185" s="1208"/>
      <c r="U185" s="1208"/>
      <c r="V185" s="1189"/>
      <c r="W185" s="1189"/>
      <c r="X185" s="1189"/>
      <c r="Y185" s="1189"/>
      <c r="Z185" s="1189"/>
      <c r="AA185" s="1189"/>
      <c r="AB185" s="1189"/>
      <c r="AC185" s="1189"/>
      <c r="AD185" s="1189"/>
      <c r="AE185" s="1189"/>
      <c r="AF185" s="1189"/>
      <c r="AG185" s="1189"/>
      <c r="AH185" s="1189"/>
      <c r="AI185" s="1189"/>
      <c r="AJ185" s="1189"/>
      <c r="AK185" s="1189"/>
      <c r="AL185" s="1189"/>
      <c r="AM185" s="1189"/>
      <c r="AN185" s="1189"/>
      <c r="AO185" s="1189"/>
      <c r="AP185" s="1189"/>
      <c r="AQ185" s="1189"/>
      <c r="AR185" s="1189"/>
      <c r="AS185" s="1189"/>
      <c r="AT185" s="1189"/>
      <c r="AU185" s="1189"/>
      <c r="AV185" s="1189"/>
      <c r="AW185" s="1189"/>
      <c r="AX185" s="1189"/>
    </row>
    <row r="186" spans="1:50" ht="12" customHeight="1">
      <c r="A186" s="1123"/>
      <c r="B186" s="161"/>
      <c r="C186" s="1123"/>
      <c r="D186" s="1123"/>
      <c r="E186" s="1123"/>
      <c r="F186" s="1123"/>
      <c r="G186" s="1123"/>
      <c r="H186" s="1123"/>
      <c r="I186" s="1123"/>
      <c r="J186" s="1125"/>
      <c r="K186" s="156"/>
      <c r="L186" s="1123"/>
      <c r="M186" s="1205"/>
      <c r="N186" s="1123"/>
      <c r="O186" s="1123"/>
      <c r="P186" s="1123"/>
      <c r="Q186" s="1123"/>
      <c r="R186" s="1189"/>
      <c r="S186" s="1189"/>
      <c r="T186" s="1208"/>
      <c r="U186" s="1208"/>
      <c r="V186" s="1189"/>
      <c r="W186" s="1189"/>
      <c r="X186" s="1189"/>
      <c r="Y186" s="1189"/>
      <c r="Z186" s="1189"/>
      <c r="AA186" s="1189"/>
      <c r="AB186" s="1189"/>
      <c r="AC186" s="1189"/>
      <c r="AD186" s="1189"/>
      <c r="AE186" s="1189"/>
      <c r="AF186" s="1189"/>
      <c r="AG186" s="1189"/>
      <c r="AH186" s="1189"/>
      <c r="AI186" s="1189"/>
      <c r="AJ186" s="1189"/>
      <c r="AK186" s="1189"/>
      <c r="AL186" s="1189"/>
      <c r="AM186" s="1189"/>
      <c r="AN186" s="1189"/>
      <c r="AO186" s="1189"/>
      <c r="AP186" s="1189"/>
      <c r="AQ186" s="1189"/>
      <c r="AR186" s="1189"/>
      <c r="AS186" s="1189"/>
      <c r="AT186" s="1189"/>
      <c r="AU186" s="1189"/>
      <c r="AV186" s="1189"/>
      <c r="AW186" s="1189"/>
      <c r="AX186" s="1189"/>
    </row>
    <row r="187" spans="1:50" ht="12" customHeight="1">
      <c r="A187" s="1123"/>
      <c r="B187" s="161"/>
      <c r="C187" s="1123"/>
      <c r="D187" s="1123"/>
      <c r="E187" s="1123"/>
      <c r="F187" s="1123"/>
      <c r="G187" s="1123"/>
      <c r="H187" s="1123"/>
      <c r="I187" s="1123"/>
      <c r="J187" s="1125"/>
      <c r="K187" s="156"/>
      <c r="L187" s="1123"/>
      <c r="M187" s="1205"/>
      <c r="N187" s="1123"/>
      <c r="O187" s="1123"/>
      <c r="P187" s="1123"/>
      <c r="Q187" s="1123"/>
      <c r="R187" s="1189"/>
      <c r="S187" s="1189"/>
      <c r="T187" s="1208"/>
      <c r="U187" s="1208"/>
      <c r="V187" s="1189"/>
      <c r="W187" s="1189"/>
      <c r="X187" s="1189"/>
      <c r="Y187" s="1189"/>
      <c r="Z187" s="1189"/>
      <c r="AA187" s="1189"/>
      <c r="AB187" s="1189"/>
      <c r="AC187" s="1189"/>
      <c r="AD187" s="1189"/>
      <c r="AE187" s="1189"/>
      <c r="AF187" s="1189"/>
      <c r="AG187" s="1189"/>
      <c r="AH187" s="1189"/>
      <c r="AI187" s="1189"/>
      <c r="AJ187" s="1189"/>
      <c r="AK187" s="1189"/>
      <c r="AL187" s="1189"/>
      <c r="AM187" s="1189"/>
      <c r="AN187" s="1189"/>
      <c r="AO187" s="1189"/>
      <c r="AP187" s="1189"/>
      <c r="AQ187" s="1189"/>
      <c r="AR187" s="1189"/>
      <c r="AS187" s="1189"/>
      <c r="AT187" s="1189"/>
      <c r="AU187" s="1189"/>
      <c r="AV187" s="1189"/>
      <c r="AW187" s="1189"/>
      <c r="AX187" s="1189"/>
    </row>
    <row r="188" spans="1:50" ht="12" customHeight="1">
      <c r="A188" s="1123"/>
      <c r="B188" s="161"/>
      <c r="C188" s="1123"/>
      <c r="D188" s="1123"/>
      <c r="E188" s="1123"/>
      <c r="F188" s="1123"/>
      <c r="G188" s="1123"/>
      <c r="H188" s="1123"/>
      <c r="I188" s="1123"/>
      <c r="J188" s="1125"/>
      <c r="K188" s="156"/>
      <c r="L188" s="1123"/>
      <c r="M188" s="1205"/>
      <c r="N188" s="1123"/>
      <c r="O188" s="1123"/>
      <c r="P188" s="1123"/>
      <c r="Q188" s="1123"/>
      <c r="R188" s="1189"/>
      <c r="S188" s="1189"/>
      <c r="T188" s="1208"/>
      <c r="U188" s="1208"/>
      <c r="V188" s="1189"/>
      <c r="W188" s="1189"/>
      <c r="X188" s="1189"/>
      <c r="Y188" s="1189"/>
      <c r="Z188" s="1189"/>
      <c r="AA188" s="1189"/>
      <c r="AB188" s="1189"/>
      <c r="AC188" s="1189"/>
      <c r="AD188" s="1189"/>
      <c r="AE188" s="1189"/>
      <c r="AF188" s="1189"/>
      <c r="AG188" s="1189"/>
      <c r="AH188" s="1189"/>
      <c r="AI188" s="1189"/>
      <c r="AJ188" s="1189"/>
      <c r="AK188" s="1189"/>
      <c r="AL188" s="1189"/>
      <c r="AM188" s="1189"/>
      <c r="AN188" s="1189"/>
      <c r="AO188" s="1189"/>
      <c r="AP188" s="1189"/>
      <c r="AQ188" s="1189"/>
      <c r="AR188" s="1189"/>
      <c r="AS188" s="1189"/>
      <c r="AT188" s="1189"/>
      <c r="AU188" s="1189"/>
      <c r="AV188" s="1189"/>
      <c r="AW188" s="1189"/>
      <c r="AX188" s="1189"/>
    </row>
    <row r="189" spans="1:50" ht="12" customHeight="1">
      <c r="A189" s="1123"/>
      <c r="B189" s="161"/>
      <c r="C189" s="1123"/>
      <c r="D189" s="1123"/>
      <c r="E189" s="1123"/>
      <c r="F189" s="1123"/>
      <c r="G189" s="1123"/>
      <c r="H189" s="1123"/>
      <c r="I189" s="1123"/>
      <c r="J189" s="1125"/>
      <c r="K189" s="156"/>
      <c r="L189" s="1123"/>
      <c r="M189" s="1205"/>
      <c r="N189" s="1123"/>
      <c r="O189" s="1123"/>
      <c r="P189" s="1123"/>
      <c r="Q189" s="1123"/>
      <c r="R189" s="1189"/>
      <c r="S189" s="1189"/>
      <c r="T189" s="1208"/>
      <c r="U189" s="1208"/>
      <c r="V189" s="1189"/>
      <c r="W189" s="1189"/>
      <c r="X189" s="1189"/>
      <c r="Y189" s="1189"/>
      <c r="Z189" s="1189"/>
      <c r="AA189" s="1189"/>
      <c r="AB189" s="1189"/>
      <c r="AC189" s="1189"/>
      <c r="AD189" s="1189"/>
      <c r="AE189" s="1189"/>
      <c r="AF189" s="1189"/>
      <c r="AG189" s="1189"/>
      <c r="AH189" s="1189"/>
      <c r="AI189" s="1189"/>
      <c r="AJ189" s="1189"/>
      <c r="AK189" s="1189"/>
      <c r="AL189" s="1189"/>
      <c r="AM189" s="1189"/>
      <c r="AN189" s="1189"/>
      <c r="AO189" s="1189"/>
      <c r="AP189" s="1189"/>
      <c r="AQ189" s="1189"/>
      <c r="AR189" s="1189"/>
      <c r="AS189" s="1189"/>
      <c r="AT189" s="1189"/>
      <c r="AU189" s="1189"/>
      <c r="AV189" s="1189"/>
      <c r="AW189" s="1189"/>
      <c r="AX189" s="1189"/>
    </row>
    <row r="190" spans="1:50" ht="12" customHeight="1">
      <c r="A190" s="1123"/>
      <c r="B190" s="161"/>
      <c r="C190" s="1123"/>
      <c r="D190" s="1123"/>
      <c r="E190" s="1123"/>
      <c r="F190" s="1123"/>
      <c r="G190" s="1123"/>
      <c r="H190" s="1123"/>
      <c r="I190" s="1123"/>
      <c r="J190" s="1125"/>
      <c r="K190" s="156"/>
      <c r="L190" s="1123"/>
      <c r="M190" s="1205"/>
      <c r="N190" s="1123"/>
      <c r="O190" s="1123"/>
      <c r="P190" s="1123"/>
      <c r="Q190" s="1123"/>
      <c r="R190" s="1189"/>
      <c r="S190" s="1189"/>
      <c r="T190" s="1208"/>
      <c r="U190" s="1208"/>
      <c r="V190" s="1189"/>
      <c r="W190" s="1189"/>
      <c r="X190" s="1189"/>
      <c r="Y190" s="1189"/>
      <c r="Z190" s="1189"/>
      <c r="AA190" s="1189"/>
      <c r="AB190" s="1189"/>
      <c r="AC190" s="1189"/>
      <c r="AD190" s="1189"/>
      <c r="AE190" s="1189"/>
      <c r="AF190" s="1189"/>
      <c r="AG190" s="1189"/>
      <c r="AH190" s="1189"/>
      <c r="AI190" s="1189"/>
      <c r="AJ190" s="1189"/>
      <c r="AK190" s="1189"/>
      <c r="AL190" s="1189"/>
      <c r="AM190" s="1189"/>
      <c r="AN190" s="1189"/>
      <c r="AO190" s="1189"/>
      <c r="AP190" s="1189"/>
      <c r="AQ190" s="1189"/>
      <c r="AR190" s="1189"/>
      <c r="AS190" s="1189"/>
      <c r="AT190" s="1189"/>
      <c r="AU190" s="1189"/>
      <c r="AV190" s="1189"/>
      <c r="AW190" s="1189"/>
      <c r="AX190" s="1189"/>
    </row>
    <row r="191" spans="1:50" ht="12" customHeight="1">
      <c r="A191" s="1123"/>
      <c r="B191" s="161"/>
      <c r="C191" s="1123"/>
      <c r="D191" s="1123"/>
      <c r="E191" s="1123"/>
      <c r="F191" s="1123"/>
      <c r="G191" s="1123"/>
      <c r="H191" s="1123"/>
      <c r="I191" s="1123"/>
      <c r="J191" s="1125"/>
      <c r="K191" s="156"/>
      <c r="L191" s="1123"/>
      <c r="M191" s="1205"/>
      <c r="N191" s="1123"/>
      <c r="O191" s="1123"/>
      <c r="P191" s="1123"/>
      <c r="Q191" s="1123"/>
      <c r="R191" s="1189"/>
      <c r="S191" s="1189"/>
      <c r="T191" s="1208"/>
      <c r="U191" s="1208"/>
      <c r="V191" s="1189"/>
      <c r="W191" s="1189"/>
      <c r="X191" s="1189"/>
      <c r="Y191" s="1189"/>
      <c r="Z191" s="1189"/>
      <c r="AA191" s="1189"/>
      <c r="AB191" s="1189"/>
      <c r="AC191" s="1189"/>
      <c r="AD191" s="1189"/>
      <c r="AE191" s="1189"/>
      <c r="AF191" s="1189"/>
      <c r="AG191" s="1189"/>
      <c r="AH191" s="1189"/>
      <c r="AI191" s="1189"/>
      <c r="AJ191" s="1189"/>
      <c r="AK191" s="1189"/>
      <c r="AL191" s="1189"/>
      <c r="AM191" s="1189"/>
      <c r="AN191" s="1189"/>
      <c r="AO191" s="1189"/>
      <c r="AP191" s="1189"/>
      <c r="AQ191" s="1189"/>
      <c r="AR191" s="1189"/>
      <c r="AS191" s="1189"/>
      <c r="AT191" s="1189"/>
      <c r="AU191" s="1189"/>
      <c r="AV191" s="1189"/>
      <c r="AW191" s="1189"/>
      <c r="AX191" s="1189"/>
    </row>
    <row r="192" spans="1:50" ht="12" customHeight="1">
      <c r="A192" s="1123"/>
      <c r="B192" s="161"/>
      <c r="C192" s="1123"/>
      <c r="D192" s="1123"/>
      <c r="E192" s="1123"/>
      <c r="F192" s="1123"/>
      <c r="G192" s="1123"/>
      <c r="H192" s="1123"/>
      <c r="I192" s="1123"/>
      <c r="J192" s="1125"/>
      <c r="K192" s="156"/>
      <c r="L192" s="1123"/>
      <c r="M192" s="1205"/>
      <c r="N192" s="1123"/>
      <c r="O192" s="1123"/>
      <c r="P192" s="1123"/>
      <c r="Q192" s="1123"/>
      <c r="R192" s="1189"/>
      <c r="S192" s="1189"/>
      <c r="T192" s="1208"/>
      <c r="U192" s="1208"/>
      <c r="V192" s="1189"/>
      <c r="W192" s="1189"/>
      <c r="X192" s="1189"/>
      <c r="Y192" s="1189"/>
      <c r="Z192" s="1189"/>
      <c r="AA192" s="1189"/>
      <c r="AB192" s="1189"/>
      <c r="AC192" s="1189"/>
      <c r="AD192" s="1189"/>
      <c r="AE192" s="1189"/>
      <c r="AF192" s="1189"/>
      <c r="AG192" s="1189"/>
      <c r="AH192" s="1189"/>
      <c r="AI192" s="1189"/>
      <c r="AJ192" s="1189"/>
      <c r="AK192" s="1189"/>
      <c r="AL192" s="1189"/>
      <c r="AM192" s="1189"/>
      <c r="AN192" s="1189"/>
      <c r="AO192" s="1189"/>
      <c r="AP192" s="1189"/>
      <c r="AQ192" s="1189"/>
      <c r="AR192" s="1189"/>
      <c r="AS192" s="1189"/>
      <c r="AT192" s="1189"/>
      <c r="AU192" s="1189"/>
      <c r="AV192" s="1189"/>
      <c r="AW192" s="1189"/>
      <c r="AX192" s="1189"/>
    </row>
    <row r="193" spans="1:50" ht="12" customHeight="1">
      <c r="A193" s="1123"/>
      <c r="B193" s="161"/>
      <c r="C193" s="1123"/>
      <c r="D193" s="1123"/>
      <c r="E193" s="1123"/>
      <c r="F193" s="1123"/>
      <c r="G193" s="1123"/>
      <c r="H193" s="1123"/>
      <c r="I193" s="1123"/>
      <c r="J193" s="1125"/>
      <c r="K193" s="156"/>
      <c r="L193" s="1123"/>
      <c r="M193" s="1205"/>
      <c r="N193" s="1123"/>
      <c r="O193" s="1123"/>
      <c r="P193" s="1123"/>
      <c r="Q193" s="1123"/>
      <c r="R193" s="1189"/>
      <c r="S193" s="1189"/>
      <c r="T193" s="1208"/>
      <c r="U193" s="1208"/>
      <c r="V193" s="1189"/>
      <c r="W193" s="1189"/>
      <c r="X193" s="1189"/>
      <c r="Y193" s="1189"/>
      <c r="Z193" s="1189"/>
      <c r="AA193" s="1189"/>
      <c r="AB193" s="1189"/>
      <c r="AC193" s="1189"/>
      <c r="AD193" s="1189"/>
      <c r="AE193" s="1189"/>
      <c r="AF193" s="1189"/>
      <c r="AG193" s="1189"/>
      <c r="AH193" s="1189"/>
      <c r="AI193" s="1189"/>
      <c r="AJ193" s="1189"/>
      <c r="AK193" s="1189"/>
      <c r="AL193" s="1189"/>
      <c r="AM193" s="1189"/>
      <c r="AN193" s="1189"/>
      <c r="AO193" s="1189"/>
      <c r="AP193" s="1189"/>
      <c r="AQ193" s="1189"/>
      <c r="AR193" s="1189"/>
      <c r="AS193" s="1189"/>
      <c r="AT193" s="1189"/>
      <c r="AU193" s="1189"/>
      <c r="AV193" s="1189"/>
      <c r="AW193" s="1189"/>
      <c r="AX193" s="1189"/>
    </row>
    <row r="194" spans="1:50" ht="12" customHeight="1">
      <c r="A194" s="1123"/>
      <c r="B194" s="161"/>
      <c r="C194" s="1123"/>
      <c r="D194" s="1123"/>
      <c r="E194" s="1123"/>
      <c r="F194" s="1123"/>
      <c r="G194" s="1123"/>
      <c r="H194" s="1123"/>
      <c r="I194" s="1123"/>
      <c r="J194" s="1125"/>
      <c r="K194" s="156"/>
      <c r="L194" s="1123"/>
      <c r="M194" s="1205"/>
      <c r="N194" s="1123"/>
      <c r="O194" s="1123"/>
      <c r="P194" s="1123"/>
      <c r="Q194" s="1123"/>
      <c r="R194" s="1189"/>
      <c r="S194" s="1189"/>
      <c r="T194" s="1208"/>
      <c r="U194" s="1208"/>
      <c r="V194" s="1189"/>
      <c r="W194" s="1189"/>
      <c r="X194" s="1189"/>
      <c r="Y194" s="1189"/>
      <c r="Z194" s="1189"/>
      <c r="AA194" s="1189"/>
      <c r="AB194" s="1189"/>
      <c r="AC194" s="1189"/>
      <c r="AD194" s="1189"/>
      <c r="AE194" s="1189"/>
      <c r="AF194" s="1189"/>
      <c r="AG194" s="1189"/>
      <c r="AH194" s="1189"/>
      <c r="AI194" s="1189"/>
      <c r="AJ194" s="1189"/>
      <c r="AK194" s="1189"/>
      <c r="AL194" s="1189"/>
      <c r="AM194" s="1189"/>
      <c r="AN194" s="1189"/>
      <c r="AO194" s="1189"/>
      <c r="AP194" s="1189"/>
      <c r="AQ194" s="1189"/>
      <c r="AR194" s="1189"/>
      <c r="AS194" s="1189"/>
      <c r="AT194" s="1189"/>
      <c r="AU194" s="1189"/>
      <c r="AV194" s="1189"/>
      <c r="AW194" s="1189"/>
      <c r="AX194" s="1189"/>
    </row>
    <row r="195" spans="1:50" ht="12" customHeight="1">
      <c r="A195" s="1123"/>
      <c r="B195" s="161"/>
      <c r="C195" s="1123"/>
      <c r="D195" s="1123"/>
      <c r="E195" s="1123"/>
      <c r="F195" s="1123"/>
      <c r="G195" s="1123"/>
      <c r="H195" s="1123"/>
      <c r="I195" s="1123"/>
      <c r="J195" s="1125"/>
      <c r="K195" s="156"/>
      <c r="L195" s="1123"/>
      <c r="M195" s="1205"/>
      <c r="N195" s="1123"/>
      <c r="O195" s="1123"/>
      <c r="P195" s="1123"/>
      <c r="Q195" s="1123"/>
      <c r="R195" s="1189"/>
      <c r="S195" s="1189"/>
      <c r="T195" s="1208"/>
      <c r="U195" s="1208"/>
      <c r="V195" s="1189"/>
      <c r="W195" s="1189"/>
      <c r="X195" s="1189"/>
      <c r="Y195" s="1189"/>
      <c r="Z195" s="1189"/>
      <c r="AA195" s="1189"/>
      <c r="AB195" s="1189"/>
      <c r="AC195" s="1189"/>
      <c r="AD195" s="1189"/>
      <c r="AE195" s="1189"/>
      <c r="AF195" s="1189"/>
      <c r="AG195" s="1189"/>
      <c r="AH195" s="1189"/>
      <c r="AI195" s="1189"/>
      <c r="AJ195" s="1189"/>
      <c r="AK195" s="1189"/>
      <c r="AL195" s="1189"/>
      <c r="AM195" s="1189"/>
      <c r="AN195" s="1189"/>
      <c r="AO195" s="1189"/>
      <c r="AP195" s="1189"/>
      <c r="AQ195" s="1189"/>
      <c r="AR195" s="1189"/>
      <c r="AS195" s="1189"/>
      <c r="AT195" s="1189"/>
      <c r="AU195" s="1189"/>
      <c r="AV195" s="1189"/>
      <c r="AW195" s="1189"/>
      <c r="AX195" s="1189"/>
    </row>
    <row r="196" spans="1:50" ht="12" customHeight="1">
      <c r="A196" s="1123"/>
      <c r="B196" s="161"/>
      <c r="C196" s="1123"/>
      <c r="D196" s="1123"/>
      <c r="E196" s="1123"/>
      <c r="F196" s="1123"/>
      <c r="G196" s="1123"/>
      <c r="H196" s="1123"/>
      <c r="I196" s="1123"/>
      <c r="J196" s="1125"/>
      <c r="K196" s="156"/>
      <c r="L196" s="1123"/>
      <c r="M196" s="1205"/>
      <c r="N196" s="1123"/>
      <c r="O196" s="1123"/>
      <c r="P196" s="1123"/>
      <c r="Q196" s="1123"/>
      <c r="R196" s="1189"/>
      <c r="S196" s="1189"/>
      <c r="T196" s="1208"/>
      <c r="U196" s="1208"/>
      <c r="V196" s="1189"/>
      <c r="W196" s="1189"/>
      <c r="X196" s="1189"/>
      <c r="Y196" s="1189"/>
      <c r="Z196" s="1189"/>
      <c r="AA196" s="1189"/>
      <c r="AB196" s="1189"/>
      <c r="AC196" s="1189"/>
      <c r="AD196" s="1189"/>
      <c r="AE196" s="1189"/>
      <c r="AF196" s="1189"/>
      <c r="AG196" s="1189"/>
      <c r="AH196" s="1189"/>
      <c r="AI196" s="1189"/>
      <c r="AJ196" s="1189"/>
      <c r="AK196" s="1189"/>
      <c r="AL196" s="1189"/>
      <c r="AM196" s="1189"/>
      <c r="AN196" s="1189"/>
      <c r="AO196" s="1189"/>
      <c r="AP196" s="1189"/>
      <c r="AQ196" s="1189"/>
      <c r="AR196" s="1189"/>
      <c r="AS196" s="1189"/>
      <c r="AT196" s="1189"/>
      <c r="AU196" s="1189"/>
      <c r="AV196" s="1189"/>
      <c r="AW196" s="1189"/>
      <c r="AX196" s="1189"/>
    </row>
    <row r="197" spans="1:50" ht="12" customHeight="1">
      <c r="A197" s="1123"/>
      <c r="B197" s="161"/>
      <c r="C197" s="1123"/>
      <c r="D197" s="1123"/>
      <c r="E197" s="1123"/>
      <c r="F197" s="1123"/>
      <c r="G197" s="1123"/>
      <c r="H197" s="1123"/>
      <c r="I197" s="1123"/>
      <c r="J197" s="1125"/>
      <c r="K197" s="156"/>
      <c r="L197" s="1123"/>
      <c r="M197" s="1205"/>
      <c r="N197" s="1123"/>
      <c r="O197" s="1123"/>
      <c r="P197" s="1123"/>
      <c r="Q197" s="1123"/>
      <c r="R197" s="1189"/>
      <c r="S197" s="1189"/>
      <c r="T197" s="1208"/>
      <c r="U197" s="1208"/>
      <c r="V197" s="1189"/>
      <c r="W197" s="1189"/>
      <c r="X197" s="1189"/>
      <c r="Y197" s="1189"/>
      <c r="Z197" s="1189"/>
      <c r="AA197" s="1189"/>
      <c r="AB197" s="1189"/>
      <c r="AC197" s="1189"/>
      <c r="AD197" s="1189"/>
      <c r="AE197" s="1189"/>
      <c r="AF197" s="1189"/>
      <c r="AG197" s="1189"/>
      <c r="AH197" s="1189"/>
      <c r="AI197" s="1189"/>
      <c r="AJ197" s="1189"/>
      <c r="AK197" s="1189"/>
      <c r="AL197" s="1189"/>
      <c r="AM197" s="1189"/>
      <c r="AN197" s="1189"/>
      <c r="AO197" s="1189"/>
      <c r="AP197" s="1189"/>
      <c r="AQ197" s="1189"/>
      <c r="AR197" s="1189"/>
      <c r="AS197" s="1189"/>
      <c r="AT197" s="1189"/>
      <c r="AU197" s="1189"/>
      <c r="AV197" s="1189"/>
      <c r="AW197" s="1189"/>
      <c r="AX197" s="1189"/>
    </row>
    <row r="198" spans="1:50" ht="12" customHeight="1">
      <c r="A198" s="1123"/>
      <c r="B198" s="161"/>
      <c r="C198" s="1123"/>
      <c r="D198" s="1123"/>
      <c r="E198" s="1123"/>
      <c r="F198" s="1123"/>
      <c r="G198" s="1123"/>
      <c r="H198" s="1123"/>
      <c r="I198" s="1123"/>
      <c r="J198" s="1125"/>
      <c r="K198" s="156"/>
      <c r="L198" s="1123"/>
      <c r="M198" s="1205"/>
      <c r="N198" s="1123"/>
      <c r="O198" s="1123"/>
      <c r="P198" s="1123"/>
      <c r="Q198" s="1123"/>
      <c r="R198" s="1189"/>
      <c r="S198" s="1189"/>
      <c r="T198" s="1208"/>
      <c r="U198" s="1208"/>
      <c r="V198" s="1189"/>
      <c r="W198" s="1189"/>
      <c r="X198" s="1189"/>
      <c r="Y198" s="1189"/>
      <c r="Z198" s="1189"/>
      <c r="AA198" s="1189"/>
      <c r="AB198" s="1189"/>
      <c r="AC198" s="1189"/>
      <c r="AD198" s="1189"/>
      <c r="AE198" s="1189"/>
      <c r="AF198" s="1189"/>
      <c r="AG198" s="1189"/>
      <c r="AH198" s="1189"/>
      <c r="AI198" s="1189"/>
      <c r="AJ198" s="1189"/>
      <c r="AK198" s="1189"/>
      <c r="AL198" s="1189"/>
      <c r="AM198" s="1189"/>
      <c r="AN198" s="1189"/>
      <c r="AO198" s="1189"/>
      <c r="AP198" s="1189"/>
      <c r="AQ198" s="1189"/>
      <c r="AR198" s="1189"/>
      <c r="AS198" s="1189"/>
      <c r="AT198" s="1189"/>
      <c r="AU198" s="1189"/>
      <c r="AV198" s="1189"/>
      <c r="AW198" s="1189"/>
      <c r="AX198" s="1189"/>
    </row>
    <row r="199" spans="1:50" ht="12" customHeight="1">
      <c r="A199" s="1123"/>
      <c r="B199" s="161"/>
      <c r="C199" s="1123"/>
      <c r="D199" s="1123"/>
      <c r="E199" s="1123"/>
      <c r="F199" s="1123"/>
      <c r="G199" s="1123"/>
      <c r="H199" s="1123"/>
      <c r="I199" s="1123"/>
      <c r="J199" s="1125"/>
      <c r="K199" s="156"/>
      <c r="L199" s="1123"/>
      <c r="M199" s="1205"/>
      <c r="N199" s="1123"/>
      <c r="O199" s="1123"/>
      <c r="P199" s="1123"/>
      <c r="Q199" s="1123"/>
      <c r="R199" s="1189"/>
      <c r="S199" s="1189"/>
      <c r="T199" s="1208"/>
      <c r="U199" s="1208"/>
      <c r="V199" s="1189"/>
      <c r="W199" s="1189"/>
      <c r="X199" s="1189"/>
      <c r="Y199" s="1189"/>
      <c r="Z199" s="1189"/>
      <c r="AA199" s="1189"/>
      <c r="AB199" s="1189"/>
      <c r="AC199" s="1189"/>
      <c r="AD199" s="1189"/>
      <c r="AE199" s="1189"/>
      <c r="AF199" s="1189"/>
      <c r="AG199" s="1189"/>
      <c r="AH199" s="1189"/>
      <c r="AI199" s="1189"/>
      <c r="AJ199" s="1189"/>
      <c r="AK199" s="1189"/>
      <c r="AL199" s="1189"/>
      <c r="AM199" s="1189"/>
      <c r="AN199" s="1189"/>
      <c r="AO199" s="1189"/>
      <c r="AP199" s="1189"/>
      <c r="AQ199" s="1189"/>
      <c r="AR199" s="1189"/>
      <c r="AS199" s="1189"/>
      <c r="AT199" s="1189"/>
      <c r="AU199" s="1189"/>
      <c r="AV199" s="1189"/>
      <c r="AW199" s="1189"/>
      <c r="AX199" s="1189"/>
    </row>
    <row r="200" spans="1:50" ht="12" customHeight="1">
      <c r="A200" s="1123"/>
      <c r="B200" s="161"/>
      <c r="C200" s="1123"/>
      <c r="D200" s="1123"/>
      <c r="E200" s="1123"/>
      <c r="F200" s="1123"/>
      <c r="G200" s="1123"/>
      <c r="H200" s="1123"/>
      <c r="I200" s="1123"/>
      <c r="J200" s="1125"/>
      <c r="K200" s="156"/>
      <c r="L200" s="1123"/>
      <c r="M200" s="1205"/>
      <c r="N200" s="1123"/>
      <c r="O200" s="1123"/>
      <c r="P200" s="1123"/>
      <c r="Q200" s="1123"/>
      <c r="R200" s="1189"/>
      <c r="S200" s="1189"/>
      <c r="T200" s="1208"/>
      <c r="U200" s="1208"/>
      <c r="V200" s="1189"/>
      <c r="W200" s="1189"/>
      <c r="X200" s="1189"/>
      <c r="Y200" s="1189"/>
      <c r="Z200" s="1189"/>
      <c r="AA200" s="1189"/>
      <c r="AB200" s="1189"/>
      <c r="AC200" s="1189"/>
      <c r="AD200" s="1189"/>
      <c r="AE200" s="1189"/>
      <c r="AF200" s="1189"/>
      <c r="AG200" s="1189"/>
      <c r="AH200" s="1189"/>
      <c r="AI200" s="1189"/>
      <c r="AJ200" s="1189"/>
      <c r="AK200" s="1189"/>
      <c r="AL200" s="1189"/>
      <c r="AM200" s="1189"/>
      <c r="AN200" s="1189"/>
      <c r="AO200" s="1189"/>
      <c r="AP200" s="1189"/>
      <c r="AQ200" s="1189"/>
      <c r="AR200" s="1189"/>
      <c r="AS200" s="1189"/>
      <c r="AT200" s="1189"/>
      <c r="AU200" s="1189"/>
      <c r="AV200" s="1189"/>
      <c r="AW200" s="1189"/>
      <c r="AX200" s="1189"/>
    </row>
    <row r="201" spans="1:50" ht="12" customHeight="1">
      <c r="A201" s="1123"/>
      <c r="B201" s="161"/>
      <c r="C201" s="1123"/>
      <c r="D201" s="1123"/>
      <c r="E201" s="1123"/>
      <c r="F201" s="1123"/>
      <c r="G201" s="1123"/>
      <c r="H201" s="1123"/>
      <c r="I201" s="1123"/>
      <c r="J201" s="1125"/>
      <c r="K201" s="156"/>
      <c r="L201" s="1123"/>
      <c r="M201" s="1205"/>
      <c r="N201" s="1123"/>
      <c r="O201" s="1123"/>
      <c r="P201" s="1123"/>
      <c r="Q201" s="1123"/>
      <c r="R201" s="1189"/>
      <c r="S201" s="1189"/>
      <c r="T201" s="1208"/>
      <c r="U201" s="1208"/>
      <c r="V201" s="1189"/>
      <c r="W201" s="1189"/>
      <c r="X201" s="1189"/>
      <c r="Y201" s="1189"/>
      <c r="Z201" s="1189"/>
      <c r="AA201" s="1189"/>
      <c r="AB201" s="1189"/>
      <c r="AC201" s="1189"/>
      <c r="AD201" s="1189"/>
      <c r="AE201" s="1189"/>
      <c r="AF201" s="1189"/>
      <c r="AG201" s="1189"/>
      <c r="AH201" s="1189"/>
      <c r="AI201" s="1189"/>
      <c r="AJ201" s="1189"/>
      <c r="AK201" s="1189"/>
      <c r="AL201" s="1189"/>
      <c r="AM201" s="1189"/>
      <c r="AN201" s="1189"/>
      <c r="AO201" s="1189"/>
      <c r="AP201" s="1189"/>
      <c r="AQ201" s="1189"/>
      <c r="AR201" s="1189"/>
      <c r="AS201" s="1189"/>
      <c r="AT201" s="1189"/>
      <c r="AU201" s="1189"/>
      <c r="AV201" s="1189"/>
      <c r="AW201" s="1189"/>
      <c r="AX201" s="1189"/>
    </row>
    <row r="202" spans="1:50" ht="12" customHeight="1">
      <c r="A202" s="1123"/>
      <c r="B202" s="161"/>
      <c r="C202" s="1123"/>
      <c r="D202" s="1123"/>
      <c r="E202" s="1123"/>
      <c r="F202" s="1123"/>
      <c r="G202" s="1123"/>
      <c r="H202" s="1123"/>
      <c r="I202" s="1123"/>
      <c r="J202" s="1125"/>
      <c r="K202" s="156"/>
      <c r="L202" s="1123"/>
      <c r="M202" s="1205"/>
      <c r="N202" s="1123"/>
      <c r="O202" s="1123"/>
      <c r="P202" s="1123"/>
      <c r="Q202" s="1123"/>
      <c r="R202" s="1189"/>
      <c r="S202" s="1189"/>
      <c r="T202" s="1208"/>
      <c r="U202" s="1208"/>
      <c r="V202" s="1189"/>
      <c r="W202" s="1189"/>
      <c r="X202" s="1189"/>
      <c r="Y202" s="1189"/>
      <c r="Z202" s="1189"/>
      <c r="AA202" s="1189"/>
      <c r="AB202" s="1189"/>
      <c r="AC202" s="1189"/>
      <c r="AD202" s="1189"/>
      <c r="AE202" s="1189"/>
      <c r="AF202" s="1189"/>
      <c r="AG202" s="1189"/>
      <c r="AH202" s="1189"/>
      <c r="AI202" s="1189"/>
      <c r="AJ202" s="1189"/>
      <c r="AK202" s="1189"/>
      <c r="AL202" s="1189"/>
      <c r="AM202" s="1189"/>
      <c r="AN202" s="1189"/>
      <c r="AO202" s="1189"/>
      <c r="AP202" s="1189"/>
      <c r="AQ202" s="1189"/>
      <c r="AR202" s="1189"/>
      <c r="AS202" s="1189"/>
      <c r="AT202" s="1189"/>
      <c r="AU202" s="1189"/>
      <c r="AV202" s="1189"/>
      <c r="AW202" s="1189"/>
      <c r="AX202" s="1189"/>
    </row>
    <row r="203" spans="1:50" ht="12" customHeight="1">
      <c r="A203" s="1123"/>
      <c r="B203" s="161"/>
      <c r="C203" s="1123"/>
      <c r="D203" s="1123"/>
      <c r="E203" s="1123"/>
      <c r="F203" s="1123"/>
      <c r="G203" s="1123"/>
      <c r="H203" s="1123"/>
      <c r="I203" s="1123"/>
      <c r="J203" s="1125"/>
      <c r="K203" s="156"/>
      <c r="L203" s="1123"/>
      <c r="M203" s="1205"/>
      <c r="N203" s="1123"/>
      <c r="O203" s="1123"/>
      <c r="P203" s="1123"/>
      <c r="Q203" s="1123"/>
      <c r="R203" s="1189"/>
      <c r="S203" s="1189"/>
      <c r="T203" s="1208"/>
      <c r="U203" s="1208"/>
      <c r="V203" s="1189"/>
      <c r="W203" s="1189"/>
      <c r="X203" s="1189"/>
      <c r="Y203" s="1189"/>
      <c r="Z203" s="1189"/>
      <c r="AA203" s="1189"/>
      <c r="AB203" s="1189"/>
      <c r="AC203" s="1189"/>
      <c r="AD203" s="1189"/>
      <c r="AE203" s="1189"/>
      <c r="AF203" s="1189"/>
      <c r="AG203" s="1189"/>
      <c r="AH203" s="1189"/>
      <c r="AI203" s="1189"/>
      <c r="AJ203" s="1189"/>
      <c r="AK203" s="1189"/>
      <c r="AL203" s="1189"/>
      <c r="AM203" s="1189"/>
      <c r="AN203" s="1189"/>
      <c r="AO203" s="1189"/>
      <c r="AP203" s="1189"/>
      <c r="AQ203" s="1189"/>
      <c r="AR203" s="1189"/>
      <c r="AS203" s="1189"/>
      <c r="AT203" s="1189"/>
      <c r="AU203" s="1189"/>
      <c r="AV203" s="1189"/>
      <c r="AW203" s="1189"/>
      <c r="AX203" s="1189"/>
    </row>
    <row r="204" spans="1:50" ht="12" customHeight="1">
      <c r="A204" s="1123"/>
      <c r="B204" s="161"/>
      <c r="C204" s="1123"/>
      <c r="D204" s="1123"/>
      <c r="E204" s="1123"/>
      <c r="F204" s="1123"/>
      <c r="G204" s="1123"/>
      <c r="H204" s="1123"/>
      <c r="I204" s="1123"/>
      <c r="J204" s="1125"/>
      <c r="K204" s="156"/>
      <c r="L204" s="1123"/>
      <c r="M204" s="1205"/>
      <c r="N204" s="1123"/>
      <c r="O204" s="1123"/>
      <c r="P204" s="1123"/>
      <c r="Q204" s="1123"/>
      <c r="R204" s="1189"/>
      <c r="S204" s="1189"/>
      <c r="T204" s="1208"/>
      <c r="U204" s="1208"/>
      <c r="V204" s="1189"/>
      <c r="W204" s="1189"/>
      <c r="X204" s="1189"/>
      <c r="Y204" s="1189"/>
      <c r="Z204" s="1189"/>
      <c r="AA204" s="1189"/>
      <c r="AB204" s="1189"/>
      <c r="AC204" s="1189"/>
      <c r="AD204" s="1189"/>
      <c r="AE204" s="1189"/>
      <c r="AF204" s="1189"/>
      <c r="AG204" s="1189"/>
      <c r="AH204" s="1189"/>
      <c r="AI204" s="1189"/>
      <c r="AJ204" s="1189"/>
      <c r="AK204" s="1189"/>
      <c r="AL204" s="1189"/>
      <c r="AM204" s="1189"/>
      <c r="AN204" s="1189"/>
      <c r="AO204" s="1189"/>
      <c r="AP204" s="1189"/>
      <c r="AQ204" s="1189"/>
      <c r="AR204" s="1189"/>
      <c r="AS204" s="1189"/>
      <c r="AT204" s="1189"/>
      <c r="AU204" s="1189"/>
      <c r="AV204" s="1189"/>
      <c r="AW204" s="1189"/>
      <c r="AX204" s="1189"/>
    </row>
    <row r="205" spans="1:50" ht="12" customHeight="1">
      <c r="A205" s="1123"/>
      <c r="B205" s="161"/>
      <c r="C205" s="1123"/>
      <c r="D205" s="1123"/>
      <c r="E205" s="1123"/>
      <c r="F205" s="1123"/>
      <c r="G205" s="1123"/>
      <c r="H205" s="1123"/>
      <c r="I205" s="1123"/>
      <c r="J205" s="1125"/>
      <c r="K205" s="156"/>
      <c r="L205" s="1123"/>
      <c r="M205" s="1205"/>
      <c r="N205" s="1123"/>
      <c r="O205" s="1123"/>
      <c r="P205" s="1123"/>
      <c r="Q205" s="1123"/>
      <c r="R205" s="1189"/>
      <c r="S205" s="1189"/>
      <c r="T205" s="1208"/>
      <c r="U205" s="1208"/>
      <c r="V205" s="1189"/>
      <c r="W205" s="1189"/>
      <c r="X205" s="1189"/>
      <c r="Y205" s="1189"/>
      <c r="Z205" s="1189"/>
      <c r="AA205" s="1189"/>
      <c r="AB205" s="1189"/>
      <c r="AC205" s="1189"/>
      <c r="AD205" s="1189"/>
      <c r="AE205" s="1189"/>
      <c r="AF205" s="1189"/>
      <c r="AG205" s="1189"/>
      <c r="AH205" s="1189"/>
      <c r="AI205" s="1189"/>
      <c r="AJ205" s="1189"/>
      <c r="AK205" s="1189"/>
      <c r="AL205" s="1189"/>
      <c r="AM205" s="1189"/>
      <c r="AN205" s="1189"/>
      <c r="AO205" s="1189"/>
      <c r="AP205" s="1189"/>
      <c r="AQ205" s="1189"/>
      <c r="AR205" s="1189"/>
      <c r="AS205" s="1189"/>
      <c r="AT205" s="1189"/>
      <c r="AU205" s="1189"/>
      <c r="AV205" s="1189"/>
      <c r="AW205" s="1189"/>
      <c r="AX205" s="1189"/>
    </row>
    <row r="206" spans="1:50" ht="12" customHeight="1">
      <c r="A206" s="1123"/>
      <c r="B206" s="161"/>
      <c r="C206" s="1123"/>
      <c r="D206" s="1123"/>
      <c r="E206" s="1123"/>
      <c r="F206" s="1123"/>
      <c r="G206" s="1123"/>
      <c r="H206" s="1123"/>
      <c r="I206" s="1123"/>
      <c r="J206" s="1125"/>
      <c r="K206" s="156"/>
      <c r="L206" s="1123"/>
      <c r="M206" s="1205"/>
      <c r="N206" s="1123"/>
      <c r="O206" s="1123"/>
      <c r="P206" s="1123"/>
      <c r="Q206" s="1123"/>
      <c r="R206" s="1189"/>
      <c r="S206" s="1189"/>
      <c r="T206" s="1208"/>
      <c r="U206" s="1208"/>
      <c r="V206" s="1189"/>
      <c r="W206" s="1189"/>
      <c r="X206" s="1189"/>
      <c r="Y206" s="1189"/>
      <c r="Z206" s="1189"/>
      <c r="AA206" s="1189"/>
      <c r="AB206" s="1189"/>
      <c r="AC206" s="1189"/>
      <c r="AD206" s="1189"/>
      <c r="AE206" s="1189"/>
      <c r="AF206" s="1189"/>
      <c r="AG206" s="1189"/>
      <c r="AH206" s="1189"/>
      <c r="AI206" s="1189"/>
      <c r="AJ206" s="1189"/>
      <c r="AK206" s="1189"/>
      <c r="AL206" s="1189"/>
      <c r="AM206" s="1189"/>
      <c r="AN206" s="1189"/>
      <c r="AO206" s="1189"/>
      <c r="AP206" s="1189"/>
      <c r="AQ206" s="1189"/>
      <c r="AR206" s="1189"/>
      <c r="AS206" s="1189"/>
      <c r="AT206" s="1189"/>
      <c r="AU206" s="1189"/>
      <c r="AV206" s="1189"/>
      <c r="AW206" s="1189"/>
      <c r="AX206" s="1189"/>
    </row>
    <row r="207" spans="1:50" ht="12" customHeight="1">
      <c r="A207" s="1123"/>
      <c r="B207" s="161"/>
      <c r="C207" s="1123"/>
      <c r="D207" s="1123"/>
      <c r="E207" s="1123"/>
      <c r="F207" s="1123"/>
      <c r="G207" s="1123"/>
      <c r="H207" s="1123"/>
      <c r="I207" s="1123"/>
      <c r="J207" s="1125"/>
      <c r="K207" s="156"/>
      <c r="L207" s="1123"/>
      <c r="M207" s="1205"/>
      <c r="N207" s="1123"/>
      <c r="O207" s="1123"/>
      <c r="P207" s="1123"/>
      <c r="Q207" s="1123"/>
      <c r="R207" s="1189"/>
      <c r="S207" s="1189"/>
      <c r="T207" s="1208"/>
      <c r="U207" s="1208"/>
      <c r="V207" s="1189"/>
      <c r="W207" s="1189"/>
      <c r="X207" s="1189"/>
      <c r="Y207" s="1189"/>
      <c r="Z207" s="1189"/>
      <c r="AA207" s="1189"/>
      <c r="AB207" s="1189"/>
      <c r="AC207" s="1189"/>
      <c r="AD207" s="1189"/>
      <c r="AE207" s="1189"/>
      <c r="AF207" s="1189"/>
      <c r="AG207" s="1189"/>
      <c r="AH207" s="1189"/>
      <c r="AI207" s="1189"/>
      <c r="AJ207" s="1189"/>
      <c r="AK207" s="1189"/>
      <c r="AL207" s="1189"/>
      <c r="AM207" s="1189"/>
      <c r="AN207" s="1189"/>
      <c r="AO207" s="1189"/>
      <c r="AP207" s="1189"/>
      <c r="AQ207" s="1189"/>
      <c r="AR207" s="1189"/>
      <c r="AS207" s="1189"/>
      <c r="AT207" s="1189"/>
      <c r="AU207" s="1189"/>
      <c r="AV207" s="1189"/>
      <c r="AW207" s="1189"/>
      <c r="AX207" s="1189"/>
    </row>
    <row r="208" spans="1:50" ht="12" customHeight="1">
      <c r="A208" s="1123"/>
      <c r="B208" s="161"/>
      <c r="C208" s="1123"/>
      <c r="D208" s="1123"/>
      <c r="E208" s="1123"/>
      <c r="F208" s="1123"/>
      <c r="G208" s="1123"/>
      <c r="H208" s="1123"/>
      <c r="I208" s="1123"/>
      <c r="J208" s="1125"/>
      <c r="K208" s="156"/>
      <c r="L208" s="1123"/>
      <c r="M208" s="1205"/>
      <c r="N208" s="1123"/>
      <c r="O208" s="1123"/>
      <c r="P208" s="1123"/>
      <c r="Q208" s="1123"/>
      <c r="R208" s="1189"/>
      <c r="S208" s="1189"/>
      <c r="T208" s="1208"/>
      <c r="U208" s="1208"/>
      <c r="V208" s="1189"/>
      <c r="W208" s="1189"/>
      <c r="X208" s="1189"/>
      <c r="Y208" s="1189"/>
      <c r="Z208" s="1189"/>
      <c r="AA208" s="1189"/>
      <c r="AB208" s="1189"/>
      <c r="AC208" s="1189"/>
      <c r="AD208" s="1189"/>
      <c r="AE208" s="1189"/>
      <c r="AF208" s="1189"/>
      <c r="AG208" s="1189"/>
      <c r="AH208" s="1189"/>
      <c r="AI208" s="1189"/>
      <c r="AJ208" s="1189"/>
      <c r="AK208" s="1189"/>
      <c r="AL208" s="1189"/>
      <c r="AM208" s="1189"/>
      <c r="AN208" s="1189"/>
      <c r="AO208" s="1189"/>
      <c r="AP208" s="1189"/>
      <c r="AQ208" s="1189"/>
      <c r="AR208" s="1189"/>
      <c r="AS208" s="1189"/>
      <c r="AT208" s="1189"/>
      <c r="AU208" s="1189"/>
      <c r="AV208" s="1189"/>
      <c r="AW208" s="1189"/>
      <c r="AX208" s="1189"/>
    </row>
    <row r="209" spans="1:50" ht="12" customHeight="1">
      <c r="A209" s="1123"/>
      <c r="B209" s="161"/>
      <c r="C209" s="1123"/>
      <c r="D209" s="1123"/>
      <c r="E209" s="1123"/>
      <c r="F209" s="1123"/>
      <c r="G209" s="1123"/>
      <c r="H209" s="1123"/>
      <c r="I209" s="1123"/>
      <c r="J209" s="1125"/>
      <c r="K209" s="156"/>
      <c r="L209" s="1123"/>
      <c r="M209" s="1205"/>
      <c r="N209" s="1123"/>
      <c r="O209" s="1123"/>
      <c r="P209" s="1123"/>
      <c r="Q209" s="1123"/>
      <c r="R209" s="1189"/>
      <c r="S209" s="1189"/>
      <c r="T209" s="1208"/>
      <c r="U209" s="1208"/>
      <c r="V209" s="1189"/>
      <c r="W209" s="1189"/>
      <c r="X209" s="1189"/>
      <c r="Y209" s="1189"/>
      <c r="Z209" s="1189"/>
      <c r="AA209" s="1189"/>
      <c r="AB209" s="1189"/>
      <c r="AC209" s="1189"/>
      <c r="AD209" s="1189"/>
      <c r="AE209" s="1189"/>
      <c r="AF209" s="1189"/>
      <c r="AG209" s="1189"/>
      <c r="AH209" s="1189"/>
      <c r="AI209" s="1189"/>
      <c r="AJ209" s="1189"/>
      <c r="AK209" s="1189"/>
      <c r="AL209" s="1189"/>
      <c r="AM209" s="1189"/>
      <c r="AN209" s="1189"/>
      <c r="AO209" s="1189"/>
      <c r="AP209" s="1189"/>
      <c r="AQ209" s="1189"/>
      <c r="AR209" s="1189"/>
      <c r="AS209" s="1189"/>
      <c r="AT209" s="1189"/>
      <c r="AU209" s="1189"/>
      <c r="AV209" s="1189"/>
      <c r="AW209" s="1189"/>
      <c r="AX209" s="1189"/>
    </row>
    <row r="210" spans="1:50" ht="12" customHeight="1">
      <c r="A210" s="1123"/>
      <c r="B210" s="161"/>
      <c r="C210" s="1123"/>
      <c r="D210" s="1123"/>
      <c r="E210" s="1123"/>
      <c r="F210" s="1123"/>
      <c r="G210" s="1123"/>
      <c r="H210" s="1123"/>
      <c r="I210" s="1123"/>
      <c r="J210" s="1125"/>
      <c r="K210" s="156"/>
      <c r="L210" s="1123"/>
      <c r="M210" s="1205"/>
      <c r="N210" s="1123"/>
      <c r="O210" s="1123"/>
      <c r="P210" s="1123"/>
      <c r="Q210" s="1123"/>
      <c r="R210" s="1189"/>
      <c r="S210" s="1189"/>
      <c r="T210" s="1208"/>
      <c r="U210" s="1208"/>
      <c r="V210" s="1189"/>
      <c r="W210" s="1189"/>
      <c r="X210" s="1189"/>
      <c r="Y210" s="1189"/>
      <c r="Z210" s="1189"/>
      <c r="AA210" s="1189"/>
      <c r="AB210" s="1189"/>
      <c r="AC210" s="1189"/>
      <c r="AD210" s="1189"/>
      <c r="AE210" s="1189"/>
      <c r="AF210" s="1189"/>
      <c r="AG210" s="1189"/>
      <c r="AH210" s="1189"/>
      <c r="AI210" s="1189"/>
      <c r="AJ210" s="1189"/>
      <c r="AK210" s="1189"/>
      <c r="AL210" s="1189"/>
      <c r="AM210" s="1189"/>
      <c r="AN210" s="1189"/>
      <c r="AO210" s="1189"/>
      <c r="AP210" s="1189"/>
      <c r="AQ210" s="1189"/>
      <c r="AR210" s="1189"/>
      <c r="AS210" s="1189"/>
      <c r="AT210" s="1189"/>
      <c r="AU210" s="1189"/>
      <c r="AV210" s="1189"/>
      <c r="AW210" s="1189"/>
      <c r="AX210" s="1189"/>
    </row>
    <row r="211" spans="1:50" ht="12" customHeight="1">
      <c r="A211" s="1123"/>
      <c r="B211" s="161"/>
      <c r="C211" s="1123"/>
      <c r="D211" s="1123"/>
      <c r="E211" s="1123"/>
      <c r="F211" s="1123"/>
      <c r="G211" s="1123"/>
      <c r="H211" s="1123"/>
      <c r="I211" s="1123"/>
      <c r="J211" s="1125"/>
      <c r="K211" s="156"/>
      <c r="L211" s="1123"/>
      <c r="M211" s="1205"/>
      <c r="N211" s="1123"/>
      <c r="O211" s="1123"/>
      <c r="P211" s="1123"/>
      <c r="Q211" s="1123"/>
      <c r="R211" s="1189"/>
      <c r="S211" s="1189"/>
      <c r="T211" s="1208"/>
      <c r="U211" s="1208"/>
      <c r="V211" s="1189"/>
      <c r="W211" s="1189"/>
      <c r="X211" s="1189"/>
      <c r="Y211" s="1189"/>
      <c r="Z211" s="1189"/>
      <c r="AA211" s="1189"/>
      <c r="AB211" s="1189"/>
      <c r="AC211" s="1189"/>
      <c r="AD211" s="1189"/>
      <c r="AE211" s="1189"/>
      <c r="AF211" s="1189"/>
      <c r="AG211" s="1189"/>
      <c r="AH211" s="1189"/>
      <c r="AI211" s="1189"/>
      <c r="AJ211" s="1189"/>
      <c r="AK211" s="1189"/>
      <c r="AL211" s="1189"/>
      <c r="AM211" s="1189"/>
      <c r="AN211" s="1189"/>
      <c r="AO211" s="1189"/>
      <c r="AP211" s="1189"/>
      <c r="AQ211" s="1189"/>
      <c r="AR211" s="1189"/>
      <c r="AS211" s="1189"/>
      <c r="AT211" s="1189"/>
      <c r="AU211" s="1189"/>
      <c r="AV211" s="1189"/>
      <c r="AW211" s="1189"/>
      <c r="AX211" s="1189"/>
    </row>
    <row r="212" spans="1:50" ht="12" customHeight="1">
      <c r="A212" s="1123"/>
      <c r="B212" s="161"/>
      <c r="C212" s="1123"/>
      <c r="D212" s="1123"/>
      <c r="E212" s="1123"/>
      <c r="F212" s="1123"/>
      <c r="G212" s="1123"/>
      <c r="H212" s="1123"/>
      <c r="I212" s="1123"/>
      <c r="J212" s="1125"/>
      <c r="K212" s="156"/>
      <c r="L212" s="1123"/>
      <c r="M212" s="1205"/>
      <c r="N212" s="1123"/>
      <c r="O212" s="1123"/>
      <c r="P212" s="1123"/>
      <c r="Q212" s="1123"/>
      <c r="R212" s="1189"/>
      <c r="S212" s="1189"/>
      <c r="T212" s="1208"/>
      <c r="U212" s="1208"/>
      <c r="V212" s="1189"/>
      <c r="W212" s="1189"/>
      <c r="X212" s="1189"/>
      <c r="Y212" s="1189"/>
      <c r="Z212" s="1189"/>
      <c r="AA212" s="1189"/>
      <c r="AB212" s="1189"/>
      <c r="AC212" s="1189"/>
      <c r="AD212" s="1189"/>
      <c r="AE212" s="1189"/>
      <c r="AF212" s="1189"/>
      <c r="AG212" s="1189"/>
      <c r="AH212" s="1189"/>
      <c r="AI212" s="1189"/>
      <c r="AJ212" s="1189"/>
      <c r="AK212" s="1189"/>
      <c r="AL212" s="1189"/>
      <c r="AM212" s="1189"/>
      <c r="AN212" s="1189"/>
      <c r="AO212" s="1189"/>
      <c r="AP212" s="1189"/>
      <c r="AQ212" s="1189"/>
      <c r="AR212" s="1189"/>
      <c r="AS212" s="1189"/>
      <c r="AT212" s="1189"/>
      <c r="AU212" s="1189"/>
      <c r="AV212" s="1189"/>
      <c r="AW212" s="1189"/>
      <c r="AX212" s="1189"/>
    </row>
    <row r="213" spans="1:50" ht="12" customHeight="1">
      <c r="A213" s="1123"/>
      <c r="B213" s="161"/>
      <c r="C213" s="1123"/>
      <c r="D213" s="1123"/>
      <c r="E213" s="1123"/>
      <c r="F213" s="1123"/>
      <c r="G213" s="1123"/>
      <c r="H213" s="1123"/>
      <c r="I213" s="1123"/>
      <c r="J213" s="1125"/>
      <c r="K213" s="156"/>
      <c r="L213" s="1123"/>
      <c r="M213" s="1205"/>
      <c r="N213" s="1123"/>
      <c r="O213" s="1123"/>
      <c r="P213" s="1123"/>
      <c r="Q213" s="1123"/>
      <c r="R213" s="1189"/>
      <c r="S213" s="1189"/>
      <c r="T213" s="1208"/>
      <c r="U213" s="1208"/>
      <c r="V213" s="1189"/>
      <c r="W213" s="1189"/>
      <c r="X213" s="1189"/>
      <c r="Y213" s="1189"/>
      <c r="Z213" s="1189"/>
      <c r="AA213" s="1189"/>
      <c r="AB213" s="1189"/>
      <c r="AC213" s="1189"/>
      <c r="AD213" s="1189"/>
      <c r="AE213" s="1189"/>
      <c r="AF213" s="1189"/>
      <c r="AG213" s="1189"/>
      <c r="AH213" s="1189"/>
      <c r="AI213" s="1189"/>
      <c r="AJ213" s="1189"/>
      <c r="AK213" s="1189"/>
      <c r="AL213" s="1189"/>
      <c r="AM213" s="1189"/>
      <c r="AN213" s="1189"/>
      <c r="AO213" s="1189"/>
      <c r="AP213" s="1189"/>
      <c r="AQ213" s="1189"/>
      <c r="AR213" s="1189"/>
      <c r="AS213" s="1189"/>
      <c r="AT213" s="1189"/>
      <c r="AU213" s="1189"/>
      <c r="AV213" s="1189"/>
      <c r="AW213" s="1189"/>
      <c r="AX213" s="1189"/>
    </row>
    <row r="214" spans="1:50" ht="12" customHeight="1">
      <c r="A214" s="1123"/>
      <c r="B214" s="161"/>
      <c r="C214" s="1123"/>
      <c r="D214" s="1123"/>
      <c r="E214" s="1123"/>
      <c r="F214" s="1123"/>
      <c r="G214" s="1123"/>
      <c r="H214" s="1123"/>
      <c r="I214" s="1123"/>
      <c r="J214" s="1125"/>
      <c r="K214" s="156"/>
      <c r="L214" s="1123"/>
      <c r="M214" s="1205"/>
      <c r="N214" s="1123"/>
      <c r="O214" s="1123"/>
      <c r="P214" s="1123"/>
      <c r="Q214" s="1123"/>
      <c r="R214" s="1189"/>
      <c r="S214" s="1189"/>
      <c r="T214" s="1208"/>
      <c r="U214" s="1208"/>
      <c r="V214" s="1189"/>
      <c r="W214" s="1189"/>
      <c r="X214" s="1189"/>
      <c r="Y214" s="1189"/>
      <c r="Z214" s="1189"/>
      <c r="AA214" s="1189"/>
      <c r="AB214" s="1189"/>
      <c r="AC214" s="1189"/>
      <c r="AD214" s="1189"/>
      <c r="AE214" s="1189"/>
      <c r="AF214" s="1189"/>
      <c r="AG214" s="1189"/>
      <c r="AH214" s="1189"/>
      <c r="AI214" s="1189"/>
      <c r="AJ214" s="1189"/>
      <c r="AK214" s="1189"/>
      <c r="AL214" s="1189"/>
      <c r="AM214" s="1189"/>
      <c r="AN214" s="1189"/>
      <c r="AO214" s="1189"/>
      <c r="AP214" s="1189"/>
      <c r="AQ214" s="1189"/>
      <c r="AR214" s="1189"/>
      <c r="AS214" s="1189"/>
      <c r="AT214" s="1189"/>
      <c r="AU214" s="1189"/>
      <c r="AV214" s="1189"/>
      <c r="AW214" s="1189"/>
      <c r="AX214" s="1189"/>
    </row>
    <row r="215" spans="1:50" ht="12" customHeight="1">
      <c r="A215" s="1123"/>
      <c r="B215" s="161"/>
      <c r="C215" s="1123"/>
      <c r="D215" s="1123"/>
      <c r="E215" s="1123"/>
      <c r="F215" s="1123"/>
      <c r="G215" s="1123"/>
      <c r="H215" s="1123"/>
      <c r="I215" s="1123"/>
      <c r="J215" s="1125"/>
      <c r="K215" s="156"/>
      <c r="L215" s="1123"/>
      <c r="M215" s="1205"/>
      <c r="N215" s="1123"/>
      <c r="O215" s="1123"/>
      <c r="P215" s="1123"/>
      <c r="Q215" s="1123"/>
      <c r="R215" s="1189"/>
      <c r="S215" s="1189"/>
      <c r="T215" s="1208"/>
      <c r="U215" s="1208"/>
      <c r="V215" s="1189"/>
      <c r="W215" s="1189"/>
      <c r="X215" s="1189"/>
      <c r="Y215" s="1189"/>
      <c r="Z215" s="1189"/>
      <c r="AA215" s="1189"/>
      <c r="AB215" s="1189"/>
      <c r="AC215" s="1189"/>
      <c r="AD215" s="1189"/>
      <c r="AE215" s="1189"/>
      <c r="AF215" s="1189"/>
      <c r="AG215" s="1189"/>
      <c r="AH215" s="1189"/>
      <c r="AI215" s="1189"/>
      <c r="AJ215" s="1189"/>
      <c r="AK215" s="1189"/>
      <c r="AL215" s="1189"/>
      <c r="AM215" s="1189"/>
      <c r="AN215" s="1189"/>
      <c r="AO215" s="1189"/>
      <c r="AP215" s="1189"/>
      <c r="AQ215" s="1189"/>
      <c r="AR215" s="1189"/>
      <c r="AS215" s="1189"/>
      <c r="AT215" s="1189"/>
      <c r="AU215" s="1189"/>
      <c r="AV215" s="1189"/>
      <c r="AW215" s="1189"/>
      <c r="AX215" s="1189"/>
    </row>
    <row r="216" spans="1:50" ht="12" customHeight="1">
      <c r="A216" s="1123"/>
      <c r="B216" s="161"/>
      <c r="C216" s="1123"/>
      <c r="D216" s="1123"/>
      <c r="E216" s="1123"/>
      <c r="F216" s="1123"/>
      <c r="G216" s="1123"/>
      <c r="H216" s="1123"/>
      <c r="I216" s="1123"/>
      <c r="J216" s="1125"/>
      <c r="K216" s="156"/>
      <c r="L216" s="1123"/>
      <c r="M216" s="1205"/>
      <c r="N216" s="1123"/>
      <c r="O216" s="1123"/>
      <c r="P216" s="1123"/>
      <c r="Q216" s="1123"/>
      <c r="R216" s="1189"/>
      <c r="S216" s="1189"/>
      <c r="T216" s="1208"/>
      <c r="U216" s="1208"/>
      <c r="V216" s="1189"/>
      <c r="W216" s="1189"/>
      <c r="X216" s="1189"/>
      <c r="Y216" s="1189"/>
      <c r="Z216" s="1189"/>
      <c r="AA216" s="1189"/>
      <c r="AB216" s="1189"/>
      <c r="AC216" s="1189"/>
      <c r="AD216" s="1189"/>
      <c r="AE216" s="1189"/>
      <c r="AF216" s="1189"/>
      <c r="AG216" s="1189"/>
      <c r="AH216" s="1189"/>
      <c r="AI216" s="1189"/>
      <c r="AJ216" s="1189"/>
      <c r="AK216" s="1189"/>
      <c r="AL216" s="1189"/>
      <c r="AM216" s="1189"/>
      <c r="AN216" s="1189"/>
      <c r="AO216" s="1189"/>
      <c r="AP216" s="1189"/>
      <c r="AQ216" s="1189"/>
      <c r="AR216" s="1189"/>
      <c r="AS216" s="1189"/>
      <c r="AT216" s="1189"/>
      <c r="AU216" s="1189"/>
      <c r="AV216" s="1189"/>
      <c r="AW216" s="1189"/>
      <c r="AX216" s="1189"/>
    </row>
    <row r="217" spans="1:50" ht="12" customHeight="1">
      <c r="A217" s="1123"/>
      <c r="B217" s="161"/>
      <c r="C217" s="1123"/>
      <c r="D217" s="1123"/>
      <c r="E217" s="1123"/>
      <c r="F217" s="1123"/>
      <c r="G217" s="1123"/>
      <c r="H217" s="1123"/>
      <c r="I217" s="1123"/>
      <c r="J217" s="1125"/>
      <c r="K217" s="156"/>
      <c r="L217" s="1123"/>
      <c r="M217" s="1205"/>
      <c r="N217" s="1123"/>
      <c r="O217" s="1123"/>
      <c r="P217" s="1123"/>
      <c r="Q217" s="1123"/>
      <c r="R217" s="1189"/>
      <c r="S217" s="1189"/>
      <c r="T217" s="1208"/>
      <c r="U217" s="1208"/>
      <c r="V217" s="1189"/>
      <c r="W217" s="1189"/>
      <c r="X217" s="1189"/>
      <c r="Y217" s="1189"/>
      <c r="Z217" s="1189"/>
      <c r="AA217" s="1189"/>
      <c r="AB217" s="1189"/>
      <c r="AC217" s="1189"/>
      <c r="AD217" s="1189"/>
      <c r="AE217" s="1189"/>
      <c r="AF217" s="1189"/>
      <c r="AG217" s="1189"/>
      <c r="AH217" s="1189"/>
      <c r="AI217" s="1189"/>
      <c r="AJ217" s="1189"/>
      <c r="AK217" s="1189"/>
      <c r="AL217" s="1189"/>
      <c r="AM217" s="1189"/>
      <c r="AN217" s="1189"/>
      <c r="AO217" s="1189"/>
      <c r="AP217" s="1189"/>
      <c r="AQ217" s="1189"/>
      <c r="AR217" s="1189"/>
      <c r="AS217" s="1189"/>
      <c r="AT217" s="1189"/>
      <c r="AU217" s="1189"/>
      <c r="AV217" s="1189"/>
      <c r="AW217" s="1189"/>
      <c r="AX217" s="1189"/>
    </row>
    <row r="218" spans="1:50" ht="12" customHeight="1">
      <c r="A218" s="1123"/>
      <c r="B218" s="161"/>
      <c r="C218" s="1123"/>
      <c r="D218" s="1123"/>
      <c r="E218" s="1123"/>
      <c r="F218" s="1123"/>
      <c r="G218" s="1123"/>
      <c r="H218" s="1123"/>
      <c r="I218" s="1123"/>
      <c r="J218" s="1125"/>
      <c r="K218" s="156"/>
      <c r="L218" s="1123"/>
      <c r="M218" s="1205"/>
      <c r="N218" s="1123"/>
      <c r="O218" s="1123"/>
      <c r="P218" s="1123"/>
      <c r="Q218" s="1123"/>
      <c r="R218" s="1189"/>
      <c r="S218" s="1189"/>
      <c r="T218" s="1208"/>
      <c r="U218" s="1208"/>
      <c r="V218" s="1189"/>
      <c r="W218" s="1189"/>
      <c r="X218" s="1189"/>
      <c r="Y218" s="1189"/>
      <c r="Z218" s="1189"/>
      <c r="AA218" s="1189"/>
      <c r="AB218" s="1189"/>
      <c r="AC218" s="1189"/>
      <c r="AD218" s="1189"/>
      <c r="AE218" s="1189"/>
      <c r="AF218" s="1189"/>
      <c r="AG218" s="1189"/>
      <c r="AH218" s="1189"/>
      <c r="AI218" s="1189"/>
      <c r="AJ218" s="1189"/>
      <c r="AK218" s="1189"/>
      <c r="AL218" s="1189"/>
      <c r="AM218" s="1189"/>
      <c r="AN218" s="1189"/>
      <c r="AO218" s="1189"/>
      <c r="AP218" s="1189"/>
      <c r="AQ218" s="1189"/>
      <c r="AR218" s="1189"/>
      <c r="AS218" s="1189"/>
      <c r="AT218" s="1189"/>
      <c r="AU218" s="1189"/>
      <c r="AV218" s="1189"/>
      <c r="AW218" s="1189"/>
      <c r="AX218" s="1189"/>
    </row>
    <row r="219" spans="1:50" ht="13.5" customHeight="1">
      <c r="A219" s="1123"/>
      <c r="B219" s="161"/>
      <c r="C219" s="1123"/>
      <c r="D219" s="1123"/>
      <c r="E219" s="1123"/>
      <c r="F219" s="1123"/>
      <c r="G219" s="1123"/>
      <c r="H219" s="1123"/>
      <c r="I219" s="1123"/>
      <c r="J219" s="1125"/>
      <c r="K219" s="156"/>
      <c r="L219" s="1123"/>
      <c r="M219" s="1205"/>
      <c r="N219" s="1123"/>
      <c r="O219" s="1123"/>
      <c r="P219" s="1123"/>
      <c r="Q219" s="1123"/>
      <c r="R219" s="1189"/>
      <c r="S219" s="1189"/>
      <c r="T219" s="1208"/>
      <c r="U219" s="1208"/>
      <c r="V219" s="1189"/>
      <c r="W219" s="1189"/>
      <c r="X219" s="1189"/>
      <c r="Y219" s="1189"/>
      <c r="Z219" s="1189"/>
      <c r="AA219" s="1189"/>
      <c r="AB219" s="1189"/>
      <c r="AC219" s="1189"/>
      <c r="AD219" s="1189"/>
      <c r="AE219" s="1189"/>
      <c r="AF219" s="1189"/>
      <c r="AG219" s="1189"/>
      <c r="AH219" s="1189"/>
      <c r="AI219" s="1189"/>
      <c r="AJ219" s="1189"/>
      <c r="AK219" s="1189"/>
      <c r="AL219" s="1189"/>
      <c r="AM219" s="1189"/>
      <c r="AN219" s="1189"/>
      <c r="AO219" s="1189"/>
      <c r="AP219" s="1189"/>
      <c r="AQ219" s="1189"/>
      <c r="AR219" s="1189"/>
      <c r="AS219" s="1189"/>
      <c r="AT219" s="1189"/>
      <c r="AU219" s="1189"/>
      <c r="AV219" s="1189"/>
      <c r="AW219" s="1189"/>
      <c r="AX219" s="1189"/>
    </row>
    <row r="220" spans="1:50" ht="12" customHeight="1">
      <c r="A220" s="1123"/>
      <c r="B220" s="161"/>
      <c r="C220" s="1123"/>
      <c r="D220" s="1123"/>
      <c r="E220" s="1123"/>
      <c r="F220" s="1123"/>
      <c r="G220" s="1123"/>
      <c r="H220" s="1123"/>
      <c r="I220" s="1123"/>
      <c r="J220" s="1125"/>
      <c r="K220" s="156"/>
      <c r="L220" s="1123"/>
      <c r="M220" s="1205"/>
      <c r="N220" s="1123"/>
      <c r="O220" s="1123"/>
      <c r="P220" s="1123"/>
      <c r="Q220" s="1123"/>
      <c r="R220" s="1189"/>
      <c r="S220" s="1189"/>
      <c r="T220" s="1208"/>
      <c r="U220" s="1208"/>
      <c r="V220" s="1189"/>
      <c r="W220" s="1189"/>
      <c r="X220" s="1189"/>
      <c r="Y220" s="1189"/>
      <c r="Z220" s="1189"/>
      <c r="AA220" s="1189"/>
      <c r="AB220" s="1189"/>
      <c r="AC220" s="1189"/>
      <c r="AD220" s="1189"/>
      <c r="AE220" s="1189"/>
      <c r="AF220" s="1189"/>
      <c r="AG220" s="1189"/>
      <c r="AH220" s="1189"/>
      <c r="AI220" s="1189"/>
      <c r="AJ220" s="1189"/>
      <c r="AK220" s="1189"/>
      <c r="AL220" s="1189"/>
      <c r="AM220" s="1189"/>
      <c r="AN220" s="1189"/>
      <c r="AO220" s="1189"/>
      <c r="AP220" s="1189"/>
      <c r="AQ220" s="1189"/>
      <c r="AR220" s="1189"/>
      <c r="AS220" s="1189"/>
      <c r="AT220" s="1189"/>
      <c r="AU220" s="1189"/>
      <c r="AV220" s="1189"/>
      <c r="AW220" s="1189"/>
      <c r="AX220" s="1189"/>
    </row>
    <row r="221" spans="1:50" ht="12" customHeight="1">
      <c r="A221" s="1123"/>
      <c r="B221" s="161"/>
      <c r="C221" s="1123"/>
      <c r="D221" s="1123"/>
      <c r="E221" s="1123"/>
      <c r="F221" s="1123"/>
      <c r="G221" s="1123"/>
      <c r="H221" s="1123"/>
      <c r="I221" s="1123"/>
      <c r="J221" s="1125"/>
      <c r="K221" s="156"/>
      <c r="L221" s="1123"/>
      <c r="M221" s="1205"/>
      <c r="N221" s="1123"/>
      <c r="O221" s="1123"/>
      <c r="P221" s="1123"/>
      <c r="Q221" s="1123"/>
      <c r="R221" s="1189"/>
      <c r="S221" s="1189"/>
      <c r="T221" s="1208"/>
      <c r="U221" s="1208"/>
      <c r="V221" s="1189"/>
      <c r="W221" s="1189"/>
      <c r="X221" s="1189"/>
      <c r="Y221" s="1189"/>
      <c r="Z221" s="1189"/>
      <c r="AA221" s="1189"/>
      <c r="AB221" s="1189"/>
      <c r="AC221" s="1189"/>
      <c r="AD221" s="1189"/>
      <c r="AE221" s="1189"/>
      <c r="AF221" s="1189"/>
      <c r="AG221" s="1189"/>
      <c r="AH221" s="1189"/>
      <c r="AI221" s="1189"/>
      <c r="AJ221" s="1189"/>
      <c r="AK221" s="1189"/>
      <c r="AL221" s="1189"/>
      <c r="AM221" s="1189"/>
      <c r="AN221" s="1189"/>
      <c r="AO221" s="1189"/>
      <c r="AP221" s="1189"/>
      <c r="AQ221" s="1189"/>
      <c r="AR221" s="1189"/>
      <c r="AS221" s="1189"/>
      <c r="AT221" s="1189"/>
      <c r="AU221" s="1189"/>
      <c r="AV221" s="1189"/>
      <c r="AW221" s="1189"/>
      <c r="AX221" s="1189"/>
    </row>
    <row r="222" spans="1:50" ht="12" customHeight="1">
      <c r="A222" s="1123"/>
      <c r="B222" s="161"/>
      <c r="C222" s="1123"/>
      <c r="D222" s="1123"/>
      <c r="E222" s="1123"/>
      <c r="F222" s="1123"/>
      <c r="G222" s="1123"/>
      <c r="H222" s="1123"/>
      <c r="I222" s="1123"/>
      <c r="J222" s="1125"/>
      <c r="K222" s="156"/>
      <c r="L222" s="1123"/>
      <c r="M222" s="1205"/>
      <c r="N222" s="1123"/>
      <c r="O222" s="1123"/>
      <c r="P222" s="1123"/>
      <c r="Q222" s="1123"/>
      <c r="R222" s="1189"/>
      <c r="S222" s="1189"/>
      <c r="T222" s="1208"/>
      <c r="U222" s="1208"/>
      <c r="V222" s="1189"/>
      <c r="W222" s="1189"/>
      <c r="X222" s="1189"/>
      <c r="Y222" s="1189"/>
      <c r="Z222" s="1189"/>
      <c r="AA222" s="1189"/>
      <c r="AB222" s="1189"/>
      <c r="AC222" s="1189"/>
      <c r="AD222" s="1189"/>
      <c r="AE222" s="1189"/>
      <c r="AF222" s="1189"/>
      <c r="AG222" s="1189"/>
      <c r="AH222" s="1189"/>
      <c r="AI222" s="1189"/>
      <c r="AJ222" s="1189"/>
      <c r="AK222" s="1189"/>
      <c r="AL222" s="1189"/>
      <c r="AM222" s="1189"/>
      <c r="AN222" s="1189"/>
      <c r="AO222" s="1189"/>
      <c r="AP222" s="1189"/>
      <c r="AQ222" s="1189"/>
      <c r="AR222" s="1189"/>
      <c r="AS222" s="1189"/>
      <c r="AT222" s="1189"/>
      <c r="AU222" s="1189"/>
      <c r="AV222" s="1189"/>
      <c r="AW222" s="1189"/>
      <c r="AX222" s="1189"/>
    </row>
    <row r="223" spans="1:50" ht="12" customHeight="1">
      <c r="A223" s="1123"/>
      <c r="B223" s="161"/>
      <c r="C223" s="1123"/>
      <c r="D223" s="1123"/>
      <c r="E223" s="1123"/>
      <c r="F223" s="1123"/>
      <c r="G223" s="1123"/>
      <c r="H223" s="1123"/>
      <c r="I223" s="1123"/>
      <c r="J223" s="1125"/>
      <c r="K223" s="156"/>
      <c r="L223" s="1123"/>
      <c r="M223" s="1205"/>
      <c r="N223" s="1123"/>
      <c r="O223" s="1123"/>
      <c r="P223" s="1123"/>
      <c r="Q223" s="1123"/>
      <c r="R223" s="1189"/>
      <c r="S223" s="1189"/>
      <c r="T223" s="1208"/>
      <c r="U223" s="1208"/>
      <c r="V223" s="1189"/>
      <c r="W223" s="1189"/>
      <c r="X223" s="1189"/>
      <c r="Y223" s="1189"/>
      <c r="Z223" s="1189"/>
      <c r="AA223" s="1189"/>
      <c r="AB223" s="1189"/>
      <c r="AC223" s="1189"/>
      <c r="AD223" s="1189"/>
      <c r="AE223" s="1189"/>
      <c r="AF223" s="1189"/>
      <c r="AG223" s="1189"/>
      <c r="AH223" s="1189"/>
      <c r="AI223" s="1189"/>
      <c r="AJ223" s="1189"/>
      <c r="AK223" s="1189"/>
      <c r="AL223" s="1189"/>
      <c r="AM223" s="1189"/>
      <c r="AN223" s="1189"/>
      <c r="AO223" s="1189"/>
      <c r="AP223" s="1189"/>
      <c r="AQ223" s="1189"/>
      <c r="AR223" s="1189"/>
      <c r="AS223" s="1189"/>
      <c r="AT223" s="1189"/>
      <c r="AU223" s="1189"/>
      <c r="AV223" s="1189"/>
      <c r="AW223" s="1189"/>
      <c r="AX223" s="1189"/>
    </row>
    <row r="224" spans="1:50" ht="12" customHeight="1">
      <c r="A224" s="1123"/>
      <c r="B224" s="161"/>
      <c r="C224" s="1123"/>
      <c r="D224" s="1123"/>
      <c r="E224" s="1123"/>
      <c r="F224" s="1123"/>
      <c r="G224" s="1123"/>
      <c r="H224" s="1123"/>
      <c r="I224" s="1123"/>
      <c r="J224" s="1125"/>
      <c r="K224" s="156"/>
      <c r="L224" s="1123"/>
      <c r="M224" s="1205"/>
      <c r="N224" s="1123"/>
      <c r="O224" s="1123"/>
      <c r="P224" s="1123"/>
      <c r="Q224" s="1123"/>
      <c r="R224" s="1189"/>
      <c r="S224" s="1189"/>
      <c r="T224" s="1208"/>
      <c r="U224" s="1208"/>
      <c r="V224" s="1189"/>
      <c r="W224" s="1189"/>
      <c r="X224" s="1189"/>
      <c r="Y224" s="1189"/>
      <c r="Z224" s="1189"/>
      <c r="AA224" s="1189"/>
      <c r="AB224" s="1189"/>
      <c r="AC224" s="1189"/>
      <c r="AD224" s="1189"/>
      <c r="AE224" s="1189"/>
      <c r="AF224" s="1189"/>
      <c r="AG224" s="1189"/>
      <c r="AH224" s="1189"/>
      <c r="AI224" s="1189"/>
      <c r="AJ224" s="1189"/>
      <c r="AK224" s="1189"/>
      <c r="AL224" s="1189"/>
      <c r="AM224" s="1189"/>
      <c r="AN224" s="1189"/>
      <c r="AO224" s="1189"/>
      <c r="AP224" s="1189"/>
      <c r="AQ224" s="1189"/>
      <c r="AR224" s="1189"/>
      <c r="AS224" s="1189"/>
      <c r="AT224" s="1189"/>
      <c r="AU224" s="1189"/>
      <c r="AV224" s="1189"/>
      <c r="AW224" s="1189"/>
      <c r="AX224" s="1189"/>
    </row>
    <row r="225" spans="1:50" ht="12" customHeight="1">
      <c r="A225" s="1123"/>
      <c r="B225" s="161"/>
      <c r="C225" s="1123"/>
      <c r="D225" s="1123"/>
      <c r="E225" s="1123"/>
      <c r="F225" s="1123"/>
      <c r="G225" s="1123"/>
      <c r="H225" s="1123"/>
      <c r="I225" s="1123"/>
      <c r="J225" s="1125"/>
      <c r="K225" s="156"/>
      <c r="L225" s="1123"/>
      <c r="M225" s="1205"/>
      <c r="N225" s="1123"/>
      <c r="O225" s="1123"/>
      <c r="P225" s="1123"/>
      <c r="Q225" s="1123"/>
      <c r="R225" s="1189"/>
      <c r="S225" s="1189"/>
      <c r="T225" s="1208"/>
      <c r="U225" s="1208"/>
      <c r="V225" s="1189"/>
      <c r="W225" s="1189"/>
      <c r="X225" s="1189"/>
      <c r="Y225" s="1189"/>
      <c r="Z225" s="1189"/>
      <c r="AA225" s="1189"/>
      <c r="AB225" s="1189"/>
      <c r="AC225" s="1189"/>
      <c r="AD225" s="1189"/>
      <c r="AE225" s="1189"/>
      <c r="AF225" s="1189"/>
      <c r="AG225" s="1189"/>
      <c r="AH225" s="1189"/>
      <c r="AI225" s="1189"/>
      <c r="AJ225" s="1189"/>
      <c r="AK225" s="1189"/>
      <c r="AL225" s="1189"/>
      <c r="AM225" s="1189"/>
      <c r="AN225" s="1189"/>
      <c r="AO225" s="1189"/>
      <c r="AP225" s="1189"/>
      <c r="AQ225" s="1189"/>
      <c r="AR225" s="1189"/>
      <c r="AS225" s="1189"/>
      <c r="AT225" s="1189"/>
      <c r="AU225" s="1189"/>
      <c r="AV225" s="1189"/>
      <c r="AW225" s="1189"/>
      <c r="AX225" s="1189"/>
    </row>
    <row r="226" spans="1:50" ht="12" customHeight="1">
      <c r="A226" s="1123"/>
      <c r="B226" s="161"/>
      <c r="C226" s="1123"/>
      <c r="D226" s="1123"/>
      <c r="E226" s="1123"/>
      <c r="F226" s="1123"/>
      <c r="G226" s="1123"/>
      <c r="H226" s="1123"/>
      <c r="I226" s="1123"/>
      <c r="J226" s="1125"/>
      <c r="K226" s="156"/>
      <c r="L226" s="1123"/>
      <c r="M226" s="1205"/>
      <c r="N226" s="1123"/>
      <c r="O226" s="1123"/>
      <c r="P226" s="1123"/>
      <c r="Q226" s="1123"/>
      <c r="R226" s="1189"/>
      <c r="S226" s="1189"/>
      <c r="T226" s="1208"/>
      <c r="U226" s="1208"/>
      <c r="V226" s="1189"/>
      <c r="W226" s="1189"/>
      <c r="X226" s="1189"/>
      <c r="Y226" s="1189"/>
      <c r="Z226" s="1189"/>
      <c r="AA226" s="1189"/>
      <c r="AB226" s="1189"/>
      <c r="AC226" s="1189"/>
      <c r="AD226" s="1189"/>
      <c r="AE226" s="1189"/>
      <c r="AF226" s="1189"/>
      <c r="AG226" s="1189"/>
      <c r="AH226" s="1189"/>
      <c r="AI226" s="1189"/>
      <c r="AJ226" s="1189"/>
      <c r="AK226" s="1189"/>
      <c r="AL226" s="1189"/>
      <c r="AM226" s="1189"/>
      <c r="AN226" s="1189"/>
      <c r="AO226" s="1189"/>
      <c r="AP226" s="1189"/>
      <c r="AQ226" s="1189"/>
      <c r="AR226" s="1189"/>
      <c r="AS226" s="1189"/>
      <c r="AT226" s="1189"/>
      <c r="AU226" s="1189"/>
      <c r="AV226" s="1189"/>
      <c r="AW226" s="1189"/>
      <c r="AX226" s="1189"/>
    </row>
    <row r="227" spans="1:50" ht="12" customHeight="1">
      <c r="A227" s="1123"/>
      <c r="B227" s="161"/>
      <c r="C227" s="1123"/>
      <c r="D227" s="1123"/>
      <c r="E227" s="1123"/>
      <c r="F227" s="1123"/>
      <c r="G227" s="1123"/>
      <c r="H227" s="1123"/>
      <c r="I227" s="1123"/>
      <c r="J227" s="1125"/>
      <c r="K227" s="156"/>
      <c r="L227" s="1123"/>
      <c r="M227" s="1205"/>
      <c r="N227" s="1123"/>
      <c r="O227" s="1123"/>
      <c r="P227" s="1123"/>
      <c r="Q227" s="1123"/>
      <c r="R227" s="1189"/>
      <c r="S227" s="1189"/>
      <c r="T227" s="1208"/>
      <c r="U227" s="1208"/>
      <c r="V227" s="1189"/>
      <c r="W227" s="1189"/>
      <c r="X227" s="1189"/>
      <c r="Y227" s="1189"/>
      <c r="Z227" s="1189"/>
      <c r="AA227" s="1189"/>
      <c r="AB227" s="1189"/>
      <c r="AC227" s="1189"/>
      <c r="AD227" s="1189"/>
      <c r="AE227" s="1189"/>
      <c r="AF227" s="1189"/>
      <c r="AG227" s="1189"/>
      <c r="AH227" s="1189"/>
      <c r="AI227" s="1189"/>
      <c r="AJ227" s="1189"/>
      <c r="AK227" s="1189"/>
      <c r="AL227" s="1189"/>
      <c r="AM227" s="1189"/>
      <c r="AN227" s="1189"/>
      <c r="AO227" s="1189"/>
      <c r="AP227" s="1189"/>
      <c r="AQ227" s="1189"/>
      <c r="AR227" s="1189"/>
      <c r="AS227" s="1189"/>
      <c r="AT227" s="1189"/>
      <c r="AU227" s="1189"/>
      <c r="AV227" s="1189"/>
      <c r="AW227" s="1189"/>
      <c r="AX227" s="1189"/>
    </row>
    <row r="228" spans="1:50" ht="12" customHeight="1">
      <c r="A228" s="1123"/>
      <c r="B228" s="161"/>
      <c r="C228" s="1123"/>
      <c r="D228" s="1123"/>
      <c r="E228" s="1123"/>
      <c r="F228" s="1123"/>
      <c r="G228" s="1123"/>
      <c r="H228" s="1123"/>
      <c r="I228" s="1123"/>
      <c r="J228" s="1125"/>
      <c r="K228" s="156"/>
      <c r="L228" s="1123"/>
      <c r="M228" s="1205"/>
      <c r="N228" s="1123"/>
      <c r="O228" s="1123"/>
      <c r="P228" s="1123"/>
      <c r="Q228" s="1123"/>
      <c r="R228" s="1189"/>
      <c r="S228" s="1189"/>
      <c r="T228" s="1208"/>
      <c r="U228" s="1208"/>
      <c r="V228" s="1189"/>
      <c r="W228" s="1189"/>
      <c r="X228" s="1189"/>
      <c r="Y228" s="1189"/>
      <c r="Z228" s="1189"/>
      <c r="AA228" s="1189"/>
      <c r="AB228" s="1189"/>
      <c r="AC228" s="1189"/>
      <c r="AD228" s="1189"/>
      <c r="AE228" s="1189"/>
      <c r="AF228" s="1189"/>
      <c r="AG228" s="1189"/>
      <c r="AH228" s="1189"/>
      <c r="AI228" s="1189"/>
      <c r="AJ228" s="1189"/>
      <c r="AK228" s="1189"/>
      <c r="AL228" s="1189"/>
      <c r="AM228" s="1189"/>
      <c r="AN228" s="1189"/>
      <c r="AO228" s="1189"/>
      <c r="AP228" s="1189"/>
      <c r="AQ228" s="1189"/>
      <c r="AR228" s="1189"/>
      <c r="AS228" s="1189"/>
      <c r="AT228" s="1189"/>
      <c r="AU228" s="1189"/>
      <c r="AV228" s="1189"/>
      <c r="AW228" s="1189"/>
      <c r="AX228" s="1189"/>
    </row>
    <row r="229" spans="1:50" ht="12" customHeight="1">
      <c r="A229" s="1123"/>
      <c r="B229" s="161"/>
      <c r="C229" s="1123"/>
      <c r="D229" s="1123"/>
      <c r="E229" s="1123"/>
      <c r="F229" s="1123"/>
      <c r="G229" s="1123"/>
      <c r="H229" s="1123"/>
      <c r="I229" s="1123"/>
      <c r="J229" s="1125"/>
      <c r="K229" s="156"/>
      <c r="L229" s="1123"/>
      <c r="M229" s="1205"/>
      <c r="N229" s="1123"/>
      <c r="O229" s="1123"/>
      <c r="P229" s="1123"/>
      <c r="Q229" s="1123"/>
      <c r="R229" s="1189"/>
      <c r="S229" s="1189"/>
      <c r="T229" s="1208"/>
      <c r="U229" s="1208"/>
      <c r="V229" s="1189"/>
      <c r="W229" s="1189"/>
      <c r="X229" s="1189"/>
      <c r="Y229" s="1189"/>
      <c r="Z229" s="1189"/>
      <c r="AA229" s="1189"/>
      <c r="AB229" s="1189"/>
      <c r="AC229" s="1189"/>
      <c r="AD229" s="1189"/>
      <c r="AE229" s="1189"/>
      <c r="AF229" s="1189"/>
      <c r="AG229" s="1189"/>
      <c r="AH229" s="1189"/>
      <c r="AI229" s="1189"/>
      <c r="AJ229" s="1189"/>
      <c r="AK229" s="1189"/>
      <c r="AL229" s="1189"/>
      <c r="AM229" s="1189"/>
      <c r="AN229" s="1189"/>
      <c r="AO229" s="1189"/>
      <c r="AP229" s="1189"/>
      <c r="AQ229" s="1189"/>
      <c r="AR229" s="1189"/>
      <c r="AS229" s="1189"/>
      <c r="AT229" s="1189"/>
      <c r="AU229" s="1189"/>
      <c r="AV229" s="1189"/>
      <c r="AW229" s="1189"/>
      <c r="AX229" s="1189"/>
    </row>
    <row r="230" spans="1:50" ht="12" customHeight="1">
      <c r="A230" s="1123"/>
      <c r="B230" s="161"/>
      <c r="C230" s="1123"/>
      <c r="D230" s="1123"/>
      <c r="E230" s="1123"/>
      <c r="F230" s="1123"/>
      <c r="G230" s="1123"/>
      <c r="H230" s="1123"/>
      <c r="I230" s="1123"/>
      <c r="J230" s="1125"/>
      <c r="K230" s="156"/>
      <c r="L230" s="1123"/>
      <c r="M230" s="1205"/>
      <c r="N230" s="1123"/>
      <c r="O230" s="1123"/>
      <c r="P230" s="1123"/>
      <c r="Q230" s="1123"/>
      <c r="R230" s="1189"/>
      <c r="S230" s="1189"/>
      <c r="T230" s="1208"/>
      <c r="U230" s="1208"/>
      <c r="V230" s="1189"/>
      <c r="W230" s="1189"/>
      <c r="X230" s="1189"/>
      <c r="Y230" s="1189"/>
      <c r="Z230" s="1189"/>
      <c r="AA230" s="1189"/>
      <c r="AB230" s="1189"/>
      <c r="AC230" s="1189"/>
      <c r="AD230" s="1189"/>
      <c r="AE230" s="1189"/>
      <c r="AF230" s="1189"/>
      <c r="AG230" s="1189"/>
      <c r="AH230" s="1189"/>
      <c r="AI230" s="1189"/>
      <c r="AJ230" s="1189"/>
      <c r="AK230" s="1189"/>
      <c r="AL230" s="1189"/>
      <c r="AM230" s="1189"/>
      <c r="AN230" s="1189"/>
      <c r="AO230" s="1189"/>
      <c r="AP230" s="1189"/>
      <c r="AQ230" s="1189"/>
      <c r="AR230" s="1189"/>
      <c r="AS230" s="1189"/>
      <c r="AT230" s="1189"/>
      <c r="AU230" s="1189"/>
      <c r="AV230" s="1189"/>
      <c r="AW230" s="1189"/>
      <c r="AX230" s="1189"/>
    </row>
    <row r="231" spans="1:50" ht="12" customHeight="1">
      <c r="A231" s="1123"/>
      <c r="B231" s="161"/>
      <c r="C231" s="1123"/>
      <c r="D231" s="1123"/>
      <c r="E231" s="1123"/>
      <c r="F231" s="1123"/>
      <c r="G231" s="1123"/>
      <c r="H231" s="1123"/>
      <c r="I231" s="1123"/>
      <c r="J231" s="1125"/>
      <c r="K231" s="156"/>
      <c r="L231" s="1123"/>
      <c r="M231" s="1205"/>
      <c r="N231" s="1123"/>
      <c r="O231" s="1123"/>
      <c r="P231" s="1123"/>
      <c r="Q231" s="1123"/>
      <c r="R231" s="1189"/>
      <c r="S231" s="1189"/>
      <c r="T231" s="1208"/>
      <c r="U231" s="1208"/>
      <c r="V231" s="1189"/>
      <c r="W231" s="1189"/>
      <c r="X231" s="1189"/>
      <c r="Y231" s="1189"/>
      <c r="Z231" s="1189"/>
      <c r="AA231" s="1189"/>
      <c r="AB231" s="1189"/>
      <c r="AC231" s="1189"/>
      <c r="AD231" s="1189"/>
      <c r="AE231" s="1189"/>
      <c r="AF231" s="1189"/>
      <c r="AG231" s="1189"/>
      <c r="AH231" s="1189"/>
      <c r="AI231" s="1189"/>
      <c r="AJ231" s="1189"/>
      <c r="AK231" s="1189"/>
      <c r="AL231" s="1189"/>
      <c r="AM231" s="1189"/>
      <c r="AN231" s="1189"/>
      <c r="AO231" s="1189"/>
      <c r="AP231" s="1189"/>
      <c r="AQ231" s="1189"/>
      <c r="AR231" s="1189"/>
      <c r="AS231" s="1189"/>
      <c r="AT231" s="1189"/>
      <c r="AU231" s="1189"/>
      <c r="AV231" s="1189"/>
      <c r="AW231" s="1189"/>
      <c r="AX231" s="1189"/>
    </row>
    <row r="232" spans="1:50" ht="12" customHeight="1">
      <c r="A232" s="1123"/>
      <c r="B232" s="161"/>
      <c r="C232" s="1123"/>
      <c r="D232" s="1123"/>
      <c r="E232" s="1123"/>
      <c r="F232" s="1123"/>
      <c r="G232" s="1123"/>
      <c r="H232" s="1123"/>
      <c r="I232" s="1123"/>
      <c r="J232" s="1125"/>
      <c r="K232" s="156"/>
      <c r="L232" s="1123"/>
      <c r="M232" s="1205"/>
      <c r="N232" s="1123"/>
      <c r="O232" s="1123"/>
      <c r="P232" s="1123"/>
      <c r="Q232" s="1123"/>
      <c r="R232" s="1189"/>
      <c r="S232" s="1189"/>
      <c r="T232" s="1208"/>
      <c r="U232" s="1208"/>
      <c r="V232" s="1189"/>
      <c r="W232" s="1189"/>
      <c r="X232" s="1189"/>
      <c r="Y232" s="1189"/>
      <c r="Z232" s="1189"/>
      <c r="AA232" s="1189"/>
      <c r="AB232" s="1189"/>
      <c r="AC232" s="1189"/>
      <c r="AD232" s="1189"/>
      <c r="AE232" s="1189"/>
      <c r="AF232" s="1189"/>
      <c r="AG232" s="1189"/>
      <c r="AH232" s="1189"/>
      <c r="AI232" s="1189"/>
      <c r="AJ232" s="1189"/>
      <c r="AK232" s="1189"/>
      <c r="AL232" s="1189"/>
      <c r="AM232" s="1189"/>
      <c r="AN232" s="1189"/>
      <c r="AO232" s="1189"/>
      <c r="AP232" s="1189"/>
      <c r="AQ232" s="1189"/>
      <c r="AR232" s="1189"/>
      <c r="AS232" s="1189"/>
      <c r="AT232" s="1189"/>
      <c r="AU232" s="1189"/>
      <c r="AV232" s="1189"/>
      <c r="AW232" s="1189"/>
      <c r="AX232" s="1189"/>
    </row>
    <row r="233" spans="1:50" ht="12" customHeight="1">
      <c r="A233" s="1123"/>
      <c r="B233" s="161"/>
      <c r="C233" s="1123"/>
      <c r="D233" s="1123"/>
      <c r="E233" s="1123"/>
      <c r="F233" s="1123"/>
      <c r="G233" s="1123"/>
      <c r="H233" s="1123"/>
      <c r="I233" s="1123"/>
      <c r="J233" s="1125"/>
      <c r="K233" s="156"/>
      <c r="L233" s="1123"/>
      <c r="M233" s="1205"/>
      <c r="N233" s="1123"/>
      <c r="O233" s="1123"/>
      <c r="P233" s="1123"/>
      <c r="Q233" s="1123"/>
      <c r="R233" s="1189"/>
      <c r="S233" s="1189"/>
      <c r="T233" s="1208"/>
      <c r="U233" s="1208"/>
      <c r="V233" s="1189"/>
      <c r="W233" s="1189"/>
      <c r="X233" s="1189"/>
      <c r="Y233" s="1189"/>
      <c r="Z233" s="1189"/>
      <c r="AA233" s="1189"/>
      <c r="AB233" s="1189"/>
      <c r="AC233" s="1189"/>
      <c r="AD233" s="1189"/>
      <c r="AE233" s="1189"/>
      <c r="AF233" s="1189"/>
      <c r="AG233" s="1189"/>
      <c r="AH233" s="1189"/>
      <c r="AI233" s="1189"/>
      <c r="AJ233" s="1189"/>
      <c r="AK233" s="1189"/>
      <c r="AL233" s="1189"/>
      <c r="AM233" s="1189"/>
      <c r="AN233" s="1189"/>
      <c r="AO233" s="1189"/>
      <c r="AP233" s="1189"/>
      <c r="AQ233" s="1189"/>
      <c r="AR233" s="1189"/>
      <c r="AS233" s="1189"/>
      <c r="AT233" s="1189"/>
      <c r="AU233" s="1189"/>
      <c r="AV233" s="1189"/>
      <c r="AW233" s="1189"/>
      <c r="AX233" s="1189"/>
    </row>
    <row r="234" spans="1:50" ht="12" customHeight="1">
      <c r="A234" s="1123"/>
      <c r="B234" s="161"/>
      <c r="C234" s="1123"/>
      <c r="D234" s="1123"/>
      <c r="E234" s="1123"/>
      <c r="F234" s="1123"/>
      <c r="G234" s="1123"/>
      <c r="H234" s="1123"/>
      <c r="I234" s="1123"/>
      <c r="J234" s="1125"/>
      <c r="K234" s="156"/>
      <c r="L234" s="1123"/>
      <c r="M234" s="1205"/>
      <c r="N234" s="1123"/>
      <c r="O234" s="1123"/>
      <c r="P234" s="1123"/>
      <c r="Q234" s="1123"/>
      <c r="R234" s="1189"/>
      <c r="S234" s="1189"/>
      <c r="T234" s="1208"/>
      <c r="U234" s="1208"/>
      <c r="V234" s="1189"/>
      <c r="W234" s="1189"/>
      <c r="X234" s="1189"/>
      <c r="Y234" s="1189"/>
      <c r="Z234" s="1189"/>
      <c r="AA234" s="1189"/>
      <c r="AB234" s="1189"/>
      <c r="AC234" s="1189"/>
      <c r="AD234" s="1189"/>
      <c r="AE234" s="1189"/>
      <c r="AF234" s="1189"/>
      <c r="AG234" s="1189"/>
      <c r="AH234" s="1189"/>
      <c r="AI234" s="1189"/>
      <c r="AJ234" s="1189"/>
      <c r="AK234" s="1189"/>
      <c r="AL234" s="1189"/>
      <c r="AM234" s="1189"/>
      <c r="AN234" s="1189"/>
      <c r="AO234" s="1189"/>
      <c r="AP234" s="1189"/>
      <c r="AQ234" s="1189"/>
      <c r="AR234" s="1189"/>
      <c r="AS234" s="1189"/>
      <c r="AT234" s="1189"/>
      <c r="AU234" s="1189"/>
      <c r="AV234" s="1189"/>
      <c r="AW234" s="1189"/>
      <c r="AX234" s="1189"/>
    </row>
    <row r="235" spans="1:50" ht="12" customHeight="1">
      <c r="A235" s="1123"/>
      <c r="B235" s="161"/>
      <c r="C235" s="1123"/>
      <c r="D235" s="1123"/>
      <c r="E235" s="1123"/>
      <c r="F235" s="1123"/>
      <c r="G235" s="1123"/>
      <c r="H235" s="1123"/>
      <c r="I235" s="1123"/>
      <c r="J235" s="1125"/>
      <c r="K235" s="156"/>
      <c r="L235" s="1123"/>
      <c r="M235" s="1205"/>
      <c r="N235" s="1123"/>
      <c r="O235" s="1123"/>
      <c r="P235" s="1123"/>
      <c r="Q235" s="1123"/>
      <c r="R235" s="1189"/>
      <c r="S235" s="1189"/>
      <c r="T235" s="1208"/>
      <c r="U235" s="1208"/>
      <c r="V235" s="1189"/>
      <c r="W235" s="1189"/>
      <c r="X235" s="1189"/>
      <c r="Y235" s="1189"/>
      <c r="Z235" s="1189"/>
      <c r="AA235" s="1189"/>
      <c r="AB235" s="1189"/>
      <c r="AC235" s="1189"/>
      <c r="AD235" s="1189"/>
      <c r="AE235" s="1189"/>
      <c r="AF235" s="1189"/>
      <c r="AG235" s="1189"/>
      <c r="AH235" s="1189"/>
      <c r="AI235" s="1189"/>
      <c r="AJ235" s="1189"/>
      <c r="AK235" s="1189"/>
      <c r="AL235" s="1189"/>
      <c r="AM235" s="1189"/>
      <c r="AN235" s="1189"/>
      <c r="AO235" s="1189"/>
      <c r="AP235" s="1189"/>
      <c r="AQ235" s="1189"/>
      <c r="AR235" s="1189"/>
      <c r="AS235" s="1189"/>
      <c r="AT235" s="1189"/>
      <c r="AU235" s="1189"/>
      <c r="AV235" s="1189"/>
      <c r="AW235" s="1189"/>
      <c r="AX235" s="1189"/>
    </row>
    <row r="236" spans="1:50" ht="12" customHeight="1">
      <c r="A236" s="1123"/>
      <c r="B236" s="161"/>
      <c r="C236" s="1123"/>
      <c r="D236" s="1123"/>
      <c r="E236" s="1123"/>
      <c r="F236" s="1123"/>
      <c r="G236" s="1123"/>
      <c r="H236" s="1123"/>
      <c r="I236" s="1123"/>
      <c r="J236" s="1125"/>
      <c r="K236" s="156"/>
      <c r="L236" s="1123"/>
      <c r="M236" s="1205"/>
      <c r="N236" s="1123"/>
      <c r="O236" s="1123"/>
      <c r="P236" s="1123"/>
      <c r="Q236" s="1123"/>
      <c r="R236" s="1189"/>
      <c r="S236" s="1189"/>
      <c r="T236" s="1208"/>
      <c r="U236" s="1208"/>
      <c r="V236" s="1189"/>
      <c r="W236" s="1189"/>
      <c r="X236" s="1189"/>
      <c r="Y236" s="1189"/>
      <c r="Z236" s="1189"/>
      <c r="AA236" s="1189"/>
      <c r="AB236" s="1189"/>
      <c r="AC236" s="1189"/>
      <c r="AD236" s="1189"/>
      <c r="AE236" s="1189"/>
      <c r="AF236" s="1189"/>
      <c r="AG236" s="1189"/>
      <c r="AH236" s="1189"/>
      <c r="AI236" s="1189"/>
      <c r="AJ236" s="1189"/>
      <c r="AK236" s="1189"/>
      <c r="AL236" s="1189"/>
      <c r="AM236" s="1189"/>
      <c r="AN236" s="1189"/>
      <c r="AO236" s="1189"/>
      <c r="AP236" s="1189"/>
      <c r="AQ236" s="1189"/>
      <c r="AR236" s="1189"/>
      <c r="AS236" s="1189"/>
      <c r="AT236" s="1189"/>
      <c r="AU236" s="1189"/>
      <c r="AV236" s="1189"/>
      <c r="AW236" s="1189"/>
      <c r="AX236" s="1189"/>
    </row>
    <row r="237" spans="1:50" ht="12" customHeight="1">
      <c r="A237" s="1123"/>
      <c r="B237" s="161"/>
      <c r="C237" s="1123"/>
      <c r="D237" s="1123"/>
      <c r="E237" s="1123"/>
      <c r="F237" s="1123"/>
      <c r="G237" s="1123"/>
      <c r="H237" s="1123"/>
      <c r="I237" s="1123"/>
      <c r="J237" s="1125"/>
      <c r="K237" s="156"/>
      <c r="L237" s="1123"/>
      <c r="M237" s="1205"/>
      <c r="N237" s="1123"/>
      <c r="O237" s="1123"/>
      <c r="P237" s="1123"/>
      <c r="Q237" s="1123"/>
      <c r="R237" s="1189"/>
      <c r="S237" s="1189"/>
      <c r="T237" s="1208"/>
      <c r="U237" s="1208"/>
      <c r="V237" s="1189"/>
      <c r="W237" s="1189"/>
      <c r="X237" s="1189"/>
      <c r="Y237" s="1189"/>
      <c r="Z237" s="1189"/>
      <c r="AA237" s="1189"/>
      <c r="AB237" s="1189"/>
      <c r="AC237" s="1189"/>
      <c r="AD237" s="1189"/>
      <c r="AE237" s="1189"/>
      <c r="AF237" s="1189"/>
      <c r="AG237" s="1189"/>
      <c r="AH237" s="1189"/>
      <c r="AI237" s="1189"/>
      <c r="AJ237" s="1189"/>
      <c r="AK237" s="1189"/>
      <c r="AL237" s="1189"/>
      <c r="AM237" s="1189"/>
      <c r="AN237" s="1189"/>
      <c r="AO237" s="1189"/>
      <c r="AP237" s="1189"/>
      <c r="AQ237" s="1189"/>
      <c r="AR237" s="1189"/>
      <c r="AS237" s="1189"/>
      <c r="AT237" s="1189"/>
      <c r="AU237" s="1189"/>
      <c r="AV237" s="1189"/>
      <c r="AW237" s="1189"/>
      <c r="AX237" s="1189"/>
    </row>
    <row r="238" spans="1:50" ht="12" customHeight="1">
      <c r="A238" s="1123"/>
      <c r="B238" s="161"/>
      <c r="C238" s="1123"/>
      <c r="D238" s="1123"/>
      <c r="E238" s="1123"/>
      <c r="F238" s="1123"/>
      <c r="G238" s="1123"/>
      <c r="H238" s="1123"/>
      <c r="I238" s="1123"/>
      <c r="J238" s="1125"/>
      <c r="K238" s="156"/>
      <c r="L238" s="1123"/>
      <c r="M238" s="1205"/>
      <c r="N238" s="1123"/>
      <c r="O238" s="1123"/>
      <c r="P238" s="1123"/>
      <c r="Q238" s="1123"/>
      <c r="R238" s="1189"/>
      <c r="S238" s="1189"/>
      <c r="T238" s="1208"/>
      <c r="U238" s="1208"/>
      <c r="V238" s="1189"/>
      <c r="W238" s="1189"/>
      <c r="X238" s="1189"/>
      <c r="Y238" s="1189"/>
      <c r="Z238" s="1189"/>
      <c r="AA238" s="1189"/>
      <c r="AB238" s="1189"/>
      <c r="AC238" s="1189"/>
      <c r="AD238" s="1189"/>
      <c r="AE238" s="1189"/>
      <c r="AF238" s="1189"/>
      <c r="AG238" s="1189"/>
      <c r="AH238" s="1189"/>
      <c r="AI238" s="1189"/>
      <c r="AJ238" s="1189"/>
      <c r="AK238" s="1189"/>
      <c r="AL238" s="1189"/>
      <c r="AM238" s="1189"/>
      <c r="AN238" s="1189"/>
      <c r="AO238" s="1189"/>
      <c r="AP238" s="1189"/>
      <c r="AQ238" s="1189"/>
      <c r="AR238" s="1189"/>
      <c r="AS238" s="1189"/>
      <c r="AT238" s="1189"/>
      <c r="AU238" s="1189"/>
      <c r="AV238" s="1189"/>
      <c r="AW238" s="1189"/>
      <c r="AX238" s="1189"/>
    </row>
    <row r="239" spans="1:50" ht="12" customHeight="1">
      <c r="A239" s="1123"/>
      <c r="B239" s="161"/>
      <c r="C239" s="1123"/>
      <c r="D239" s="1123"/>
      <c r="E239" s="1123"/>
      <c r="F239" s="1123"/>
      <c r="G239" s="1123"/>
      <c r="H239" s="1123"/>
      <c r="I239" s="1123"/>
      <c r="J239" s="1125"/>
      <c r="K239" s="156"/>
      <c r="L239" s="1123"/>
      <c r="M239" s="1205"/>
      <c r="N239" s="1123"/>
      <c r="O239" s="1123"/>
      <c r="P239" s="1123"/>
      <c r="Q239" s="1123"/>
      <c r="R239" s="1189"/>
      <c r="S239" s="1189"/>
      <c r="T239" s="1208"/>
      <c r="U239" s="1208"/>
      <c r="V239" s="1189"/>
      <c r="W239" s="1189"/>
      <c r="X239" s="1189"/>
      <c r="Y239" s="1189"/>
      <c r="Z239" s="1189"/>
      <c r="AA239" s="1189"/>
      <c r="AB239" s="1189"/>
      <c r="AC239" s="1189"/>
      <c r="AD239" s="1189"/>
      <c r="AE239" s="1189"/>
      <c r="AF239" s="1189"/>
      <c r="AG239" s="1189"/>
      <c r="AH239" s="1189"/>
      <c r="AI239" s="1189"/>
      <c r="AJ239" s="1189"/>
      <c r="AK239" s="1189"/>
      <c r="AL239" s="1189"/>
      <c r="AM239" s="1189"/>
      <c r="AN239" s="1189"/>
      <c r="AO239" s="1189"/>
      <c r="AP239" s="1189"/>
      <c r="AQ239" s="1189"/>
      <c r="AR239" s="1189"/>
      <c r="AS239" s="1189"/>
      <c r="AT239" s="1189"/>
      <c r="AU239" s="1189"/>
      <c r="AV239" s="1189"/>
      <c r="AW239" s="1189"/>
      <c r="AX239" s="1189"/>
    </row>
    <row r="240" spans="1:50" ht="12" customHeight="1">
      <c r="A240" s="1123"/>
      <c r="B240" s="161"/>
      <c r="C240" s="1123"/>
      <c r="D240" s="1123"/>
      <c r="E240" s="1123"/>
      <c r="F240" s="1123"/>
      <c r="G240" s="1123"/>
      <c r="H240" s="1123"/>
      <c r="I240" s="1123"/>
      <c r="J240" s="1125"/>
      <c r="K240" s="156"/>
      <c r="L240" s="1123"/>
      <c r="M240" s="1205"/>
      <c r="N240" s="1123"/>
      <c r="O240" s="1123"/>
      <c r="P240" s="1123"/>
      <c r="Q240" s="1123"/>
      <c r="R240" s="1189"/>
      <c r="S240" s="1189"/>
      <c r="T240" s="1208"/>
      <c r="U240" s="1208"/>
      <c r="V240" s="1189"/>
      <c r="W240" s="1189"/>
      <c r="X240" s="1189"/>
      <c r="Y240" s="1189"/>
      <c r="Z240" s="1189"/>
      <c r="AA240" s="1189"/>
      <c r="AB240" s="1189"/>
      <c r="AC240" s="1189"/>
      <c r="AD240" s="1189"/>
      <c r="AE240" s="1189"/>
      <c r="AF240" s="1189"/>
      <c r="AG240" s="1189"/>
      <c r="AH240" s="1189"/>
      <c r="AI240" s="1189"/>
      <c r="AJ240" s="1189"/>
      <c r="AK240" s="1189"/>
      <c r="AL240" s="1189"/>
      <c r="AM240" s="1189"/>
      <c r="AN240" s="1189"/>
      <c r="AO240" s="1189"/>
      <c r="AP240" s="1189"/>
      <c r="AQ240" s="1189"/>
      <c r="AR240" s="1189"/>
      <c r="AS240" s="1189"/>
      <c r="AT240" s="1189"/>
      <c r="AU240" s="1189"/>
      <c r="AV240" s="1189"/>
      <c r="AW240" s="1189"/>
      <c r="AX240" s="1189"/>
    </row>
    <row r="241" spans="1:50" ht="12" customHeight="1">
      <c r="A241" s="1123"/>
      <c r="B241" s="161"/>
      <c r="C241" s="1123"/>
      <c r="D241" s="1123"/>
      <c r="E241" s="1123"/>
      <c r="F241" s="1123"/>
      <c r="G241" s="1123"/>
      <c r="H241" s="1123"/>
      <c r="I241" s="1123"/>
      <c r="J241" s="1125"/>
      <c r="K241" s="156"/>
      <c r="L241" s="1123"/>
      <c r="M241" s="1205"/>
      <c r="N241" s="1123"/>
      <c r="O241" s="1123"/>
      <c r="P241" s="1123"/>
      <c r="Q241" s="1123"/>
      <c r="R241" s="1189"/>
      <c r="S241" s="1189"/>
      <c r="T241" s="1208"/>
      <c r="U241" s="1208"/>
      <c r="V241" s="1189"/>
      <c r="W241" s="1189"/>
      <c r="X241" s="1189"/>
      <c r="Y241" s="1189"/>
      <c r="Z241" s="1189"/>
      <c r="AA241" s="1189"/>
      <c r="AB241" s="1189"/>
      <c r="AC241" s="1189"/>
      <c r="AD241" s="1189"/>
      <c r="AE241" s="1189"/>
      <c r="AF241" s="1189"/>
      <c r="AG241" s="1189"/>
      <c r="AH241" s="1189"/>
      <c r="AI241" s="1189"/>
      <c r="AJ241" s="1189"/>
      <c r="AK241" s="1189"/>
      <c r="AL241" s="1189"/>
      <c r="AM241" s="1189"/>
      <c r="AN241" s="1189"/>
      <c r="AO241" s="1189"/>
      <c r="AP241" s="1189"/>
      <c r="AQ241" s="1189"/>
      <c r="AR241" s="1189"/>
      <c r="AS241" s="1189"/>
      <c r="AT241" s="1189"/>
      <c r="AU241" s="1189"/>
      <c r="AV241" s="1189"/>
      <c r="AW241" s="1189"/>
      <c r="AX241" s="1189"/>
    </row>
    <row r="242" spans="1:50" ht="17.25" customHeight="1">
      <c r="A242" s="1123"/>
      <c r="B242" s="161"/>
      <c r="C242" s="1123"/>
      <c r="D242" s="1123"/>
      <c r="E242" s="1123"/>
      <c r="F242" s="1123"/>
      <c r="G242" s="1123"/>
      <c r="H242" s="1123"/>
      <c r="I242" s="1123"/>
      <c r="J242" s="1125"/>
      <c r="K242" s="156"/>
      <c r="L242" s="1123"/>
      <c r="M242" s="1205"/>
      <c r="N242" s="1123"/>
      <c r="O242" s="1123"/>
      <c r="P242" s="1123"/>
      <c r="Q242" s="1123"/>
      <c r="R242" s="1189"/>
      <c r="S242" s="1189"/>
      <c r="T242" s="1208"/>
      <c r="U242" s="1208"/>
      <c r="V242" s="1189"/>
      <c r="W242" s="1189"/>
      <c r="X242" s="1189"/>
      <c r="Y242" s="1189"/>
      <c r="Z242" s="1189"/>
      <c r="AA242" s="1189"/>
      <c r="AB242" s="1189"/>
      <c r="AC242" s="1189"/>
      <c r="AD242" s="1189"/>
      <c r="AE242" s="1189"/>
      <c r="AF242" s="1189"/>
      <c r="AG242" s="1189"/>
      <c r="AH242" s="1189"/>
      <c r="AI242" s="1189"/>
      <c r="AJ242" s="1189"/>
      <c r="AK242" s="1189"/>
      <c r="AL242" s="1189"/>
      <c r="AM242" s="1189"/>
      <c r="AN242" s="1189"/>
      <c r="AO242" s="1189"/>
      <c r="AP242" s="1189"/>
      <c r="AQ242" s="1189"/>
      <c r="AR242" s="1189"/>
      <c r="AS242" s="1189"/>
      <c r="AT242" s="1189"/>
      <c r="AU242" s="1189"/>
      <c r="AV242" s="1189"/>
      <c r="AW242" s="1189"/>
      <c r="AX242" s="1189"/>
    </row>
    <row r="243" spans="1:50" ht="15.75" customHeight="1">
      <c r="A243" s="88"/>
      <c r="B243" s="161"/>
      <c r="C243" s="1123"/>
      <c r="D243" s="1123"/>
      <c r="E243" s="1123"/>
      <c r="F243" s="1123"/>
      <c r="G243" s="1123"/>
      <c r="H243" s="1123"/>
      <c r="I243" s="1123"/>
      <c r="J243" s="1125"/>
      <c r="K243" s="156"/>
      <c r="L243" s="1123"/>
      <c r="M243" s="1205"/>
      <c r="N243" s="1123"/>
      <c r="O243" s="1123"/>
      <c r="P243" s="1123"/>
      <c r="Q243" s="1123"/>
      <c r="R243" s="1189"/>
      <c r="S243" s="1189"/>
      <c r="T243" s="1208"/>
      <c r="U243" s="1208"/>
      <c r="V243" s="1189"/>
      <c r="W243" s="1189"/>
      <c r="X243" s="1189"/>
      <c r="Y243" s="1189"/>
      <c r="Z243" s="1189"/>
      <c r="AA243" s="1189"/>
      <c r="AB243" s="1189"/>
      <c r="AC243" s="1189"/>
      <c r="AD243" s="1189"/>
      <c r="AE243" s="1189"/>
      <c r="AF243" s="1189"/>
      <c r="AG243" s="1189"/>
      <c r="AH243" s="1189"/>
      <c r="AI243" s="1189"/>
      <c r="AJ243" s="1189"/>
      <c r="AK243" s="1189"/>
      <c r="AL243" s="1189"/>
      <c r="AM243" s="1189"/>
      <c r="AN243" s="1189"/>
      <c r="AO243" s="1189"/>
      <c r="AP243" s="1189"/>
      <c r="AQ243" s="1189"/>
      <c r="AR243" s="1189"/>
      <c r="AS243" s="1189"/>
      <c r="AT243" s="1189"/>
      <c r="AU243" s="1189"/>
      <c r="AV243" s="1189"/>
      <c r="AW243" s="1189"/>
      <c r="AX243" s="1189"/>
    </row>
    <row r="244" spans="1:50" ht="12.75" customHeight="1">
      <c r="A244" s="88"/>
      <c r="B244" s="161"/>
      <c r="C244" s="1123"/>
      <c r="D244" s="1123"/>
      <c r="E244" s="1123"/>
      <c r="F244" s="1123"/>
      <c r="G244" s="1123"/>
      <c r="H244" s="1123"/>
      <c r="I244" s="1123"/>
      <c r="J244" s="1125"/>
      <c r="K244" s="156"/>
      <c r="L244" s="1123"/>
      <c r="M244" s="1205"/>
      <c r="N244" s="1123"/>
      <c r="O244" s="1123"/>
      <c r="P244" s="1123"/>
      <c r="Q244" s="1123"/>
      <c r="R244" s="1189"/>
      <c r="S244" s="1189"/>
      <c r="T244" s="1208"/>
      <c r="U244" s="1208"/>
      <c r="V244" s="1189"/>
      <c r="W244" s="1189"/>
      <c r="X244" s="1189"/>
      <c r="Y244" s="1189"/>
      <c r="Z244" s="1189"/>
      <c r="AA244" s="1189"/>
      <c r="AB244" s="1189"/>
      <c r="AC244" s="1189"/>
      <c r="AD244" s="1189"/>
      <c r="AE244" s="1189"/>
      <c r="AF244" s="1189"/>
      <c r="AG244" s="1189"/>
      <c r="AH244" s="1189"/>
      <c r="AI244" s="1189"/>
      <c r="AJ244" s="1189"/>
      <c r="AK244" s="1189"/>
      <c r="AL244" s="1189"/>
      <c r="AM244" s="1189"/>
      <c r="AN244" s="1189"/>
      <c r="AO244" s="1189"/>
      <c r="AP244" s="1189"/>
      <c r="AQ244" s="1189"/>
      <c r="AR244" s="1189"/>
      <c r="AS244" s="1189"/>
      <c r="AT244" s="1189"/>
      <c r="AU244" s="1189"/>
      <c r="AV244" s="1189"/>
      <c r="AW244" s="1189"/>
      <c r="AX244" s="1189"/>
    </row>
    <row r="245" spans="1:50" ht="12.75" customHeight="1">
      <c r="A245" s="88"/>
      <c r="B245" s="88"/>
      <c r="C245" s="88"/>
      <c r="D245" s="92"/>
      <c r="E245" s="1123"/>
      <c r="F245" s="1123"/>
      <c r="G245" s="1123"/>
      <c r="H245" s="1123"/>
      <c r="I245" s="1123"/>
      <c r="J245" s="1125"/>
      <c r="K245" s="156"/>
      <c r="L245" s="1123"/>
      <c r="M245" s="1205"/>
      <c r="N245" s="1123"/>
      <c r="O245" s="1123"/>
      <c r="P245" s="1123"/>
      <c r="Q245" s="1123"/>
      <c r="R245" s="1189"/>
      <c r="S245" s="1189"/>
      <c r="T245" s="1208"/>
      <c r="U245" s="1208"/>
      <c r="V245" s="1189"/>
      <c r="W245" s="1189"/>
      <c r="X245" s="1189"/>
      <c r="Y245" s="1189"/>
      <c r="Z245" s="1189"/>
      <c r="AA245" s="1189"/>
      <c r="AB245" s="1189"/>
      <c r="AC245" s="1189"/>
      <c r="AD245" s="1189"/>
      <c r="AE245" s="1189"/>
      <c r="AF245" s="1189"/>
      <c r="AG245" s="1189"/>
      <c r="AH245" s="1189"/>
      <c r="AI245" s="1189"/>
      <c r="AJ245" s="1189"/>
      <c r="AK245" s="1189"/>
      <c r="AL245" s="1189"/>
      <c r="AM245" s="1189"/>
      <c r="AN245" s="1189"/>
      <c r="AO245" s="1189"/>
      <c r="AP245" s="1189"/>
      <c r="AQ245" s="1189"/>
      <c r="AR245" s="1189"/>
      <c r="AS245" s="1189"/>
      <c r="AT245" s="1189"/>
      <c r="AU245" s="1189"/>
      <c r="AV245" s="1189"/>
      <c r="AW245" s="1189"/>
      <c r="AX245" s="1189"/>
    </row>
    <row r="246" spans="1:50" ht="12.75" customHeight="1">
      <c r="A246" s="88"/>
      <c r="B246" s="88"/>
      <c r="C246" s="88"/>
      <c r="D246" s="92"/>
      <c r="E246" s="1123"/>
      <c r="F246" s="1123"/>
      <c r="G246" s="1123"/>
      <c r="H246" s="1123"/>
      <c r="I246" s="1123"/>
      <c r="J246" s="1125"/>
      <c r="K246" s="156"/>
      <c r="L246" s="1123"/>
      <c r="M246" s="1205"/>
      <c r="N246" s="1123"/>
      <c r="O246" s="1123"/>
      <c r="P246" s="1123"/>
      <c r="Q246" s="1123"/>
      <c r="R246" s="1189"/>
      <c r="S246" s="1189"/>
      <c r="T246" s="1208"/>
      <c r="U246" s="1208"/>
      <c r="V246" s="1189"/>
      <c r="W246" s="1189"/>
      <c r="X246" s="1189"/>
      <c r="Y246" s="1189"/>
      <c r="Z246" s="1189"/>
      <c r="AA246" s="1189"/>
      <c r="AB246" s="1189"/>
      <c r="AC246" s="1189"/>
      <c r="AD246" s="1189"/>
      <c r="AE246" s="1189"/>
      <c r="AF246" s="1189"/>
      <c r="AG246" s="1189"/>
      <c r="AH246" s="1189"/>
      <c r="AI246" s="1189"/>
      <c r="AJ246" s="1189"/>
      <c r="AK246" s="1189"/>
      <c r="AL246" s="1189"/>
      <c r="AM246" s="1189"/>
      <c r="AN246" s="1189"/>
      <c r="AO246" s="1189"/>
      <c r="AP246" s="1189"/>
      <c r="AQ246" s="1189"/>
      <c r="AR246" s="1189"/>
      <c r="AS246" s="1189"/>
      <c r="AT246" s="1189"/>
      <c r="AU246" s="1189"/>
      <c r="AV246" s="1189"/>
      <c r="AW246" s="1189"/>
      <c r="AX246" s="1189"/>
    </row>
    <row r="247" spans="1:50" ht="12.75" customHeight="1">
      <c r="A247" s="88"/>
      <c r="B247" s="88"/>
      <c r="C247" s="88"/>
      <c r="D247" s="92"/>
      <c r="E247" s="1123"/>
      <c r="F247" s="1123"/>
      <c r="G247" s="1123"/>
      <c r="H247" s="1123"/>
      <c r="I247" s="1123"/>
      <c r="J247" s="1125"/>
      <c r="K247" s="156"/>
      <c r="L247" s="1123"/>
      <c r="M247" s="1205"/>
      <c r="N247" s="1123"/>
      <c r="O247" s="1123"/>
      <c r="P247" s="1123"/>
      <c r="Q247" s="1123"/>
      <c r="R247" s="1189"/>
      <c r="S247" s="1189"/>
      <c r="T247" s="1208"/>
      <c r="U247" s="1208"/>
      <c r="V247" s="1189"/>
      <c r="W247" s="1189"/>
      <c r="X247" s="1189"/>
      <c r="Y247" s="1189"/>
      <c r="Z247" s="1189"/>
      <c r="AA247" s="1189"/>
      <c r="AB247" s="1189"/>
      <c r="AC247" s="1189"/>
      <c r="AD247" s="1189"/>
      <c r="AE247" s="1189"/>
      <c r="AF247" s="1189"/>
      <c r="AG247" s="1189"/>
      <c r="AH247" s="1189"/>
      <c r="AI247" s="1189"/>
      <c r="AJ247" s="1189"/>
      <c r="AK247" s="1189"/>
      <c r="AL247" s="1189"/>
      <c r="AM247" s="1189"/>
      <c r="AN247" s="1189"/>
      <c r="AO247" s="1189"/>
      <c r="AP247" s="1189"/>
      <c r="AQ247" s="1189"/>
      <c r="AR247" s="1189"/>
      <c r="AS247" s="1189"/>
      <c r="AT247" s="1189"/>
      <c r="AU247" s="1189"/>
      <c r="AV247" s="1189"/>
      <c r="AW247" s="1189"/>
      <c r="AX247" s="1189"/>
    </row>
    <row r="248" spans="1:50" ht="12.75" customHeight="1">
      <c r="A248" s="88"/>
      <c r="B248" s="88"/>
      <c r="C248" s="88"/>
      <c r="D248" s="92"/>
      <c r="E248" s="1123"/>
      <c r="F248" s="1123"/>
      <c r="G248" s="1123"/>
      <c r="H248" s="1123"/>
      <c r="I248" s="1123"/>
      <c r="J248" s="1125"/>
      <c r="K248" s="156"/>
      <c r="L248" s="1123"/>
      <c r="M248" s="1205"/>
      <c r="N248" s="1123"/>
      <c r="O248" s="1123"/>
      <c r="P248" s="1123"/>
      <c r="Q248" s="1123"/>
      <c r="R248" s="1189"/>
      <c r="S248" s="1189"/>
      <c r="T248" s="1208"/>
      <c r="U248" s="1208"/>
      <c r="V248" s="1189"/>
      <c r="W248" s="1189"/>
      <c r="X248" s="1189"/>
      <c r="Y248" s="1189"/>
      <c r="Z248" s="1189"/>
      <c r="AA248" s="1189"/>
      <c r="AB248" s="1189"/>
      <c r="AC248" s="1189"/>
      <c r="AD248" s="1189"/>
      <c r="AE248" s="1189"/>
      <c r="AF248" s="1189"/>
      <c r="AG248" s="1189"/>
      <c r="AH248" s="1189"/>
      <c r="AI248" s="1189"/>
      <c r="AJ248" s="1189"/>
      <c r="AK248" s="1189"/>
      <c r="AL248" s="1189"/>
      <c r="AM248" s="1189"/>
      <c r="AN248" s="1189"/>
      <c r="AO248" s="1189"/>
      <c r="AP248" s="1189"/>
      <c r="AQ248" s="1189"/>
      <c r="AR248" s="1189"/>
      <c r="AS248" s="1189"/>
      <c r="AT248" s="1189"/>
      <c r="AU248" s="1189"/>
      <c r="AV248" s="1189"/>
      <c r="AW248" s="1189"/>
      <c r="AX248" s="1189"/>
    </row>
    <row r="249" spans="1:50" ht="12.75" customHeight="1">
      <c r="A249" s="88"/>
      <c r="B249" s="88"/>
      <c r="C249" s="88"/>
      <c r="D249" s="88"/>
      <c r="E249" s="1123"/>
      <c r="F249" s="705"/>
      <c r="G249" s="705"/>
      <c r="H249" s="705"/>
      <c r="I249" s="705"/>
      <c r="J249" s="1123"/>
      <c r="K249" s="156"/>
      <c r="L249" s="1123"/>
      <c r="M249" s="1205"/>
      <c r="N249" s="1123"/>
      <c r="O249" s="1123"/>
      <c r="P249" s="1123"/>
      <c r="Q249" s="1123"/>
      <c r="R249" s="1189"/>
      <c r="S249" s="1189"/>
      <c r="T249" s="1208"/>
      <c r="U249" s="1208"/>
      <c r="V249" s="1189"/>
      <c r="W249" s="1189"/>
      <c r="X249" s="1189"/>
      <c r="Y249" s="1189"/>
      <c r="Z249" s="1189"/>
      <c r="AA249" s="1189"/>
      <c r="AB249" s="1189"/>
      <c r="AC249" s="1189"/>
      <c r="AD249" s="1189"/>
      <c r="AE249" s="1189"/>
      <c r="AF249" s="1189"/>
      <c r="AG249" s="1189"/>
      <c r="AH249" s="1189"/>
      <c r="AI249" s="1189"/>
      <c r="AJ249" s="1189"/>
      <c r="AK249" s="1189"/>
      <c r="AL249" s="1189"/>
      <c r="AM249" s="1189"/>
      <c r="AN249" s="1189"/>
      <c r="AO249" s="1189"/>
      <c r="AP249" s="1189"/>
      <c r="AQ249" s="1189"/>
      <c r="AR249" s="1189"/>
      <c r="AS249" s="1189"/>
      <c r="AT249" s="1189"/>
      <c r="AU249" s="1189"/>
      <c r="AV249" s="1189"/>
      <c r="AW249" s="1189"/>
      <c r="AX249" s="1189"/>
    </row>
    <row r="250" spans="1:50" ht="12.75" customHeight="1">
      <c r="A250" s="86"/>
      <c r="B250" s="88"/>
      <c r="C250" s="88"/>
      <c r="D250" s="88"/>
      <c r="E250" s="1123"/>
      <c r="F250" s="1123"/>
      <c r="G250" s="1123"/>
      <c r="H250" s="1123"/>
      <c r="I250" s="1123"/>
      <c r="J250" s="1123"/>
      <c r="K250" s="156"/>
      <c r="L250" s="1123"/>
      <c r="M250" s="1205"/>
      <c r="N250" s="1123"/>
      <c r="O250" s="1123"/>
      <c r="P250" s="1123"/>
      <c r="Q250" s="1123"/>
      <c r="R250" s="1189"/>
      <c r="S250" s="1189"/>
      <c r="T250" s="1208"/>
      <c r="U250" s="1208"/>
      <c r="V250" s="1189"/>
      <c r="W250" s="1189"/>
      <c r="X250" s="1189"/>
      <c r="Y250" s="1189"/>
      <c r="Z250" s="1189"/>
      <c r="AA250" s="1189"/>
      <c r="AB250" s="1189"/>
      <c r="AC250" s="1189"/>
      <c r="AD250" s="1189"/>
      <c r="AE250" s="1189"/>
      <c r="AF250" s="1189"/>
      <c r="AG250" s="1189"/>
      <c r="AH250" s="1189"/>
      <c r="AI250" s="1189"/>
      <c r="AJ250" s="1189"/>
      <c r="AK250" s="1189"/>
      <c r="AL250" s="1189"/>
      <c r="AM250" s="1189"/>
      <c r="AN250" s="1189"/>
      <c r="AO250" s="1189"/>
      <c r="AP250" s="1189"/>
      <c r="AQ250" s="1189"/>
      <c r="AR250" s="1189"/>
      <c r="AS250" s="1189"/>
      <c r="AT250" s="1189"/>
      <c r="AU250" s="1189"/>
      <c r="AV250" s="1189"/>
      <c r="AW250" s="1189"/>
      <c r="AX250" s="1189"/>
    </row>
    <row r="251" spans="1:50" ht="12.75" customHeight="1">
      <c r="A251" s="254" t="e">
        <f>(F15-#REF!)*12%</f>
        <v>#REF!</v>
      </c>
      <c r="B251" s="88"/>
      <c r="C251" s="88"/>
      <c r="D251" s="180"/>
      <c r="E251" s="181"/>
      <c r="F251" s="181"/>
      <c r="G251" s="181"/>
      <c r="H251" s="181"/>
      <c r="I251" s="182"/>
      <c r="J251" s="1123"/>
      <c r="K251" s="156"/>
      <c r="L251" s="1123"/>
      <c r="M251" s="1205"/>
      <c r="N251" s="1123"/>
      <c r="O251" s="1123"/>
      <c r="P251" s="1123"/>
      <c r="Q251" s="1123"/>
      <c r="R251" s="1189"/>
      <c r="S251" s="1189"/>
      <c r="T251" s="1208"/>
      <c r="U251" s="1208"/>
      <c r="V251" s="1189"/>
      <c r="W251" s="1189"/>
      <c r="X251" s="1189"/>
      <c r="Y251" s="1189"/>
      <c r="Z251" s="1189"/>
      <c r="AA251" s="1189"/>
      <c r="AB251" s="1189"/>
      <c r="AC251" s="1189"/>
      <c r="AD251" s="1189"/>
      <c r="AE251" s="1189"/>
      <c r="AF251" s="1189"/>
      <c r="AG251" s="1189"/>
      <c r="AH251" s="1189"/>
      <c r="AI251" s="1189"/>
      <c r="AJ251" s="1189"/>
      <c r="AK251" s="1189"/>
      <c r="AL251" s="1189"/>
      <c r="AM251" s="1189"/>
      <c r="AN251" s="1189"/>
      <c r="AO251" s="1189"/>
      <c r="AP251" s="1189"/>
      <c r="AQ251" s="1189"/>
      <c r="AR251" s="1189"/>
      <c r="AS251" s="1189"/>
      <c r="AT251" s="1189"/>
      <c r="AU251" s="1189"/>
      <c r="AV251" s="1189"/>
      <c r="AW251" s="1189"/>
      <c r="AX251" s="1189"/>
    </row>
    <row r="252" spans="1:50" ht="12.75" customHeight="1">
      <c r="A252" s="255"/>
      <c r="B252" s="88"/>
      <c r="C252" s="88"/>
      <c r="D252" s="180"/>
      <c r="E252" s="181"/>
      <c r="F252" s="181"/>
      <c r="G252" s="181"/>
      <c r="H252" s="181"/>
      <c r="I252" s="170"/>
      <c r="J252" s="1123"/>
      <c r="K252" s="156"/>
      <c r="L252" s="1123"/>
      <c r="M252" s="1205"/>
      <c r="N252" s="1123"/>
      <c r="O252" s="1123"/>
      <c r="P252" s="1123"/>
      <c r="Q252" s="1123"/>
      <c r="R252" s="1189"/>
      <c r="S252" s="1189"/>
      <c r="T252" s="1208"/>
      <c r="U252" s="1208"/>
      <c r="V252" s="1189"/>
      <c r="W252" s="1189"/>
      <c r="X252" s="1189"/>
      <c r="Y252" s="1189"/>
      <c r="Z252" s="1189"/>
      <c r="AA252" s="1189"/>
      <c r="AB252" s="1189"/>
      <c r="AC252" s="1189"/>
      <c r="AD252" s="1189"/>
      <c r="AE252" s="1189"/>
      <c r="AF252" s="1189"/>
      <c r="AG252" s="1189"/>
      <c r="AH252" s="1189"/>
      <c r="AI252" s="1189"/>
      <c r="AJ252" s="1189"/>
      <c r="AK252" s="1189"/>
      <c r="AL252" s="1189"/>
      <c r="AM252" s="1189"/>
      <c r="AN252" s="1189"/>
      <c r="AO252" s="1189"/>
      <c r="AP252" s="1189"/>
      <c r="AQ252" s="1189"/>
      <c r="AR252" s="1189"/>
      <c r="AS252" s="1189"/>
      <c r="AT252" s="1189"/>
      <c r="AU252" s="1189"/>
      <c r="AV252" s="1189"/>
      <c r="AW252" s="1189"/>
      <c r="AX252" s="1189"/>
    </row>
    <row r="253" spans="1:50" ht="12.75" customHeight="1">
      <c r="A253" s="86"/>
      <c r="B253" s="254"/>
      <c r="C253" s="86"/>
      <c r="D253" s="183"/>
      <c r="E253" s="1230"/>
      <c r="F253" s="184"/>
      <c r="G253" s="184"/>
      <c r="H253" s="184"/>
      <c r="I253" s="182"/>
      <c r="J253" s="1123"/>
      <c r="K253" s="1123"/>
      <c r="L253" s="1123"/>
      <c r="M253" s="1205"/>
      <c r="N253" s="1123"/>
      <c r="O253" s="1123"/>
      <c r="P253" s="1123"/>
      <c r="Q253" s="1123"/>
      <c r="R253" s="1189"/>
      <c r="S253" s="1189"/>
      <c r="T253" s="1208"/>
      <c r="U253" s="1208"/>
      <c r="V253" s="1189"/>
      <c r="W253" s="1189"/>
      <c r="X253" s="1189"/>
      <c r="Y253" s="1189"/>
      <c r="Z253" s="1189"/>
      <c r="AA253" s="1189"/>
      <c r="AB253" s="1189"/>
      <c r="AC253" s="1189"/>
      <c r="AD253" s="1189"/>
      <c r="AE253" s="1189"/>
      <c r="AF253" s="1189"/>
      <c r="AG253" s="1189"/>
      <c r="AH253" s="1189"/>
      <c r="AI253" s="1189"/>
      <c r="AJ253" s="1189"/>
      <c r="AK253" s="1189"/>
      <c r="AL253" s="1189"/>
      <c r="AM253" s="1189"/>
      <c r="AN253" s="1189"/>
      <c r="AO253" s="1189"/>
      <c r="AP253" s="1189"/>
      <c r="AQ253" s="1189"/>
      <c r="AR253" s="1189"/>
      <c r="AS253" s="1189"/>
      <c r="AT253" s="1189"/>
      <c r="AU253" s="1189"/>
      <c r="AV253" s="1189"/>
      <c r="AW253" s="1189"/>
      <c r="AX253" s="1189"/>
    </row>
    <row r="254" spans="1:50" ht="12.75" customHeight="1">
      <c r="A254" s="1189"/>
      <c r="B254" s="86"/>
      <c r="C254" s="86"/>
      <c r="D254" s="183"/>
      <c r="E254" s="1189"/>
      <c r="F254" s="184"/>
      <c r="G254" s="184"/>
      <c r="H254" s="184"/>
      <c r="I254" s="185"/>
      <c r="J254" s="1123"/>
      <c r="K254" s="1123"/>
      <c r="L254" s="1123"/>
      <c r="M254" s="705"/>
      <c r="N254" s="1123"/>
      <c r="O254" s="1123"/>
      <c r="P254" s="1123"/>
      <c r="Q254" s="1123"/>
      <c r="R254" s="1189"/>
      <c r="S254" s="1189"/>
      <c r="T254" s="1208"/>
      <c r="U254" s="1208"/>
      <c r="V254" s="1189"/>
      <c r="W254" s="1189"/>
      <c r="X254" s="1189"/>
      <c r="Y254" s="1189"/>
      <c r="Z254" s="1189"/>
      <c r="AA254" s="1189"/>
      <c r="AB254" s="1189"/>
      <c r="AC254" s="1189"/>
      <c r="AD254" s="1189"/>
      <c r="AE254" s="1189"/>
      <c r="AF254" s="1189"/>
      <c r="AG254" s="1189"/>
      <c r="AH254" s="1189"/>
      <c r="AI254" s="1189"/>
      <c r="AJ254" s="1189"/>
      <c r="AK254" s="1189"/>
      <c r="AL254" s="1189"/>
      <c r="AM254" s="1189"/>
      <c r="AN254" s="1189"/>
      <c r="AO254" s="1189"/>
      <c r="AP254" s="1189"/>
      <c r="AQ254" s="1189"/>
      <c r="AR254" s="1189"/>
      <c r="AS254" s="1189"/>
      <c r="AT254" s="1189"/>
      <c r="AU254" s="1189"/>
      <c r="AV254" s="1189"/>
      <c r="AW254" s="1189"/>
      <c r="AX254" s="1189"/>
    </row>
    <row r="255" spans="1:50" ht="12.75" customHeight="1">
      <c r="A255" s="1189"/>
      <c r="B255" s="86"/>
      <c r="C255" s="86"/>
      <c r="D255" s="183"/>
      <c r="E255" s="1230"/>
      <c r="F255" s="1230"/>
      <c r="G255" s="1230"/>
      <c r="H255" s="1230"/>
      <c r="I255" s="1189"/>
      <c r="J255" s="1123"/>
      <c r="K255" s="1123"/>
      <c r="L255" s="1123"/>
      <c r="M255" s="705"/>
      <c r="N255" s="1123"/>
      <c r="O255" s="1123"/>
      <c r="P255" s="1123"/>
      <c r="Q255" s="1123"/>
      <c r="R255" s="1189"/>
      <c r="S255" s="1189"/>
      <c r="T255" s="1208"/>
      <c r="U255" s="1208"/>
      <c r="V255" s="1189"/>
      <c r="W255" s="1189"/>
      <c r="X255" s="1189"/>
      <c r="Y255" s="1189"/>
      <c r="Z255" s="1189"/>
      <c r="AA255" s="1189"/>
      <c r="AB255" s="1189"/>
      <c r="AC255" s="1189"/>
      <c r="AD255" s="1189"/>
      <c r="AE255" s="1189"/>
      <c r="AF255" s="1189"/>
      <c r="AG255" s="1189"/>
      <c r="AH255" s="1189"/>
      <c r="AI255" s="1189"/>
      <c r="AJ255" s="1189"/>
      <c r="AK255" s="1189"/>
      <c r="AL255" s="1189"/>
      <c r="AM255" s="1189"/>
      <c r="AN255" s="1189"/>
      <c r="AO255" s="1189"/>
      <c r="AP255" s="1189"/>
      <c r="AQ255" s="1189"/>
      <c r="AR255" s="1189"/>
      <c r="AS255" s="1189"/>
      <c r="AT255" s="1189"/>
      <c r="AU255" s="1189"/>
      <c r="AV255" s="1189"/>
      <c r="AW255" s="1189"/>
      <c r="AX255" s="1189"/>
    </row>
    <row r="256" spans="1:50" ht="12.75" customHeight="1">
      <c r="A256" s="1189"/>
      <c r="B256" s="1189"/>
      <c r="C256" s="1189"/>
      <c r="D256" s="1231"/>
      <c r="E256" s="1230"/>
      <c r="F256" s="1230"/>
      <c r="G256" s="1230"/>
      <c r="H256" s="1230"/>
      <c r="I256" s="1189"/>
      <c r="J256" s="1123"/>
      <c r="K256" s="1123"/>
      <c r="L256" s="1123"/>
      <c r="M256" s="705"/>
      <c r="N256" s="1123"/>
      <c r="O256" s="1123"/>
      <c r="P256" s="1123"/>
      <c r="Q256" s="1123"/>
      <c r="R256" s="1189"/>
      <c r="S256" s="1189"/>
      <c r="T256" s="1208"/>
      <c r="U256" s="1208"/>
      <c r="V256" s="1189"/>
      <c r="W256" s="1189"/>
      <c r="X256" s="1189"/>
      <c r="Y256" s="1189"/>
      <c r="Z256" s="1189"/>
      <c r="AA256" s="1189"/>
      <c r="AB256" s="1189"/>
      <c r="AC256" s="1189"/>
      <c r="AD256" s="1189"/>
      <c r="AE256" s="1189"/>
      <c r="AF256" s="1189"/>
      <c r="AG256" s="1189"/>
      <c r="AH256" s="1189"/>
      <c r="AI256" s="1189"/>
      <c r="AJ256" s="1189"/>
      <c r="AK256" s="1189"/>
      <c r="AL256" s="1189"/>
      <c r="AM256" s="1189"/>
      <c r="AN256" s="1189"/>
      <c r="AO256" s="1189"/>
      <c r="AP256" s="1189"/>
      <c r="AQ256" s="1189"/>
      <c r="AR256" s="1189"/>
      <c r="AS256" s="1189"/>
      <c r="AT256" s="1189"/>
      <c r="AU256" s="1189"/>
      <c r="AV256" s="1189"/>
      <c r="AW256" s="1189"/>
      <c r="AX256" s="1189"/>
    </row>
    <row r="257" spans="4:50" ht="12.75" customHeight="1">
      <c r="D257" s="1231"/>
      <c r="E257" s="1230"/>
      <c r="F257" s="1230"/>
      <c r="G257" s="1230"/>
      <c r="H257" s="1230"/>
      <c r="I257" s="1189"/>
      <c r="J257" s="1189"/>
      <c r="K257" s="1567"/>
      <c r="L257" s="1567"/>
      <c r="M257" s="1567"/>
      <c r="N257" s="1123"/>
      <c r="O257" s="1123"/>
      <c r="P257" s="1567"/>
      <c r="Q257" s="1567"/>
      <c r="R257" s="1189"/>
      <c r="S257" s="1189"/>
      <c r="T257" s="1208"/>
      <c r="U257" s="1208"/>
      <c r="V257" s="1189"/>
      <c r="W257" s="1189"/>
      <c r="X257" s="1189"/>
      <c r="Y257" s="1189"/>
      <c r="Z257" s="1189"/>
      <c r="AA257" s="1189"/>
      <c r="AB257" s="1189"/>
      <c r="AC257" s="1189"/>
      <c r="AD257" s="1189"/>
      <c r="AE257" s="1189"/>
      <c r="AF257" s="1189"/>
      <c r="AG257" s="1189"/>
      <c r="AH257" s="1189"/>
      <c r="AI257" s="1189"/>
      <c r="AJ257" s="1189"/>
      <c r="AK257" s="1189"/>
      <c r="AL257" s="1189"/>
      <c r="AM257" s="1189"/>
      <c r="AN257" s="1189"/>
      <c r="AO257" s="1189"/>
      <c r="AP257" s="1189"/>
      <c r="AQ257" s="1189"/>
      <c r="AR257" s="1189"/>
      <c r="AS257" s="1189"/>
      <c r="AT257" s="1189"/>
      <c r="AU257" s="1189"/>
      <c r="AV257" s="1189"/>
      <c r="AW257" s="1189"/>
      <c r="AX257" s="1189"/>
    </row>
    <row r="258" spans="4:50" ht="12.75" customHeight="1">
      <c r="D258" s="1231"/>
      <c r="E258" s="1230"/>
      <c r="F258" s="1230"/>
      <c r="G258" s="1230"/>
      <c r="H258" s="1230"/>
      <c r="I258" s="1189"/>
      <c r="J258" s="1189"/>
      <c r="K258" s="1123"/>
      <c r="L258" s="1566"/>
      <c r="M258" s="1566"/>
      <c r="N258" s="1123"/>
      <c r="O258" s="1123"/>
      <c r="P258" s="1123"/>
      <c r="Q258" s="1123"/>
      <c r="R258" s="1189"/>
      <c r="S258" s="1189"/>
      <c r="T258" s="1208"/>
      <c r="U258" s="1208"/>
      <c r="V258" s="1189"/>
      <c r="W258" s="1189"/>
      <c r="X258" s="1189"/>
      <c r="Y258" s="1189"/>
      <c r="Z258" s="1189"/>
      <c r="AA258" s="1189"/>
      <c r="AB258" s="1189"/>
      <c r="AC258" s="1189"/>
      <c r="AD258" s="1189"/>
      <c r="AE258" s="1189"/>
      <c r="AF258" s="1189"/>
      <c r="AG258" s="1189"/>
      <c r="AH258" s="1189"/>
      <c r="AI258" s="1189"/>
      <c r="AJ258" s="1189"/>
      <c r="AK258" s="1189"/>
      <c r="AL258" s="1189"/>
      <c r="AM258" s="1189"/>
      <c r="AN258" s="1189"/>
      <c r="AO258" s="1189"/>
      <c r="AP258" s="1189"/>
      <c r="AQ258" s="1189"/>
      <c r="AR258" s="1189"/>
      <c r="AS258" s="1189"/>
      <c r="AT258" s="1189"/>
      <c r="AU258" s="1189"/>
      <c r="AV258" s="1189"/>
      <c r="AW258" s="1189"/>
      <c r="AX258" s="1189"/>
    </row>
    <row r="259" spans="4:50" ht="12.75" customHeight="1">
      <c r="D259" s="1231"/>
      <c r="E259" s="1230"/>
      <c r="F259" s="1230"/>
      <c r="G259" s="1230"/>
      <c r="H259" s="1230"/>
      <c r="I259" s="1189"/>
      <c r="J259" s="186"/>
      <c r="K259" s="182"/>
      <c r="L259" s="94"/>
      <c r="M259" s="1123"/>
      <c r="N259" s="1123"/>
      <c r="O259" s="1123"/>
      <c r="P259" s="1123"/>
      <c r="Q259" s="1123"/>
      <c r="R259" s="1189"/>
      <c r="S259" s="1189"/>
      <c r="T259" s="1208"/>
      <c r="U259" s="1208"/>
      <c r="V259" s="1189"/>
      <c r="W259" s="1189"/>
      <c r="X259" s="1189"/>
      <c r="Y259" s="1189"/>
      <c r="Z259" s="1189"/>
      <c r="AA259" s="1189"/>
      <c r="AB259" s="1189"/>
      <c r="AC259" s="1189"/>
      <c r="AD259" s="1189"/>
      <c r="AE259" s="1189"/>
      <c r="AF259" s="1189"/>
      <c r="AG259" s="1189"/>
      <c r="AH259" s="1189"/>
      <c r="AI259" s="1189"/>
      <c r="AJ259" s="1189"/>
      <c r="AK259" s="1189"/>
      <c r="AL259" s="1189"/>
      <c r="AM259" s="1189"/>
      <c r="AN259" s="1189"/>
      <c r="AO259" s="1189"/>
      <c r="AP259" s="1189"/>
      <c r="AQ259" s="1189"/>
      <c r="AR259" s="1189"/>
      <c r="AS259" s="1189"/>
      <c r="AT259" s="1189"/>
      <c r="AU259" s="1189"/>
      <c r="AV259" s="1189"/>
      <c r="AW259" s="1189"/>
      <c r="AX259" s="1189"/>
    </row>
    <row r="260" spans="4:50" ht="12.75" customHeight="1">
      <c r="D260" s="1231"/>
      <c r="E260" s="1230"/>
      <c r="F260" s="1230"/>
      <c r="G260" s="1230"/>
      <c r="H260" s="1230"/>
      <c r="I260" s="1189"/>
      <c r="J260" s="182"/>
      <c r="K260" s="170"/>
      <c r="L260" s="94"/>
      <c r="M260" s="1123"/>
      <c r="N260" s="1123"/>
      <c r="O260" s="1123"/>
      <c r="P260" s="1123"/>
      <c r="Q260" s="1123"/>
      <c r="R260" s="1189"/>
      <c r="S260" s="1189"/>
      <c r="T260" s="1208"/>
      <c r="U260" s="1208"/>
      <c r="V260" s="1189"/>
      <c r="W260" s="1189"/>
      <c r="X260" s="1189"/>
      <c r="Y260" s="1189"/>
      <c r="Z260" s="1189"/>
      <c r="AA260" s="1189"/>
      <c r="AB260" s="1189"/>
      <c r="AC260" s="1189"/>
      <c r="AD260" s="1189"/>
      <c r="AE260" s="1189"/>
      <c r="AF260" s="1189"/>
      <c r="AG260" s="1189"/>
      <c r="AH260" s="1189"/>
      <c r="AI260" s="1189"/>
      <c r="AJ260" s="1189"/>
      <c r="AK260" s="1189"/>
      <c r="AL260" s="1189"/>
      <c r="AM260" s="1189"/>
      <c r="AN260" s="1189"/>
      <c r="AO260" s="1189"/>
      <c r="AP260" s="1189"/>
      <c r="AQ260" s="1189"/>
      <c r="AR260" s="1189"/>
      <c r="AS260" s="1189"/>
      <c r="AT260" s="1189"/>
      <c r="AU260" s="1189"/>
      <c r="AV260" s="1189"/>
      <c r="AW260" s="1189"/>
      <c r="AX260" s="1189"/>
    </row>
    <row r="261" spans="4:50" ht="12.75" customHeight="1">
      <c r="D261" s="1231"/>
      <c r="E261" s="1230"/>
      <c r="F261" s="1230"/>
      <c r="G261" s="1230"/>
      <c r="H261" s="1230"/>
      <c r="I261" s="1189"/>
      <c r="J261" s="170"/>
      <c r="K261" s="182"/>
      <c r="L261" s="185"/>
      <c r="M261" s="1189"/>
      <c r="N261" s="1189"/>
      <c r="O261" s="1189"/>
      <c r="P261" s="1189"/>
      <c r="Q261" s="1189"/>
      <c r="R261" s="1189"/>
      <c r="S261" s="1189"/>
      <c r="T261" s="1208"/>
      <c r="U261" s="1208"/>
      <c r="V261" s="1189"/>
      <c r="W261" s="1189"/>
      <c r="X261" s="1189"/>
      <c r="Y261" s="1189"/>
      <c r="Z261" s="1189"/>
      <c r="AA261" s="1189"/>
      <c r="AB261" s="1189"/>
      <c r="AC261" s="1189"/>
      <c r="AD261" s="1189"/>
      <c r="AE261" s="1189"/>
      <c r="AF261" s="1189"/>
      <c r="AG261" s="1189"/>
      <c r="AH261" s="1189"/>
      <c r="AI261" s="1189"/>
      <c r="AJ261" s="1189"/>
      <c r="AK261" s="1189"/>
      <c r="AL261" s="1189"/>
      <c r="AM261" s="1189"/>
      <c r="AN261" s="1189"/>
      <c r="AO261" s="1189"/>
      <c r="AP261" s="1189"/>
      <c r="AQ261" s="1189"/>
      <c r="AR261" s="1189"/>
      <c r="AS261" s="1189"/>
      <c r="AT261" s="1189"/>
      <c r="AU261" s="1189"/>
      <c r="AV261" s="1189"/>
      <c r="AW261" s="1189"/>
      <c r="AX261" s="1189"/>
    </row>
    <row r="262" spans="4:50" ht="12.75" customHeight="1">
      <c r="D262" s="1231"/>
      <c r="E262" s="1230"/>
      <c r="F262" s="1230"/>
      <c r="G262" s="1230"/>
      <c r="H262" s="1230"/>
      <c r="I262" s="1189"/>
      <c r="J262" s="182"/>
      <c r="K262" s="186"/>
      <c r="L262" s="185"/>
      <c r="M262" s="1189"/>
      <c r="N262" s="1189"/>
      <c r="O262" s="1189"/>
      <c r="P262" s="1189"/>
      <c r="Q262" s="1189"/>
      <c r="R262" s="1189"/>
      <c r="S262" s="1189"/>
      <c r="T262" s="1208"/>
      <c r="U262" s="1208"/>
      <c r="V262" s="1189"/>
      <c r="W262" s="1189"/>
      <c r="X262" s="1189"/>
      <c r="Y262" s="1189"/>
      <c r="Z262" s="1189"/>
      <c r="AA262" s="1189"/>
      <c r="AB262" s="1189"/>
      <c r="AC262" s="1189"/>
      <c r="AD262" s="1189"/>
      <c r="AE262" s="1189"/>
      <c r="AF262" s="1189"/>
      <c r="AG262" s="1189"/>
      <c r="AH262" s="1189"/>
      <c r="AI262" s="1189"/>
      <c r="AJ262" s="1189"/>
      <c r="AK262" s="1189"/>
      <c r="AL262" s="1189"/>
      <c r="AM262" s="1189"/>
      <c r="AN262" s="1189"/>
      <c r="AO262" s="1189"/>
      <c r="AP262" s="1189"/>
      <c r="AQ262" s="1189"/>
      <c r="AR262" s="1189"/>
      <c r="AS262" s="1189"/>
      <c r="AT262" s="1189"/>
      <c r="AU262" s="1189"/>
      <c r="AV262" s="1189"/>
      <c r="AW262" s="1189"/>
      <c r="AX262" s="1189"/>
    </row>
    <row r="263" spans="4:50" ht="12.75" customHeight="1">
      <c r="D263" s="1231"/>
      <c r="E263" s="1230"/>
      <c r="F263" s="1230"/>
      <c r="G263" s="1230"/>
      <c r="H263" s="1230"/>
      <c r="I263" s="1189"/>
      <c r="J263" s="185"/>
      <c r="K263" s="1225"/>
      <c r="L263" s="1189"/>
      <c r="M263" s="1189"/>
      <c r="N263" s="1189"/>
      <c r="O263" s="1189"/>
      <c r="P263" s="1189"/>
      <c r="Q263" s="1189"/>
      <c r="R263" s="1189"/>
      <c r="S263" s="1189"/>
      <c r="T263" s="1208"/>
      <c r="U263" s="1208"/>
      <c r="V263" s="1189"/>
      <c r="W263" s="1189"/>
      <c r="X263" s="1189"/>
      <c r="Y263" s="1189"/>
      <c r="Z263" s="1189"/>
      <c r="AA263" s="1189"/>
      <c r="AB263" s="1189"/>
      <c r="AC263" s="1189"/>
      <c r="AD263" s="1189"/>
      <c r="AE263" s="1189"/>
      <c r="AF263" s="1189"/>
      <c r="AG263" s="1189"/>
      <c r="AH263" s="1189"/>
      <c r="AI263" s="1189"/>
      <c r="AJ263" s="1189"/>
      <c r="AK263" s="1189"/>
      <c r="AL263" s="1189"/>
      <c r="AM263" s="1189"/>
      <c r="AN263" s="1189"/>
      <c r="AO263" s="1189"/>
      <c r="AP263" s="1189"/>
      <c r="AQ263" s="1189"/>
      <c r="AR263" s="1189"/>
      <c r="AS263" s="1189"/>
      <c r="AT263" s="1189"/>
      <c r="AU263" s="1189"/>
      <c r="AV263" s="1189"/>
      <c r="AW263" s="1189"/>
      <c r="AX263" s="1189"/>
    </row>
    <row r="264" spans="4:50" ht="12.75" customHeight="1">
      <c r="D264" s="1231"/>
      <c r="E264" s="1230"/>
      <c r="F264" s="1230"/>
      <c r="G264" s="1230"/>
      <c r="H264" s="1230"/>
      <c r="I264" s="1189"/>
      <c r="J264" s="1189"/>
      <c r="K264" s="1225"/>
      <c r="L264" s="1189"/>
      <c r="M264" s="1189"/>
      <c r="N264" s="1189"/>
      <c r="O264" s="1189"/>
      <c r="P264" s="1189"/>
      <c r="Q264" s="1189"/>
      <c r="R264" s="1189"/>
      <c r="S264" s="1189"/>
      <c r="T264" s="1208"/>
      <c r="U264" s="1208"/>
      <c r="V264" s="1189"/>
      <c r="W264" s="1189"/>
      <c r="X264" s="1189"/>
      <c r="Y264" s="1189"/>
      <c r="Z264" s="1189"/>
      <c r="AA264" s="1189"/>
      <c r="AB264" s="1189"/>
      <c r="AC264" s="1189"/>
      <c r="AD264" s="1189"/>
      <c r="AE264" s="1189"/>
      <c r="AF264" s="1189"/>
      <c r="AG264" s="1189"/>
      <c r="AH264" s="1189"/>
      <c r="AI264" s="1189"/>
      <c r="AJ264" s="1189"/>
      <c r="AK264" s="1189"/>
      <c r="AL264" s="1189"/>
      <c r="AM264" s="1189"/>
      <c r="AN264" s="1189"/>
      <c r="AO264" s="1189"/>
      <c r="AP264" s="1189"/>
      <c r="AQ264" s="1189"/>
      <c r="AR264" s="1189"/>
      <c r="AS264" s="1189"/>
      <c r="AT264" s="1189"/>
      <c r="AU264" s="1189"/>
      <c r="AV264" s="1189"/>
      <c r="AW264" s="1189"/>
      <c r="AX264" s="1189"/>
    </row>
    <row r="265" spans="4:50" ht="12.75" customHeight="1">
      <c r="D265" s="1231"/>
      <c r="E265" s="1230"/>
      <c r="F265" s="1230"/>
      <c r="G265" s="1230"/>
      <c r="H265" s="1230"/>
      <c r="I265" s="1189"/>
      <c r="J265" s="1189"/>
      <c r="K265" s="1225"/>
      <c r="L265" s="1189"/>
      <c r="M265" s="1189"/>
      <c r="N265" s="1189"/>
      <c r="O265" s="1189"/>
      <c r="P265" s="1189"/>
      <c r="Q265" s="1189"/>
      <c r="R265" s="1189"/>
      <c r="S265" s="1189"/>
      <c r="T265" s="1208"/>
      <c r="U265" s="1208"/>
      <c r="V265" s="1189"/>
      <c r="W265" s="1189"/>
      <c r="X265" s="1189"/>
      <c r="Y265" s="1189"/>
      <c r="Z265" s="1189"/>
      <c r="AA265" s="1189"/>
      <c r="AB265" s="1189"/>
      <c r="AC265" s="1189"/>
      <c r="AD265" s="1189"/>
      <c r="AE265" s="1189"/>
      <c r="AF265" s="1189"/>
      <c r="AG265" s="1189"/>
      <c r="AH265" s="1189"/>
      <c r="AI265" s="1189"/>
      <c r="AJ265" s="1189"/>
      <c r="AK265" s="1189"/>
      <c r="AL265" s="1189"/>
      <c r="AM265" s="1189"/>
      <c r="AN265" s="1189"/>
      <c r="AO265" s="1189"/>
      <c r="AP265" s="1189"/>
      <c r="AQ265" s="1189"/>
      <c r="AR265" s="1189"/>
      <c r="AS265" s="1189"/>
      <c r="AT265" s="1189"/>
      <c r="AU265" s="1189"/>
      <c r="AV265" s="1189"/>
      <c r="AW265" s="1189"/>
      <c r="AX265" s="1189"/>
    </row>
    <row r="266" spans="4:50" ht="12.75" customHeight="1">
      <c r="D266" s="1231"/>
      <c r="E266" s="1230"/>
      <c r="F266" s="1230"/>
      <c r="G266" s="1230"/>
      <c r="H266" s="1230"/>
      <c r="I266" s="1189"/>
      <c r="J266" s="1189"/>
      <c r="K266" s="1225"/>
      <c r="L266" s="1189"/>
      <c r="M266" s="1189"/>
      <c r="N266" s="1189"/>
      <c r="O266" s="1189"/>
      <c r="P266" s="1189"/>
      <c r="Q266" s="1189"/>
      <c r="R266" s="1189"/>
      <c r="S266" s="1189"/>
      <c r="T266" s="1208"/>
      <c r="U266" s="1208"/>
      <c r="V266" s="1189"/>
      <c r="W266" s="1189"/>
      <c r="X266" s="1189"/>
      <c r="Y266" s="1189"/>
      <c r="Z266" s="1189"/>
      <c r="AA266" s="1189"/>
      <c r="AB266" s="1189"/>
      <c r="AC266" s="1189"/>
      <c r="AD266" s="1189"/>
      <c r="AE266" s="1189"/>
      <c r="AF266" s="1189"/>
      <c r="AG266" s="1189"/>
      <c r="AH266" s="1189"/>
      <c r="AI266" s="1189"/>
      <c r="AJ266" s="1189"/>
      <c r="AK266" s="1189"/>
      <c r="AL266" s="1189"/>
      <c r="AM266" s="1189"/>
      <c r="AN266" s="1189"/>
      <c r="AO266" s="1189"/>
      <c r="AP266" s="1189"/>
      <c r="AQ266" s="1189"/>
      <c r="AR266" s="1189"/>
      <c r="AS266" s="1189"/>
      <c r="AT266" s="1189"/>
      <c r="AU266" s="1189"/>
      <c r="AV266" s="1189"/>
      <c r="AW266" s="1189"/>
      <c r="AX266" s="1189"/>
    </row>
    <row r="267" spans="4:50" ht="12.75" customHeight="1">
      <c r="D267" s="1231"/>
      <c r="E267" s="1230"/>
      <c r="F267" s="1230"/>
      <c r="G267" s="1230"/>
      <c r="H267" s="1230"/>
      <c r="I267" s="1189"/>
      <c r="J267" s="1189"/>
      <c r="K267" s="1225"/>
      <c r="L267" s="1189"/>
      <c r="M267" s="1189"/>
      <c r="N267" s="1189"/>
      <c r="O267" s="1189"/>
      <c r="P267" s="1189"/>
      <c r="Q267" s="1189"/>
      <c r="R267" s="1189"/>
      <c r="S267" s="1189"/>
      <c r="T267" s="1208"/>
      <c r="U267" s="1208"/>
      <c r="V267" s="1189"/>
      <c r="W267" s="1189"/>
      <c r="X267" s="1189"/>
      <c r="Y267" s="1189"/>
      <c r="Z267" s="1189"/>
      <c r="AA267" s="1189"/>
      <c r="AB267" s="1189"/>
      <c r="AC267" s="1189"/>
      <c r="AD267" s="1189"/>
      <c r="AE267" s="1189"/>
      <c r="AF267" s="1189"/>
      <c r="AG267" s="1189"/>
      <c r="AH267" s="1189"/>
      <c r="AI267" s="1189"/>
      <c r="AJ267" s="1189"/>
      <c r="AK267" s="1189"/>
      <c r="AL267" s="1189"/>
      <c r="AM267" s="1189"/>
      <c r="AN267" s="1189"/>
      <c r="AO267" s="1189"/>
      <c r="AP267" s="1189"/>
      <c r="AQ267" s="1189"/>
      <c r="AR267" s="1189"/>
      <c r="AS267" s="1189"/>
      <c r="AT267" s="1189"/>
      <c r="AU267" s="1189"/>
      <c r="AV267" s="1189"/>
      <c r="AW267" s="1189"/>
      <c r="AX267" s="1189"/>
    </row>
    <row r="268" spans="4:50" ht="12.75" customHeight="1">
      <c r="D268" s="1231"/>
      <c r="E268" s="1230"/>
      <c r="F268" s="1230"/>
      <c r="G268" s="1230"/>
      <c r="H268" s="1230"/>
      <c r="I268" s="1189"/>
      <c r="J268" s="1189"/>
      <c r="K268" s="1225"/>
      <c r="L268" s="1189"/>
      <c r="M268" s="1189"/>
      <c r="N268" s="1189"/>
      <c r="O268" s="1189"/>
      <c r="P268" s="1189"/>
      <c r="Q268" s="1189"/>
      <c r="R268" s="1189"/>
      <c r="S268" s="1189"/>
      <c r="T268" s="1208"/>
      <c r="U268" s="1208"/>
      <c r="V268" s="1189"/>
      <c r="W268" s="1189"/>
      <c r="X268" s="1189"/>
      <c r="Y268" s="1189"/>
      <c r="Z268" s="1189"/>
      <c r="AA268" s="1189"/>
      <c r="AB268" s="1189"/>
      <c r="AC268" s="1189"/>
      <c r="AD268" s="1189"/>
      <c r="AE268" s="1189"/>
      <c r="AF268" s="1189"/>
      <c r="AG268" s="1189"/>
      <c r="AH268" s="1189"/>
      <c r="AI268" s="1189"/>
      <c r="AJ268" s="1189"/>
      <c r="AK268" s="1189"/>
      <c r="AL268" s="1189"/>
      <c r="AM268" s="1189"/>
      <c r="AN268" s="1189"/>
      <c r="AO268" s="1189"/>
      <c r="AP268" s="1189"/>
      <c r="AQ268" s="1189"/>
      <c r="AR268" s="1189"/>
      <c r="AS268" s="1189"/>
      <c r="AT268" s="1189"/>
      <c r="AU268" s="1189"/>
      <c r="AV268" s="1189"/>
      <c r="AW268" s="1189"/>
      <c r="AX268" s="1189"/>
    </row>
    <row r="269" spans="4:50" ht="12.75" customHeight="1">
      <c r="D269" s="1231"/>
      <c r="E269" s="1230"/>
      <c r="F269" s="1230"/>
      <c r="G269" s="1230"/>
      <c r="H269" s="1230"/>
      <c r="I269" s="1189"/>
      <c r="J269" s="1189"/>
      <c r="K269" s="1225"/>
      <c r="L269" s="1189"/>
      <c r="M269" s="1189"/>
      <c r="N269" s="1189"/>
      <c r="O269" s="1189"/>
      <c r="P269" s="1189"/>
      <c r="Q269" s="1189"/>
      <c r="R269" s="1189"/>
      <c r="S269" s="1189"/>
      <c r="T269" s="1208"/>
      <c r="U269" s="1208"/>
      <c r="V269" s="1189"/>
      <c r="W269" s="1189"/>
      <c r="X269" s="1189"/>
      <c r="Y269" s="1189"/>
      <c r="Z269" s="1189"/>
      <c r="AA269" s="1189"/>
      <c r="AB269" s="1189"/>
      <c r="AC269" s="1189"/>
      <c r="AD269" s="1189"/>
      <c r="AE269" s="1189"/>
      <c r="AF269" s="1189"/>
      <c r="AG269" s="1189"/>
      <c r="AH269" s="1189"/>
      <c r="AI269" s="1189"/>
      <c r="AJ269" s="1189"/>
      <c r="AK269" s="1189"/>
      <c r="AL269" s="1189"/>
      <c r="AM269" s="1189"/>
      <c r="AN269" s="1189"/>
      <c r="AO269" s="1189"/>
      <c r="AP269" s="1189"/>
      <c r="AQ269" s="1189"/>
      <c r="AR269" s="1189"/>
      <c r="AS269" s="1189"/>
      <c r="AT269" s="1189"/>
      <c r="AU269" s="1189"/>
      <c r="AV269" s="1189"/>
      <c r="AW269" s="1189"/>
      <c r="AX269" s="1189"/>
    </row>
    <row r="270" spans="4:50" ht="12.75" customHeight="1">
      <c r="D270" s="1231"/>
      <c r="E270" s="1230"/>
      <c r="F270" s="1230"/>
      <c r="G270" s="1230"/>
      <c r="H270" s="1230"/>
      <c r="I270" s="1189"/>
      <c r="J270" s="1189"/>
      <c r="K270" s="1225"/>
      <c r="L270" s="1189"/>
      <c r="M270" s="1189"/>
      <c r="N270" s="1189"/>
      <c r="O270" s="1189"/>
      <c r="P270" s="1189"/>
      <c r="Q270" s="1189"/>
      <c r="R270" s="1189"/>
      <c r="S270" s="1189"/>
      <c r="T270" s="1208"/>
      <c r="U270" s="1208"/>
      <c r="V270" s="1189"/>
      <c r="W270" s="1189"/>
      <c r="X270" s="1189"/>
      <c r="Y270" s="1189"/>
      <c r="Z270" s="1189"/>
      <c r="AA270" s="1189"/>
      <c r="AB270" s="1189"/>
      <c r="AC270" s="1189"/>
      <c r="AD270" s="1189"/>
      <c r="AE270" s="1189"/>
      <c r="AF270" s="1189"/>
      <c r="AG270" s="1189"/>
      <c r="AH270" s="1189"/>
      <c r="AI270" s="1189"/>
      <c r="AJ270" s="1189"/>
      <c r="AK270" s="1189"/>
      <c r="AL270" s="1189"/>
      <c r="AM270" s="1189"/>
      <c r="AN270" s="1189"/>
      <c r="AO270" s="1189"/>
      <c r="AP270" s="1189"/>
      <c r="AQ270" s="1189"/>
      <c r="AR270" s="1189"/>
      <c r="AS270" s="1189"/>
      <c r="AT270" s="1189"/>
      <c r="AU270" s="1189"/>
      <c r="AV270" s="1189"/>
      <c r="AW270" s="1189"/>
      <c r="AX270" s="1189"/>
    </row>
    <row r="271" spans="4:50" ht="12.75" customHeight="1">
      <c r="D271" s="1231"/>
      <c r="E271" s="1230"/>
      <c r="F271" s="1230"/>
      <c r="G271" s="1230"/>
      <c r="H271" s="1230"/>
      <c r="I271" s="1189"/>
      <c r="J271" s="1189"/>
      <c r="K271" s="1225"/>
      <c r="L271" s="1189"/>
      <c r="M271" s="1189"/>
      <c r="N271" s="1189"/>
      <c r="O271" s="1189"/>
      <c r="P271" s="1189"/>
      <c r="Q271" s="1189"/>
      <c r="R271" s="1189"/>
      <c r="S271" s="1189"/>
      <c r="T271" s="1208"/>
      <c r="U271" s="1208"/>
      <c r="V271" s="1189"/>
      <c r="W271" s="1189"/>
      <c r="X271" s="1189"/>
      <c r="Y271" s="1189"/>
      <c r="Z271" s="1189"/>
      <c r="AA271" s="1189"/>
      <c r="AB271" s="1189"/>
      <c r="AC271" s="1189"/>
      <c r="AD271" s="1189"/>
      <c r="AE271" s="1189"/>
      <c r="AF271" s="1189"/>
      <c r="AG271" s="1189"/>
      <c r="AH271" s="1189"/>
      <c r="AI271" s="1189"/>
      <c r="AJ271" s="1189"/>
      <c r="AK271" s="1189"/>
      <c r="AL271" s="1189"/>
      <c r="AM271" s="1189"/>
      <c r="AN271" s="1189"/>
      <c r="AO271" s="1189"/>
      <c r="AP271" s="1189"/>
      <c r="AQ271" s="1189"/>
      <c r="AR271" s="1189"/>
      <c r="AS271" s="1189"/>
      <c r="AT271" s="1189"/>
      <c r="AU271" s="1189"/>
      <c r="AV271" s="1189"/>
      <c r="AW271" s="1189"/>
      <c r="AX271" s="1189"/>
    </row>
    <row r="272" spans="4:50" ht="12.75" customHeight="1">
      <c r="D272" s="1231"/>
      <c r="E272" s="1230"/>
      <c r="F272" s="1230"/>
      <c r="G272" s="1230"/>
      <c r="H272" s="1230"/>
      <c r="I272" s="1189"/>
      <c r="J272" s="1189"/>
      <c r="K272" s="1225"/>
      <c r="L272" s="1189"/>
      <c r="M272" s="1189"/>
      <c r="N272" s="1189"/>
      <c r="O272" s="1189"/>
      <c r="P272" s="1189"/>
      <c r="Q272" s="1189"/>
      <c r="R272" s="1189"/>
      <c r="S272" s="1189"/>
      <c r="T272" s="1208"/>
      <c r="U272" s="1208"/>
      <c r="V272" s="1189"/>
      <c r="W272" s="1189"/>
      <c r="X272" s="1189"/>
      <c r="Y272" s="1189"/>
      <c r="Z272" s="1189"/>
      <c r="AA272" s="1189"/>
      <c r="AB272" s="1189"/>
      <c r="AC272" s="1189"/>
      <c r="AD272" s="1189"/>
      <c r="AE272" s="1189"/>
      <c r="AF272" s="1189"/>
      <c r="AG272" s="1189"/>
      <c r="AH272" s="1189"/>
      <c r="AI272" s="1189"/>
      <c r="AJ272" s="1189"/>
      <c r="AK272" s="1189"/>
      <c r="AL272" s="1189"/>
      <c r="AM272" s="1189"/>
      <c r="AN272" s="1189"/>
      <c r="AO272" s="1189"/>
      <c r="AP272" s="1189"/>
      <c r="AQ272" s="1189"/>
      <c r="AR272" s="1189"/>
      <c r="AS272" s="1189"/>
      <c r="AT272" s="1189"/>
      <c r="AU272" s="1189"/>
      <c r="AV272" s="1189"/>
      <c r="AW272" s="1189"/>
      <c r="AX272" s="1189"/>
    </row>
    <row r="273" spans="4:50" ht="12.75" customHeight="1">
      <c r="D273" s="1231"/>
      <c r="E273" s="1230"/>
      <c r="F273" s="1230"/>
      <c r="G273" s="1230"/>
      <c r="H273" s="1230"/>
      <c r="I273" s="1189"/>
      <c r="J273" s="1189"/>
      <c r="K273" s="1225"/>
      <c r="L273" s="1189"/>
      <c r="M273" s="1189"/>
      <c r="N273" s="1189"/>
      <c r="O273" s="1189"/>
      <c r="P273" s="1189"/>
      <c r="Q273" s="1189"/>
      <c r="R273" s="1189"/>
      <c r="S273" s="1189"/>
      <c r="T273" s="1208"/>
      <c r="U273" s="1208"/>
      <c r="V273" s="1189"/>
      <c r="W273" s="1189"/>
      <c r="X273" s="1189"/>
      <c r="Y273" s="1189"/>
      <c r="Z273" s="1189"/>
      <c r="AA273" s="1189"/>
      <c r="AB273" s="1189"/>
      <c r="AC273" s="1189"/>
      <c r="AD273" s="1189"/>
      <c r="AE273" s="1189"/>
      <c r="AF273" s="1189"/>
      <c r="AG273" s="1189"/>
      <c r="AH273" s="1189"/>
      <c r="AI273" s="1189"/>
      <c r="AJ273" s="1189"/>
      <c r="AK273" s="1189"/>
      <c r="AL273" s="1189"/>
      <c r="AM273" s="1189"/>
      <c r="AN273" s="1189"/>
      <c r="AO273" s="1189"/>
      <c r="AP273" s="1189"/>
      <c r="AQ273" s="1189"/>
      <c r="AR273" s="1189"/>
      <c r="AS273" s="1189"/>
      <c r="AT273" s="1189"/>
      <c r="AU273" s="1189"/>
      <c r="AV273" s="1189"/>
      <c r="AW273" s="1189"/>
      <c r="AX273" s="1189"/>
    </row>
    <row r="274" spans="4:50" ht="12.75" customHeight="1">
      <c r="D274" s="1231"/>
      <c r="E274" s="1230"/>
      <c r="F274" s="1230"/>
      <c r="G274" s="1230"/>
      <c r="H274" s="1230"/>
      <c r="I274" s="1189"/>
      <c r="J274" s="1189"/>
      <c r="K274" s="1225"/>
      <c r="L274" s="1189"/>
      <c r="M274" s="1189"/>
      <c r="N274" s="1189"/>
      <c r="O274" s="1189"/>
      <c r="P274" s="1189"/>
      <c r="Q274" s="1189"/>
      <c r="R274" s="1189"/>
      <c r="S274" s="1189"/>
      <c r="T274" s="1208"/>
      <c r="U274" s="1208"/>
      <c r="V274" s="1189"/>
      <c r="W274" s="1189"/>
      <c r="X274" s="1189"/>
      <c r="Y274" s="1189"/>
      <c r="Z274" s="1189"/>
      <c r="AA274" s="1189"/>
      <c r="AB274" s="1189"/>
      <c r="AC274" s="1189"/>
      <c r="AD274" s="1189"/>
      <c r="AE274" s="1189"/>
      <c r="AF274" s="1189"/>
      <c r="AG274" s="1189"/>
      <c r="AH274" s="1189"/>
      <c r="AI274" s="1189"/>
      <c r="AJ274" s="1189"/>
      <c r="AK274" s="1189"/>
      <c r="AL274" s="1189"/>
      <c r="AM274" s="1189"/>
      <c r="AN274" s="1189"/>
      <c r="AO274" s="1189"/>
      <c r="AP274" s="1189"/>
      <c r="AQ274" s="1189"/>
      <c r="AR274" s="1189"/>
      <c r="AS274" s="1189"/>
      <c r="AT274" s="1189"/>
      <c r="AU274" s="1189"/>
      <c r="AV274" s="1189"/>
      <c r="AW274" s="1189"/>
      <c r="AX274" s="1189"/>
    </row>
    <row r="275" spans="4:50" ht="12.75" customHeight="1">
      <c r="D275" s="1231"/>
      <c r="E275" s="1230"/>
      <c r="F275" s="1230"/>
      <c r="G275" s="1230"/>
      <c r="H275" s="1230"/>
      <c r="I275" s="1189"/>
      <c r="J275" s="1189"/>
      <c r="K275" s="1189"/>
      <c r="L275" s="1225"/>
      <c r="M275" s="1189"/>
      <c r="N275" s="1189"/>
      <c r="O275" s="1189"/>
      <c r="P275" s="1189"/>
      <c r="Q275" s="1189"/>
      <c r="R275" s="1189"/>
      <c r="S275" s="1189"/>
      <c r="T275" s="1208"/>
      <c r="U275" s="1208"/>
      <c r="V275" s="1189"/>
      <c r="W275" s="1189"/>
      <c r="X275" s="1189"/>
      <c r="Y275" s="1189"/>
      <c r="Z275" s="1189"/>
      <c r="AA275" s="1189"/>
      <c r="AB275" s="1189"/>
      <c r="AC275" s="1189"/>
      <c r="AD275" s="1189"/>
      <c r="AE275" s="1189"/>
      <c r="AF275" s="1189"/>
      <c r="AG275" s="1189"/>
      <c r="AH275" s="1189"/>
      <c r="AI275" s="1189"/>
      <c r="AJ275" s="1189"/>
      <c r="AK275" s="1189"/>
      <c r="AL275" s="1189"/>
      <c r="AM275" s="1189"/>
      <c r="AN275" s="1189"/>
      <c r="AO275" s="1189"/>
      <c r="AP275" s="1189"/>
      <c r="AQ275" s="1189"/>
      <c r="AR275" s="1189"/>
      <c r="AS275" s="1189"/>
      <c r="AT275" s="1189"/>
      <c r="AU275" s="1189"/>
      <c r="AV275" s="1189"/>
      <c r="AW275" s="1189"/>
      <c r="AX275" s="1189"/>
    </row>
    <row r="276" spans="4:50" ht="12.75" customHeight="1">
      <c r="D276" s="1231"/>
      <c r="E276" s="1230"/>
      <c r="F276" s="1230"/>
      <c r="G276" s="1230"/>
      <c r="H276" s="1230"/>
      <c r="I276" s="1189"/>
      <c r="J276" s="1189"/>
      <c r="K276" s="1189"/>
      <c r="L276" s="1225"/>
      <c r="M276" s="1189"/>
      <c r="N276" s="1189"/>
      <c r="O276" s="1189"/>
      <c r="P276" s="1189"/>
      <c r="Q276" s="1189"/>
      <c r="R276" s="1189"/>
      <c r="S276" s="1189"/>
      <c r="T276" s="1208"/>
      <c r="U276" s="1208"/>
      <c r="V276" s="1189"/>
      <c r="W276" s="1189"/>
      <c r="X276" s="1189"/>
      <c r="Y276" s="1189"/>
      <c r="Z276" s="1189"/>
      <c r="AA276" s="1189"/>
      <c r="AB276" s="1189"/>
      <c r="AC276" s="1189"/>
      <c r="AD276" s="1189"/>
      <c r="AE276" s="1189"/>
      <c r="AF276" s="1189"/>
      <c r="AG276" s="1189"/>
      <c r="AH276" s="1189"/>
      <c r="AI276" s="1189"/>
      <c r="AJ276" s="1189"/>
      <c r="AK276" s="1189"/>
      <c r="AL276" s="1189"/>
      <c r="AM276" s="1189"/>
      <c r="AN276" s="1189"/>
      <c r="AO276" s="1189"/>
      <c r="AP276" s="1189"/>
      <c r="AQ276" s="1189"/>
      <c r="AR276" s="1189"/>
      <c r="AS276" s="1189"/>
      <c r="AT276" s="1189"/>
      <c r="AU276" s="1189"/>
      <c r="AV276" s="1189"/>
      <c r="AW276" s="1189"/>
      <c r="AX276" s="1189"/>
    </row>
    <row r="277" spans="4:50" ht="12.75" customHeight="1">
      <c r="D277" s="1231"/>
      <c r="E277" s="1230"/>
      <c r="F277" s="1230"/>
      <c r="G277" s="1230"/>
      <c r="H277" s="1230"/>
      <c r="I277" s="1189"/>
      <c r="J277" s="1189"/>
      <c r="K277" s="1189"/>
      <c r="L277" s="1225"/>
      <c r="M277" s="1189"/>
      <c r="N277" s="1189"/>
      <c r="O277" s="1189"/>
      <c r="P277" s="1189"/>
      <c r="Q277" s="1189"/>
      <c r="R277" s="1189"/>
      <c r="S277" s="1189"/>
      <c r="T277" s="1208"/>
      <c r="U277" s="1208"/>
      <c r="V277" s="1189"/>
      <c r="W277" s="1189"/>
      <c r="X277" s="1189"/>
      <c r="Y277" s="1189"/>
      <c r="Z277" s="1189"/>
      <c r="AA277" s="1189"/>
      <c r="AB277" s="1189"/>
      <c r="AC277" s="1189"/>
      <c r="AD277" s="1189"/>
      <c r="AE277" s="1189"/>
      <c r="AF277" s="1189"/>
      <c r="AG277" s="1189"/>
      <c r="AH277" s="1189"/>
      <c r="AI277" s="1189"/>
      <c r="AJ277" s="1189"/>
      <c r="AK277" s="1189"/>
      <c r="AL277" s="1189"/>
      <c r="AM277" s="1189"/>
      <c r="AN277" s="1189"/>
      <c r="AO277" s="1189"/>
      <c r="AP277" s="1189"/>
      <c r="AQ277" s="1189"/>
      <c r="AR277" s="1189"/>
      <c r="AS277" s="1189"/>
      <c r="AT277" s="1189"/>
      <c r="AU277" s="1189"/>
      <c r="AV277" s="1189"/>
      <c r="AW277" s="1189"/>
      <c r="AX277" s="1189"/>
    </row>
    <row r="278" spans="4:50" ht="12.75" customHeight="1">
      <c r="D278" s="1231"/>
      <c r="E278" s="1230"/>
      <c r="F278" s="1230"/>
      <c r="G278" s="1230"/>
      <c r="H278" s="1230"/>
      <c r="I278" s="1189"/>
      <c r="J278" s="1189"/>
      <c r="K278" s="1189"/>
      <c r="L278" s="1225"/>
      <c r="M278" s="1189"/>
      <c r="N278" s="1189"/>
      <c r="O278" s="1189"/>
      <c r="P278" s="1189"/>
      <c r="Q278" s="1189"/>
      <c r="R278" s="1189"/>
      <c r="S278" s="1189"/>
      <c r="T278" s="1208"/>
      <c r="U278" s="1208"/>
      <c r="V278" s="1189"/>
      <c r="W278" s="1189"/>
      <c r="X278" s="1189"/>
      <c r="Y278" s="1189"/>
      <c r="Z278" s="1189"/>
      <c r="AA278" s="1189"/>
      <c r="AB278" s="1189"/>
      <c r="AC278" s="1189"/>
      <c r="AD278" s="1189"/>
      <c r="AE278" s="1189"/>
      <c r="AF278" s="1189"/>
      <c r="AG278" s="1189"/>
      <c r="AH278" s="1189"/>
      <c r="AI278" s="1189"/>
      <c r="AJ278" s="1189"/>
      <c r="AK278" s="1189"/>
      <c r="AL278" s="1189"/>
      <c r="AM278" s="1189"/>
      <c r="AN278" s="1189"/>
      <c r="AO278" s="1189"/>
      <c r="AP278" s="1189"/>
      <c r="AQ278" s="1189"/>
      <c r="AR278" s="1189"/>
      <c r="AS278" s="1189"/>
      <c r="AT278" s="1189"/>
      <c r="AU278" s="1189"/>
      <c r="AV278" s="1189"/>
      <c r="AW278" s="1189"/>
      <c r="AX278" s="1189"/>
    </row>
    <row r="279" spans="4:50" ht="12.75" customHeight="1">
      <c r="D279" s="1231"/>
      <c r="E279" s="1230"/>
      <c r="F279" s="1230"/>
      <c r="G279" s="1230"/>
      <c r="H279" s="1230"/>
      <c r="I279" s="1189"/>
      <c r="J279" s="1189"/>
      <c r="K279" s="1189"/>
      <c r="L279" s="1225"/>
      <c r="M279" s="1189"/>
      <c r="N279" s="1189"/>
      <c r="O279" s="1189"/>
      <c r="P279" s="1189"/>
      <c r="Q279" s="1189"/>
      <c r="R279" s="1189"/>
      <c r="S279" s="1189"/>
      <c r="T279" s="1208"/>
      <c r="U279" s="1208"/>
      <c r="V279" s="1189"/>
      <c r="W279" s="1189"/>
      <c r="X279" s="1189"/>
      <c r="Y279" s="1189"/>
      <c r="Z279" s="1189"/>
      <c r="AA279" s="1189"/>
      <c r="AB279" s="1189"/>
      <c r="AC279" s="1189"/>
      <c r="AD279" s="1189"/>
      <c r="AE279" s="1189"/>
      <c r="AF279" s="1189"/>
      <c r="AG279" s="1189"/>
      <c r="AH279" s="1189"/>
      <c r="AI279" s="1189"/>
      <c r="AJ279" s="1189"/>
      <c r="AK279" s="1189"/>
      <c r="AL279" s="1189"/>
      <c r="AM279" s="1189"/>
      <c r="AN279" s="1189"/>
      <c r="AO279" s="1189"/>
      <c r="AP279" s="1189"/>
      <c r="AQ279" s="1189"/>
      <c r="AR279" s="1189"/>
      <c r="AS279" s="1189"/>
      <c r="AT279" s="1189"/>
      <c r="AU279" s="1189"/>
      <c r="AV279" s="1189"/>
      <c r="AW279" s="1189"/>
      <c r="AX279" s="1189"/>
    </row>
    <row r="280" spans="4:50" ht="12.75" customHeight="1">
      <c r="D280" s="1231"/>
      <c r="E280" s="1230"/>
      <c r="F280" s="1230"/>
      <c r="G280" s="1230"/>
      <c r="H280" s="1230"/>
      <c r="I280" s="1189"/>
      <c r="J280" s="1189"/>
      <c r="K280" s="1189"/>
      <c r="L280" s="1225"/>
      <c r="M280" s="1189"/>
      <c r="N280" s="1189"/>
      <c r="O280" s="1189"/>
      <c r="P280" s="1189"/>
      <c r="Q280" s="1189"/>
      <c r="R280" s="1189"/>
      <c r="S280" s="1189"/>
      <c r="T280" s="1208"/>
      <c r="U280" s="1208"/>
      <c r="V280" s="1189"/>
      <c r="W280" s="1189"/>
      <c r="X280" s="1189"/>
      <c r="Y280" s="1189"/>
      <c r="Z280" s="1189"/>
      <c r="AA280" s="1189"/>
      <c r="AB280" s="1189"/>
      <c r="AC280" s="1189"/>
      <c r="AD280" s="1189"/>
      <c r="AE280" s="1189"/>
      <c r="AF280" s="1189"/>
      <c r="AG280" s="1189"/>
      <c r="AH280" s="1189"/>
      <c r="AI280" s="1189"/>
      <c r="AJ280" s="1189"/>
      <c r="AK280" s="1189"/>
      <c r="AL280" s="1189"/>
      <c r="AM280" s="1189"/>
      <c r="AN280" s="1189"/>
      <c r="AO280" s="1189"/>
      <c r="AP280" s="1189"/>
      <c r="AQ280" s="1189"/>
      <c r="AR280" s="1189"/>
      <c r="AS280" s="1189"/>
      <c r="AT280" s="1189"/>
      <c r="AU280" s="1189"/>
      <c r="AV280" s="1189"/>
      <c r="AW280" s="1189"/>
      <c r="AX280" s="1189"/>
    </row>
    <row r="281" spans="4:50" ht="12.75" customHeight="1">
      <c r="D281" s="1231"/>
      <c r="E281" s="1230"/>
      <c r="F281" s="1230"/>
      <c r="G281" s="1230"/>
      <c r="H281" s="1230"/>
      <c r="I281" s="1189"/>
      <c r="J281" s="1189"/>
      <c r="K281" s="1189"/>
      <c r="L281" s="1225"/>
      <c r="M281" s="1189"/>
      <c r="N281" s="1189"/>
      <c r="O281" s="1189"/>
      <c r="P281" s="1189"/>
      <c r="Q281" s="1189"/>
      <c r="R281" s="1189"/>
      <c r="S281" s="1189"/>
      <c r="T281" s="1208"/>
      <c r="U281" s="1208"/>
      <c r="V281" s="1189"/>
      <c r="W281" s="1189"/>
      <c r="X281" s="1189"/>
      <c r="Y281" s="1189"/>
      <c r="Z281" s="1189"/>
      <c r="AA281" s="1189"/>
      <c r="AB281" s="1189"/>
      <c r="AC281" s="1189"/>
      <c r="AD281" s="1189"/>
      <c r="AE281" s="1189"/>
      <c r="AF281" s="1189"/>
      <c r="AG281" s="1189"/>
      <c r="AH281" s="1189"/>
      <c r="AI281" s="1189"/>
      <c r="AJ281" s="1189"/>
      <c r="AK281" s="1189"/>
      <c r="AL281" s="1189"/>
      <c r="AM281" s="1189"/>
      <c r="AN281" s="1189"/>
      <c r="AO281" s="1189"/>
      <c r="AP281" s="1189"/>
      <c r="AQ281" s="1189"/>
      <c r="AR281" s="1189"/>
      <c r="AS281" s="1189"/>
      <c r="AT281" s="1189"/>
      <c r="AU281" s="1189"/>
      <c r="AV281" s="1189"/>
      <c r="AW281" s="1189"/>
      <c r="AX281" s="1189"/>
    </row>
    <row r="282" spans="4:50" ht="12.75" customHeight="1">
      <c r="D282" s="1231"/>
      <c r="E282" s="1230"/>
      <c r="F282" s="1230"/>
      <c r="G282" s="1230"/>
      <c r="H282" s="1230"/>
      <c r="I282" s="1189"/>
      <c r="J282" s="1189"/>
      <c r="K282" s="1189"/>
      <c r="L282" s="1225"/>
      <c r="M282" s="1189"/>
      <c r="N282" s="1189"/>
      <c r="O282" s="1189"/>
      <c r="P282" s="1189"/>
      <c r="Q282" s="1189"/>
      <c r="R282" s="1189"/>
      <c r="S282" s="1189"/>
      <c r="T282" s="1208"/>
      <c r="U282" s="1208"/>
      <c r="V282" s="1189"/>
      <c r="W282" s="1189"/>
      <c r="X282" s="1189"/>
      <c r="Y282" s="1189"/>
      <c r="Z282" s="1189"/>
      <c r="AA282" s="1189"/>
      <c r="AB282" s="1189"/>
      <c r="AC282" s="1189"/>
      <c r="AD282" s="1189"/>
      <c r="AE282" s="1189"/>
      <c r="AF282" s="1189"/>
      <c r="AG282" s="1189"/>
      <c r="AH282" s="1189"/>
      <c r="AI282" s="1189"/>
      <c r="AJ282" s="1189"/>
      <c r="AK282" s="1189"/>
      <c r="AL282" s="1189"/>
      <c r="AM282" s="1189"/>
      <c r="AN282" s="1189"/>
      <c r="AO282" s="1189"/>
      <c r="AP282" s="1189"/>
      <c r="AQ282" s="1189"/>
      <c r="AR282" s="1189"/>
      <c r="AS282" s="1189"/>
      <c r="AT282" s="1189"/>
      <c r="AU282" s="1189"/>
      <c r="AV282" s="1189"/>
      <c r="AW282" s="1189"/>
      <c r="AX282" s="1189"/>
    </row>
    <row r="283" spans="4:50" ht="12.75" customHeight="1">
      <c r="D283" s="1231"/>
      <c r="E283" s="1230"/>
      <c r="F283" s="1230"/>
      <c r="G283" s="1230"/>
      <c r="H283" s="1230"/>
      <c r="I283" s="1189"/>
      <c r="J283" s="1189"/>
      <c r="K283" s="1189"/>
      <c r="L283" s="1225"/>
      <c r="M283" s="1189"/>
      <c r="N283" s="1189"/>
      <c r="O283" s="1189"/>
      <c r="P283" s="1189"/>
      <c r="Q283" s="1189"/>
      <c r="R283" s="1189"/>
      <c r="S283" s="1189"/>
      <c r="T283" s="1208"/>
      <c r="U283" s="1208"/>
      <c r="V283" s="1189"/>
      <c r="W283" s="1189"/>
      <c r="X283" s="1189"/>
      <c r="Y283" s="1189"/>
      <c r="Z283" s="1189"/>
      <c r="AA283" s="1189"/>
      <c r="AB283" s="1189"/>
      <c r="AC283" s="1189"/>
      <c r="AD283" s="1189"/>
      <c r="AE283" s="1189"/>
      <c r="AF283" s="1189"/>
      <c r="AG283" s="1189"/>
      <c r="AH283" s="1189"/>
      <c r="AI283" s="1189"/>
      <c r="AJ283" s="1189"/>
      <c r="AK283" s="1189"/>
      <c r="AL283" s="1189"/>
      <c r="AM283" s="1189"/>
      <c r="AN283" s="1189"/>
      <c r="AO283" s="1189"/>
      <c r="AP283" s="1189"/>
      <c r="AQ283" s="1189"/>
      <c r="AR283" s="1189"/>
      <c r="AS283" s="1189"/>
      <c r="AT283" s="1189"/>
      <c r="AU283" s="1189"/>
      <c r="AV283" s="1189"/>
      <c r="AW283" s="1189"/>
      <c r="AX283" s="1189"/>
    </row>
    <row r="284" spans="4:50" ht="12.75" customHeight="1">
      <c r="D284" s="1231"/>
      <c r="E284" s="1230"/>
      <c r="F284" s="1230"/>
      <c r="G284" s="1230"/>
      <c r="H284" s="1230"/>
      <c r="I284" s="1189"/>
      <c r="J284" s="1189"/>
      <c r="K284" s="1189"/>
      <c r="L284" s="1225"/>
      <c r="M284" s="1189"/>
      <c r="N284" s="1189"/>
      <c r="O284" s="1189"/>
      <c r="P284" s="1189"/>
      <c r="Q284" s="1189"/>
      <c r="R284" s="1189"/>
      <c r="S284" s="1189"/>
      <c r="T284" s="1208"/>
      <c r="U284" s="1208"/>
      <c r="V284" s="1189"/>
      <c r="W284" s="1189"/>
      <c r="X284" s="1189"/>
      <c r="Y284" s="1189"/>
      <c r="Z284" s="1189"/>
      <c r="AA284" s="1189"/>
      <c r="AB284" s="1189"/>
      <c r="AC284" s="1189"/>
      <c r="AD284" s="1189"/>
      <c r="AE284" s="1189"/>
      <c r="AF284" s="1189"/>
      <c r="AG284" s="1189"/>
      <c r="AH284" s="1189"/>
      <c r="AI284" s="1189"/>
      <c r="AJ284" s="1189"/>
      <c r="AK284" s="1189"/>
      <c r="AL284" s="1189"/>
      <c r="AM284" s="1189"/>
      <c r="AN284" s="1189"/>
      <c r="AO284" s="1189"/>
      <c r="AP284" s="1189"/>
      <c r="AQ284" s="1189"/>
      <c r="AR284" s="1189"/>
      <c r="AS284" s="1189"/>
      <c r="AT284" s="1189"/>
      <c r="AU284" s="1189"/>
      <c r="AV284" s="1189"/>
      <c r="AW284" s="1189"/>
      <c r="AX284" s="1189"/>
    </row>
    <row r="285" spans="4:50" ht="12.75" customHeight="1">
      <c r="D285" s="1231"/>
      <c r="E285" s="1230"/>
      <c r="F285" s="1230"/>
      <c r="G285" s="1230"/>
      <c r="H285" s="1230"/>
      <c r="I285" s="1189"/>
      <c r="J285" s="1189"/>
      <c r="K285" s="1189"/>
      <c r="L285" s="1225"/>
      <c r="M285" s="1189"/>
      <c r="N285" s="1189"/>
      <c r="O285" s="1189"/>
      <c r="P285" s="1189"/>
      <c r="Q285" s="1189"/>
      <c r="R285" s="1189"/>
      <c r="S285" s="1189"/>
      <c r="T285" s="1208"/>
      <c r="U285" s="1208"/>
      <c r="V285" s="1189"/>
      <c r="W285" s="1189"/>
      <c r="X285" s="1189"/>
      <c r="Y285" s="1189"/>
      <c r="Z285" s="1189"/>
      <c r="AA285" s="1189"/>
      <c r="AB285" s="1189"/>
      <c r="AC285" s="1189"/>
      <c r="AD285" s="1189"/>
      <c r="AE285" s="1189"/>
      <c r="AF285" s="1189"/>
      <c r="AG285" s="1189"/>
      <c r="AH285" s="1189"/>
      <c r="AI285" s="1189"/>
      <c r="AJ285" s="1189"/>
      <c r="AK285" s="1189"/>
      <c r="AL285" s="1189"/>
      <c r="AM285" s="1189"/>
      <c r="AN285" s="1189"/>
      <c r="AO285" s="1189"/>
      <c r="AP285" s="1189"/>
      <c r="AQ285" s="1189"/>
      <c r="AR285" s="1189"/>
      <c r="AS285" s="1189"/>
      <c r="AT285" s="1189"/>
      <c r="AU285" s="1189"/>
      <c r="AV285" s="1189"/>
      <c r="AW285" s="1189"/>
      <c r="AX285" s="1189"/>
    </row>
    <row r="286" spans="4:50" ht="12.75" customHeight="1">
      <c r="D286" s="1231"/>
      <c r="E286" s="1230"/>
      <c r="F286" s="1230"/>
      <c r="G286" s="1230"/>
      <c r="H286" s="1230"/>
      <c r="I286" s="1189"/>
      <c r="J286" s="1189"/>
      <c r="K286" s="1189"/>
      <c r="L286" s="1225"/>
      <c r="M286" s="1189"/>
      <c r="N286" s="1189"/>
      <c r="O286" s="1189"/>
      <c r="P286" s="1189"/>
      <c r="Q286" s="1189"/>
      <c r="R286" s="1189"/>
      <c r="S286" s="1189"/>
      <c r="T286" s="1208"/>
      <c r="U286" s="1208"/>
      <c r="V286" s="1189"/>
      <c r="W286" s="1189"/>
      <c r="X286" s="1189"/>
      <c r="Y286" s="1189"/>
      <c r="Z286" s="1189"/>
      <c r="AA286" s="1189"/>
      <c r="AB286" s="1189"/>
      <c r="AC286" s="1189"/>
      <c r="AD286" s="1189"/>
      <c r="AE286" s="1189"/>
      <c r="AF286" s="1189"/>
      <c r="AG286" s="1189"/>
      <c r="AH286" s="1189"/>
      <c r="AI286" s="1189"/>
      <c r="AJ286" s="1189"/>
      <c r="AK286" s="1189"/>
      <c r="AL286" s="1189"/>
      <c r="AM286" s="1189"/>
      <c r="AN286" s="1189"/>
      <c r="AO286" s="1189"/>
      <c r="AP286" s="1189"/>
      <c r="AQ286" s="1189"/>
      <c r="AR286" s="1189"/>
      <c r="AS286" s="1189"/>
      <c r="AT286" s="1189"/>
      <c r="AU286" s="1189"/>
      <c r="AV286" s="1189"/>
      <c r="AW286" s="1189"/>
      <c r="AX286" s="1189"/>
    </row>
    <row r="287" spans="4:50" ht="12.75" customHeight="1">
      <c r="D287" s="1231"/>
      <c r="E287" s="1230"/>
      <c r="F287" s="1230"/>
      <c r="G287" s="1230"/>
      <c r="H287" s="1230"/>
      <c r="I287" s="1189"/>
      <c r="J287" s="1189"/>
      <c r="K287" s="1189"/>
      <c r="L287" s="1225"/>
      <c r="M287" s="1189"/>
      <c r="N287" s="1189"/>
      <c r="O287" s="1189"/>
      <c r="P287" s="1189"/>
      <c r="Q287" s="1189"/>
      <c r="R287" s="1189"/>
      <c r="S287" s="1189"/>
      <c r="T287" s="1208"/>
      <c r="U287" s="1208"/>
      <c r="V287" s="1189"/>
      <c r="W287" s="1189"/>
      <c r="X287" s="1189"/>
      <c r="Y287" s="1189"/>
      <c r="Z287" s="1189"/>
      <c r="AA287" s="1189"/>
      <c r="AB287" s="1189"/>
      <c r="AC287" s="1189"/>
      <c r="AD287" s="1189"/>
      <c r="AE287" s="1189"/>
      <c r="AF287" s="1189"/>
      <c r="AG287" s="1189"/>
      <c r="AH287" s="1189"/>
      <c r="AI287" s="1189"/>
      <c r="AJ287" s="1189"/>
      <c r="AK287" s="1189"/>
      <c r="AL287" s="1189"/>
      <c r="AM287" s="1189"/>
      <c r="AN287" s="1189"/>
      <c r="AO287" s="1189"/>
      <c r="AP287" s="1189"/>
      <c r="AQ287" s="1189"/>
      <c r="AR287" s="1189"/>
      <c r="AS287" s="1189"/>
      <c r="AT287" s="1189"/>
      <c r="AU287" s="1189"/>
      <c r="AV287" s="1189"/>
      <c r="AW287" s="1189"/>
      <c r="AX287" s="1189"/>
    </row>
    <row r="288" spans="4:50" ht="12.75" customHeight="1">
      <c r="D288" s="1231"/>
      <c r="E288" s="1230"/>
      <c r="F288" s="1230"/>
      <c r="G288" s="1230"/>
      <c r="H288" s="1230"/>
      <c r="I288" s="1189"/>
      <c r="J288" s="1189"/>
      <c r="K288" s="1189"/>
      <c r="L288" s="1225"/>
      <c r="M288" s="1189"/>
      <c r="N288" s="1189"/>
      <c r="O288" s="1189"/>
      <c r="P288" s="1189"/>
      <c r="Q288" s="1189"/>
      <c r="R288" s="1189"/>
      <c r="S288" s="1189"/>
      <c r="T288" s="1208"/>
      <c r="U288" s="1208"/>
      <c r="V288" s="1189"/>
      <c r="W288" s="1189"/>
      <c r="X288" s="1189"/>
      <c r="Y288" s="1189"/>
      <c r="Z288" s="1189"/>
      <c r="AA288" s="1189"/>
      <c r="AB288" s="1189"/>
      <c r="AC288" s="1189"/>
      <c r="AD288" s="1189"/>
      <c r="AE288" s="1189"/>
      <c r="AF288" s="1189"/>
      <c r="AG288" s="1189"/>
      <c r="AH288" s="1189"/>
      <c r="AI288" s="1189"/>
      <c r="AJ288" s="1189"/>
      <c r="AK288" s="1189"/>
      <c r="AL288" s="1189"/>
      <c r="AM288" s="1189"/>
      <c r="AN288" s="1189"/>
      <c r="AO288" s="1189"/>
      <c r="AP288" s="1189"/>
      <c r="AQ288" s="1189"/>
      <c r="AR288" s="1189"/>
      <c r="AS288" s="1189"/>
      <c r="AT288" s="1189"/>
      <c r="AU288" s="1189"/>
      <c r="AV288" s="1189"/>
      <c r="AW288" s="1189"/>
      <c r="AX288" s="1189"/>
    </row>
    <row r="289" spans="4:50" ht="12.75" customHeight="1">
      <c r="D289" s="1231"/>
      <c r="E289" s="1230"/>
      <c r="F289" s="1230"/>
      <c r="G289" s="1230"/>
      <c r="H289" s="1230"/>
      <c r="I289" s="1189"/>
      <c r="J289" s="1189"/>
      <c r="K289" s="1189"/>
      <c r="L289" s="1225"/>
      <c r="M289" s="1189"/>
      <c r="N289" s="1189"/>
      <c r="O289" s="1189"/>
      <c r="P289" s="1189"/>
      <c r="Q289" s="1189"/>
      <c r="R289" s="1189"/>
      <c r="S289" s="1189"/>
      <c r="T289" s="1208"/>
      <c r="U289" s="1208"/>
      <c r="V289" s="1189"/>
      <c r="W289" s="1189"/>
      <c r="X289" s="1189"/>
      <c r="Y289" s="1189"/>
      <c r="Z289" s="1189"/>
      <c r="AA289" s="1189"/>
      <c r="AB289" s="1189"/>
      <c r="AC289" s="1189"/>
      <c r="AD289" s="1189"/>
      <c r="AE289" s="1189"/>
      <c r="AF289" s="1189"/>
      <c r="AG289" s="1189"/>
      <c r="AH289" s="1189"/>
      <c r="AI289" s="1189"/>
      <c r="AJ289" s="1189"/>
      <c r="AK289" s="1189"/>
      <c r="AL289" s="1189"/>
      <c r="AM289" s="1189"/>
      <c r="AN289" s="1189"/>
      <c r="AO289" s="1189"/>
      <c r="AP289" s="1189"/>
      <c r="AQ289" s="1189"/>
      <c r="AR289" s="1189"/>
      <c r="AS289" s="1189"/>
      <c r="AT289" s="1189"/>
      <c r="AU289" s="1189"/>
      <c r="AV289" s="1189"/>
      <c r="AW289" s="1189"/>
      <c r="AX289" s="1189"/>
    </row>
    <row r="290" spans="4:50" ht="12.75" customHeight="1">
      <c r="D290" s="1231"/>
      <c r="E290" s="1230"/>
      <c r="F290" s="1230"/>
      <c r="G290" s="1230"/>
      <c r="H290" s="1230"/>
      <c r="I290" s="1189"/>
      <c r="J290" s="1189"/>
      <c r="K290" s="1189"/>
      <c r="L290" s="1225"/>
      <c r="M290" s="1189"/>
      <c r="N290" s="1189"/>
      <c r="O290" s="1189"/>
      <c r="P290" s="1189"/>
      <c r="Q290" s="1189"/>
      <c r="R290" s="1189"/>
      <c r="S290" s="1189"/>
      <c r="T290" s="1208"/>
      <c r="U290" s="1208"/>
      <c r="V290" s="1189"/>
      <c r="W290" s="1189"/>
      <c r="X290" s="1189"/>
      <c r="Y290" s="1189"/>
      <c r="Z290" s="1189"/>
      <c r="AA290" s="1189"/>
      <c r="AB290" s="1189"/>
      <c r="AC290" s="1189"/>
      <c r="AD290" s="1189"/>
      <c r="AE290" s="1189"/>
      <c r="AF290" s="1189"/>
      <c r="AG290" s="1189"/>
      <c r="AH290" s="1189"/>
      <c r="AI290" s="1189"/>
      <c r="AJ290" s="1189"/>
      <c r="AK290" s="1189"/>
      <c r="AL290" s="1189"/>
      <c r="AM290" s="1189"/>
      <c r="AN290" s="1189"/>
      <c r="AO290" s="1189"/>
      <c r="AP290" s="1189"/>
      <c r="AQ290" s="1189"/>
      <c r="AR290" s="1189"/>
      <c r="AS290" s="1189"/>
      <c r="AT290" s="1189"/>
      <c r="AU290" s="1189"/>
      <c r="AV290" s="1189"/>
      <c r="AW290" s="1189"/>
      <c r="AX290" s="1189"/>
    </row>
    <row r="291" spans="4:50" ht="12.75" customHeight="1">
      <c r="D291" s="1231"/>
      <c r="E291" s="1230"/>
      <c r="F291" s="1230"/>
      <c r="G291" s="1230"/>
      <c r="H291" s="1230"/>
      <c r="I291" s="1189"/>
      <c r="J291" s="1189"/>
      <c r="K291" s="1189"/>
      <c r="L291" s="1225"/>
      <c r="M291" s="1189"/>
      <c r="N291" s="1189"/>
      <c r="O291" s="1189"/>
      <c r="P291" s="1189"/>
      <c r="Q291" s="1189"/>
      <c r="R291" s="1189"/>
      <c r="S291" s="1189"/>
      <c r="T291" s="1208"/>
      <c r="U291" s="1208"/>
      <c r="V291" s="1189"/>
      <c r="W291" s="1189"/>
      <c r="X291" s="1189"/>
      <c r="Y291" s="1189"/>
      <c r="Z291" s="1189"/>
      <c r="AA291" s="1189"/>
      <c r="AB291" s="1189"/>
      <c r="AC291" s="1189"/>
      <c r="AD291" s="1189"/>
      <c r="AE291" s="1189"/>
      <c r="AF291" s="1189"/>
      <c r="AG291" s="1189"/>
      <c r="AH291" s="1189"/>
      <c r="AI291" s="1189"/>
      <c r="AJ291" s="1189"/>
      <c r="AK291" s="1189"/>
      <c r="AL291" s="1189"/>
      <c r="AM291" s="1189"/>
      <c r="AN291" s="1189"/>
      <c r="AO291" s="1189"/>
      <c r="AP291" s="1189"/>
      <c r="AQ291" s="1189"/>
      <c r="AR291" s="1189"/>
      <c r="AS291" s="1189"/>
      <c r="AT291" s="1189"/>
      <c r="AU291" s="1189"/>
      <c r="AV291" s="1189"/>
      <c r="AW291" s="1189"/>
      <c r="AX291" s="1189"/>
    </row>
    <row r="292" spans="4:50" ht="12.75" customHeight="1">
      <c r="D292" s="1231"/>
      <c r="E292" s="1230"/>
      <c r="F292" s="1230"/>
      <c r="G292" s="1230"/>
      <c r="H292" s="1230"/>
      <c r="I292" s="1189"/>
      <c r="J292" s="1189"/>
      <c r="K292" s="1189"/>
      <c r="L292" s="1225"/>
      <c r="M292" s="1189"/>
      <c r="N292" s="1189"/>
      <c r="O292" s="1189"/>
      <c r="P292" s="1189"/>
      <c r="Q292" s="1189"/>
      <c r="R292" s="1189"/>
      <c r="S292" s="1189"/>
      <c r="T292" s="1208"/>
      <c r="U292" s="1208"/>
      <c r="V292" s="1189"/>
      <c r="W292" s="1189"/>
      <c r="X292" s="1189"/>
      <c r="Y292" s="1189"/>
      <c r="Z292" s="1189"/>
      <c r="AA292" s="1189"/>
      <c r="AB292" s="1189"/>
      <c r="AC292" s="1189"/>
      <c r="AD292" s="1189"/>
      <c r="AE292" s="1189"/>
      <c r="AF292" s="1189"/>
      <c r="AG292" s="1189"/>
      <c r="AH292" s="1189"/>
      <c r="AI292" s="1189"/>
      <c r="AJ292" s="1189"/>
      <c r="AK292" s="1189"/>
      <c r="AL292" s="1189"/>
      <c r="AM292" s="1189"/>
      <c r="AN292" s="1189"/>
      <c r="AO292" s="1189"/>
      <c r="AP292" s="1189"/>
      <c r="AQ292" s="1189"/>
      <c r="AR292" s="1189"/>
      <c r="AS292" s="1189"/>
      <c r="AT292" s="1189"/>
      <c r="AU292" s="1189"/>
      <c r="AV292" s="1189"/>
      <c r="AW292" s="1189"/>
      <c r="AX292" s="1189"/>
    </row>
    <row r="293" spans="4:50" ht="12.75" customHeight="1">
      <c r="D293" s="1231"/>
      <c r="E293" s="1230"/>
      <c r="F293" s="1230"/>
      <c r="G293" s="1230"/>
      <c r="H293" s="1230"/>
      <c r="I293" s="1189"/>
      <c r="J293" s="1189"/>
      <c r="K293" s="1189"/>
      <c r="L293" s="1225"/>
      <c r="M293" s="1189"/>
      <c r="N293" s="1189"/>
      <c r="O293" s="1189"/>
      <c r="P293" s="1189"/>
      <c r="Q293" s="1189"/>
      <c r="R293" s="1189"/>
      <c r="S293" s="1189"/>
      <c r="T293" s="1208"/>
      <c r="U293" s="1208"/>
      <c r="V293" s="1189"/>
      <c r="W293" s="1189"/>
      <c r="X293" s="1189"/>
      <c r="Y293" s="1189"/>
      <c r="Z293" s="1189"/>
      <c r="AA293" s="1189"/>
      <c r="AB293" s="1189"/>
      <c r="AC293" s="1189"/>
      <c r="AD293" s="1189"/>
      <c r="AE293" s="1189"/>
      <c r="AF293" s="1189"/>
      <c r="AG293" s="1189"/>
      <c r="AH293" s="1189"/>
      <c r="AI293" s="1189"/>
      <c r="AJ293" s="1189"/>
      <c r="AK293" s="1189"/>
      <c r="AL293" s="1189"/>
      <c r="AM293" s="1189"/>
      <c r="AN293" s="1189"/>
      <c r="AO293" s="1189"/>
      <c r="AP293" s="1189"/>
      <c r="AQ293" s="1189"/>
      <c r="AR293" s="1189"/>
      <c r="AS293" s="1189"/>
      <c r="AT293" s="1189"/>
      <c r="AU293" s="1189"/>
      <c r="AV293" s="1189"/>
      <c r="AW293" s="1189"/>
      <c r="AX293" s="1189"/>
    </row>
    <row r="294" spans="4:50" ht="12.75" customHeight="1">
      <c r="D294" s="1231"/>
      <c r="E294" s="1230"/>
      <c r="F294" s="1230"/>
      <c r="G294" s="1230"/>
      <c r="H294" s="1230"/>
      <c r="I294" s="1189"/>
      <c r="J294" s="1189"/>
      <c r="K294" s="1189"/>
      <c r="L294" s="1225"/>
      <c r="M294" s="1189"/>
      <c r="N294" s="1189"/>
      <c r="O294" s="1189"/>
      <c r="P294" s="1189"/>
      <c r="Q294" s="1189"/>
      <c r="R294" s="1189"/>
      <c r="S294" s="1189"/>
      <c r="T294" s="1208"/>
      <c r="U294" s="1208"/>
      <c r="V294" s="1189"/>
      <c r="W294" s="1189"/>
      <c r="X294" s="1189"/>
      <c r="Y294" s="1189"/>
      <c r="Z294" s="1189"/>
      <c r="AA294" s="1189"/>
      <c r="AB294" s="1189"/>
      <c r="AC294" s="1189"/>
      <c r="AD294" s="1189"/>
      <c r="AE294" s="1189"/>
      <c r="AF294" s="1189"/>
      <c r="AG294" s="1189"/>
      <c r="AH294" s="1189"/>
      <c r="AI294" s="1189"/>
      <c r="AJ294" s="1189"/>
      <c r="AK294" s="1189"/>
      <c r="AL294" s="1189"/>
      <c r="AM294" s="1189"/>
      <c r="AN294" s="1189"/>
      <c r="AO294" s="1189"/>
      <c r="AP294" s="1189"/>
      <c r="AQ294" s="1189"/>
      <c r="AR294" s="1189"/>
      <c r="AS294" s="1189"/>
      <c r="AT294" s="1189"/>
      <c r="AU294" s="1189"/>
      <c r="AV294" s="1189"/>
      <c r="AW294" s="1189"/>
      <c r="AX294" s="1189"/>
    </row>
    <row r="295" spans="4:50" ht="12.75" customHeight="1">
      <c r="D295" s="1231"/>
      <c r="E295" s="1230"/>
      <c r="F295" s="1230"/>
      <c r="G295" s="1230"/>
      <c r="H295" s="1230"/>
      <c r="I295" s="1189"/>
      <c r="J295" s="1189"/>
      <c r="K295" s="1189"/>
      <c r="L295" s="1225"/>
      <c r="M295" s="1189"/>
      <c r="N295" s="1189"/>
      <c r="O295" s="1189"/>
      <c r="P295" s="1189"/>
      <c r="Q295" s="1189"/>
      <c r="R295" s="1189"/>
      <c r="S295" s="1189"/>
      <c r="T295" s="1208"/>
      <c r="U295" s="1208"/>
      <c r="V295" s="1189"/>
      <c r="W295" s="1189"/>
      <c r="X295" s="1189"/>
      <c r="Y295" s="1189"/>
      <c r="Z295" s="1189"/>
      <c r="AA295" s="1189"/>
      <c r="AB295" s="1189"/>
      <c r="AC295" s="1189"/>
      <c r="AD295" s="1189"/>
      <c r="AE295" s="1189"/>
      <c r="AF295" s="1189"/>
      <c r="AG295" s="1189"/>
      <c r="AH295" s="1189"/>
      <c r="AI295" s="1189"/>
      <c r="AJ295" s="1189"/>
      <c r="AK295" s="1189"/>
      <c r="AL295" s="1189"/>
      <c r="AM295" s="1189"/>
      <c r="AN295" s="1189"/>
      <c r="AO295" s="1189"/>
      <c r="AP295" s="1189"/>
      <c r="AQ295" s="1189"/>
      <c r="AR295" s="1189"/>
      <c r="AS295" s="1189"/>
      <c r="AT295" s="1189"/>
      <c r="AU295" s="1189"/>
      <c r="AV295" s="1189"/>
      <c r="AW295" s="1189"/>
      <c r="AX295" s="1189"/>
    </row>
    <row r="296" spans="4:50" ht="12.75" customHeight="1">
      <c r="D296" s="1231"/>
      <c r="E296" s="1230"/>
      <c r="F296" s="1230"/>
      <c r="G296" s="1230"/>
      <c r="H296" s="1230"/>
      <c r="I296" s="1189"/>
      <c r="J296" s="1189"/>
      <c r="K296" s="1189"/>
      <c r="L296" s="1225"/>
      <c r="M296" s="1189"/>
      <c r="N296" s="1189"/>
      <c r="O296" s="1189"/>
      <c r="P296" s="1189"/>
      <c r="Q296" s="1189"/>
      <c r="R296" s="1189"/>
      <c r="S296" s="1189"/>
      <c r="T296" s="1208"/>
      <c r="U296" s="1208"/>
      <c r="V296" s="1189"/>
      <c r="W296" s="1189"/>
      <c r="X296" s="1189"/>
      <c r="Y296" s="1189"/>
      <c r="Z296" s="1189"/>
      <c r="AA296" s="1189"/>
      <c r="AB296" s="1189"/>
      <c r="AC296" s="1189"/>
      <c r="AD296" s="1189"/>
      <c r="AE296" s="1189"/>
      <c r="AF296" s="1189"/>
      <c r="AG296" s="1189"/>
      <c r="AH296" s="1189"/>
      <c r="AI296" s="1189"/>
      <c r="AJ296" s="1189"/>
      <c r="AK296" s="1189"/>
      <c r="AL296" s="1189"/>
      <c r="AM296" s="1189"/>
      <c r="AN296" s="1189"/>
      <c r="AO296" s="1189"/>
      <c r="AP296" s="1189"/>
      <c r="AQ296" s="1189"/>
      <c r="AR296" s="1189"/>
      <c r="AS296" s="1189"/>
      <c r="AT296" s="1189"/>
      <c r="AU296" s="1189"/>
      <c r="AV296" s="1189"/>
      <c r="AW296" s="1189"/>
      <c r="AX296" s="1189"/>
    </row>
    <row r="297" spans="4:50" ht="12.75" customHeight="1">
      <c r="D297" s="1231"/>
      <c r="E297" s="1230"/>
      <c r="F297" s="1230"/>
      <c r="G297" s="1230"/>
      <c r="H297" s="1230"/>
      <c r="I297" s="1189"/>
      <c r="J297" s="1189"/>
      <c r="K297" s="1189"/>
      <c r="L297" s="1225"/>
      <c r="M297" s="1189"/>
      <c r="N297" s="1189"/>
      <c r="O297" s="1189"/>
      <c r="P297" s="1189"/>
      <c r="Q297" s="1189"/>
      <c r="R297" s="1189"/>
      <c r="S297" s="1189"/>
      <c r="T297" s="1208"/>
      <c r="U297" s="1208"/>
      <c r="V297" s="1189"/>
      <c r="W297" s="1189"/>
      <c r="X297" s="1189"/>
      <c r="Y297" s="1189"/>
      <c r="Z297" s="1189"/>
      <c r="AA297" s="1189"/>
      <c r="AB297" s="1189"/>
      <c r="AC297" s="1189"/>
      <c r="AD297" s="1189"/>
      <c r="AE297" s="1189"/>
      <c r="AF297" s="1189"/>
      <c r="AG297" s="1189"/>
      <c r="AH297" s="1189"/>
      <c r="AI297" s="1189"/>
      <c r="AJ297" s="1189"/>
      <c r="AK297" s="1189"/>
      <c r="AL297" s="1189"/>
      <c r="AM297" s="1189"/>
      <c r="AN297" s="1189"/>
      <c r="AO297" s="1189"/>
      <c r="AP297" s="1189"/>
      <c r="AQ297" s="1189"/>
      <c r="AR297" s="1189"/>
      <c r="AS297" s="1189"/>
      <c r="AT297" s="1189"/>
      <c r="AU297" s="1189"/>
      <c r="AV297" s="1189"/>
      <c r="AW297" s="1189"/>
      <c r="AX297" s="1189"/>
    </row>
    <row r="298" spans="4:50" ht="12.75" customHeight="1">
      <c r="D298" s="1231"/>
      <c r="E298" s="1230"/>
      <c r="F298" s="1230"/>
      <c r="G298" s="1230"/>
      <c r="H298" s="1230"/>
      <c r="I298" s="1189"/>
      <c r="J298" s="1189"/>
      <c r="K298" s="1189"/>
      <c r="L298" s="1225"/>
      <c r="M298" s="1189"/>
      <c r="N298" s="1189"/>
      <c r="O298" s="1189"/>
      <c r="P298" s="1189"/>
      <c r="Q298" s="1189"/>
      <c r="R298" s="1189"/>
      <c r="S298" s="1189"/>
      <c r="T298" s="1208"/>
      <c r="U298" s="1208"/>
      <c r="V298" s="1189"/>
      <c r="W298" s="1189"/>
      <c r="X298" s="1189"/>
      <c r="Y298" s="1189"/>
      <c r="Z298" s="1189"/>
      <c r="AA298" s="1189"/>
      <c r="AB298" s="1189"/>
      <c r="AC298" s="1189"/>
      <c r="AD298" s="1189"/>
      <c r="AE298" s="1189"/>
      <c r="AF298" s="1189"/>
      <c r="AG298" s="1189"/>
      <c r="AH298" s="1189"/>
      <c r="AI298" s="1189"/>
      <c r="AJ298" s="1189"/>
      <c r="AK298" s="1189"/>
      <c r="AL298" s="1189"/>
      <c r="AM298" s="1189"/>
      <c r="AN298" s="1189"/>
      <c r="AO298" s="1189"/>
      <c r="AP298" s="1189"/>
      <c r="AQ298" s="1189"/>
      <c r="AR298" s="1189"/>
      <c r="AS298" s="1189"/>
      <c r="AT298" s="1189"/>
      <c r="AU298" s="1189"/>
      <c r="AV298" s="1189"/>
      <c r="AW298" s="1189"/>
      <c r="AX298" s="1189"/>
    </row>
    <row r="299" spans="4:50" ht="12.75" customHeight="1">
      <c r="D299" s="1231"/>
      <c r="E299" s="1230"/>
      <c r="F299" s="1230"/>
      <c r="G299" s="1230"/>
      <c r="H299" s="1230"/>
      <c r="I299" s="1189"/>
      <c r="J299" s="1189"/>
      <c r="K299" s="1189"/>
      <c r="L299" s="1225"/>
      <c r="M299" s="1189"/>
      <c r="N299" s="1189"/>
      <c r="O299" s="1189"/>
      <c r="P299" s="1189"/>
      <c r="Q299" s="1189"/>
      <c r="R299" s="1189"/>
      <c r="S299" s="1189"/>
      <c r="T299" s="1208"/>
      <c r="U299" s="1208"/>
      <c r="V299" s="1189"/>
      <c r="W299" s="1189"/>
      <c r="X299" s="1189"/>
      <c r="Y299" s="1189"/>
      <c r="Z299" s="1189"/>
      <c r="AA299" s="1189"/>
      <c r="AB299" s="1189"/>
      <c r="AC299" s="1189"/>
      <c r="AD299" s="1189"/>
      <c r="AE299" s="1189"/>
      <c r="AF299" s="1189"/>
      <c r="AG299" s="1189"/>
      <c r="AH299" s="1189"/>
      <c r="AI299" s="1189"/>
      <c r="AJ299" s="1189"/>
      <c r="AK299" s="1189"/>
      <c r="AL299" s="1189"/>
      <c r="AM299" s="1189"/>
      <c r="AN299" s="1189"/>
      <c r="AO299" s="1189"/>
      <c r="AP299" s="1189"/>
      <c r="AQ299" s="1189"/>
      <c r="AR299" s="1189"/>
      <c r="AS299" s="1189"/>
      <c r="AT299" s="1189"/>
      <c r="AU299" s="1189"/>
      <c r="AV299" s="1189"/>
      <c r="AW299" s="1189"/>
      <c r="AX299" s="1189"/>
    </row>
    <row r="300" spans="4:50" ht="12.75" customHeight="1">
      <c r="D300" s="1231"/>
      <c r="E300" s="1230"/>
      <c r="F300" s="1230"/>
      <c r="G300" s="1230"/>
      <c r="H300" s="1230"/>
      <c r="I300" s="1189"/>
      <c r="J300" s="1189"/>
      <c r="K300" s="1189"/>
      <c r="L300" s="1225"/>
      <c r="M300" s="1189"/>
      <c r="N300" s="1189"/>
      <c r="O300" s="1189"/>
      <c r="P300" s="1189"/>
      <c r="Q300" s="1189"/>
      <c r="R300" s="1189"/>
      <c r="S300" s="1189"/>
      <c r="T300" s="1208"/>
      <c r="U300" s="1208"/>
      <c r="V300" s="1189"/>
      <c r="W300" s="1189"/>
      <c r="X300" s="1189"/>
      <c r="Y300" s="1189"/>
      <c r="Z300" s="1189"/>
      <c r="AA300" s="1189"/>
      <c r="AB300" s="1189"/>
      <c r="AC300" s="1189"/>
      <c r="AD300" s="1189"/>
      <c r="AE300" s="1189"/>
      <c r="AF300" s="1189"/>
      <c r="AG300" s="1189"/>
      <c r="AH300" s="1189"/>
      <c r="AI300" s="1189"/>
      <c r="AJ300" s="1189"/>
      <c r="AK300" s="1189"/>
      <c r="AL300" s="1189"/>
      <c r="AM300" s="1189"/>
      <c r="AN300" s="1189"/>
      <c r="AO300" s="1189"/>
      <c r="AP300" s="1189"/>
      <c r="AQ300" s="1189"/>
      <c r="AR300" s="1189"/>
      <c r="AS300" s="1189"/>
      <c r="AT300" s="1189"/>
      <c r="AU300" s="1189"/>
      <c r="AV300" s="1189"/>
      <c r="AW300" s="1189"/>
      <c r="AX300" s="1189"/>
    </row>
    <row r="301" spans="4:50" ht="12.75" customHeight="1">
      <c r="D301" s="1231"/>
      <c r="E301" s="1230"/>
      <c r="F301" s="1230"/>
      <c r="G301" s="1230"/>
      <c r="H301" s="1230"/>
      <c r="I301" s="1189"/>
      <c r="J301" s="1189"/>
      <c r="K301" s="1189"/>
      <c r="L301" s="1225"/>
      <c r="M301" s="1189"/>
      <c r="N301" s="1189"/>
      <c r="O301" s="1189"/>
      <c r="P301" s="1189"/>
      <c r="Q301" s="1189"/>
      <c r="R301" s="1189"/>
      <c r="S301" s="1189"/>
      <c r="T301" s="1208"/>
      <c r="U301" s="1208"/>
      <c r="V301" s="1189"/>
      <c r="W301" s="1189"/>
      <c r="X301" s="1189"/>
      <c r="Y301" s="1189"/>
      <c r="Z301" s="1189"/>
      <c r="AA301" s="1189"/>
      <c r="AB301" s="1189"/>
      <c r="AC301" s="1189"/>
      <c r="AD301" s="1189"/>
      <c r="AE301" s="1189"/>
      <c r="AF301" s="1189"/>
      <c r="AG301" s="1189"/>
      <c r="AH301" s="1189"/>
      <c r="AI301" s="1189"/>
      <c r="AJ301" s="1189"/>
      <c r="AK301" s="1189"/>
      <c r="AL301" s="1189"/>
      <c r="AM301" s="1189"/>
      <c r="AN301" s="1189"/>
      <c r="AO301" s="1189"/>
      <c r="AP301" s="1189"/>
      <c r="AQ301" s="1189"/>
      <c r="AR301" s="1189"/>
      <c r="AS301" s="1189"/>
      <c r="AT301" s="1189"/>
      <c r="AU301" s="1189"/>
      <c r="AV301" s="1189"/>
      <c r="AW301" s="1189"/>
      <c r="AX301" s="1189"/>
    </row>
    <row r="302" spans="4:50" ht="12.75" customHeight="1">
      <c r="D302" s="1231"/>
      <c r="E302" s="1230"/>
      <c r="F302" s="1230"/>
      <c r="G302" s="1230"/>
      <c r="H302" s="1230"/>
      <c r="I302" s="1189"/>
      <c r="J302" s="1189"/>
      <c r="K302" s="1189"/>
      <c r="L302" s="1225"/>
      <c r="M302" s="1189"/>
      <c r="N302" s="1189"/>
      <c r="O302" s="1189"/>
      <c r="P302" s="1189"/>
      <c r="Q302" s="1189"/>
      <c r="R302" s="1189"/>
      <c r="S302" s="1189"/>
      <c r="T302" s="1208"/>
      <c r="U302" s="1208"/>
      <c r="V302" s="1189"/>
      <c r="W302" s="1189"/>
      <c r="X302" s="1189"/>
      <c r="Y302" s="1189"/>
      <c r="Z302" s="1189"/>
      <c r="AA302" s="1189"/>
      <c r="AB302" s="1189"/>
      <c r="AC302" s="1189"/>
      <c r="AD302" s="1189"/>
      <c r="AE302" s="1189"/>
      <c r="AF302" s="1189"/>
      <c r="AG302" s="1189"/>
      <c r="AH302" s="1189"/>
      <c r="AI302" s="1189"/>
      <c r="AJ302" s="1189"/>
      <c r="AK302" s="1189"/>
      <c r="AL302" s="1189"/>
      <c r="AM302" s="1189"/>
      <c r="AN302" s="1189"/>
      <c r="AO302" s="1189"/>
      <c r="AP302" s="1189"/>
      <c r="AQ302" s="1189"/>
      <c r="AR302" s="1189"/>
      <c r="AS302" s="1189"/>
      <c r="AT302" s="1189"/>
      <c r="AU302" s="1189"/>
      <c r="AV302" s="1189"/>
      <c r="AW302" s="1189"/>
      <c r="AX302" s="1189"/>
    </row>
    <row r="303" spans="4:50" ht="12.75" customHeight="1">
      <c r="D303" s="1231"/>
      <c r="E303" s="1230"/>
      <c r="F303" s="1230"/>
      <c r="G303" s="1230"/>
      <c r="H303" s="1230"/>
      <c r="I303" s="1189"/>
      <c r="J303" s="1189"/>
      <c r="K303" s="1189"/>
      <c r="L303" s="1225"/>
      <c r="M303" s="1189"/>
      <c r="N303" s="1189"/>
      <c r="O303" s="1189"/>
      <c r="P303" s="1189"/>
      <c r="Q303" s="1189"/>
      <c r="R303" s="1189"/>
      <c r="S303" s="1189"/>
      <c r="T303" s="1208"/>
      <c r="U303" s="1208"/>
      <c r="V303" s="1189"/>
      <c r="W303" s="1189"/>
      <c r="X303" s="1189"/>
      <c r="Y303" s="1189"/>
      <c r="Z303" s="1189"/>
      <c r="AA303" s="1189"/>
      <c r="AB303" s="1189"/>
      <c r="AC303" s="1189"/>
      <c r="AD303" s="1189"/>
      <c r="AE303" s="1189"/>
      <c r="AF303" s="1189"/>
      <c r="AG303" s="1189"/>
      <c r="AH303" s="1189"/>
      <c r="AI303" s="1189"/>
      <c r="AJ303" s="1189"/>
      <c r="AK303" s="1189"/>
      <c r="AL303" s="1189"/>
      <c r="AM303" s="1189"/>
      <c r="AN303" s="1189"/>
      <c r="AO303" s="1189"/>
      <c r="AP303" s="1189"/>
      <c r="AQ303" s="1189"/>
      <c r="AR303" s="1189"/>
      <c r="AS303" s="1189"/>
      <c r="AT303" s="1189"/>
      <c r="AU303" s="1189"/>
      <c r="AV303" s="1189"/>
      <c r="AW303" s="1189"/>
      <c r="AX303" s="1189"/>
    </row>
    <row r="304" spans="4:50" ht="12.75" customHeight="1">
      <c r="D304" s="1231"/>
      <c r="E304" s="1230"/>
      <c r="F304" s="1230"/>
      <c r="G304" s="1230"/>
      <c r="H304" s="1230"/>
      <c r="I304" s="1189"/>
      <c r="J304" s="1189"/>
      <c r="K304" s="1189"/>
      <c r="L304" s="1225"/>
      <c r="M304" s="1189"/>
      <c r="N304" s="1189"/>
      <c r="O304" s="1189"/>
      <c r="P304" s="1189"/>
      <c r="Q304" s="1189"/>
      <c r="R304" s="1189"/>
      <c r="S304" s="1189"/>
      <c r="T304" s="1208"/>
      <c r="U304" s="1208"/>
      <c r="V304" s="1189"/>
      <c r="W304" s="1189"/>
      <c r="X304" s="1189"/>
      <c r="Y304" s="1189"/>
      <c r="Z304" s="1189"/>
      <c r="AA304" s="1189"/>
      <c r="AB304" s="1189"/>
      <c r="AC304" s="1189"/>
      <c r="AD304" s="1189"/>
      <c r="AE304" s="1189"/>
      <c r="AF304" s="1189"/>
      <c r="AG304" s="1189"/>
      <c r="AH304" s="1189"/>
      <c r="AI304" s="1189"/>
      <c r="AJ304" s="1189"/>
      <c r="AK304" s="1189"/>
      <c r="AL304" s="1189"/>
      <c r="AM304" s="1189"/>
      <c r="AN304" s="1189"/>
      <c r="AO304" s="1189"/>
      <c r="AP304" s="1189"/>
      <c r="AQ304" s="1189"/>
      <c r="AR304" s="1189"/>
      <c r="AS304" s="1189"/>
      <c r="AT304" s="1189"/>
      <c r="AU304" s="1189"/>
      <c r="AV304" s="1189"/>
      <c r="AW304" s="1189"/>
      <c r="AX304" s="1189"/>
    </row>
    <row r="305" spans="4:50" ht="12.75" customHeight="1">
      <c r="D305" s="1231"/>
      <c r="E305" s="1230"/>
      <c r="F305" s="1230"/>
      <c r="G305" s="1230"/>
      <c r="H305" s="1230"/>
      <c r="I305" s="1189"/>
      <c r="J305" s="1189"/>
      <c r="K305" s="1189"/>
      <c r="L305" s="1225"/>
      <c r="M305" s="1189"/>
      <c r="N305" s="1189"/>
      <c r="O305" s="1189"/>
      <c r="P305" s="1189"/>
      <c r="Q305" s="1189"/>
      <c r="R305" s="1189"/>
      <c r="S305" s="1189"/>
      <c r="T305" s="1208"/>
      <c r="U305" s="1208"/>
      <c r="V305" s="1189"/>
      <c r="W305" s="1189"/>
      <c r="X305" s="1189"/>
      <c r="Y305" s="1189"/>
      <c r="Z305" s="1189"/>
      <c r="AA305" s="1189"/>
      <c r="AB305" s="1189"/>
      <c r="AC305" s="1189"/>
      <c r="AD305" s="1189"/>
      <c r="AE305" s="1189"/>
      <c r="AF305" s="1189"/>
      <c r="AG305" s="1189"/>
      <c r="AH305" s="1189"/>
      <c r="AI305" s="1189"/>
      <c r="AJ305" s="1189"/>
      <c r="AK305" s="1189"/>
      <c r="AL305" s="1189"/>
      <c r="AM305" s="1189"/>
      <c r="AN305" s="1189"/>
      <c r="AO305" s="1189"/>
      <c r="AP305" s="1189"/>
      <c r="AQ305" s="1189"/>
      <c r="AR305" s="1189"/>
      <c r="AS305" s="1189"/>
      <c r="AT305" s="1189"/>
      <c r="AU305" s="1189"/>
      <c r="AV305" s="1189"/>
      <c r="AW305" s="1189"/>
      <c r="AX305" s="1189"/>
    </row>
    <row r="306" spans="4:50" ht="12.75" customHeight="1">
      <c r="D306" s="1231"/>
      <c r="E306" s="1230"/>
      <c r="F306" s="1230"/>
      <c r="G306" s="1230"/>
      <c r="H306" s="1230"/>
      <c r="I306" s="1189"/>
      <c r="J306" s="1189"/>
      <c r="K306" s="1189"/>
      <c r="L306" s="1225"/>
      <c r="M306" s="1189"/>
      <c r="N306" s="1189"/>
      <c r="O306" s="1189"/>
      <c r="P306" s="1189"/>
      <c r="Q306" s="1189"/>
      <c r="R306" s="1189"/>
      <c r="S306" s="1189"/>
      <c r="T306" s="1208"/>
      <c r="U306" s="1208"/>
      <c r="V306" s="1189"/>
      <c r="W306" s="1189"/>
      <c r="X306" s="1189"/>
      <c r="Y306" s="1189"/>
      <c r="Z306" s="1189"/>
      <c r="AA306" s="1189"/>
      <c r="AB306" s="1189"/>
      <c r="AC306" s="1189"/>
      <c r="AD306" s="1189"/>
      <c r="AE306" s="1189"/>
      <c r="AF306" s="1189"/>
      <c r="AG306" s="1189"/>
      <c r="AH306" s="1189"/>
      <c r="AI306" s="1189"/>
      <c r="AJ306" s="1189"/>
      <c r="AK306" s="1189"/>
      <c r="AL306" s="1189"/>
      <c r="AM306" s="1189"/>
      <c r="AN306" s="1189"/>
      <c r="AO306" s="1189"/>
      <c r="AP306" s="1189"/>
      <c r="AQ306" s="1189"/>
      <c r="AR306" s="1189"/>
      <c r="AS306" s="1189"/>
      <c r="AT306" s="1189"/>
      <c r="AU306" s="1189"/>
      <c r="AV306" s="1189"/>
      <c r="AW306" s="1189"/>
      <c r="AX306" s="1189"/>
    </row>
    <row r="307" spans="4:50" ht="12.75" customHeight="1">
      <c r="D307" s="1231"/>
      <c r="E307" s="1230"/>
      <c r="F307" s="1230"/>
      <c r="G307" s="1230"/>
      <c r="H307" s="1230"/>
      <c r="I307" s="1189"/>
      <c r="J307" s="1189"/>
      <c r="K307" s="1189"/>
      <c r="L307" s="1225"/>
      <c r="M307" s="1189"/>
      <c r="N307" s="1189"/>
      <c r="O307" s="1189"/>
      <c r="P307" s="1189"/>
      <c r="Q307" s="1189"/>
      <c r="R307" s="1189"/>
      <c r="S307" s="1189"/>
      <c r="T307" s="1208"/>
      <c r="U307" s="1208"/>
      <c r="V307" s="1189"/>
      <c r="W307" s="1189"/>
      <c r="X307" s="1189"/>
      <c r="Y307" s="1189"/>
      <c r="Z307" s="1189"/>
      <c r="AA307" s="1189"/>
      <c r="AB307" s="1189"/>
      <c r="AC307" s="1189"/>
      <c r="AD307" s="1189"/>
      <c r="AE307" s="1189"/>
      <c r="AF307" s="1189"/>
      <c r="AG307" s="1189"/>
      <c r="AH307" s="1189"/>
      <c r="AI307" s="1189"/>
      <c r="AJ307" s="1189"/>
      <c r="AK307" s="1189"/>
      <c r="AL307" s="1189"/>
      <c r="AM307" s="1189"/>
      <c r="AN307" s="1189"/>
      <c r="AO307" s="1189"/>
      <c r="AP307" s="1189"/>
      <c r="AQ307" s="1189"/>
      <c r="AR307" s="1189"/>
      <c r="AS307" s="1189"/>
      <c r="AT307" s="1189"/>
      <c r="AU307" s="1189"/>
      <c r="AV307" s="1189"/>
      <c r="AW307" s="1189"/>
      <c r="AX307" s="1189"/>
    </row>
    <row r="308" spans="4:50" ht="12.75" customHeight="1">
      <c r="D308" s="1231"/>
      <c r="E308" s="1230"/>
      <c r="F308" s="1230"/>
      <c r="G308" s="1230"/>
      <c r="H308" s="1230"/>
      <c r="I308" s="1189"/>
      <c r="J308" s="1189"/>
      <c r="K308" s="1189"/>
      <c r="L308" s="1225"/>
      <c r="M308" s="1189"/>
      <c r="N308" s="1189"/>
      <c r="O308" s="1189"/>
      <c r="P308" s="1189"/>
      <c r="Q308" s="1189"/>
      <c r="R308" s="1189"/>
      <c r="S308" s="1189"/>
      <c r="T308" s="1208"/>
      <c r="U308" s="1208"/>
      <c r="V308" s="1189"/>
      <c r="W308" s="1189"/>
      <c r="X308" s="1189"/>
      <c r="Y308" s="1189"/>
      <c r="Z308" s="1189"/>
      <c r="AA308" s="1189"/>
      <c r="AB308" s="1189"/>
      <c r="AC308" s="1189"/>
      <c r="AD308" s="1189"/>
      <c r="AE308" s="1189"/>
      <c r="AF308" s="1189"/>
      <c r="AG308" s="1189"/>
      <c r="AH308" s="1189"/>
      <c r="AI308" s="1189"/>
      <c r="AJ308" s="1189"/>
      <c r="AK308" s="1189"/>
      <c r="AL308" s="1189"/>
      <c r="AM308" s="1189"/>
      <c r="AN308" s="1189"/>
      <c r="AO308" s="1189"/>
      <c r="AP308" s="1189"/>
      <c r="AQ308" s="1189"/>
      <c r="AR308" s="1189"/>
      <c r="AS308" s="1189"/>
      <c r="AT308" s="1189"/>
      <c r="AU308" s="1189"/>
      <c r="AV308" s="1189"/>
      <c r="AW308" s="1189"/>
      <c r="AX308" s="1189"/>
    </row>
    <row r="309" spans="4:50" ht="12.75" customHeight="1">
      <c r="D309" s="1231"/>
      <c r="E309" s="1230"/>
      <c r="F309" s="1230"/>
      <c r="G309" s="1230"/>
      <c r="H309" s="1230"/>
      <c r="I309" s="1189"/>
      <c r="J309" s="1189"/>
      <c r="K309" s="1189"/>
      <c r="L309" s="1225"/>
      <c r="M309" s="1189"/>
      <c r="N309" s="1189"/>
      <c r="O309" s="1189"/>
      <c r="P309" s="1189"/>
      <c r="Q309" s="1189"/>
      <c r="R309" s="1189"/>
      <c r="S309" s="1189"/>
      <c r="T309" s="1208"/>
      <c r="U309" s="1208"/>
      <c r="V309" s="1189"/>
      <c r="W309" s="1189"/>
      <c r="X309" s="1189"/>
      <c r="Y309" s="1189"/>
      <c r="Z309" s="1189"/>
      <c r="AA309" s="1189"/>
      <c r="AB309" s="1189"/>
      <c r="AC309" s="1189"/>
      <c r="AD309" s="1189"/>
      <c r="AE309" s="1189"/>
      <c r="AF309" s="1189"/>
      <c r="AG309" s="1189"/>
      <c r="AH309" s="1189"/>
      <c r="AI309" s="1189"/>
      <c r="AJ309" s="1189"/>
      <c r="AK309" s="1189"/>
      <c r="AL309" s="1189"/>
      <c r="AM309" s="1189"/>
      <c r="AN309" s="1189"/>
      <c r="AO309" s="1189"/>
      <c r="AP309" s="1189"/>
      <c r="AQ309" s="1189"/>
      <c r="AR309" s="1189"/>
      <c r="AS309" s="1189"/>
      <c r="AT309" s="1189"/>
      <c r="AU309" s="1189"/>
      <c r="AV309" s="1189"/>
      <c r="AW309" s="1189"/>
      <c r="AX309" s="1189"/>
    </row>
    <row r="310" spans="4:50" ht="12.75" customHeight="1">
      <c r="D310" s="1231"/>
      <c r="E310" s="1230"/>
      <c r="F310" s="1230"/>
      <c r="G310" s="1230"/>
      <c r="H310" s="1230"/>
      <c r="I310" s="1189"/>
      <c r="J310" s="1189"/>
      <c r="K310" s="1189"/>
      <c r="L310" s="1225"/>
      <c r="M310" s="1189"/>
      <c r="N310" s="1189"/>
      <c r="O310" s="1189"/>
      <c r="P310" s="1189"/>
      <c r="Q310" s="1189"/>
      <c r="R310" s="1189"/>
      <c r="S310" s="1189"/>
      <c r="T310" s="1208"/>
      <c r="U310" s="1208"/>
      <c r="V310" s="1189"/>
      <c r="W310" s="1189"/>
      <c r="X310" s="1189"/>
      <c r="Y310" s="1189"/>
      <c r="Z310" s="1189"/>
      <c r="AA310" s="1189"/>
      <c r="AB310" s="1189"/>
      <c r="AC310" s="1189"/>
      <c r="AD310" s="1189"/>
      <c r="AE310" s="1189"/>
      <c r="AF310" s="1189"/>
      <c r="AG310" s="1189"/>
      <c r="AH310" s="1189"/>
      <c r="AI310" s="1189"/>
      <c r="AJ310" s="1189"/>
      <c r="AK310" s="1189"/>
      <c r="AL310" s="1189"/>
      <c r="AM310" s="1189"/>
      <c r="AN310" s="1189"/>
      <c r="AO310" s="1189"/>
      <c r="AP310" s="1189"/>
      <c r="AQ310" s="1189"/>
      <c r="AR310" s="1189"/>
      <c r="AS310" s="1189"/>
      <c r="AT310" s="1189"/>
      <c r="AU310" s="1189"/>
      <c r="AV310" s="1189"/>
      <c r="AW310" s="1189"/>
      <c r="AX310" s="1189"/>
    </row>
    <row r="311" spans="4:50" ht="12.75" customHeight="1">
      <c r="D311" s="1231"/>
      <c r="E311" s="1230"/>
      <c r="F311" s="1230"/>
      <c r="G311" s="1230"/>
      <c r="H311" s="1230"/>
      <c r="I311" s="1189"/>
      <c r="J311" s="1189"/>
      <c r="K311" s="1189"/>
      <c r="L311" s="1225"/>
      <c r="M311" s="1189"/>
      <c r="N311" s="1189"/>
      <c r="O311" s="1189"/>
      <c r="P311" s="1189"/>
      <c r="Q311" s="1189"/>
      <c r="R311" s="1189"/>
      <c r="S311" s="1189"/>
      <c r="T311" s="1208"/>
      <c r="U311" s="1208"/>
      <c r="V311" s="1189"/>
      <c r="W311" s="1189"/>
      <c r="X311" s="1189"/>
      <c r="Y311" s="1189"/>
      <c r="Z311" s="1189"/>
      <c r="AA311" s="1189"/>
      <c r="AB311" s="1189"/>
      <c r="AC311" s="1189"/>
      <c r="AD311" s="1189"/>
      <c r="AE311" s="1189"/>
      <c r="AF311" s="1189"/>
      <c r="AG311" s="1189"/>
      <c r="AH311" s="1189"/>
      <c r="AI311" s="1189"/>
      <c r="AJ311" s="1189"/>
      <c r="AK311" s="1189"/>
      <c r="AL311" s="1189"/>
      <c r="AM311" s="1189"/>
      <c r="AN311" s="1189"/>
      <c r="AO311" s="1189"/>
      <c r="AP311" s="1189"/>
      <c r="AQ311" s="1189"/>
      <c r="AR311" s="1189"/>
      <c r="AS311" s="1189"/>
      <c r="AT311" s="1189"/>
      <c r="AU311" s="1189"/>
      <c r="AV311" s="1189"/>
      <c r="AW311" s="1189"/>
      <c r="AX311" s="1189"/>
    </row>
    <row r="312" spans="4:50" ht="12.75" customHeight="1">
      <c r="D312" s="1231"/>
      <c r="E312" s="1230"/>
      <c r="F312" s="1230"/>
      <c r="G312" s="1230"/>
      <c r="H312" s="1230"/>
      <c r="I312" s="1189"/>
      <c r="J312" s="1189"/>
      <c r="K312" s="1189"/>
      <c r="L312" s="1225"/>
      <c r="M312" s="1189"/>
      <c r="N312" s="1189"/>
      <c r="O312" s="1189"/>
      <c r="P312" s="1189"/>
      <c r="Q312" s="1189"/>
      <c r="R312" s="1189"/>
      <c r="S312" s="1189"/>
      <c r="T312" s="1208"/>
      <c r="U312" s="1208"/>
      <c r="V312" s="1189"/>
      <c r="W312" s="1189"/>
      <c r="X312" s="1189"/>
      <c r="Y312" s="1189"/>
      <c r="Z312" s="1189"/>
      <c r="AA312" s="1189"/>
      <c r="AB312" s="1189"/>
      <c r="AC312" s="1189"/>
      <c r="AD312" s="1189"/>
      <c r="AE312" s="1189"/>
      <c r="AF312" s="1189"/>
      <c r="AG312" s="1189"/>
      <c r="AH312" s="1189"/>
      <c r="AI312" s="1189"/>
      <c r="AJ312" s="1189"/>
      <c r="AK312" s="1189"/>
      <c r="AL312" s="1189"/>
      <c r="AM312" s="1189"/>
      <c r="AN312" s="1189"/>
      <c r="AO312" s="1189"/>
      <c r="AP312" s="1189"/>
      <c r="AQ312" s="1189"/>
      <c r="AR312" s="1189"/>
      <c r="AS312" s="1189"/>
      <c r="AT312" s="1189"/>
      <c r="AU312" s="1189"/>
      <c r="AV312" s="1189"/>
      <c r="AW312" s="1189"/>
      <c r="AX312" s="1189"/>
    </row>
    <row r="313" spans="4:50" ht="12.75" customHeight="1">
      <c r="D313" s="1231"/>
      <c r="E313" s="1230"/>
      <c r="F313" s="1230"/>
      <c r="G313" s="1230"/>
      <c r="H313" s="1230"/>
      <c r="I313" s="1189"/>
      <c r="J313" s="1189"/>
      <c r="K313" s="1189"/>
      <c r="L313" s="1225"/>
      <c r="M313" s="1189"/>
      <c r="N313" s="1189"/>
      <c r="O313" s="1189"/>
      <c r="P313" s="1189"/>
      <c r="Q313" s="1189"/>
      <c r="R313" s="1189"/>
      <c r="S313" s="1189"/>
      <c r="T313" s="1208"/>
      <c r="U313" s="1208"/>
      <c r="V313" s="1189"/>
      <c r="W313" s="1189"/>
      <c r="X313" s="1189"/>
      <c r="Y313" s="1189"/>
      <c r="Z313" s="1189"/>
      <c r="AA313" s="1189"/>
      <c r="AB313" s="1189"/>
      <c r="AC313" s="1189"/>
      <c r="AD313" s="1189"/>
      <c r="AE313" s="1189"/>
      <c r="AF313" s="1189"/>
      <c r="AG313" s="1189"/>
      <c r="AH313" s="1189"/>
      <c r="AI313" s="1189"/>
      <c r="AJ313" s="1189"/>
      <c r="AK313" s="1189"/>
      <c r="AL313" s="1189"/>
      <c r="AM313" s="1189"/>
      <c r="AN313" s="1189"/>
      <c r="AO313" s="1189"/>
      <c r="AP313" s="1189"/>
      <c r="AQ313" s="1189"/>
      <c r="AR313" s="1189"/>
      <c r="AS313" s="1189"/>
      <c r="AT313" s="1189"/>
      <c r="AU313" s="1189"/>
      <c r="AV313" s="1189"/>
      <c r="AW313" s="1189"/>
      <c r="AX313" s="1189"/>
    </row>
    <row r="314" spans="4:50" ht="12.75" customHeight="1">
      <c r="D314" s="1231"/>
      <c r="E314" s="1230"/>
      <c r="F314" s="1230"/>
      <c r="G314" s="1230"/>
      <c r="H314" s="1230"/>
      <c r="I314" s="1189"/>
      <c r="J314" s="1189"/>
      <c r="K314" s="1189"/>
      <c r="L314" s="1225"/>
      <c r="M314" s="1189"/>
      <c r="N314" s="1189"/>
      <c r="O314" s="1189"/>
      <c r="P314" s="1189"/>
      <c r="Q314" s="1189"/>
      <c r="R314" s="1189"/>
      <c r="S314" s="1189"/>
      <c r="T314" s="1208"/>
      <c r="U314" s="1208"/>
      <c r="V314" s="1189"/>
      <c r="W314" s="1189"/>
      <c r="X314" s="1189"/>
      <c r="Y314" s="1189"/>
      <c r="Z314" s="1189"/>
      <c r="AA314" s="1189"/>
      <c r="AB314" s="1189"/>
      <c r="AC314" s="1189"/>
      <c r="AD314" s="1189"/>
      <c r="AE314" s="1189"/>
      <c r="AF314" s="1189"/>
      <c r="AG314" s="1189"/>
      <c r="AH314" s="1189"/>
      <c r="AI314" s="1189"/>
      <c r="AJ314" s="1189"/>
      <c r="AK314" s="1189"/>
      <c r="AL314" s="1189"/>
      <c r="AM314" s="1189"/>
      <c r="AN314" s="1189"/>
      <c r="AO314" s="1189"/>
      <c r="AP314" s="1189"/>
      <c r="AQ314" s="1189"/>
      <c r="AR314" s="1189"/>
      <c r="AS314" s="1189"/>
      <c r="AT314" s="1189"/>
      <c r="AU314" s="1189"/>
      <c r="AV314" s="1189"/>
      <c r="AW314" s="1189"/>
      <c r="AX314" s="1189"/>
    </row>
    <row r="315" spans="4:50" ht="12.75" customHeight="1">
      <c r="D315" s="1231"/>
      <c r="E315" s="1230"/>
      <c r="F315" s="1230"/>
      <c r="G315" s="1230"/>
      <c r="H315" s="1230"/>
      <c r="I315" s="1189"/>
      <c r="J315" s="1189"/>
      <c r="K315" s="1189"/>
      <c r="L315" s="1225"/>
      <c r="M315" s="1189"/>
      <c r="N315" s="1189"/>
      <c r="O315" s="1189"/>
      <c r="P315" s="1189"/>
      <c r="Q315" s="1189"/>
      <c r="R315" s="1189"/>
      <c r="S315" s="1189"/>
      <c r="T315" s="1208"/>
      <c r="U315" s="1208"/>
      <c r="V315" s="1189"/>
      <c r="W315" s="1189"/>
      <c r="X315" s="1189"/>
      <c r="Y315" s="1189"/>
      <c r="Z315" s="1189"/>
      <c r="AA315" s="1189"/>
      <c r="AB315" s="1189"/>
      <c r="AC315" s="1189"/>
      <c r="AD315" s="1189"/>
      <c r="AE315" s="1189"/>
      <c r="AF315" s="1189"/>
      <c r="AG315" s="1189"/>
      <c r="AH315" s="1189"/>
      <c r="AI315" s="1189"/>
      <c r="AJ315" s="1189"/>
      <c r="AK315" s="1189"/>
      <c r="AL315" s="1189"/>
      <c r="AM315" s="1189"/>
      <c r="AN315" s="1189"/>
      <c r="AO315" s="1189"/>
      <c r="AP315" s="1189"/>
      <c r="AQ315" s="1189"/>
      <c r="AR315" s="1189"/>
      <c r="AS315" s="1189"/>
      <c r="AT315" s="1189"/>
      <c r="AU315" s="1189"/>
      <c r="AV315" s="1189"/>
      <c r="AW315" s="1189"/>
      <c r="AX315" s="1189"/>
    </row>
    <row r="316" spans="4:50" ht="12.75" customHeight="1">
      <c r="D316" s="1231"/>
      <c r="E316" s="1230"/>
      <c r="F316" s="1230"/>
      <c r="G316" s="1230"/>
      <c r="H316" s="1230"/>
      <c r="I316" s="1189"/>
      <c r="J316" s="1189"/>
      <c r="K316" s="1189"/>
      <c r="L316" s="1225"/>
      <c r="M316" s="1189"/>
      <c r="N316" s="1189"/>
      <c r="O316" s="1189"/>
      <c r="P316" s="1189"/>
      <c r="Q316" s="1189"/>
      <c r="R316" s="1189"/>
      <c r="S316" s="1189"/>
      <c r="T316" s="1208"/>
      <c r="U316" s="1208"/>
      <c r="V316" s="1189"/>
      <c r="W316" s="1189"/>
      <c r="X316" s="1189"/>
      <c r="Y316" s="1189"/>
      <c r="Z316" s="1189"/>
      <c r="AA316" s="1189"/>
      <c r="AB316" s="1189"/>
      <c r="AC316" s="1189"/>
      <c r="AD316" s="1189"/>
      <c r="AE316" s="1189"/>
      <c r="AF316" s="1189"/>
      <c r="AG316" s="1189"/>
      <c r="AH316" s="1189"/>
      <c r="AI316" s="1189"/>
      <c r="AJ316" s="1189"/>
      <c r="AK316" s="1189"/>
      <c r="AL316" s="1189"/>
      <c r="AM316" s="1189"/>
      <c r="AN316" s="1189"/>
      <c r="AO316" s="1189"/>
      <c r="AP316" s="1189"/>
      <c r="AQ316" s="1189"/>
      <c r="AR316" s="1189"/>
      <c r="AS316" s="1189"/>
      <c r="AT316" s="1189"/>
      <c r="AU316" s="1189"/>
      <c r="AV316" s="1189"/>
      <c r="AW316" s="1189"/>
      <c r="AX316" s="1189"/>
    </row>
    <row r="317" spans="4:50" ht="12.75" customHeight="1">
      <c r="D317" s="1231"/>
      <c r="E317" s="1230"/>
      <c r="F317" s="1230"/>
      <c r="G317" s="1230"/>
      <c r="H317" s="1230"/>
      <c r="I317" s="1189"/>
      <c r="J317" s="1189"/>
      <c r="K317" s="1189"/>
      <c r="L317" s="1225"/>
      <c r="M317" s="1189"/>
      <c r="N317" s="1189"/>
      <c r="O317" s="1189"/>
      <c r="P317" s="1189"/>
      <c r="Q317" s="1189"/>
      <c r="R317" s="1189"/>
      <c r="S317" s="1189"/>
      <c r="T317" s="1208"/>
      <c r="U317" s="1208"/>
      <c r="V317" s="1189"/>
      <c r="W317" s="1189"/>
      <c r="X317" s="1189"/>
      <c r="Y317" s="1189"/>
      <c r="Z317" s="1189"/>
      <c r="AA317" s="1189"/>
      <c r="AB317" s="1189"/>
      <c r="AC317" s="1189"/>
      <c r="AD317" s="1189"/>
      <c r="AE317" s="1189"/>
      <c r="AF317" s="1189"/>
      <c r="AG317" s="1189"/>
      <c r="AH317" s="1189"/>
      <c r="AI317" s="1189"/>
      <c r="AJ317" s="1189"/>
      <c r="AK317" s="1189"/>
      <c r="AL317" s="1189"/>
      <c r="AM317" s="1189"/>
      <c r="AN317" s="1189"/>
      <c r="AO317" s="1189"/>
      <c r="AP317" s="1189"/>
      <c r="AQ317" s="1189"/>
      <c r="AR317" s="1189"/>
      <c r="AS317" s="1189"/>
      <c r="AT317" s="1189"/>
      <c r="AU317" s="1189"/>
      <c r="AV317" s="1189"/>
      <c r="AW317" s="1189"/>
      <c r="AX317" s="1189"/>
    </row>
    <row r="318" spans="4:50" ht="12.75" customHeight="1">
      <c r="D318" s="1231"/>
      <c r="E318" s="1230"/>
      <c r="F318" s="1230"/>
      <c r="G318" s="1230"/>
      <c r="H318" s="1230"/>
      <c r="I318" s="1189"/>
      <c r="J318" s="1189"/>
      <c r="K318" s="1189"/>
      <c r="L318" s="1225"/>
      <c r="M318" s="1189"/>
      <c r="N318" s="1189"/>
      <c r="O318" s="1189"/>
      <c r="P318" s="1189"/>
      <c r="Q318" s="1189"/>
      <c r="R318" s="1189"/>
      <c r="S318" s="1189"/>
      <c r="T318" s="1208"/>
      <c r="U318" s="1208"/>
      <c r="V318" s="1189"/>
      <c r="W318" s="1189"/>
      <c r="X318" s="1189"/>
      <c r="Y318" s="1189"/>
      <c r="Z318" s="1189"/>
      <c r="AA318" s="1189"/>
      <c r="AB318" s="1189"/>
      <c r="AC318" s="1189"/>
      <c r="AD318" s="1189"/>
      <c r="AE318" s="1189"/>
      <c r="AF318" s="1189"/>
      <c r="AG318" s="1189"/>
      <c r="AH318" s="1189"/>
      <c r="AI318" s="1189"/>
      <c r="AJ318" s="1189"/>
      <c r="AK318" s="1189"/>
      <c r="AL318" s="1189"/>
      <c r="AM318" s="1189"/>
      <c r="AN318" s="1189"/>
      <c r="AO318" s="1189"/>
      <c r="AP318" s="1189"/>
      <c r="AQ318" s="1189"/>
      <c r="AR318" s="1189"/>
      <c r="AS318" s="1189"/>
      <c r="AT318" s="1189"/>
      <c r="AU318" s="1189"/>
      <c r="AV318" s="1189"/>
      <c r="AW318" s="1189"/>
      <c r="AX318" s="1189"/>
    </row>
    <row r="319" spans="4:50" ht="12.75" customHeight="1">
      <c r="D319" s="1231"/>
      <c r="E319" s="1230"/>
      <c r="F319" s="1230"/>
      <c r="G319" s="1230"/>
      <c r="H319" s="1230"/>
      <c r="I319" s="1189"/>
      <c r="J319" s="1189"/>
      <c r="K319" s="1189"/>
      <c r="L319" s="1225"/>
      <c r="M319" s="1189"/>
      <c r="N319" s="1189"/>
      <c r="O319" s="1189"/>
      <c r="P319" s="1189"/>
      <c r="Q319" s="1189"/>
      <c r="R319" s="1189"/>
      <c r="S319" s="1189"/>
      <c r="T319" s="1208"/>
      <c r="U319" s="1208"/>
      <c r="V319" s="1189"/>
      <c r="W319" s="1189"/>
      <c r="X319" s="1189"/>
      <c r="Y319" s="1189"/>
      <c r="Z319" s="1189"/>
      <c r="AA319" s="1189"/>
      <c r="AB319" s="1189"/>
      <c r="AC319" s="1189"/>
      <c r="AD319" s="1189"/>
      <c r="AE319" s="1189"/>
      <c r="AF319" s="1189"/>
      <c r="AG319" s="1189"/>
      <c r="AH319" s="1189"/>
      <c r="AI319" s="1189"/>
      <c r="AJ319" s="1189"/>
      <c r="AK319" s="1189"/>
      <c r="AL319" s="1189"/>
      <c r="AM319" s="1189"/>
      <c r="AN319" s="1189"/>
      <c r="AO319" s="1189"/>
      <c r="AP319" s="1189"/>
      <c r="AQ319" s="1189"/>
      <c r="AR319" s="1189"/>
      <c r="AS319" s="1189"/>
      <c r="AT319" s="1189"/>
      <c r="AU319" s="1189"/>
      <c r="AV319" s="1189"/>
      <c r="AW319" s="1189"/>
      <c r="AX319" s="1189"/>
    </row>
    <row r="320" spans="4:50" ht="12.75" customHeight="1">
      <c r="D320" s="1231"/>
      <c r="E320" s="1230"/>
      <c r="F320" s="1230"/>
      <c r="G320" s="1230"/>
      <c r="H320" s="1230"/>
      <c r="I320" s="1189"/>
      <c r="J320" s="1189"/>
      <c r="K320" s="1189"/>
      <c r="L320" s="1225"/>
      <c r="M320" s="1189"/>
      <c r="N320" s="1189"/>
      <c r="O320" s="1189"/>
      <c r="P320" s="1189"/>
      <c r="Q320" s="1189"/>
      <c r="R320" s="1189"/>
      <c r="S320" s="1189"/>
      <c r="T320" s="1208"/>
      <c r="U320" s="1208"/>
      <c r="V320" s="1189"/>
      <c r="W320" s="1189"/>
      <c r="X320" s="1189"/>
      <c r="Y320" s="1189"/>
      <c r="Z320" s="1189"/>
      <c r="AA320" s="1189"/>
      <c r="AB320" s="1189"/>
      <c r="AC320" s="1189"/>
      <c r="AD320" s="1189"/>
      <c r="AE320" s="1189"/>
      <c r="AF320" s="1189"/>
      <c r="AG320" s="1189"/>
      <c r="AH320" s="1189"/>
      <c r="AI320" s="1189"/>
      <c r="AJ320" s="1189"/>
      <c r="AK320" s="1189"/>
      <c r="AL320" s="1189"/>
      <c r="AM320" s="1189"/>
      <c r="AN320" s="1189"/>
      <c r="AO320" s="1189"/>
      <c r="AP320" s="1189"/>
      <c r="AQ320" s="1189"/>
      <c r="AR320" s="1189"/>
      <c r="AS320" s="1189"/>
      <c r="AT320" s="1189"/>
      <c r="AU320" s="1189"/>
      <c r="AV320" s="1189"/>
      <c r="AW320" s="1189"/>
      <c r="AX320" s="1189"/>
    </row>
    <row r="321" spans="4:50" ht="12.75" customHeight="1">
      <c r="D321" s="1231"/>
      <c r="E321" s="1230"/>
      <c r="F321" s="1230"/>
      <c r="G321" s="1230"/>
      <c r="H321" s="1230"/>
      <c r="I321" s="1189"/>
      <c r="J321" s="1189"/>
      <c r="K321" s="1189"/>
      <c r="L321" s="1225"/>
      <c r="M321" s="1189"/>
      <c r="N321" s="1189"/>
      <c r="O321" s="1189"/>
      <c r="P321" s="1189"/>
      <c r="Q321" s="1189"/>
      <c r="R321" s="1189"/>
      <c r="S321" s="1189"/>
      <c r="T321" s="1208"/>
      <c r="U321" s="1208"/>
      <c r="V321" s="1189"/>
      <c r="W321" s="1189"/>
      <c r="X321" s="1189"/>
      <c r="Y321" s="1189"/>
      <c r="Z321" s="1189"/>
      <c r="AA321" s="1189"/>
      <c r="AB321" s="1189"/>
      <c r="AC321" s="1189"/>
      <c r="AD321" s="1189"/>
      <c r="AE321" s="1189"/>
      <c r="AF321" s="1189"/>
      <c r="AG321" s="1189"/>
      <c r="AH321" s="1189"/>
      <c r="AI321" s="1189"/>
      <c r="AJ321" s="1189"/>
      <c r="AK321" s="1189"/>
      <c r="AL321" s="1189"/>
      <c r="AM321" s="1189"/>
      <c r="AN321" s="1189"/>
      <c r="AO321" s="1189"/>
      <c r="AP321" s="1189"/>
      <c r="AQ321" s="1189"/>
      <c r="AR321" s="1189"/>
      <c r="AS321" s="1189"/>
      <c r="AT321" s="1189"/>
      <c r="AU321" s="1189"/>
      <c r="AV321" s="1189"/>
      <c r="AW321" s="1189"/>
      <c r="AX321" s="1189"/>
    </row>
    <row r="322" spans="4:50" ht="12.75" customHeight="1">
      <c r="D322" s="1231"/>
      <c r="E322" s="1230"/>
      <c r="F322" s="1230"/>
      <c r="G322" s="1230"/>
      <c r="H322" s="1230"/>
      <c r="I322" s="1189"/>
      <c r="J322" s="1189"/>
      <c r="K322" s="1189"/>
      <c r="L322" s="1225"/>
      <c r="M322" s="1189"/>
      <c r="N322" s="1189"/>
      <c r="O322" s="1189"/>
      <c r="P322" s="1189"/>
      <c r="Q322" s="1189"/>
      <c r="R322" s="1189"/>
      <c r="S322" s="1189"/>
      <c r="T322" s="1208"/>
      <c r="U322" s="1208"/>
      <c r="V322" s="1189"/>
      <c r="W322" s="1189"/>
      <c r="X322" s="1189"/>
      <c r="Y322" s="1189"/>
      <c r="Z322" s="1189"/>
      <c r="AA322" s="1189"/>
      <c r="AB322" s="1189"/>
      <c r="AC322" s="1189"/>
      <c r="AD322" s="1189"/>
      <c r="AE322" s="1189"/>
      <c r="AF322" s="1189"/>
      <c r="AG322" s="1189"/>
      <c r="AH322" s="1189"/>
      <c r="AI322" s="1189"/>
      <c r="AJ322" s="1189"/>
      <c r="AK322" s="1189"/>
      <c r="AL322" s="1189"/>
      <c r="AM322" s="1189"/>
      <c r="AN322" s="1189"/>
      <c r="AO322" s="1189"/>
      <c r="AP322" s="1189"/>
      <c r="AQ322" s="1189"/>
      <c r="AR322" s="1189"/>
      <c r="AS322" s="1189"/>
      <c r="AT322" s="1189"/>
      <c r="AU322" s="1189"/>
      <c r="AV322" s="1189"/>
      <c r="AW322" s="1189"/>
      <c r="AX322" s="1189"/>
    </row>
    <row r="323" spans="4:50" ht="12.75" customHeight="1">
      <c r="D323" s="1231"/>
      <c r="E323" s="1230"/>
      <c r="F323" s="1230"/>
      <c r="G323" s="1230"/>
      <c r="H323" s="1230"/>
      <c r="I323" s="1189"/>
      <c r="J323" s="1189"/>
      <c r="K323" s="1189"/>
      <c r="L323" s="1225"/>
      <c r="M323" s="1189"/>
      <c r="N323" s="1189"/>
      <c r="O323" s="1189"/>
      <c r="P323" s="1189"/>
      <c r="Q323" s="1189"/>
      <c r="R323" s="1189"/>
      <c r="S323" s="1189"/>
      <c r="T323" s="1208"/>
      <c r="U323" s="1208"/>
      <c r="V323" s="1189"/>
      <c r="W323" s="1189"/>
      <c r="X323" s="1189"/>
      <c r="Y323" s="1189"/>
      <c r="Z323" s="1189"/>
      <c r="AA323" s="1189"/>
      <c r="AB323" s="1189"/>
      <c r="AC323" s="1189"/>
      <c r="AD323" s="1189"/>
      <c r="AE323" s="1189"/>
      <c r="AF323" s="1189"/>
      <c r="AG323" s="1189"/>
      <c r="AH323" s="1189"/>
      <c r="AI323" s="1189"/>
      <c r="AJ323" s="1189"/>
      <c r="AK323" s="1189"/>
      <c r="AL323" s="1189"/>
      <c r="AM323" s="1189"/>
      <c r="AN323" s="1189"/>
      <c r="AO323" s="1189"/>
      <c r="AP323" s="1189"/>
      <c r="AQ323" s="1189"/>
      <c r="AR323" s="1189"/>
      <c r="AS323" s="1189"/>
      <c r="AT323" s="1189"/>
      <c r="AU323" s="1189"/>
      <c r="AV323" s="1189"/>
      <c r="AW323" s="1189"/>
      <c r="AX323" s="1189"/>
    </row>
    <row r="324" spans="4:50" ht="12.75" customHeight="1">
      <c r="D324" s="1231"/>
      <c r="E324" s="1230"/>
      <c r="F324" s="1230"/>
      <c r="G324" s="1230"/>
      <c r="H324" s="1230"/>
      <c r="I324" s="1189"/>
      <c r="J324" s="1189"/>
      <c r="K324" s="1189"/>
      <c r="L324" s="1225"/>
      <c r="M324" s="1189"/>
      <c r="N324" s="1189"/>
      <c r="O324" s="1189"/>
      <c r="P324" s="1189"/>
      <c r="Q324" s="1189"/>
      <c r="R324" s="1189"/>
      <c r="S324" s="1189"/>
      <c r="T324" s="1208"/>
      <c r="U324" s="1208"/>
      <c r="V324" s="1189"/>
      <c r="W324" s="1189"/>
      <c r="X324" s="1189"/>
      <c r="Y324" s="1189"/>
      <c r="Z324" s="1189"/>
      <c r="AA324" s="1189"/>
      <c r="AB324" s="1189"/>
      <c r="AC324" s="1189"/>
      <c r="AD324" s="1189"/>
      <c r="AE324" s="1189"/>
      <c r="AF324" s="1189"/>
      <c r="AG324" s="1189"/>
      <c r="AH324" s="1189"/>
      <c r="AI324" s="1189"/>
      <c r="AJ324" s="1189"/>
      <c r="AK324" s="1189"/>
      <c r="AL324" s="1189"/>
      <c r="AM324" s="1189"/>
      <c r="AN324" s="1189"/>
      <c r="AO324" s="1189"/>
      <c r="AP324" s="1189"/>
      <c r="AQ324" s="1189"/>
      <c r="AR324" s="1189"/>
      <c r="AS324" s="1189"/>
      <c r="AT324" s="1189"/>
      <c r="AU324" s="1189"/>
      <c r="AV324" s="1189"/>
      <c r="AW324" s="1189"/>
      <c r="AX324" s="1189"/>
    </row>
    <row r="325" spans="4:50" ht="12.75" customHeight="1">
      <c r="D325" s="1231"/>
      <c r="E325" s="1230"/>
      <c r="F325" s="1230"/>
      <c r="G325" s="1230"/>
      <c r="H325" s="1230"/>
      <c r="I325" s="1189"/>
      <c r="J325" s="1189"/>
      <c r="K325" s="1189"/>
      <c r="L325" s="1225"/>
      <c r="M325" s="1189"/>
      <c r="N325" s="1189"/>
      <c r="O325" s="1189"/>
      <c r="P325" s="1189"/>
      <c r="Q325" s="1189"/>
      <c r="R325" s="1189"/>
      <c r="S325" s="1189"/>
      <c r="T325" s="1208"/>
      <c r="U325" s="1208"/>
      <c r="V325" s="1189"/>
      <c r="W325" s="1189"/>
      <c r="X325" s="1189"/>
      <c r="Y325" s="1189"/>
      <c r="Z325" s="1189"/>
      <c r="AA325" s="1189"/>
      <c r="AB325" s="1189"/>
      <c r="AC325" s="1189"/>
      <c r="AD325" s="1189"/>
      <c r="AE325" s="1189"/>
      <c r="AF325" s="1189"/>
      <c r="AG325" s="1189"/>
      <c r="AH325" s="1189"/>
      <c r="AI325" s="1189"/>
      <c r="AJ325" s="1189"/>
      <c r="AK325" s="1189"/>
      <c r="AL325" s="1189"/>
      <c r="AM325" s="1189"/>
      <c r="AN325" s="1189"/>
      <c r="AO325" s="1189"/>
      <c r="AP325" s="1189"/>
      <c r="AQ325" s="1189"/>
      <c r="AR325" s="1189"/>
      <c r="AS325" s="1189"/>
      <c r="AT325" s="1189"/>
      <c r="AU325" s="1189"/>
      <c r="AV325" s="1189"/>
      <c r="AW325" s="1189"/>
      <c r="AX325" s="1189"/>
    </row>
    <row r="326" spans="4:50" ht="12.75" customHeight="1">
      <c r="D326" s="1231"/>
      <c r="E326" s="1230"/>
      <c r="F326" s="1230"/>
      <c r="G326" s="1230"/>
      <c r="H326" s="1230"/>
      <c r="I326" s="1189"/>
      <c r="J326" s="1189"/>
      <c r="K326" s="1189"/>
      <c r="L326" s="1225"/>
      <c r="M326" s="1189"/>
      <c r="N326" s="1189"/>
      <c r="O326" s="1189"/>
      <c r="P326" s="1189"/>
      <c r="Q326" s="1189"/>
      <c r="R326" s="1189"/>
      <c r="S326" s="1189"/>
      <c r="T326" s="1208"/>
      <c r="U326" s="1208"/>
      <c r="V326" s="1189"/>
      <c r="W326" s="1189"/>
      <c r="X326" s="1189"/>
      <c r="Y326" s="1189"/>
      <c r="Z326" s="1189"/>
      <c r="AA326" s="1189"/>
      <c r="AB326" s="1189"/>
      <c r="AC326" s="1189"/>
      <c r="AD326" s="1189"/>
      <c r="AE326" s="1189"/>
      <c r="AF326" s="1189"/>
      <c r="AG326" s="1189"/>
      <c r="AH326" s="1189"/>
      <c r="AI326" s="1189"/>
      <c r="AJ326" s="1189"/>
      <c r="AK326" s="1189"/>
      <c r="AL326" s="1189"/>
      <c r="AM326" s="1189"/>
      <c r="AN326" s="1189"/>
      <c r="AO326" s="1189"/>
      <c r="AP326" s="1189"/>
      <c r="AQ326" s="1189"/>
      <c r="AR326" s="1189"/>
      <c r="AS326" s="1189"/>
      <c r="AT326" s="1189"/>
      <c r="AU326" s="1189"/>
      <c r="AV326" s="1189"/>
      <c r="AW326" s="1189"/>
      <c r="AX326" s="1189"/>
    </row>
    <row r="327" spans="4:50" ht="12.75" customHeight="1">
      <c r="D327" s="1231"/>
      <c r="E327" s="1230"/>
      <c r="F327" s="1230"/>
      <c r="G327" s="1230"/>
      <c r="H327" s="1230"/>
      <c r="I327" s="1189"/>
      <c r="J327" s="1189"/>
      <c r="K327" s="1189"/>
      <c r="L327" s="1225"/>
      <c r="M327" s="1189"/>
      <c r="N327" s="1189"/>
      <c r="O327" s="1189"/>
      <c r="P327" s="1189"/>
      <c r="Q327" s="1189"/>
      <c r="R327" s="1189"/>
      <c r="S327" s="1189"/>
      <c r="T327" s="1208"/>
      <c r="U327" s="1208"/>
      <c r="V327" s="1189"/>
      <c r="W327" s="1189"/>
      <c r="X327" s="1189"/>
      <c r="Y327" s="1189"/>
      <c r="Z327" s="1189"/>
      <c r="AA327" s="1189"/>
      <c r="AB327" s="1189"/>
      <c r="AC327" s="1189"/>
      <c r="AD327" s="1189"/>
      <c r="AE327" s="1189"/>
      <c r="AF327" s="1189"/>
      <c r="AG327" s="1189"/>
      <c r="AH327" s="1189"/>
      <c r="AI327" s="1189"/>
      <c r="AJ327" s="1189"/>
      <c r="AK327" s="1189"/>
      <c r="AL327" s="1189"/>
      <c r="AM327" s="1189"/>
      <c r="AN327" s="1189"/>
      <c r="AO327" s="1189"/>
      <c r="AP327" s="1189"/>
      <c r="AQ327" s="1189"/>
      <c r="AR327" s="1189"/>
      <c r="AS327" s="1189"/>
      <c r="AT327" s="1189"/>
      <c r="AU327" s="1189"/>
      <c r="AV327" s="1189"/>
      <c r="AW327" s="1189"/>
      <c r="AX327" s="1189"/>
    </row>
    <row r="328" spans="4:50" ht="12.75" customHeight="1">
      <c r="D328" s="1231"/>
      <c r="E328" s="1230"/>
      <c r="F328" s="1230"/>
      <c r="G328" s="1230"/>
      <c r="H328" s="1230"/>
      <c r="I328" s="1189"/>
      <c r="J328" s="1189"/>
      <c r="K328" s="1189"/>
      <c r="L328" s="1225"/>
      <c r="M328" s="1189"/>
      <c r="N328" s="1189"/>
      <c r="O328" s="1189"/>
      <c r="P328" s="1189"/>
      <c r="Q328" s="1189"/>
      <c r="R328" s="1189"/>
      <c r="S328" s="1189"/>
      <c r="T328" s="1208"/>
      <c r="U328" s="1208"/>
      <c r="V328" s="1189"/>
      <c r="W328" s="1189"/>
      <c r="X328" s="1189"/>
      <c r="Y328" s="1189"/>
      <c r="Z328" s="1189"/>
      <c r="AA328" s="1189"/>
      <c r="AB328" s="1189"/>
      <c r="AC328" s="1189"/>
      <c r="AD328" s="1189"/>
      <c r="AE328" s="1189"/>
      <c r="AF328" s="1189"/>
      <c r="AG328" s="1189"/>
      <c r="AH328" s="1189"/>
      <c r="AI328" s="1189"/>
      <c r="AJ328" s="1189"/>
      <c r="AK328" s="1189"/>
      <c r="AL328" s="1189"/>
      <c r="AM328" s="1189"/>
      <c r="AN328" s="1189"/>
      <c r="AO328" s="1189"/>
      <c r="AP328" s="1189"/>
      <c r="AQ328" s="1189"/>
      <c r="AR328" s="1189"/>
      <c r="AS328" s="1189"/>
      <c r="AT328" s="1189"/>
      <c r="AU328" s="1189"/>
      <c r="AV328" s="1189"/>
      <c r="AW328" s="1189"/>
      <c r="AX328" s="1189"/>
    </row>
    <row r="329" spans="4:50" ht="12.75" customHeight="1">
      <c r="D329" s="1231"/>
      <c r="E329" s="1230"/>
      <c r="F329" s="1230"/>
      <c r="G329" s="1230"/>
      <c r="H329" s="1230"/>
      <c r="I329" s="1189"/>
      <c r="J329" s="1189"/>
      <c r="K329" s="1189"/>
      <c r="L329" s="1225"/>
      <c r="M329" s="1189"/>
      <c r="N329" s="1189"/>
      <c r="O329" s="1189"/>
      <c r="P329" s="1189"/>
      <c r="Q329" s="1189"/>
      <c r="R329" s="1189"/>
      <c r="S329" s="1189"/>
      <c r="T329" s="1208"/>
      <c r="U329" s="1208"/>
      <c r="V329" s="1189"/>
      <c r="W329" s="1189"/>
      <c r="X329" s="1189"/>
      <c r="Y329" s="1189"/>
      <c r="Z329" s="1189"/>
      <c r="AA329" s="1189"/>
      <c r="AB329" s="1189"/>
      <c r="AC329" s="1189"/>
      <c r="AD329" s="1189"/>
      <c r="AE329" s="1189"/>
      <c r="AF329" s="1189"/>
      <c r="AG329" s="1189"/>
      <c r="AH329" s="1189"/>
      <c r="AI329" s="1189"/>
      <c r="AJ329" s="1189"/>
      <c r="AK329" s="1189"/>
      <c r="AL329" s="1189"/>
      <c r="AM329" s="1189"/>
      <c r="AN329" s="1189"/>
      <c r="AO329" s="1189"/>
      <c r="AP329" s="1189"/>
      <c r="AQ329" s="1189"/>
      <c r="AR329" s="1189"/>
      <c r="AS329" s="1189"/>
      <c r="AT329" s="1189"/>
      <c r="AU329" s="1189"/>
      <c r="AV329" s="1189"/>
      <c r="AW329" s="1189"/>
      <c r="AX329" s="1189"/>
    </row>
    <row r="330" spans="4:50" ht="12.75" customHeight="1">
      <c r="D330" s="1231"/>
      <c r="E330" s="1230"/>
      <c r="F330" s="1230"/>
      <c r="G330" s="1230"/>
      <c r="H330" s="1230"/>
      <c r="I330" s="1189"/>
      <c r="J330" s="1189"/>
      <c r="K330" s="1189"/>
      <c r="L330" s="1225"/>
      <c r="M330" s="1189"/>
      <c r="N330" s="1189"/>
      <c r="O330" s="1189"/>
      <c r="P330" s="1189"/>
      <c r="Q330" s="1189"/>
      <c r="R330" s="1189"/>
      <c r="S330" s="1189"/>
      <c r="T330" s="1208"/>
      <c r="U330" s="1208"/>
      <c r="V330" s="1189"/>
      <c r="W330" s="1189"/>
      <c r="X330" s="1189"/>
      <c r="Y330" s="1189"/>
      <c r="Z330" s="1189"/>
      <c r="AA330" s="1189"/>
      <c r="AB330" s="1189"/>
      <c r="AC330" s="1189"/>
      <c r="AD330" s="1189"/>
      <c r="AE330" s="1189"/>
      <c r="AF330" s="1189"/>
      <c r="AG330" s="1189"/>
      <c r="AH330" s="1189"/>
      <c r="AI330" s="1189"/>
      <c r="AJ330" s="1189"/>
      <c r="AK330" s="1189"/>
      <c r="AL330" s="1189"/>
      <c r="AM330" s="1189"/>
      <c r="AN330" s="1189"/>
      <c r="AO330" s="1189"/>
      <c r="AP330" s="1189"/>
      <c r="AQ330" s="1189"/>
      <c r="AR330" s="1189"/>
      <c r="AS330" s="1189"/>
      <c r="AT330" s="1189"/>
      <c r="AU330" s="1189"/>
      <c r="AV330" s="1189"/>
      <c r="AW330" s="1189"/>
      <c r="AX330" s="1189"/>
    </row>
    <row r="331" spans="4:50" ht="12.75" customHeight="1">
      <c r="D331" s="1231"/>
      <c r="E331" s="1230"/>
      <c r="F331" s="1230"/>
      <c r="G331" s="1230"/>
      <c r="H331" s="1230"/>
      <c r="I331" s="1189"/>
      <c r="J331" s="1189"/>
      <c r="K331" s="1189"/>
      <c r="L331" s="1225"/>
      <c r="M331" s="1189"/>
      <c r="N331" s="1189"/>
      <c r="O331" s="1189"/>
      <c r="P331" s="1189"/>
      <c r="Q331" s="1189"/>
      <c r="R331" s="1189"/>
      <c r="S331" s="1189"/>
      <c r="T331" s="1208"/>
      <c r="U331" s="1208"/>
      <c r="V331" s="1189"/>
      <c r="W331" s="1189"/>
      <c r="X331" s="1189"/>
      <c r="Y331" s="1189"/>
      <c r="Z331" s="1189"/>
      <c r="AA331" s="1189"/>
      <c r="AB331" s="1189"/>
      <c r="AC331" s="1189"/>
      <c r="AD331" s="1189"/>
      <c r="AE331" s="1189"/>
      <c r="AF331" s="1189"/>
      <c r="AG331" s="1189"/>
      <c r="AH331" s="1189"/>
      <c r="AI331" s="1189"/>
      <c r="AJ331" s="1189"/>
      <c r="AK331" s="1189"/>
      <c r="AL331" s="1189"/>
      <c r="AM331" s="1189"/>
      <c r="AN331" s="1189"/>
      <c r="AO331" s="1189"/>
      <c r="AP331" s="1189"/>
      <c r="AQ331" s="1189"/>
      <c r="AR331" s="1189"/>
      <c r="AS331" s="1189"/>
      <c r="AT331" s="1189"/>
      <c r="AU331" s="1189"/>
      <c r="AV331" s="1189"/>
      <c r="AW331" s="1189"/>
      <c r="AX331" s="1189"/>
    </row>
    <row r="332" spans="4:50" ht="12.75" customHeight="1">
      <c r="D332" s="1231"/>
      <c r="E332" s="1230"/>
      <c r="F332" s="1230"/>
      <c r="G332" s="1230"/>
      <c r="H332" s="1230"/>
      <c r="I332" s="1189"/>
      <c r="J332" s="1189"/>
      <c r="K332" s="1189"/>
      <c r="L332" s="1225"/>
      <c r="M332" s="1189"/>
      <c r="N332" s="1189"/>
      <c r="O332" s="1189"/>
      <c r="P332" s="1189"/>
      <c r="Q332" s="1189"/>
      <c r="R332" s="1189"/>
      <c r="S332" s="1189"/>
      <c r="T332" s="1208"/>
      <c r="U332" s="1208"/>
      <c r="V332" s="1189"/>
      <c r="W332" s="1189"/>
      <c r="X332" s="1189"/>
      <c r="Y332" s="1189"/>
      <c r="Z332" s="1189"/>
      <c r="AA332" s="1189"/>
      <c r="AB332" s="1189"/>
      <c r="AC332" s="1189"/>
      <c r="AD332" s="1189"/>
      <c r="AE332" s="1189"/>
      <c r="AF332" s="1189"/>
      <c r="AG332" s="1189"/>
      <c r="AH332" s="1189"/>
      <c r="AI332" s="1189"/>
      <c r="AJ332" s="1189"/>
      <c r="AK332" s="1189"/>
      <c r="AL332" s="1189"/>
      <c r="AM332" s="1189"/>
      <c r="AN332" s="1189"/>
      <c r="AO332" s="1189"/>
      <c r="AP332" s="1189"/>
      <c r="AQ332" s="1189"/>
      <c r="AR332" s="1189"/>
      <c r="AS332" s="1189"/>
      <c r="AT332" s="1189"/>
      <c r="AU332" s="1189"/>
      <c r="AV332" s="1189"/>
      <c r="AW332" s="1189"/>
      <c r="AX332" s="1189"/>
    </row>
    <row r="333" spans="4:50" ht="12.75" customHeight="1">
      <c r="D333" s="1231"/>
      <c r="E333" s="1230"/>
      <c r="F333" s="1230"/>
      <c r="G333" s="1230"/>
      <c r="H333" s="1230"/>
      <c r="I333" s="1189"/>
      <c r="J333" s="1189"/>
      <c r="K333" s="1189"/>
      <c r="L333" s="1225"/>
      <c r="M333" s="1189"/>
      <c r="N333" s="1189"/>
      <c r="O333" s="1189"/>
      <c r="P333" s="1189"/>
      <c r="Q333" s="1189"/>
      <c r="R333" s="1189"/>
      <c r="S333" s="1189"/>
      <c r="T333" s="1208"/>
      <c r="U333" s="1208"/>
      <c r="V333" s="1189"/>
      <c r="W333" s="1189"/>
      <c r="X333" s="1189"/>
      <c r="Y333" s="1189"/>
      <c r="Z333" s="1189"/>
      <c r="AA333" s="1189"/>
      <c r="AB333" s="1189"/>
      <c r="AC333" s="1189"/>
      <c r="AD333" s="1189"/>
      <c r="AE333" s="1189"/>
      <c r="AF333" s="1189"/>
      <c r="AG333" s="1189"/>
      <c r="AH333" s="1189"/>
      <c r="AI333" s="1189"/>
      <c r="AJ333" s="1189"/>
      <c r="AK333" s="1189"/>
      <c r="AL333" s="1189"/>
      <c r="AM333" s="1189"/>
      <c r="AN333" s="1189"/>
      <c r="AO333" s="1189"/>
      <c r="AP333" s="1189"/>
      <c r="AQ333" s="1189"/>
      <c r="AR333" s="1189"/>
      <c r="AS333" s="1189"/>
      <c r="AT333" s="1189"/>
      <c r="AU333" s="1189"/>
      <c r="AV333" s="1189"/>
      <c r="AW333" s="1189"/>
      <c r="AX333" s="1189"/>
    </row>
    <row r="334" spans="4:50" ht="12.75" customHeight="1">
      <c r="D334" s="1231"/>
      <c r="E334" s="1230"/>
      <c r="F334" s="1230"/>
      <c r="G334" s="1230"/>
      <c r="H334" s="1230"/>
      <c r="I334" s="1189"/>
      <c r="J334" s="1189"/>
      <c r="K334" s="1189"/>
      <c r="L334" s="1225"/>
      <c r="M334" s="1189"/>
      <c r="N334" s="1189"/>
      <c r="O334" s="1189"/>
      <c r="P334" s="1189"/>
      <c r="Q334" s="1189"/>
      <c r="R334" s="1189"/>
      <c r="S334" s="1189"/>
      <c r="T334" s="1208"/>
      <c r="U334" s="1208"/>
      <c r="V334" s="1189"/>
      <c r="W334" s="1189"/>
      <c r="X334" s="1189"/>
      <c r="Y334" s="1189"/>
      <c r="Z334" s="1189"/>
      <c r="AA334" s="1189"/>
      <c r="AB334" s="1189"/>
      <c r="AC334" s="1189"/>
      <c r="AD334" s="1189"/>
      <c r="AE334" s="1189"/>
      <c r="AF334" s="1189"/>
      <c r="AG334" s="1189"/>
      <c r="AH334" s="1189"/>
      <c r="AI334" s="1189"/>
      <c r="AJ334" s="1189"/>
      <c r="AK334" s="1189"/>
      <c r="AL334" s="1189"/>
      <c r="AM334" s="1189"/>
      <c r="AN334" s="1189"/>
      <c r="AO334" s="1189"/>
      <c r="AP334" s="1189"/>
      <c r="AQ334" s="1189"/>
      <c r="AR334" s="1189"/>
      <c r="AS334" s="1189"/>
      <c r="AT334" s="1189"/>
      <c r="AU334" s="1189"/>
      <c r="AV334" s="1189"/>
      <c r="AW334" s="1189"/>
      <c r="AX334" s="1189"/>
    </row>
    <row r="335" spans="4:50" ht="12.75" customHeight="1">
      <c r="D335" s="1231"/>
      <c r="E335" s="1230"/>
      <c r="F335" s="1230"/>
      <c r="G335" s="1230"/>
      <c r="H335" s="1230"/>
      <c r="I335" s="1189"/>
      <c r="J335" s="1189"/>
      <c r="K335" s="1189"/>
      <c r="L335" s="1225"/>
      <c r="M335" s="1189"/>
      <c r="N335" s="1189"/>
      <c r="O335" s="1189"/>
      <c r="P335" s="1189"/>
      <c r="Q335" s="1189"/>
      <c r="R335" s="1189"/>
      <c r="S335" s="1189"/>
      <c r="T335" s="1208"/>
      <c r="U335" s="1208"/>
      <c r="V335" s="1189"/>
      <c r="W335" s="1189"/>
      <c r="X335" s="1189"/>
      <c r="Y335" s="1189"/>
      <c r="Z335" s="1189"/>
      <c r="AA335" s="1189"/>
      <c r="AB335" s="1189"/>
      <c r="AC335" s="1189"/>
      <c r="AD335" s="1189"/>
      <c r="AE335" s="1189"/>
      <c r="AF335" s="1189"/>
      <c r="AG335" s="1189"/>
      <c r="AH335" s="1189"/>
      <c r="AI335" s="1189"/>
      <c r="AJ335" s="1189"/>
      <c r="AK335" s="1189"/>
      <c r="AL335" s="1189"/>
      <c r="AM335" s="1189"/>
      <c r="AN335" s="1189"/>
      <c r="AO335" s="1189"/>
      <c r="AP335" s="1189"/>
      <c r="AQ335" s="1189"/>
      <c r="AR335" s="1189"/>
      <c r="AS335" s="1189"/>
      <c r="AT335" s="1189"/>
      <c r="AU335" s="1189"/>
      <c r="AV335" s="1189"/>
      <c r="AW335" s="1189"/>
      <c r="AX335" s="1189"/>
    </row>
    <row r="336" spans="4:50" ht="12.75" customHeight="1">
      <c r="D336" s="1231"/>
      <c r="E336" s="1230"/>
      <c r="F336" s="1230"/>
      <c r="G336" s="1230"/>
      <c r="H336" s="1230"/>
      <c r="I336" s="1189"/>
      <c r="J336" s="1189"/>
      <c r="K336" s="1189"/>
      <c r="L336" s="1225"/>
      <c r="M336" s="1189"/>
      <c r="N336" s="1189"/>
      <c r="O336" s="1189"/>
      <c r="P336" s="1189"/>
      <c r="Q336" s="1189"/>
      <c r="R336" s="1189"/>
      <c r="S336" s="1189"/>
      <c r="T336" s="1208"/>
      <c r="U336" s="1208"/>
      <c r="V336" s="1189"/>
      <c r="W336" s="1189"/>
      <c r="X336" s="1189"/>
      <c r="Y336" s="1189"/>
      <c r="Z336" s="1189"/>
      <c r="AA336" s="1189"/>
      <c r="AB336" s="1189"/>
      <c r="AC336" s="1189"/>
      <c r="AD336" s="1189"/>
      <c r="AE336" s="1189"/>
      <c r="AF336" s="1189"/>
      <c r="AG336" s="1189"/>
      <c r="AH336" s="1189"/>
      <c r="AI336" s="1189"/>
      <c r="AJ336" s="1189"/>
      <c r="AK336" s="1189"/>
      <c r="AL336" s="1189"/>
      <c r="AM336" s="1189"/>
      <c r="AN336" s="1189"/>
      <c r="AO336" s="1189"/>
      <c r="AP336" s="1189"/>
      <c r="AQ336" s="1189"/>
      <c r="AR336" s="1189"/>
      <c r="AS336" s="1189"/>
      <c r="AT336" s="1189"/>
      <c r="AU336" s="1189"/>
      <c r="AV336" s="1189"/>
      <c r="AW336" s="1189"/>
      <c r="AX336" s="1189"/>
    </row>
    <row r="337" spans="4:50" ht="12.75" customHeight="1">
      <c r="D337" s="1231"/>
      <c r="E337" s="1230"/>
      <c r="F337" s="1230"/>
      <c r="G337" s="1230"/>
      <c r="H337" s="1230"/>
      <c r="I337" s="1189"/>
      <c r="J337" s="1189"/>
      <c r="K337" s="1189"/>
      <c r="L337" s="1225"/>
      <c r="M337" s="1189"/>
      <c r="N337" s="1189"/>
      <c r="O337" s="1189"/>
      <c r="P337" s="1189"/>
      <c r="Q337" s="1189"/>
      <c r="R337" s="1189"/>
      <c r="S337" s="1189"/>
      <c r="T337" s="1208"/>
      <c r="U337" s="1208"/>
      <c r="V337" s="1189"/>
      <c r="W337" s="1189"/>
      <c r="X337" s="1189"/>
      <c r="Y337" s="1189"/>
      <c r="Z337" s="1189"/>
      <c r="AA337" s="1189"/>
      <c r="AB337" s="1189"/>
      <c r="AC337" s="1189"/>
      <c r="AD337" s="1189"/>
      <c r="AE337" s="1189"/>
      <c r="AF337" s="1189"/>
      <c r="AG337" s="1189"/>
      <c r="AH337" s="1189"/>
      <c r="AI337" s="1189"/>
      <c r="AJ337" s="1189"/>
      <c r="AK337" s="1189"/>
      <c r="AL337" s="1189"/>
      <c r="AM337" s="1189"/>
      <c r="AN337" s="1189"/>
      <c r="AO337" s="1189"/>
      <c r="AP337" s="1189"/>
      <c r="AQ337" s="1189"/>
      <c r="AR337" s="1189"/>
      <c r="AS337" s="1189"/>
      <c r="AT337" s="1189"/>
      <c r="AU337" s="1189"/>
      <c r="AV337" s="1189"/>
      <c r="AW337" s="1189"/>
      <c r="AX337" s="1189"/>
    </row>
    <row r="338" spans="4:50" ht="12.75" customHeight="1">
      <c r="D338" s="1231"/>
      <c r="E338" s="1230"/>
      <c r="F338" s="1230"/>
      <c r="G338" s="1230"/>
      <c r="H338" s="1230"/>
      <c r="I338" s="1189"/>
      <c r="J338" s="1189"/>
      <c r="K338" s="1189"/>
      <c r="L338" s="1225"/>
      <c r="M338" s="1189"/>
      <c r="N338" s="1189"/>
      <c r="O338" s="1189"/>
      <c r="P338" s="1189"/>
      <c r="Q338" s="1189"/>
      <c r="R338" s="1189"/>
      <c r="S338" s="1189"/>
      <c r="T338" s="1208"/>
      <c r="U338" s="1208"/>
      <c r="V338" s="1189"/>
      <c r="W338" s="1189"/>
      <c r="X338" s="1189"/>
      <c r="Y338" s="1189"/>
      <c r="Z338" s="1189"/>
      <c r="AA338" s="1189"/>
      <c r="AB338" s="1189"/>
      <c r="AC338" s="1189"/>
      <c r="AD338" s="1189"/>
      <c r="AE338" s="1189"/>
      <c r="AF338" s="1189"/>
      <c r="AG338" s="1189"/>
      <c r="AH338" s="1189"/>
      <c r="AI338" s="1189"/>
      <c r="AJ338" s="1189"/>
      <c r="AK338" s="1189"/>
      <c r="AL338" s="1189"/>
      <c r="AM338" s="1189"/>
      <c r="AN338" s="1189"/>
      <c r="AO338" s="1189"/>
      <c r="AP338" s="1189"/>
      <c r="AQ338" s="1189"/>
      <c r="AR338" s="1189"/>
      <c r="AS338" s="1189"/>
      <c r="AT338" s="1189"/>
      <c r="AU338" s="1189"/>
      <c r="AV338" s="1189"/>
      <c r="AW338" s="1189"/>
      <c r="AX338" s="1189"/>
    </row>
    <row r="339" spans="4:50" ht="12.75" customHeight="1">
      <c r="D339" s="1231"/>
      <c r="E339" s="1230"/>
      <c r="F339" s="1230"/>
      <c r="G339" s="1230"/>
      <c r="H339" s="1230"/>
      <c r="I339" s="1189"/>
      <c r="J339" s="1189"/>
      <c r="K339" s="1189"/>
      <c r="L339" s="1225"/>
      <c r="M339" s="1189"/>
      <c r="N339" s="1189"/>
      <c r="O339" s="1189"/>
      <c r="P339" s="1189"/>
      <c r="Q339" s="1189"/>
      <c r="R339" s="1189"/>
      <c r="S339" s="1189"/>
      <c r="T339" s="1208"/>
      <c r="U339" s="1208"/>
      <c r="V339" s="1189"/>
      <c r="W339" s="1189"/>
      <c r="X339" s="1189"/>
      <c r="Y339" s="1189"/>
      <c r="Z339" s="1189"/>
      <c r="AA339" s="1189"/>
      <c r="AB339" s="1189"/>
      <c r="AC339" s="1189"/>
      <c r="AD339" s="1189"/>
      <c r="AE339" s="1189"/>
      <c r="AF339" s="1189"/>
      <c r="AG339" s="1189"/>
      <c r="AH339" s="1189"/>
      <c r="AI339" s="1189"/>
      <c r="AJ339" s="1189"/>
      <c r="AK339" s="1189"/>
      <c r="AL339" s="1189"/>
      <c r="AM339" s="1189"/>
      <c r="AN339" s="1189"/>
      <c r="AO339" s="1189"/>
      <c r="AP339" s="1189"/>
      <c r="AQ339" s="1189"/>
      <c r="AR339" s="1189"/>
      <c r="AS339" s="1189"/>
      <c r="AT339" s="1189"/>
      <c r="AU339" s="1189"/>
      <c r="AV339" s="1189"/>
      <c r="AW339" s="1189"/>
      <c r="AX339" s="1189"/>
    </row>
    <row r="340" spans="4:50" ht="12.75" customHeight="1">
      <c r="D340" s="1231"/>
      <c r="E340" s="1230"/>
      <c r="F340" s="1230"/>
      <c r="G340" s="1230"/>
      <c r="H340" s="1230"/>
      <c r="I340" s="1189"/>
      <c r="J340" s="1189"/>
      <c r="K340" s="1189"/>
      <c r="L340" s="1225"/>
      <c r="M340" s="1189"/>
      <c r="N340" s="1189"/>
      <c r="O340" s="1189"/>
      <c r="P340" s="1189"/>
      <c r="Q340" s="1189"/>
      <c r="R340" s="1189"/>
      <c r="S340" s="1189"/>
      <c r="T340" s="1208"/>
      <c r="U340" s="1208"/>
      <c r="V340" s="1189"/>
      <c r="W340" s="1189"/>
      <c r="X340" s="1189"/>
      <c r="Y340" s="1189"/>
      <c r="Z340" s="1189"/>
      <c r="AA340" s="1189"/>
      <c r="AB340" s="1189"/>
      <c r="AC340" s="1189"/>
      <c r="AD340" s="1189"/>
      <c r="AE340" s="1189"/>
      <c r="AF340" s="1189"/>
      <c r="AG340" s="1189"/>
      <c r="AH340" s="1189"/>
      <c r="AI340" s="1189"/>
      <c r="AJ340" s="1189"/>
      <c r="AK340" s="1189"/>
      <c r="AL340" s="1189"/>
      <c r="AM340" s="1189"/>
      <c r="AN340" s="1189"/>
      <c r="AO340" s="1189"/>
      <c r="AP340" s="1189"/>
      <c r="AQ340" s="1189"/>
      <c r="AR340" s="1189"/>
      <c r="AS340" s="1189"/>
      <c r="AT340" s="1189"/>
      <c r="AU340" s="1189"/>
      <c r="AV340" s="1189"/>
      <c r="AW340" s="1189"/>
      <c r="AX340" s="1189"/>
    </row>
    <row r="341" spans="4:50" ht="12.75" customHeight="1">
      <c r="D341" s="1231"/>
      <c r="E341" s="1230"/>
      <c r="F341" s="1230"/>
      <c r="G341" s="1230"/>
      <c r="H341" s="1230"/>
      <c r="I341" s="1189"/>
      <c r="J341" s="1189"/>
      <c r="K341" s="1189"/>
      <c r="L341" s="1225"/>
      <c r="M341" s="1189"/>
      <c r="N341" s="1189"/>
      <c r="O341" s="1189"/>
      <c r="P341" s="1189"/>
      <c r="Q341" s="1189"/>
      <c r="R341" s="1189"/>
      <c r="S341" s="1189"/>
      <c r="T341" s="1208"/>
      <c r="U341" s="1208"/>
      <c r="V341" s="1189"/>
      <c r="W341" s="1189"/>
      <c r="X341" s="1189"/>
      <c r="Y341" s="1189"/>
      <c r="Z341" s="1189"/>
      <c r="AA341" s="1189"/>
      <c r="AB341" s="1189"/>
      <c r="AC341" s="1189"/>
      <c r="AD341" s="1189"/>
      <c r="AE341" s="1189"/>
      <c r="AF341" s="1189"/>
      <c r="AG341" s="1189"/>
      <c r="AH341" s="1189"/>
      <c r="AI341" s="1189"/>
      <c r="AJ341" s="1189"/>
      <c r="AK341" s="1189"/>
      <c r="AL341" s="1189"/>
      <c r="AM341" s="1189"/>
      <c r="AN341" s="1189"/>
      <c r="AO341" s="1189"/>
      <c r="AP341" s="1189"/>
      <c r="AQ341" s="1189"/>
      <c r="AR341" s="1189"/>
      <c r="AS341" s="1189"/>
      <c r="AT341" s="1189"/>
      <c r="AU341" s="1189"/>
      <c r="AV341" s="1189"/>
      <c r="AW341" s="1189"/>
      <c r="AX341" s="1189"/>
    </row>
    <row r="342" spans="4:50" ht="12.75" customHeight="1">
      <c r="D342" s="1231"/>
      <c r="E342" s="1230"/>
      <c r="F342" s="1230"/>
      <c r="G342" s="1230"/>
      <c r="H342" s="1230"/>
      <c r="I342" s="1189"/>
      <c r="J342" s="1189"/>
      <c r="K342" s="1189"/>
      <c r="L342" s="1225"/>
      <c r="M342" s="1189"/>
      <c r="N342" s="1189"/>
      <c r="O342" s="1189"/>
      <c r="P342" s="1189"/>
      <c r="Q342" s="1189"/>
      <c r="R342" s="1189"/>
      <c r="S342" s="1189"/>
      <c r="T342" s="1208"/>
      <c r="U342" s="1208"/>
      <c r="V342" s="1189"/>
      <c r="W342" s="1189"/>
      <c r="X342" s="1189"/>
      <c r="Y342" s="1189"/>
      <c r="Z342" s="1189"/>
      <c r="AA342" s="1189"/>
      <c r="AB342" s="1189"/>
      <c r="AC342" s="1189"/>
      <c r="AD342" s="1189"/>
      <c r="AE342" s="1189"/>
      <c r="AF342" s="1189"/>
      <c r="AG342" s="1189"/>
      <c r="AH342" s="1189"/>
      <c r="AI342" s="1189"/>
      <c r="AJ342" s="1189"/>
      <c r="AK342" s="1189"/>
      <c r="AL342" s="1189"/>
      <c r="AM342" s="1189"/>
      <c r="AN342" s="1189"/>
      <c r="AO342" s="1189"/>
      <c r="AP342" s="1189"/>
      <c r="AQ342" s="1189"/>
      <c r="AR342" s="1189"/>
      <c r="AS342" s="1189"/>
      <c r="AT342" s="1189"/>
      <c r="AU342" s="1189"/>
      <c r="AV342" s="1189"/>
      <c r="AW342" s="1189"/>
      <c r="AX342" s="1189"/>
    </row>
    <row r="343" spans="4:50" ht="12.75" customHeight="1">
      <c r="D343" s="1231"/>
      <c r="E343" s="1230"/>
      <c r="F343" s="1230"/>
      <c r="G343" s="1230"/>
      <c r="H343" s="1230"/>
      <c r="I343" s="1189"/>
      <c r="J343" s="1189"/>
      <c r="K343" s="1189"/>
      <c r="L343" s="1225"/>
      <c r="M343" s="1189"/>
      <c r="N343" s="1189"/>
      <c r="O343" s="1189"/>
      <c r="P343" s="1189"/>
      <c r="Q343" s="1189"/>
      <c r="R343" s="1189"/>
      <c r="S343" s="1189"/>
      <c r="T343" s="1208"/>
      <c r="U343" s="1208"/>
      <c r="V343" s="1189"/>
      <c r="W343" s="1189"/>
      <c r="X343" s="1189"/>
      <c r="Y343" s="1189"/>
      <c r="Z343" s="1189"/>
      <c r="AA343" s="1189"/>
      <c r="AB343" s="1189"/>
      <c r="AC343" s="1189"/>
      <c r="AD343" s="1189"/>
      <c r="AE343" s="1189"/>
      <c r="AF343" s="1189"/>
      <c r="AG343" s="1189"/>
      <c r="AH343" s="1189"/>
      <c r="AI343" s="1189"/>
      <c r="AJ343" s="1189"/>
      <c r="AK343" s="1189"/>
      <c r="AL343" s="1189"/>
      <c r="AM343" s="1189"/>
      <c r="AN343" s="1189"/>
      <c r="AO343" s="1189"/>
      <c r="AP343" s="1189"/>
      <c r="AQ343" s="1189"/>
      <c r="AR343" s="1189"/>
      <c r="AS343" s="1189"/>
      <c r="AT343" s="1189"/>
      <c r="AU343" s="1189"/>
      <c r="AV343" s="1189"/>
      <c r="AW343" s="1189"/>
      <c r="AX343" s="1189"/>
    </row>
    <row r="344" spans="4:50" ht="12.75" customHeight="1">
      <c r="D344" s="1231"/>
      <c r="E344" s="1230"/>
      <c r="F344" s="1230"/>
      <c r="G344" s="1230"/>
      <c r="H344" s="1230"/>
      <c r="I344" s="1189"/>
      <c r="J344" s="1189"/>
      <c r="K344" s="1189"/>
      <c r="L344" s="1225"/>
      <c r="M344" s="1189"/>
      <c r="N344" s="1189"/>
      <c r="O344" s="1189"/>
      <c r="P344" s="1189"/>
      <c r="Q344" s="1189"/>
      <c r="R344" s="1189"/>
      <c r="S344" s="1189"/>
      <c r="T344" s="1208"/>
      <c r="U344" s="1208"/>
      <c r="V344" s="1189"/>
      <c r="W344" s="1189"/>
      <c r="X344" s="1189"/>
      <c r="Y344" s="1189"/>
      <c r="Z344" s="1189"/>
      <c r="AA344" s="1189"/>
      <c r="AB344" s="1189"/>
      <c r="AC344" s="1189"/>
      <c r="AD344" s="1189"/>
      <c r="AE344" s="1189"/>
      <c r="AF344" s="1189"/>
      <c r="AG344" s="1189"/>
      <c r="AH344" s="1189"/>
      <c r="AI344" s="1189"/>
      <c r="AJ344" s="1189"/>
      <c r="AK344" s="1189"/>
      <c r="AL344" s="1189"/>
      <c r="AM344" s="1189"/>
      <c r="AN344" s="1189"/>
      <c r="AO344" s="1189"/>
      <c r="AP344" s="1189"/>
      <c r="AQ344" s="1189"/>
      <c r="AR344" s="1189"/>
      <c r="AS344" s="1189"/>
      <c r="AT344" s="1189"/>
      <c r="AU344" s="1189"/>
      <c r="AV344" s="1189"/>
      <c r="AW344" s="1189"/>
      <c r="AX344" s="1189"/>
    </row>
    <row r="345" spans="4:50" ht="12.75" customHeight="1">
      <c r="D345" s="1231"/>
      <c r="E345" s="1230"/>
      <c r="F345" s="1230"/>
      <c r="G345" s="1230"/>
      <c r="H345" s="1230"/>
      <c r="I345" s="1189"/>
      <c r="J345" s="1189"/>
      <c r="K345" s="1189"/>
      <c r="L345" s="1225"/>
      <c r="M345" s="1189"/>
      <c r="N345" s="1189"/>
      <c r="O345" s="1189"/>
      <c r="P345" s="1189"/>
      <c r="Q345" s="1189"/>
      <c r="R345" s="1189"/>
      <c r="S345" s="1189"/>
      <c r="T345" s="1208"/>
      <c r="U345" s="1208"/>
      <c r="V345" s="1189"/>
      <c r="W345" s="1189"/>
      <c r="X345" s="1189"/>
      <c r="Y345" s="1189"/>
      <c r="Z345" s="1189"/>
      <c r="AA345" s="1189"/>
      <c r="AB345" s="1189"/>
      <c r="AC345" s="1189"/>
      <c r="AD345" s="1189"/>
      <c r="AE345" s="1189"/>
      <c r="AF345" s="1189"/>
      <c r="AG345" s="1189"/>
      <c r="AH345" s="1189"/>
      <c r="AI345" s="1189"/>
      <c r="AJ345" s="1189"/>
      <c r="AK345" s="1189"/>
      <c r="AL345" s="1189"/>
      <c r="AM345" s="1189"/>
      <c r="AN345" s="1189"/>
      <c r="AO345" s="1189"/>
      <c r="AP345" s="1189"/>
      <c r="AQ345" s="1189"/>
      <c r="AR345" s="1189"/>
      <c r="AS345" s="1189"/>
      <c r="AT345" s="1189"/>
      <c r="AU345" s="1189"/>
      <c r="AV345" s="1189"/>
      <c r="AW345" s="1189"/>
      <c r="AX345" s="1189"/>
    </row>
    <row r="346" spans="4:50" ht="12.75" customHeight="1">
      <c r="D346" s="1231"/>
      <c r="E346" s="1230"/>
      <c r="F346" s="1230"/>
      <c r="G346" s="1230"/>
      <c r="H346" s="1230"/>
      <c r="I346" s="1189"/>
      <c r="J346" s="1189"/>
      <c r="K346" s="1189"/>
      <c r="L346" s="1225"/>
      <c r="M346" s="1189"/>
      <c r="N346" s="1189"/>
      <c r="O346" s="1189"/>
      <c r="P346" s="1189"/>
      <c r="Q346" s="1189"/>
      <c r="R346" s="1189"/>
      <c r="S346" s="1189"/>
      <c r="T346" s="1208"/>
      <c r="U346" s="1208"/>
      <c r="V346" s="1189"/>
      <c r="W346" s="1189"/>
      <c r="X346" s="1189"/>
      <c r="Y346" s="1189"/>
      <c r="Z346" s="1189"/>
      <c r="AA346" s="1189"/>
      <c r="AB346" s="1189"/>
      <c r="AC346" s="1189"/>
      <c r="AD346" s="1189"/>
      <c r="AE346" s="1189"/>
      <c r="AF346" s="1189"/>
      <c r="AG346" s="1189"/>
      <c r="AH346" s="1189"/>
      <c r="AI346" s="1189"/>
      <c r="AJ346" s="1189"/>
      <c r="AK346" s="1189"/>
      <c r="AL346" s="1189"/>
      <c r="AM346" s="1189"/>
      <c r="AN346" s="1189"/>
      <c r="AO346" s="1189"/>
      <c r="AP346" s="1189"/>
      <c r="AQ346" s="1189"/>
      <c r="AR346" s="1189"/>
      <c r="AS346" s="1189"/>
      <c r="AT346" s="1189"/>
      <c r="AU346" s="1189"/>
      <c r="AV346" s="1189"/>
      <c r="AW346" s="1189"/>
      <c r="AX346" s="1189"/>
    </row>
    <row r="347" spans="4:50" ht="12.75" customHeight="1">
      <c r="D347" s="1231"/>
      <c r="E347" s="1230"/>
      <c r="F347" s="1230"/>
      <c r="G347" s="1230"/>
      <c r="H347" s="1230"/>
      <c r="I347" s="1189"/>
      <c r="J347" s="1189"/>
      <c r="K347" s="1189"/>
      <c r="L347" s="1225"/>
      <c r="M347" s="1189"/>
      <c r="N347" s="1189"/>
      <c r="O347" s="1189"/>
      <c r="P347" s="1189"/>
      <c r="Q347" s="1189"/>
      <c r="R347" s="1189"/>
      <c r="S347" s="1189"/>
      <c r="T347" s="1208"/>
      <c r="U347" s="1208"/>
      <c r="V347" s="1189"/>
      <c r="W347" s="1189"/>
      <c r="X347" s="1189"/>
      <c r="Y347" s="1189"/>
      <c r="Z347" s="1189"/>
      <c r="AA347" s="1189"/>
      <c r="AB347" s="1189"/>
      <c r="AC347" s="1189"/>
      <c r="AD347" s="1189"/>
      <c r="AE347" s="1189"/>
      <c r="AF347" s="1189"/>
      <c r="AG347" s="1189"/>
      <c r="AH347" s="1189"/>
      <c r="AI347" s="1189"/>
      <c r="AJ347" s="1189"/>
      <c r="AK347" s="1189"/>
      <c r="AL347" s="1189"/>
      <c r="AM347" s="1189"/>
      <c r="AN347" s="1189"/>
      <c r="AO347" s="1189"/>
      <c r="AP347" s="1189"/>
      <c r="AQ347" s="1189"/>
      <c r="AR347" s="1189"/>
      <c r="AS347" s="1189"/>
      <c r="AT347" s="1189"/>
      <c r="AU347" s="1189"/>
      <c r="AV347" s="1189"/>
      <c r="AW347" s="1189"/>
      <c r="AX347" s="1189"/>
    </row>
    <row r="348" spans="4:50" ht="12.75" customHeight="1">
      <c r="D348" s="1231"/>
      <c r="E348" s="1230"/>
      <c r="F348" s="1230"/>
      <c r="G348" s="1230"/>
      <c r="H348" s="1230"/>
      <c r="I348" s="1189"/>
      <c r="J348" s="1189"/>
      <c r="K348" s="1189"/>
      <c r="L348" s="1225"/>
      <c r="M348" s="1189"/>
      <c r="N348" s="1189"/>
      <c r="O348" s="1189"/>
      <c r="P348" s="1189"/>
      <c r="Q348" s="1189"/>
      <c r="R348" s="1189"/>
      <c r="S348" s="1189"/>
      <c r="T348" s="1208"/>
      <c r="U348" s="1208"/>
      <c r="V348" s="1189"/>
      <c r="W348" s="1189"/>
      <c r="X348" s="1189"/>
      <c r="Y348" s="1189"/>
      <c r="Z348" s="1189"/>
      <c r="AA348" s="1189"/>
      <c r="AB348" s="1189"/>
      <c r="AC348" s="1189"/>
      <c r="AD348" s="1189"/>
      <c r="AE348" s="1189"/>
      <c r="AF348" s="1189"/>
      <c r="AG348" s="1189"/>
      <c r="AH348" s="1189"/>
      <c r="AI348" s="1189"/>
      <c r="AJ348" s="1189"/>
      <c r="AK348" s="1189"/>
      <c r="AL348" s="1189"/>
      <c r="AM348" s="1189"/>
      <c r="AN348" s="1189"/>
      <c r="AO348" s="1189"/>
      <c r="AP348" s="1189"/>
      <c r="AQ348" s="1189"/>
      <c r="AR348" s="1189"/>
      <c r="AS348" s="1189"/>
      <c r="AT348" s="1189"/>
      <c r="AU348" s="1189"/>
      <c r="AV348" s="1189"/>
      <c r="AW348" s="1189"/>
      <c r="AX348" s="1189"/>
    </row>
    <row r="349" spans="4:50" ht="12.75" customHeight="1">
      <c r="D349" s="1231"/>
      <c r="E349" s="1230"/>
      <c r="F349" s="1230"/>
      <c r="G349" s="1230"/>
      <c r="H349" s="1230"/>
      <c r="I349" s="1189"/>
      <c r="J349" s="1189"/>
      <c r="K349" s="1189"/>
      <c r="L349" s="1225"/>
      <c r="M349" s="1189"/>
      <c r="N349" s="1189"/>
      <c r="O349" s="1189"/>
      <c r="P349" s="1189"/>
      <c r="Q349" s="1189"/>
      <c r="R349" s="1189"/>
      <c r="S349" s="1189"/>
      <c r="T349" s="1208"/>
      <c r="U349" s="1208"/>
      <c r="V349" s="1189"/>
      <c r="W349" s="1189"/>
      <c r="X349" s="1189"/>
      <c r="Y349" s="1189"/>
      <c r="Z349" s="1189"/>
      <c r="AA349" s="1189"/>
      <c r="AB349" s="1189"/>
      <c r="AC349" s="1189"/>
      <c r="AD349" s="1189"/>
      <c r="AE349" s="1189"/>
      <c r="AF349" s="1189"/>
      <c r="AG349" s="1189"/>
      <c r="AH349" s="1189"/>
      <c r="AI349" s="1189"/>
      <c r="AJ349" s="1189"/>
      <c r="AK349" s="1189"/>
      <c r="AL349" s="1189"/>
      <c r="AM349" s="1189"/>
      <c r="AN349" s="1189"/>
      <c r="AO349" s="1189"/>
      <c r="AP349" s="1189"/>
      <c r="AQ349" s="1189"/>
      <c r="AR349" s="1189"/>
      <c r="AS349" s="1189"/>
      <c r="AT349" s="1189"/>
      <c r="AU349" s="1189"/>
      <c r="AV349" s="1189"/>
      <c r="AW349" s="1189"/>
      <c r="AX349" s="1189"/>
    </row>
    <row r="350" spans="4:50" ht="12.75" customHeight="1">
      <c r="D350" s="1231"/>
      <c r="E350" s="1230"/>
      <c r="F350" s="1230"/>
      <c r="G350" s="1230"/>
      <c r="H350" s="1230"/>
      <c r="I350" s="1189"/>
      <c r="J350" s="1189"/>
      <c r="K350" s="1189"/>
      <c r="L350" s="1225"/>
      <c r="M350" s="1189"/>
      <c r="N350" s="1189"/>
      <c r="O350" s="1189"/>
      <c r="P350" s="1189"/>
      <c r="Q350" s="1189"/>
      <c r="R350" s="1189"/>
      <c r="S350" s="1189"/>
      <c r="T350" s="1208"/>
      <c r="U350" s="1208"/>
      <c r="V350" s="1189"/>
      <c r="W350" s="1189"/>
      <c r="X350" s="1189"/>
      <c r="Y350" s="1189"/>
      <c r="Z350" s="1189"/>
      <c r="AA350" s="1189"/>
      <c r="AB350" s="1189"/>
      <c r="AC350" s="1189"/>
      <c r="AD350" s="1189"/>
      <c r="AE350" s="1189"/>
      <c r="AF350" s="1189"/>
      <c r="AG350" s="1189"/>
      <c r="AH350" s="1189"/>
      <c r="AI350" s="1189"/>
      <c r="AJ350" s="1189"/>
      <c r="AK350" s="1189"/>
      <c r="AL350" s="1189"/>
      <c r="AM350" s="1189"/>
      <c r="AN350" s="1189"/>
      <c r="AO350" s="1189"/>
      <c r="AP350" s="1189"/>
      <c r="AQ350" s="1189"/>
      <c r="AR350" s="1189"/>
      <c r="AS350" s="1189"/>
      <c r="AT350" s="1189"/>
      <c r="AU350" s="1189"/>
      <c r="AV350" s="1189"/>
      <c r="AW350" s="1189"/>
      <c r="AX350" s="1189"/>
    </row>
    <row r="351" spans="4:50" ht="12.75" customHeight="1">
      <c r="D351" s="1231"/>
      <c r="E351" s="1230"/>
      <c r="F351" s="1230"/>
      <c r="G351" s="1230"/>
      <c r="H351" s="1230"/>
      <c r="I351" s="1189"/>
      <c r="J351" s="1189"/>
      <c r="K351" s="1189"/>
      <c r="L351" s="1225"/>
      <c r="M351" s="1189"/>
      <c r="N351" s="1189"/>
      <c r="O351" s="1189"/>
      <c r="P351" s="1189"/>
      <c r="Q351" s="1189"/>
      <c r="R351" s="1189"/>
      <c r="S351" s="1189"/>
      <c r="T351" s="1208"/>
      <c r="U351" s="1208"/>
      <c r="V351" s="1189"/>
      <c r="W351" s="1189"/>
      <c r="X351" s="1189"/>
      <c r="Y351" s="1189"/>
      <c r="Z351" s="1189"/>
      <c r="AA351" s="1189"/>
      <c r="AB351" s="1189"/>
      <c r="AC351" s="1189"/>
      <c r="AD351" s="1189"/>
      <c r="AE351" s="1189"/>
      <c r="AF351" s="1189"/>
      <c r="AG351" s="1189"/>
      <c r="AH351" s="1189"/>
      <c r="AI351" s="1189"/>
      <c r="AJ351" s="1189"/>
      <c r="AK351" s="1189"/>
      <c r="AL351" s="1189"/>
      <c r="AM351" s="1189"/>
      <c r="AN351" s="1189"/>
      <c r="AO351" s="1189"/>
      <c r="AP351" s="1189"/>
      <c r="AQ351" s="1189"/>
      <c r="AR351" s="1189"/>
      <c r="AS351" s="1189"/>
      <c r="AT351" s="1189"/>
      <c r="AU351" s="1189"/>
      <c r="AV351" s="1189"/>
      <c r="AW351" s="1189"/>
      <c r="AX351" s="1189"/>
    </row>
    <row r="352" spans="4:50" ht="12.75" customHeight="1">
      <c r="D352" s="1231"/>
      <c r="E352" s="1230"/>
      <c r="F352" s="1230"/>
      <c r="G352" s="1230"/>
      <c r="H352" s="1230"/>
      <c r="I352" s="1189"/>
      <c r="J352" s="1189"/>
      <c r="K352" s="1189"/>
      <c r="L352" s="1225"/>
      <c r="M352" s="1189"/>
      <c r="N352" s="1189"/>
      <c r="O352" s="1189"/>
      <c r="P352" s="1189"/>
      <c r="Q352" s="1189"/>
      <c r="R352" s="1189"/>
      <c r="S352" s="1189"/>
      <c r="T352" s="1208"/>
      <c r="U352" s="1208"/>
      <c r="V352" s="1189"/>
      <c r="W352" s="1189"/>
      <c r="X352" s="1189"/>
      <c r="Y352" s="1189"/>
      <c r="Z352" s="1189"/>
      <c r="AA352" s="1189"/>
      <c r="AB352" s="1189"/>
      <c r="AC352" s="1189"/>
      <c r="AD352" s="1189"/>
      <c r="AE352" s="1189"/>
      <c r="AF352" s="1189"/>
      <c r="AG352" s="1189"/>
      <c r="AH352" s="1189"/>
      <c r="AI352" s="1189"/>
      <c r="AJ352" s="1189"/>
      <c r="AK352" s="1189"/>
      <c r="AL352" s="1189"/>
      <c r="AM352" s="1189"/>
      <c r="AN352" s="1189"/>
      <c r="AO352" s="1189"/>
      <c r="AP352" s="1189"/>
      <c r="AQ352" s="1189"/>
      <c r="AR352" s="1189"/>
      <c r="AS352" s="1189"/>
      <c r="AT352" s="1189"/>
      <c r="AU352" s="1189"/>
      <c r="AV352" s="1189"/>
      <c r="AW352" s="1189"/>
      <c r="AX352" s="1189"/>
    </row>
    <row r="353" spans="4:50" ht="12.75" customHeight="1">
      <c r="D353" s="1231"/>
      <c r="E353" s="1230"/>
      <c r="F353" s="1230"/>
      <c r="G353" s="1230"/>
      <c r="H353" s="1230"/>
      <c r="I353" s="1189"/>
      <c r="J353" s="1189"/>
      <c r="K353" s="1189"/>
      <c r="L353" s="1225"/>
      <c r="M353" s="1189"/>
      <c r="N353" s="1189"/>
      <c r="O353" s="1189"/>
      <c r="P353" s="1189"/>
      <c r="Q353" s="1189"/>
      <c r="R353" s="1189"/>
      <c r="S353" s="1189"/>
      <c r="T353" s="1208"/>
      <c r="U353" s="1208"/>
      <c r="V353" s="1189"/>
      <c r="W353" s="1189"/>
      <c r="X353" s="1189"/>
      <c r="Y353" s="1189"/>
      <c r="Z353" s="1189"/>
      <c r="AA353" s="1189"/>
      <c r="AB353" s="1189"/>
      <c r="AC353" s="1189"/>
      <c r="AD353" s="1189"/>
      <c r="AE353" s="1189"/>
      <c r="AF353" s="1189"/>
      <c r="AG353" s="1189"/>
      <c r="AH353" s="1189"/>
      <c r="AI353" s="1189"/>
      <c r="AJ353" s="1189"/>
      <c r="AK353" s="1189"/>
      <c r="AL353" s="1189"/>
      <c r="AM353" s="1189"/>
      <c r="AN353" s="1189"/>
      <c r="AO353" s="1189"/>
      <c r="AP353" s="1189"/>
      <c r="AQ353" s="1189"/>
      <c r="AR353" s="1189"/>
      <c r="AS353" s="1189"/>
      <c r="AT353" s="1189"/>
      <c r="AU353" s="1189"/>
      <c r="AV353" s="1189"/>
      <c r="AW353" s="1189"/>
      <c r="AX353" s="1189"/>
    </row>
    <row r="354" spans="4:50" ht="12.75" customHeight="1">
      <c r="D354" s="1231"/>
      <c r="E354" s="1230"/>
      <c r="F354" s="1230"/>
      <c r="G354" s="1230"/>
      <c r="H354" s="1230"/>
      <c r="I354" s="1189"/>
      <c r="J354" s="1189"/>
      <c r="K354" s="1189"/>
      <c r="L354" s="1225"/>
      <c r="M354" s="1189"/>
      <c r="N354" s="1189"/>
      <c r="O354" s="1189"/>
      <c r="P354" s="1189"/>
      <c r="Q354" s="1189"/>
      <c r="R354" s="1189"/>
      <c r="S354" s="1189"/>
      <c r="T354" s="1208"/>
      <c r="U354" s="1208"/>
      <c r="V354" s="1189"/>
      <c r="W354" s="1189"/>
      <c r="X354" s="1189"/>
      <c r="Y354" s="1189"/>
      <c r="Z354" s="1189"/>
      <c r="AA354" s="1189"/>
      <c r="AB354" s="1189"/>
      <c r="AC354" s="1189"/>
      <c r="AD354" s="1189"/>
      <c r="AE354" s="1189"/>
      <c r="AF354" s="1189"/>
      <c r="AG354" s="1189"/>
      <c r="AH354" s="1189"/>
      <c r="AI354" s="1189"/>
      <c r="AJ354" s="1189"/>
      <c r="AK354" s="1189"/>
      <c r="AL354" s="1189"/>
      <c r="AM354" s="1189"/>
      <c r="AN354" s="1189"/>
      <c r="AO354" s="1189"/>
      <c r="AP354" s="1189"/>
      <c r="AQ354" s="1189"/>
      <c r="AR354" s="1189"/>
      <c r="AS354" s="1189"/>
      <c r="AT354" s="1189"/>
      <c r="AU354" s="1189"/>
      <c r="AV354" s="1189"/>
      <c r="AW354" s="1189"/>
      <c r="AX354" s="1189"/>
    </row>
    <row r="355" spans="4:50" ht="12.75" customHeight="1">
      <c r="D355" s="1231"/>
      <c r="E355" s="1230"/>
      <c r="F355" s="1230"/>
      <c r="G355" s="1230"/>
      <c r="H355" s="1230"/>
      <c r="I355" s="1189"/>
      <c r="J355" s="1189"/>
      <c r="K355" s="1189"/>
      <c r="L355" s="1225"/>
      <c r="M355" s="1189"/>
      <c r="N355" s="1189"/>
      <c r="O355" s="1189"/>
      <c r="P355" s="1189"/>
      <c r="Q355" s="1189"/>
      <c r="R355" s="1189"/>
      <c r="S355" s="1189"/>
      <c r="T355" s="1208"/>
      <c r="U355" s="1208"/>
      <c r="V355" s="1189"/>
      <c r="W355" s="1189"/>
      <c r="X355" s="1189"/>
      <c r="Y355" s="1189"/>
      <c r="Z355" s="1189"/>
      <c r="AA355" s="1189"/>
      <c r="AB355" s="1189"/>
      <c r="AC355" s="1189"/>
      <c r="AD355" s="1189"/>
      <c r="AE355" s="1189"/>
      <c r="AF355" s="1189"/>
      <c r="AG355" s="1189"/>
      <c r="AH355" s="1189"/>
      <c r="AI355" s="1189"/>
      <c r="AJ355" s="1189"/>
      <c r="AK355" s="1189"/>
      <c r="AL355" s="1189"/>
      <c r="AM355" s="1189"/>
      <c r="AN355" s="1189"/>
      <c r="AO355" s="1189"/>
      <c r="AP355" s="1189"/>
      <c r="AQ355" s="1189"/>
      <c r="AR355" s="1189"/>
      <c r="AS355" s="1189"/>
      <c r="AT355" s="1189"/>
      <c r="AU355" s="1189"/>
      <c r="AV355" s="1189"/>
      <c r="AW355" s="1189"/>
      <c r="AX355" s="1189"/>
    </row>
    <row r="356" spans="4:50" ht="12.75" customHeight="1">
      <c r="D356" s="1231"/>
      <c r="E356" s="1230"/>
      <c r="F356" s="1230"/>
      <c r="G356" s="1230"/>
      <c r="H356" s="1230"/>
      <c r="I356" s="1189"/>
      <c r="J356" s="1189"/>
      <c r="K356" s="1189"/>
      <c r="L356" s="1225"/>
      <c r="M356" s="1189"/>
      <c r="N356" s="1189"/>
      <c r="O356" s="1189"/>
      <c r="P356" s="1189"/>
      <c r="Q356" s="1189"/>
      <c r="R356" s="1189"/>
      <c r="S356" s="1189"/>
      <c r="T356" s="1208"/>
      <c r="U356" s="1208"/>
      <c r="V356" s="1189"/>
      <c r="W356" s="1189"/>
      <c r="X356" s="1189"/>
      <c r="Y356" s="1189"/>
      <c r="Z356" s="1189"/>
      <c r="AA356" s="1189"/>
      <c r="AB356" s="1189"/>
      <c r="AC356" s="1189"/>
      <c r="AD356" s="1189"/>
      <c r="AE356" s="1189"/>
      <c r="AF356" s="1189"/>
      <c r="AG356" s="1189"/>
      <c r="AH356" s="1189"/>
      <c r="AI356" s="1189"/>
      <c r="AJ356" s="1189"/>
      <c r="AK356" s="1189"/>
      <c r="AL356" s="1189"/>
      <c r="AM356" s="1189"/>
      <c r="AN356" s="1189"/>
      <c r="AO356" s="1189"/>
      <c r="AP356" s="1189"/>
      <c r="AQ356" s="1189"/>
      <c r="AR356" s="1189"/>
      <c r="AS356" s="1189"/>
      <c r="AT356" s="1189"/>
      <c r="AU356" s="1189"/>
      <c r="AV356" s="1189"/>
      <c r="AW356" s="1189"/>
      <c r="AX356" s="1189"/>
    </row>
    <row r="357" spans="4:50" ht="12.75" customHeight="1">
      <c r="D357" s="1231"/>
      <c r="E357" s="1230"/>
      <c r="F357" s="1230"/>
      <c r="G357" s="1230"/>
      <c r="H357" s="1230"/>
      <c r="I357" s="1189"/>
      <c r="J357" s="1189"/>
      <c r="K357" s="1189"/>
      <c r="L357" s="1225"/>
      <c r="M357" s="1189"/>
      <c r="N357" s="1189"/>
      <c r="O357" s="1189"/>
      <c r="P357" s="1189"/>
      <c r="Q357" s="1189"/>
      <c r="R357" s="1189"/>
      <c r="S357" s="1189"/>
      <c r="T357" s="1208"/>
      <c r="U357" s="1208"/>
      <c r="V357" s="1189"/>
      <c r="W357" s="1189"/>
      <c r="X357" s="1189"/>
      <c r="Y357" s="1189"/>
      <c r="Z357" s="1189"/>
      <c r="AA357" s="1189"/>
      <c r="AB357" s="1189"/>
      <c r="AC357" s="1189"/>
      <c r="AD357" s="1189"/>
      <c r="AE357" s="1189"/>
      <c r="AF357" s="1189"/>
      <c r="AG357" s="1189"/>
      <c r="AH357" s="1189"/>
      <c r="AI357" s="1189"/>
      <c r="AJ357" s="1189"/>
      <c r="AK357" s="1189"/>
      <c r="AL357" s="1189"/>
      <c r="AM357" s="1189"/>
      <c r="AN357" s="1189"/>
      <c r="AO357" s="1189"/>
      <c r="AP357" s="1189"/>
      <c r="AQ357" s="1189"/>
      <c r="AR357" s="1189"/>
      <c r="AS357" s="1189"/>
      <c r="AT357" s="1189"/>
      <c r="AU357" s="1189"/>
      <c r="AV357" s="1189"/>
      <c r="AW357" s="1189"/>
      <c r="AX357" s="1189"/>
    </row>
    <row r="358" spans="4:50" ht="12.75" customHeight="1">
      <c r="D358" s="1231"/>
      <c r="E358" s="1230"/>
      <c r="F358" s="1230"/>
      <c r="G358" s="1230"/>
      <c r="H358" s="1230"/>
      <c r="I358" s="1189"/>
      <c r="J358" s="1189"/>
      <c r="K358" s="1189"/>
      <c r="L358" s="1225"/>
      <c r="M358" s="1189"/>
      <c r="N358" s="1189"/>
      <c r="O358" s="1189"/>
      <c r="P358" s="1189"/>
      <c r="Q358" s="1189"/>
      <c r="R358" s="1189"/>
      <c r="S358" s="1189"/>
      <c r="T358" s="1208"/>
      <c r="U358" s="1208"/>
      <c r="V358" s="1189"/>
      <c r="W358" s="1189"/>
      <c r="X358" s="1189"/>
      <c r="Y358" s="1189"/>
      <c r="Z358" s="1189"/>
      <c r="AA358" s="1189"/>
      <c r="AB358" s="1189"/>
      <c r="AC358" s="1189"/>
      <c r="AD358" s="1189"/>
      <c r="AE358" s="1189"/>
      <c r="AF358" s="1189"/>
      <c r="AG358" s="1189"/>
      <c r="AH358" s="1189"/>
      <c r="AI358" s="1189"/>
      <c r="AJ358" s="1189"/>
      <c r="AK358" s="1189"/>
      <c r="AL358" s="1189"/>
      <c r="AM358" s="1189"/>
      <c r="AN358" s="1189"/>
      <c r="AO358" s="1189"/>
      <c r="AP358" s="1189"/>
      <c r="AQ358" s="1189"/>
      <c r="AR358" s="1189"/>
      <c r="AS358" s="1189"/>
      <c r="AT358" s="1189"/>
      <c r="AU358" s="1189"/>
      <c r="AV358" s="1189"/>
      <c r="AW358" s="1189"/>
      <c r="AX358" s="1189"/>
    </row>
    <row r="359" spans="4:50" ht="12.75" customHeight="1">
      <c r="D359" s="1231"/>
      <c r="E359" s="1230"/>
      <c r="F359" s="1230"/>
      <c r="G359" s="1230"/>
      <c r="H359" s="1230"/>
      <c r="I359" s="1189"/>
      <c r="J359" s="1189"/>
      <c r="K359" s="1189"/>
      <c r="L359" s="1225"/>
      <c r="M359" s="1189"/>
      <c r="N359" s="1189"/>
      <c r="O359" s="1189"/>
      <c r="P359" s="1189"/>
      <c r="Q359" s="1189"/>
      <c r="R359" s="1189"/>
      <c r="S359" s="1189"/>
      <c r="T359" s="1208"/>
      <c r="U359" s="1208"/>
      <c r="V359" s="1189"/>
      <c r="W359" s="1189"/>
      <c r="X359" s="1189"/>
      <c r="Y359" s="1189"/>
      <c r="Z359" s="1189"/>
      <c r="AA359" s="1189"/>
      <c r="AB359" s="1189"/>
      <c r="AC359" s="1189"/>
      <c r="AD359" s="1189"/>
      <c r="AE359" s="1189"/>
      <c r="AF359" s="1189"/>
      <c r="AG359" s="1189"/>
      <c r="AH359" s="1189"/>
      <c r="AI359" s="1189"/>
      <c r="AJ359" s="1189"/>
      <c r="AK359" s="1189"/>
      <c r="AL359" s="1189"/>
      <c r="AM359" s="1189"/>
      <c r="AN359" s="1189"/>
      <c r="AO359" s="1189"/>
      <c r="AP359" s="1189"/>
      <c r="AQ359" s="1189"/>
      <c r="AR359" s="1189"/>
      <c r="AS359" s="1189"/>
      <c r="AT359" s="1189"/>
      <c r="AU359" s="1189"/>
      <c r="AV359" s="1189"/>
      <c r="AW359" s="1189"/>
      <c r="AX359" s="1189"/>
    </row>
    <row r="360" spans="4:50" ht="12.75" customHeight="1">
      <c r="D360" s="1231"/>
      <c r="E360" s="1230"/>
      <c r="F360" s="1230"/>
      <c r="G360" s="1230"/>
      <c r="H360" s="1230"/>
      <c r="I360" s="1189"/>
      <c r="J360" s="1189"/>
      <c r="K360" s="1189"/>
      <c r="L360" s="1225"/>
      <c r="M360" s="1189"/>
      <c r="N360" s="1189"/>
      <c r="O360" s="1189"/>
      <c r="P360" s="1189"/>
      <c r="Q360" s="1189"/>
      <c r="R360" s="1189"/>
      <c r="S360" s="1189"/>
      <c r="T360" s="1208"/>
      <c r="U360" s="1208"/>
      <c r="V360" s="1189"/>
      <c r="W360" s="1189"/>
      <c r="X360" s="1189"/>
      <c r="Y360" s="1189"/>
      <c r="Z360" s="1189"/>
      <c r="AA360" s="1189"/>
      <c r="AB360" s="1189"/>
      <c r="AC360" s="1189"/>
      <c r="AD360" s="1189"/>
      <c r="AE360" s="1189"/>
      <c r="AF360" s="1189"/>
      <c r="AG360" s="1189"/>
      <c r="AH360" s="1189"/>
      <c r="AI360" s="1189"/>
      <c r="AJ360" s="1189"/>
      <c r="AK360" s="1189"/>
      <c r="AL360" s="1189"/>
      <c r="AM360" s="1189"/>
      <c r="AN360" s="1189"/>
      <c r="AO360" s="1189"/>
      <c r="AP360" s="1189"/>
      <c r="AQ360" s="1189"/>
      <c r="AR360" s="1189"/>
      <c r="AS360" s="1189"/>
      <c r="AT360" s="1189"/>
      <c r="AU360" s="1189"/>
      <c r="AV360" s="1189"/>
      <c r="AW360" s="1189"/>
      <c r="AX360" s="1189"/>
    </row>
    <row r="361" spans="4:50" ht="12.75" customHeight="1">
      <c r="D361" s="1231"/>
      <c r="E361" s="1230"/>
      <c r="F361" s="1230"/>
      <c r="G361" s="1230"/>
      <c r="H361" s="1230"/>
      <c r="I361" s="1189"/>
      <c r="J361" s="1189"/>
      <c r="K361" s="1189"/>
      <c r="L361" s="1225"/>
      <c r="M361" s="1189"/>
      <c r="N361" s="1189"/>
      <c r="O361" s="1189"/>
      <c r="P361" s="1189"/>
      <c r="Q361" s="1189"/>
      <c r="R361" s="1189"/>
      <c r="S361" s="1189"/>
      <c r="T361" s="1208"/>
      <c r="U361" s="1208"/>
      <c r="V361" s="1189"/>
      <c r="W361" s="1189"/>
      <c r="X361" s="1189"/>
      <c r="Y361" s="1189"/>
      <c r="Z361" s="1189"/>
      <c r="AA361" s="1189"/>
      <c r="AB361" s="1189"/>
      <c r="AC361" s="1189"/>
      <c r="AD361" s="1189"/>
      <c r="AE361" s="1189"/>
      <c r="AF361" s="1189"/>
      <c r="AG361" s="1189"/>
      <c r="AH361" s="1189"/>
      <c r="AI361" s="1189"/>
      <c r="AJ361" s="1189"/>
      <c r="AK361" s="1189"/>
      <c r="AL361" s="1189"/>
      <c r="AM361" s="1189"/>
      <c r="AN361" s="1189"/>
      <c r="AO361" s="1189"/>
      <c r="AP361" s="1189"/>
      <c r="AQ361" s="1189"/>
      <c r="AR361" s="1189"/>
      <c r="AS361" s="1189"/>
      <c r="AT361" s="1189"/>
      <c r="AU361" s="1189"/>
      <c r="AV361" s="1189"/>
      <c r="AW361" s="1189"/>
      <c r="AX361" s="1189"/>
    </row>
    <row r="362" spans="4:50" ht="12.75" customHeight="1">
      <c r="D362" s="1231"/>
      <c r="E362" s="1230"/>
      <c r="F362" s="1230"/>
      <c r="G362" s="1230"/>
      <c r="H362" s="1230"/>
      <c r="I362" s="1189"/>
      <c r="J362" s="1189"/>
      <c r="K362" s="1189"/>
      <c r="L362" s="1225"/>
      <c r="M362" s="1189"/>
      <c r="N362" s="1189"/>
      <c r="O362" s="1189"/>
      <c r="P362" s="1189"/>
      <c r="Q362" s="1189"/>
      <c r="R362" s="1189"/>
      <c r="S362" s="1189"/>
      <c r="T362" s="1208"/>
      <c r="U362" s="1208"/>
      <c r="V362" s="1189"/>
      <c r="W362" s="1189"/>
      <c r="X362" s="1189"/>
      <c r="Y362" s="1189"/>
      <c r="Z362" s="1189"/>
      <c r="AA362" s="1189"/>
      <c r="AB362" s="1189"/>
      <c r="AC362" s="1189"/>
      <c r="AD362" s="1189"/>
      <c r="AE362" s="1189"/>
      <c r="AF362" s="1189"/>
      <c r="AG362" s="1189"/>
      <c r="AH362" s="1189"/>
      <c r="AI362" s="1189"/>
      <c r="AJ362" s="1189"/>
      <c r="AK362" s="1189"/>
      <c r="AL362" s="1189"/>
      <c r="AM362" s="1189"/>
      <c r="AN362" s="1189"/>
      <c r="AO362" s="1189"/>
      <c r="AP362" s="1189"/>
      <c r="AQ362" s="1189"/>
      <c r="AR362" s="1189"/>
      <c r="AS362" s="1189"/>
      <c r="AT362" s="1189"/>
      <c r="AU362" s="1189"/>
      <c r="AV362" s="1189"/>
      <c r="AW362" s="1189"/>
      <c r="AX362" s="1189"/>
    </row>
    <row r="363" spans="4:50" ht="12.75" customHeight="1">
      <c r="D363" s="1231"/>
      <c r="E363" s="1230"/>
      <c r="F363" s="1230"/>
      <c r="G363" s="1230"/>
      <c r="H363" s="1230"/>
      <c r="I363" s="1189"/>
      <c r="J363" s="1189"/>
      <c r="K363" s="1189"/>
      <c r="L363" s="1225"/>
      <c r="M363" s="1189"/>
      <c r="N363" s="1189"/>
      <c r="O363" s="1189"/>
      <c r="P363" s="1189"/>
      <c r="Q363" s="1189"/>
      <c r="R363" s="1189"/>
      <c r="S363" s="1189"/>
      <c r="T363" s="1208"/>
      <c r="U363" s="1208"/>
      <c r="V363" s="1189"/>
      <c r="W363" s="1189"/>
      <c r="X363" s="1189"/>
      <c r="Y363" s="1189"/>
      <c r="Z363" s="1189"/>
      <c r="AA363" s="1189"/>
      <c r="AB363" s="1189"/>
      <c r="AC363" s="1189"/>
      <c r="AD363" s="1189"/>
      <c r="AE363" s="1189"/>
      <c r="AF363" s="1189"/>
      <c r="AG363" s="1189"/>
      <c r="AH363" s="1189"/>
      <c r="AI363" s="1189"/>
      <c r="AJ363" s="1189"/>
      <c r="AK363" s="1189"/>
      <c r="AL363" s="1189"/>
      <c r="AM363" s="1189"/>
      <c r="AN363" s="1189"/>
      <c r="AO363" s="1189"/>
      <c r="AP363" s="1189"/>
      <c r="AQ363" s="1189"/>
      <c r="AR363" s="1189"/>
      <c r="AS363" s="1189"/>
      <c r="AT363" s="1189"/>
      <c r="AU363" s="1189"/>
      <c r="AV363" s="1189"/>
      <c r="AW363" s="1189"/>
      <c r="AX363" s="1189"/>
    </row>
    <row r="364" spans="4:50" ht="12.75" customHeight="1">
      <c r="D364" s="1231"/>
      <c r="E364" s="1230"/>
      <c r="F364" s="1230"/>
      <c r="G364" s="1230"/>
      <c r="H364" s="1230"/>
      <c r="I364" s="1189"/>
      <c r="J364" s="1189"/>
      <c r="K364" s="1189"/>
      <c r="L364" s="1225"/>
      <c r="M364" s="1189"/>
      <c r="N364" s="1189"/>
      <c r="O364" s="1189"/>
      <c r="P364" s="1189"/>
      <c r="Q364" s="1189"/>
      <c r="R364" s="1189"/>
      <c r="S364" s="1189"/>
      <c r="T364" s="1208"/>
      <c r="U364" s="1208"/>
      <c r="V364" s="1189"/>
      <c r="W364" s="1189"/>
      <c r="X364" s="1189"/>
      <c r="Y364" s="1189"/>
      <c r="Z364" s="1189"/>
      <c r="AA364" s="1189"/>
      <c r="AB364" s="1189"/>
      <c r="AC364" s="1189"/>
      <c r="AD364" s="1189"/>
      <c r="AE364" s="1189"/>
      <c r="AF364" s="1189"/>
      <c r="AG364" s="1189"/>
      <c r="AH364" s="1189"/>
      <c r="AI364" s="1189"/>
      <c r="AJ364" s="1189"/>
      <c r="AK364" s="1189"/>
      <c r="AL364" s="1189"/>
      <c r="AM364" s="1189"/>
      <c r="AN364" s="1189"/>
      <c r="AO364" s="1189"/>
      <c r="AP364" s="1189"/>
      <c r="AQ364" s="1189"/>
      <c r="AR364" s="1189"/>
      <c r="AS364" s="1189"/>
      <c r="AT364" s="1189"/>
      <c r="AU364" s="1189"/>
      <c r="AV364" s="1189"/>
      <c r="AW364" s="1189"/>
      <c r="AX364" s="1189"/>
    </row>
    <row r="365" spans="4:50" ht="12.75" customHeight="1">
      <c r="D365" s="1231"/>
      <c r="E365" s="1230"/>
      <c r="F365" s="1230"/>
      <c r="G365" s="1230"/>
      <c r="H365" s="1230"/>
      <c r="I365" s="1189"/>
      <c r="J365" s="1189"/>
      <c r="K365" s="1189"/>
      <c r="L365" s="1225"/>
      <c r="M365" s="1189"/>
      <c r="N365" s="1189"/>
      <c r="O365" s="1189"/>
      <c r="P365" s="1189"/>
      <c r="Q365" s="1189"/>
      <c r="R365" s="1189"/>
      <c r="S365" s="1189"/>
      <c r="T365" s="1208"/>
      <c r="U365" s="1208"/>
      <c r="V365" s="1189"/>
      <c r="W365" s="1189"/>
      <c r="X365" s="1189"/>
      <c r="Y365" s="1189"/>
      <c r="Z365" s="1189"/>
      <c r="AA365" s="1189"/>
      <c r="AB365" s="1189"/>
      <c r="AC365" s="1189"/>
      <c r="AD365" s="1189"/>
      <c r="AE365" s="1189"/>
      <c r="AF365" s="1189"/>
      <c r="AG365" s="1189"/>
      <c r="AH365" s="1189"/>
      <c r="AI365" s="1189"/>
      <c r="AJ365" s="1189"/>
      <c r="AK365" s="1189"/>
      <c r="AL365" s="1189"/>
      <c r="AM365" s="1189"/>
      <c r="AN365" s="1189"/>
      <c r="AO365" s="1189"/>
      <c r="AP365" s="1189"/>
      <c r="AQ365" s="1189"/>
      <c r="AR365" s="1189"/>
      <c r="AS365" s="1189"/>
      <c r="AT365" s="1189"/>
      <c r="AU365" s="1189"/>
      <c r="AV365" s="1189"/>
      <c r="AW365" s="1189"/>
      <c r="AX365" s="1189"/>
    </row>
    <row r="366" spans="4:50" ht="12.75" customHeight="1">
      <c r="D366" s="1231"/>
      <c r="E366" s="1230"/>
      <c r="F366" s="1230"/>
      <c r="G366" s="1230"/>
      <c r="H366" s="1230"/>
      <c r="I366" s="1189"/>
      <c r="J366" s="1189"/>
      <c r="K366" s="1189"/>
      <c r="L366" s="1225"/>
      <c r="M366" s="1189"/>
      <c r="N366" s="1189"/>
      <c r="O366" s="1189"/>
      <c r="P366" s="1189"/>
      <c r="Q366" s="1189"/>
      <c r="R366" s="1189"/>
      <c r="S366" s="1189"/>
      <c r="T366" s="1208"/>
      <c r="U366" s="1208"/>
      <c r="V366" s="1189"/>
      <c r="W366" s="1189"/>
      <c r="X366" s="1189"/>
      <c r="Y366" s="1189"/>
      <c r="Z366" s="1189"/>
      <c r="AA366" s="1189"/>
      <c r="AB366" s="1189"/>
      <c r="AC366" s="1189"/>
      <c r="AD366" s="1189"/>
      <c r="AE366" s="1189"/>
      <c r="AF366" s="1189"/>
      <c r="AG366" s="1189"/>
      <c r="AH366" s="1189"/>
      <c r="AI366" s="1189"/>
      <c r="AJ366" s="1189"/>
      <c r="AK366" s="1189"/>
      <c r="AL366" s="1189"/>
      <c r="AM366" s="1189"/>
      <c r="AN366" s="1189"/>
      <c r="AO366" s="1189"/>
      <c r="AP366" s="1189"/>
      <c r="AQ366" s="1189"/>
      <c r="AR366" s="1189"/>
      <c r="AS366" s="1189"/>
      <c r="AT366" s="1189"/>
      <c r="AU366" s="1189"/>
      <c r="AV366" s="1189"/>
      <c r="AW366" s="1189"/>
      <c r="AX366" s="1189"/>
    </row>
    <row r="367" spans="4:50" ht="12.75" customHeight="1">
      <c r="D367" s="1231"/>
      <c r="E367" s="1230"/>
      <c r="F367" s="1230"/>
      <c r="G367" s="1230"/>
      <c r="H367" s="1230"/>
      <c r="I367" s="1189"/>
      <c r="J367" s="1189"/>
      <c r="K367" s="1189"/>
      <c r="L367" s="1225"/>
      <c r="M367" s="1189"/>
      <c r="N367" s="1189"/>
      <c r="O367" s="1189"/>
      <c r="P367" s="1189"/>
      <c r="Q367" s="1189"/>
      <c r="R367" s="1189"/>
      <c r="S367" s="1189"/>
      <c r="T367" s="1208"/>
      <c r="U367" s="1208"/>
      <c r="V367" s="1189"/>
      <c r="W367" s="1189"/>
      <c r="X367" s="1189"/>
      <c r="Y367" s="1189"/>
      <c r="Z367" s="1189"/>
      <c r="AA367" s="1189"/>
      <c r="AB367" s="1189"/>
      <c r="AC367" s="1189"/>
      <c r="AD367" s="1189"/>
      <c r="AE367" s="1189"/>
      <c r="AF367" s="1189"/>
      <c r="AG367" s="1189"/>
      <c r="AH367" s="1189"/>
      <c r="AI367" s="1189"/>
      <c r="AJ367" s="1189"/>
      <c r="AK367" s="1189"/>
      <c r="AL367" s="1189"/>
      <c r="AM367" s="1189"/>
      <c r="AN367" s="1189"/>
      <c r="AO367" s="1189"/>
      <c r="AP367" s="1189"/>
      <c r="AQ367" s="1189"/>
      <c r="AR367" s="1189"/>
      <c r="AS367" s="1189"/>
      <c r="AT367" s="1189"/>
      <c r="AU367" s="1189"/>
      <c r="AV367" s="1189"/>
      <c r="AW367" s="1189"/>
      <c r="AX367" s="1189"/>
    </row>
    <row r="368" spans="4:50" ht="12.75" customHeight="1">
      <c r="D368" s="1231"/>
      <c r="E368" s="1230"/>
      <c r="F368" s="1230"/>
      <c r="G368" s="1230"/>
      <c r="H368" s="1230"/>
      <c r="I368" s="1189"/>
      <c r="J368" s="1189"/>
      <c r="K368" s="1189"/>
      <c r="L368" s="1225"/>
      <c r="M368" s="1189"/>
      <c r="N368" s="1189"/>
      <c r="O368" s="1189"/>
      <c r="P368" s="1189"/>
      <c r="Q368" s="1189"/>
      <c r="R368" s="1189"/>
      <c r="S368" s="1189"/>
      <c r="T368" s="1208"/>
      <c r="U368" s="1208"/>
      <c r="V368" s="1189"/>
      <c r="W368" s="1189"/>
      <c r="X368" s="1189"/>
      <c r="Y368" s="1189"/>
      <c r="Z368" s="1189"/>
      <c r="AA368" s="1189"/>
      <c r="AB368" s="1189"/>
      <c r="AC368" s="1189"/>
      <c r="AD368" s="1189"/>
      <c r="AE368" s="1189"/>
      <c r="AF368" s="1189"/>
      <c r="AG368" s="1189"/>
      <c r="AH368" s="1189"/>
      <c r="AI368" s="1189"/>
      <c r="AJ368" s="1189"/>
      <c r="AK368" s="1189"/>
      <c r="AL368" s="1189"/>
      <c r="AM368" s="1189"/>
      <c r="AN368" s="1189"/>
      <c r="AO368" s="1189"/>
      <c r="AP368" s="1189"/>
      <c r="AQ368" s="1189"/>
      <c r="AR368" s="1189"/>
      <c r="AS368" s="1189"/>
      <c r="AT368" s="1189"/>
      <c r="AU368" s="1189"/>
      <c r="AV368" s="1189"/>
      <c r="AW368" s="1189"/>
      <c r="AX368" s="1189"/>
    </row>
    <row r="369" spans="4:50" ht="12.75" customHeight="1">
      <c r="D369" s="1231"/>
      <c r="E369" s="1230"/>
      <c r="F369" s="1230"/>
      <c r="G369" s="1230"/>
      <c r="H369" s="1230"/>
      <c r="I369" s="1189"/>
      <c r="J369" s="1189"/>
      <c r="K369" s="1189"/>
      <c r="L369" s="1225"/>
      <c r="M369" s="1189"/>
      <c r="N369" s="1189"/>
      <c r="O369" s="1189"/>
      <c r="P369" s="1189"/>
      <c r="Q369" s="1189"/>
      <c r="R369" s="1189"/>
      <c r="S369" s="1189"/>
      <c r="T369" s="1208"/>
      <c r="U369" s="1208"/>
      <c r="V369" s="1189"/>
      <c r="W369" s="1189"/>
      <c r="X369" s="1189"/>
      <c r="Y369" s="1189"/>
      <c r="Z369" s="1189"/>
      <c r="AA369" s="1189"/>
      <c r="AB369" s="1189"/>
      <c r="AC369" s="1189"/>
      <c r="AD369" s="1189"/>
      <c r="AE369" s="1189"/>
      <c r="AF369" s="1189"/>
      <c r="AG369" s="1189"/>
      <c r="AH369" s="1189"/>
      <c r="AI369" s="1189"/>
      <c r="AJ369" s="1189"/>
      <c r="AK369" s="1189"/>
      <c r="AL369" s="1189"/>
      <c r="AM369" s="1189"/>
      <c r="AN369" s="1189"/>
      <c r="AO369" s="1189"/>
      <c r="AP369" s="1189"/>
      <c r="AQ369" s="1189"/>
      <c r="AR369" s="1189"/>
      <c r="AS369" s="1189"/>
      <c r="AT369" s="1189"/>
      <c r="AU369" s="1189"/>
      <c r="AV369" s="1189"/>
      <c r="AW369" s="1189"/>
      <c r="AX369" s="1189"/>
    </row>
    <row r="370" spans="4:50" ht="12.75" customHeight="1">
      <c r="D370" s="1231"/>
      <c r="E370" s="1230"/>
      <c r="F370" s="1230"/>
      <c r="G370" s="1230"/>
      <c r="H370" s="1230"/>
      <c r="I370" s="1189"/>
      <c r="J370" s="1189"/>
      <c r="K370" s="1189"/>
      <c r="L370" s="1225"/>
      <c r="M370" s="1189"/>
      <c r="N370" s="1189"/>
      <c r="O370" s="1189"/>
      <c r="P370" s="1189"/>
      <c r="Q370" s="1189"/>
      <c r="R370" s="1189"/>
      <c r="S370" s="1189"/>
      <c r="T370" s="1208"/>
      <c r="U370" s="1208"/>
      <c r="V370" s="1189"/>
      <c r="W370" s="1189"/>
      <c r="X370" s="1189"/>
      <c r="Y370" s="1189"/>
      <c r="Z370" s="1189"/>
      <c r="AA370" s="1189"/>
      <c r="AB370" s="1189"/>
      <c r="AC370" s="1189"/>
      <c r="AD370" s="1189"/>
      <c r="AE370" s="1189"/>
      <c r="AF370" s="1189"/>
      <c r="AG370" s="1189"/>
      <c r="AH370" s="1189"/>
      <c r="AI370" s="1189"/>
      <c r="AJ370" s="1189"/>
      <c r="AK370" s="1189"/>
      <c r="AL370" s="1189"/>
      <c r="AM370" s="1189"/>
      <c r="AN370" s="1189"/>
      <c r="AO370" s="1189"/>
      <c r="AP370" s="1189"/>
      <c r="AQ370" s="1189"/>
      <c r="AR370" s="1189"/>
      <c r="AS370" s="1189"/>
      <c r="AT370" s="1189"/>
      <c r="AU370" s="1189"/>
      <c r="AV370" s="1189"/>
      <c r="AW370" s="1189"/>
      <c r="AX370" s="1189"/>
    </row>
    <row r="371" spans="4:50" ht="12.75" customHeight="1">
      <c r="D371" s="1231"/>
      <c r="E371" s="1230"/>
      <c r="F371" s="1230"/>
      <c r="G371" s="1230"/>
      <c r="H371" s="1230"/>
      <c r="I371" s="1189"/>
      <c r="J371" s="1189"/>
      <c r="K371" s="1189"/>
      <c r="L371" s="1225"/>
      <c r="M371" s="1189"/>
      <c r="N371" s="1189"/>
      <c r="O371" s="1189"/>
      <c r="P371" s="1189"/>
      <c r="Q371" s="1189"/>
      <c r="R371" s="1189"/>
      <c r="S371" s="1189"/>
      <c r="T371" s="1208"/>
      <c r="U371" s="1208"/>
      <c r="V371" s="1189"/>
      <c r="W371" s="1189"/>
      <c r="X371" s="1189"/>
      <c r="Y371" s="1189"/>
      <c r="Z371" s="1189"/>
      <c r="AA371" s="1189"/>
      <c r="AB371" s="1189"/>
      <c r="AC371" s="1189"/>
      <c r="AD371" s="1189"/>
      <c r="AE371" s="1189"/>
      <c r="AF371" s="1189"/>
      <c r="AG371" s="1189"/>
      <c r="AH371" s="1189"/>
      <c r="AI371" s="1189"/>
      <c r="AJ371" s="1189"/>
      <c r="AK371" s="1189"/>
      <c r="AL371" s="1189"/>
      <c r="AM371" s="1189"/>
      <c r="AN371" s="1189"/>
      <c r="AO371" s="1189"/>
      <c r="AP371" s="1189"/>
      <c r="AQ371" s="1189"/>
      <c r="AR371" s="1189"/>
      <c r="AS371" s="1189"/>
      <c r="AT371" s="1189"/>
      <c r="AU371" s="1189"/>
      <c r="AV371" s="1189"/>
      <c r="AW371" s="1189"/>
      <c r="AX371" s="1189"/>
    </row>
    <row r="372" spans="4:50" ht="12.75" customHeight="1">
      <c r="D372" s="1231"/>
      <c r="E372" s="1230"/>
      <c r="F372" s="1230"/>
      <c r="G372" s="1230"/>
      <c r="H372" s="1230"/>
      <c r="I372" s="1189"/>
      <c r="J372" s="1189"/>
      <c r="K372" s="1189"/>
      <c r="L372" s="1225"/>
      <c r="M372" s="1189"/>
      <c r="N372" s="1189"/>
      <c r="O372" s="1189"/>
      <c r="P372" s="1189"/>
      <c r="Q372" s="1189"/>
      <c r="R372" s="1189"/>
      <c r="S372" s="1189"/>
      <c r="T372" s="1208"/>
      <c r="U372" s="1208"/>
      <c r="V372" s="1189"/>
      <c r="W372" s="1189"/>
      <c r="X372" s="1189"/>
      <c r="Y372" s="1189"/>
      <c r="Z372" s="1189"/>
      <c r="AA372" s="1189"/>
      <c r="AB372" s="1189"/>
      <c r="AC372" s="1189"/>
      <c r="AD372" s="1189"/>
      <c r="AE372" s="1189"/>
      <c r="AF372" s="1189"/>
      <c r="AG372" s="1189"/>
      <c r="AH372" s="1189"/>
      <c r="AI372" s="1189"/>
      <c r="AJ372" s="1189"/>
      <c r="AK372" s="1189"/>
      <c r="AL372" s="1189"/>
      <c r="AM372" s="1189"/>
      <c r="AN372" s="1189"/>
      <c r="AO372" s="1189"/>
      <c r="AP372" s="1189"/>
      <c r="AQ372" s="1189"/>
      <c r="AR372" s="1189"/>
      <c r="AS372" s="1189"/>
      <c r="AT372" s="1189"/>
      <c r="AU372" s="1189"/>
      <c r="AV372" s="1189"/>
      <c r="AW372" s="1189"/>
      <c r="AX372" s="1189"/>
    </row>
    <row r="373" spans="4:50" ht="12.75" customHeight="1">
      <c r="D373" s="1231"/>
      <c r="E373" s="1230"/>
      <c r="F373" s="1230"/>
      <c r="G373" s="1230"/>
      <c r="H373" s="1230"/>
      <c r="I373" s="1189"/>
      <c r="J373" s="1189"/>
      <c r="K373" s="1189"/>
      <c r="L373" s="1225"/>
      <c r="M373" s="1189"/>
      <c r="N373" s="1189"/>
      <c r="O373" s="1189"/>
      <c r="P373" s="1189"/>
      <c r="Q373" s="1189"/>
      <c r="R373" s="1189"/>
      <c r="S373" s="1189"/>
      <c r="T373" s="1208"/>
      <c r="U373" s="1208"/>
      <c r="V373" s="1189"/>
      <c r="W373" s="1189"/>
      <c r="X373" s="1189"/>
      <c r="Y373" s="1189"/>
      <c r="Z373" s="1189"/>
      <c r="AA373" s="1189"/>
      <c r="AB373" s="1189"/>
      <c r="AC373" s="1189"/>
      <c r="AD373" s="1189"/>
      <c r="AE373" s="1189"/>
      <c r="AF373" s="1189"/>
      <c r="AG373" s="1189"/>
      <c r="AH373" s="1189"/>
      <c r="AI373" s="1189"/>
      <c r="AJ373" s="1189"/>
      <c r="AK373" s="1189"/>
      <c r="AL373" s="1189"/>
      <c r="AM373" s="1189"/>
      <c r="AN373" s="1189"/>
      <c r="AO373" s="1189"/>
      <c r="AP373" s="1189"/>
      <c r="AQ373" s="1189"/>
      <c r="AR373" s="1189"/>
      <c r="AS373" s="1189"/>
      <c r="AT373" s="1189"/>
      <c r="AU373" s="1189"/>
      <c r="AV373" s="1189"/>
      <c r="AW373" s="1189"/>
      <c r="AX373" s="1189"/>
    </row>
    <row r="374" spans="4:50" ht="12.75" customHeight="1">
      <c r="D374" s="1231"/>
      <c r="E374" s="1230"/>
      <c r="F374" s="1230"/>
      <c r="G374" s="1230"/>
      <c r="H374" s="1230"/>
      <c r="I374" s="1189"/>
      <c r="J374" s="1189"/>
      <c r="K374" s="1189"/>
      <c r="L374" s="1225"/>
      <c r="M374" s="1189"/>
      <c r="N374" s="1189"/>
      <c r="O374" s="1189"/>
      <c r="P374" s="1189"/>
      <c r="Q374" s="1189"/>
      <c r="R374" s="1189"/>
      <c r="S374" s="1189"/>
      <c r="T374" s="1208"/>
      <c r="U374" s="1208"/>
      <c r="V374" s="1189"/>
      <c r="W374" s="1189"/>
      <c r="X374" s="1189"/>
      <c r="Y374" s="1189"/>
      <c r="Z374" s="1189"/>
      <c r="AA374" s="1189"/>
      <c r="AB374" s="1189"/>
      <c r="AC374" s="1189"/>
      <c r="AD374" s="1189"/>
      <c r="AE374" s="1189"/>
      <c r="AF374" s="1189"/>
      <c r="AG374" s="1189"/>
      <c r="AH374" s="1189"/>
      <c r="AI374" s="1189"/>
      <c r="AJ374" s="1189"/>
      <c r="AK374" s="1189"/>
      <c r="AL374" s="1189"/>
      <c r="AM374" s="1189"/>
      <c r="AN374" s="1189"/>
      <c r="AO374" s="1189"/>
      <c r="AP374" s="1189"/>
      <c r="AQ374" s="1189"/>
      <c r="AR374" s="1189"/>
      <c r="AS374" s="1189"/>
      <c r="AT374" s="1189"/>
      <c r="AU374" s="1189"/>
      <c r="AV374" s="1189"/>
      <c r="AW374" s="1189"/>
      <c r="AX374" s="1189"/>
    </row>
    <row r="375" spans="4:50" ht="12.75" customHeight="1">
      <c r="D375" s="1231"/>
      <c r="E375" s="1230"/>
      <c r="F375" s="1230"/>
      <c r="G375" s="1230"/>
      <c r="H375" s="1230"/>
      <c r="I375" s="1189"/>
      <c r="J375" s="1189"/>
      <c r="K375" s="1189"/>
      <c r="L375" s="1225"/>
      <c r="M375" s="1189"/>
      <c r="N375" s="1189"/>
      <c r="O375" s="1189"/>
      <c r="P375" s="1189"/>
      <c r="Q375" s="1189"/>
      <c r="R375" s="1189"/>
      <c r="S375" s="1189"/>
      <c r="T375" s="1208"/>
      <c r="U375" s="1208"/>
      <c r="V375" s="1189"/>
      <c r="W375" s="1189"/>
      <c r="X375" s="1189"/>
      <c r="Y375" s="1189"/>
      <c r="Z375" s="1189"/>
      <c r="AA375" s="1189"/>
      <c r="AB375" s="1189"/>
      <c r="AC375" s="1189"/>
      <c r="AD375" s="1189"/>
      <c r="AE375" s="1189"/>
      <c r="AF375" s="1189"/>
      <c r="AG375" s="1189"/>
      <c r="AH375" s="1189"/>
      <c r="AI375" s="1189"/>
      <c r="AJ375" s="1189"/>
      <c r="AK375" s="1189"/>
      <c r="AL375" s="1189"/>
      <c r="AM375" s="1189"/>
      <c r="AN375" s="1189"/>
      <c r="AO375" s="1189"/>
      <c r="AP375" s="1189"/>
      <c r="AQ375" s="1189"/>
      <c r="AR375" s="1189"/>
      <c r="AS375" s="1189"/>
      <c r="AT375" s="1189"/>
      <c r="AU375" s="1189"/>
      <c r="AV375" s="1189"/>
      <c r="AW375" s="1189"/>
      <c r="AX375" s="1189"/>
    </row>
    <row r="376" spans="4:50" ht="12.75" customHeight="1">
      <c r="D376" s="1231"/>
      <c r="E376" s="1230"/>
      <c r="F376" s="1230"/>
      <c r="G376" s="1230"/>
      <c r="H376" s="1230"/>
      <c r="I376" s="1189"/>
      <c r="J376" s="1189"/>
      <c r="K376" s="1189"/>
      <c r="L376" s="1225"/>
      <c r="M376" s="1189"/>
      <c r="N376" s="1189"/>
      <c r="O376" s="1189"/>
      <c r="P376" s="1189"/>
      <c r="Q376" s="1189"/>
      <c r="R376" s="1189"/>
      <c r="S376" s="1189"/>
      <c r="T376" s="1208"/>
      <c r="U376" s="1208"/>
      <c r="V376" s="1189"/>
      <c r="W376" s="1189"/>
      <c r="X376" s="1189"/>
      <c r="Y376" s="1189"/>
      <c r="Z376" s="1189"/>
      <c r="AA376" s="1189"/>
      <c r="AB376" s="1189"/>
      <c r="AC376" s="1189"/>
      <c r="AD376" s="1189"/>
      <c r="AE376" s="1189"/>
      <c r="AF376" s="1189"/>
      <c r="AG376" s="1189"/>
      <c r="AH376" s="1189"/>
      <c r="AI376" s="1189"/>
      <c r="AJ376" s="1189"/>
      <c r="AK376" s="1189"/>
      <c r="AL376" s="1189"/>
      <c r="AM376" s="1189"/>
      <c r="AN376" s="1189"/>
      <c r="AO376" s="1189"/>
      <c r="AP376" s="1189"/>
      <c r="AQ376" s="1189"/>
      <c r="AR376" s="1189"/>
      <c r="AS376" s="1189"/>
      <c r="AT376" s="1189"/>
      <c r="AU376" s="1189"/>
      <c r="AV376" s="1189"/>
      <c r="AW376" s="1189"/>
      <c r="AX376" s="1189"/>
    </row>
    <row r="377" spans="4:50" ht="12.75" customHeight="1">
      <c r="D377" s="1231"/>
      <c r="E377" s="1230"/>
      <c r="F377" s="1230"/>
      <c r="G377" s="1230"/>
      <c r="H377" s="1230"/>
      <c r="I377" s="1189"/>
      <c r="J377" s="1189"/>
      <c r="K377" s="1189"/>
      <c r="L377" s="1225"/>
      <c r="M377" s="1189"/>
      <c r="N377" s="1189"/>
      <c r="O377" s="1189"/>
      <c r="P377" s="1189"/>
      <c r="Q377" s="1189"/>
      <c r="R377" s="1189"/>
      <c r="S377" s="1189"/>
      <c r="T377" s="1208"/>
      <c r="U377" s="1208"/>
      <c r="V377" s="1189"/>
      <c r="W377" s="1189"/>
      <c r="X377" s="1189"/>
      <c r="Y377" s="1189"/>
      <c r="Z377" s="1189"/>
      <c r="AA377" s="1189"/>
      <c r="AB377" s="1189"/>
      <c r="AC377" s="1189"/>
      <c r="AD377" s="1189"/>
      <c r="AE377" s="1189"/>
      <c r="AF377" s="1189"/>
      <c r="AG377" s="1189"/>
      <c r="AH377" s="1189"/>
      <c r="AI377" s="1189"/>
      <c r="AJ377" s="1189"/>
      <c r="AK377" s="1189"/>
      <c r="AL377" s="1189"/>
      <c r="AM377" s="1189"/>
      <c r="AN377" s="1189"/>
      <c r="AO377" s="1189"/>
      <c r="AP377" s="1189"/>
      <c r="AQ377" s="1189"/>
      <c r="AR377" s="1189"/>
      <c r="AS377" s="1189"/>
      <c r="AT377" s="1189"/>
      <c r="AU377" s="1189"/>
      <c r="AV377" s="1189"/>
      <c r="AW377" s="1189"/>
      <c r="AX377" s="1189"/>
    </row>
    <row r="378" spans="4:50" ht="12.75" customHeight="1">
      <c r="D378" s="1231"/>
      <c r="E378" s="1230"/>
      <c r="F378" s="1230"/>
      <c r="G378" s="1230"/>
      <c r="H378" s="1230"/>
      <c r="I378" s="1189"/>
      <c r="J378" s="1189"/>
      <c r="K378" s="1189"/>
      <c r="L378" s="1225"/>
      <c r="M378" s="1189"/>
      <c r="N378" s="1189"/>
      <c r="O378" s="1189"/>
      <c r="P378" s="1189"/>
      <c r="Q378" s="1189"/>
      <c r="R378" s="1189"/>
      <c r="S378" s="1189"/>
      <c r="T378" s="1208"/>
      <c r="U378" s="1208"/>
      <c r="V378" s="1189"/>
      <c r="W378" s="1189"/>
      <c r="X378" s="1189"/>
      <c r="Y378" s="1189"/>
      <c r="Z378" s="1189"/>
      <c r="AA378" s="1189"/>
      <c r="AB378" s="1189"/>
      <c r="AC378" s="1189"/>
      <c r="AD378" s="1189"/>
      <c r="AE378" s="1189"/>
      <c r="AF378" s="1189"/>
      <c r="AG378" s="1189"/>
      <c r="AH378" s="1189"/>
      <c r="AI378" s="1189"/>
      <c r="AJ378" s="1189"/>
      <c r="AK378" s="1189"/>
      <c r="AL378" s="1189"/>
      <c r="AM378" s="1189"/>
      <c r="AN378" s="1189"/>
      <c r="AO378" s="1189"/>
      <c r="AP378" s="1189"/>
      <c r="AQ378" s="1189"/>
      <c r="AR378" s="1189"/>
      <c r="AS378" s="1189"/>
      <c r="AT378" s="1189"/>
      <c r="AU378" s="1189"/>
      <c r="AV378" s="1189"/>
      <c r="AW378" s="1189"/>
      <c r="AX378" s="1189"/>
    </row>
    <row r="379" spans="4:50" ht="12.75" customHeight="1">
      <c r="D379" s="1231"/>
      <c r="E379" s="1230"/>
      <c r="F379" s="1230"/>
      <c r="G379" s="1230"/>
      <c r="H379" s="1230"/>
      <c r="I379" s="1189"/>
      <c r="J379" s="1189"/>
      <c r="K379" s="1189"/>
      <c r="L379" s="1225"/>
      <c r="M379" s="1189"/>
      <c r="N379" s="1189"/>
      <c r="O379" s="1189"/>
      <c r="P379" s="1189"/>
      <c r="Q379" s="1189"/>
      <c r="R379" s="1189"/>
      <c r="S379" s="1189"/>
      <c r="T379" s="1208"/>
      <c r="U379" s="1208"/>
      <c r="V379" s="1189"/>
      <c r="W379" s="1189"/>
      <c r="X379" s="1189"/>
      <c r="Y379" s="1189"/>
      <c r="Z379" s="1189"/>
      <c r="AA379" s="1189"/>
      <c r="AB379" s="1189"/>
      <c r="AC379" s="1189"/>
      <c r="AD379" s="1189"/>
      <c r="AE379" s="1189"/>
      <c r="AF379" s="1189"/>
      <c r="AG379" s="1189"/>
      <c r="AH379" s="1189"/>
      <c r="AI379" s="1189"/>
      <c r="AJ379" s="1189"/>
      <c r="AK379" s="1189"/>
      <c r="AL379" s="1189"/>
      <c r="AM379" s="1189"/>
      <c r="AN379" s="1189"/>
      <c r="AO379" s="1189"/>
      <c r="AP379" s="1189"/>
      <c r="AQ379" s="1189"/>
      <c r="AR379" s="1189"/>
      <c r="AS379" s="1189"/>
      <c r="AT379" s="1189"/>
      <c r="AU379" s="1189"/>
      <c r="AV379" s="1189"/>
      <c r="AW379" s="1189"/>
      <c r="AX379" s="1189"/>
    </row>
    <row r="380" spans="4:50" ht="12.75" customHeight="1">
      <c r="D380" s="1231"/>
      <c r="E380" s="1230"/>
      <c r="F380" s="1230"/>
      <c r="G380" s="1230"/>
      <c r="H380" s="1230"/>
      <c r="I380" s="1189"/>
      <c r="J380" s="1189"/>
      <c r="K380" s="1189"/>
      <c r="L380" s="1225"/>
      <c r="M380" s="1189"/>
      <c r="N380" s="1189"/>
      <c r="O380" s="1189"/>
      <c r="P380" s="1189"/>
      <c r="Q380" s="1189"/>
      <c r="R380" s="1189"/>
      <c r="S380" s="1189"/>
      <c r="T380" s="1208"/>
      <c r="U380" s="1208"/>
      <c r="V380" s="1189"/>
      <c r="W380" s="1189"/>
      <c r="X380" s="1189"/>
      <c r="Y380" s="1189"/>
      <c r="Z380" s="1189"/>
      <c r="AA380" s="1189"/>
      <c r="AB380" s="1189"/>
      <c r="AC380" s="1189"/>
      <c r="AD380" s="1189"/>
      <c r="AE380" s="1189"/>
      <c r="AF380" s="1189"/>
      <c r="AG380" s="1189"/>
      <c r="AH380" s="1189"/>
      <c r="AI380" s="1189"/>
      <c r="AJ380" s="1189"/>
      <c r="AK380" s="1189"/>
      <c r="AL380" s="1189"/>
      <c r="AM380" s="1189"/>
      <c r="AN380" s="1189"/>
      <c r="AO380" s="1189"/>
      <c r="AP380" s="1189"/>
      <c r="AQ380" s="1189"/>
      <c r="AR380" s="1189"/>
      <c r="AS380" s="1189"/>
      <c r="AT380" s="1189"/>
      <c r="AU380" s="1189"/>
      <c r="AV380" s="1189"/>
      <c r="AW380" s="1189"/>
      <c r="AX380" s="1189"/>
    </row>
    <row r="381" spans="4:50" ht="12.75" customHeight="1">
      <c r="D381" s="1231"/>
      <c r="E381" s="1230"/>
      <c r="F381" s="1230"/>
      <c r="G381" s="1230"/>
      <c r="H381" s="1230"/>
      <c r="I381" s="1189"/>
      <c r="J381" s="1189"/>
      <c r="K381" s="1189"/>
      <c r="L381" s="1225"/>
      <c r="M381" s="1189"/>
      <c r="N381" s="1189"/>
      <c r="O381" s="1189"/>
      <c r="P381" s="1189"/>
      <c r="Q381" s="1189"/>
      <c r="R381" s="1189"/>
      <c r="S381" s="1189"/>
      <c r="T381" s="1208"/>
      <c r="U381" s="1208"/>
      <c r="V381" s="1189"/>
      <c r="W381" s="1189"/>
      <c r="X381" s="1189"/>
      <c r="Y381" s="1189"/>
      <c r="Z381" s="1189"/>
      <c r="AA381" s="1189"/>
      <c r="AB381" s="1189"/>
      <c r="AC381" s="1189"/>
      <c r="AD381" s="1189"/>
      <c r="AE381" s="1189"/>
      <c r="AF381" s="1189"/>
      <c r="AG381" s="1189"/>
      <c r="AH381" s="1189"/>
      <c r="AI381" s="1189"/>
      <c r="AJ381" s="1189"/>
      <c r="AK381" s="1189"/>
      <c r="AL381" s="1189"/>
      <c r="AM381" s="1189"/>
      <c r="AN381" s="1189"/>
      <c r="AO381" s="1189"/>
      <c r="AP381" s="1189"/>
      <c r="AQ381" s="1189"/>
      <c r="AR381" s="1189"/>
      <c r="AS381" s="1189"/>
      <c r="AT381" s="1189"/>
      <c r="AU381" s="1189"/>
      <c r="AV381" s="1189"/>
      <c r="AW381" s="1189"/>
      <c r="AX381" s="1189"/>
    </row>
    <row r="382" spans="4:50" ht="12.75" customHeight="1">
      <c r="D382" s="1231"/>
      <c r="E382" s="1230"/>
      <c r="F382" s="1230"/>
      <c r="G382" s="1230"/>
      <c r="H382" s="1230"/>
      <c r="I382" s="1189"/>
      <c r="J382" s="1189"/>
      <c r="K382" s="1189"/>
      <c r="L382" s="1225"/>
      <c r="M382" s="1189"/>
      <c r="N382" s="1189"/>
      <c r="O382" s="1189"/>
      <c r="P382" s="1189"/>
      <c r="Q382" s="1189"/>
      <c r="R382" s="1189"/>
      <c r="S382" s="1189"/>
      <c r="T382" s="1208"/>
      <c r="U382" s="1208"/>
      <c r="V382" s="1189"/>
      <c r="W382" s="1189"/>
      <c r="X382" s="1189"/>
      <c r="Y382" s="1189"/>
      <c r="Z382" s="1189"/>
      <c r="AA382" s="1189"/>
      <c r="AB382" s="1189"/>
      <c r="AC382" s="1189"/>
      <c r="AD382" s="1189"/>
      <c r="AE382" s="1189"/>
      <c r="AF382" s="1189"/>
      <c r="AG382" s="1189"/>
      <c r="AH382" s="1189"/>
      <c r="AI382" s="1189"/>
      <c r="AJ382" s="1189"/>
      <c r="AK382" s="1189"/>
      <c r="AL382" s="1189"/>
      <c r="AM382" s="1189"/>
      <c r="AN382" s="1189"/>
      <c r="AO382" s="1189"/>
      <c r="AP382" s="1189"/>
      <c r="AQ382" s="1189"/>
      <c r="AR382" s="1189"/>
      <c r="AS382" s="1189"/>
      <c r="AT382" s="1189"/>
      <c r="AU382" s="1189"/>
      <c r="AV382" s="1189"/>
      <c r="AW382" s="1189"/>
      <c r="AX382" s="1189"/>
    </row>
    <row r="383" spans="4:50" ht="12.75" customHeight="1">
      <c r="D383" s="1231"/>
      <c r="E383" s="1230"/>
      <c r="F383" s="1230"/>
      <c r="G383" s="1230"/>
      <c r="H383" s="1230"/>
      <c r="I383" s="1189"/>
      <c r="J383" s="1189"/>
      <c r="K383" s="1189"/>
      <c r="L383" s="1225"/>
      <c r="M383" s="1189"/>
      <c r="N383" s="1189"/>
      <c r="O383" s="1189"/>
      <c r="P383" s="1189"/>
      <c r="Q383" s="1189"/>
      <c r="R383" s="1189"/>
      <c r="S383" s="1189"/>
      <c r="T383" s="1208"/>
      <c r="U383" s="1208"/>
      <c r="V383" s="1189"/>
      <c r="W383" s="1189"/>
      <c r="X383" s="1189"/>
      <c r="Y383" s="1189"/>
      <c r="Z383" s="1189"/>
      <c r="AA383" s="1189"/>
      <c r="AB383" s="1189"/>
      <c r="AC383" s="1189"/>
      <c r="AD383" s="1189"/>
      <c r="AE383" s="1189"/>
      <c r="AF383" s="1189"/>
      <c r="AG383" s="1189"/>
      <c r="AH383" s="1189"/>
      <c r="AI383" s="1189"/>
      <c r="AJ383" s="1189"/>
      <c r="AK383" s="1189"/>
      <c r="AL383" s="1189"/>
      <c r="AM383" s="1189"/>
      <c r="AN383" s="1189"/>
      <c r="AO383" s="1189"/>
      <c r="AP383" s="1189"/>
      <c r="AQ383" s="1189"/>
      <c r="AR383" s="1189"/>
      <c r="AS383" s="1189"/>
      <c r="AT383" s="1189"/>
      <c r="AU383" s="1189"/>
      <c r="AV383" s="1189"/>
      <c r="AW383" s="1189"/>
      <c r="AX383" s="1189"/>
    </row>
    <row r="384" spans="4:50" ht="12.75" customHeight="1">
      <c r="D384" s="1231"/>
      <c r="E384" s="1230"/>
      <c r="F384" s="1230"/>
      <c r="G384" s="1230"/>
      <c r="H384" s="1230"/>
      <c r="I384" s="1189"/>
      <c r="J384" s="1189"/>
      <c r="K384" s="1189"/>
      <c r="L384" s="1225"/>
      <c r="M384" s="1189"/>
      <c r="N384" s="1189"/>
      <c r="O384" s="1189"/>
      <c r="P384" s="1189"/>
      <c r="Q384" s="1189"/>
      <c r="R384" s="1189"/>
      <c r="S384" s="1189"/>
      <c r="T384" s="1208"/>
      <c r="U384" s="1208"/>
      <c r="V384" s="1189"/>
      <c r="W384" s="1189"/>
      <c r="X384" s="1189"/>
      <c r="Y384" s="1189"/>
      <c r="Z384" s="1189"/>
      <c r="AA384" s="1189"/>
      <c r="AB384" s="1189"/>
      <c r="AC384" s="1189"/>
      <c r="AD384" s="1189"/>
      <c r="AE384" s="1189"/>
      <c r="AF384" s="1232"/>
      <c r="AG384" s="1233"/>
      <c r="AH384" s="1232"/>
      <c r="AI384" s="1189"/>
      <c r="AJ384" s="1189"/>
      <c r="AK384" s="1189"/>
      <c r="AL384" s="1189"/>
      <c r="AM384" s="1189"/>
      <c r="AN384" s="1189"/>
      <c r="AO384" s="1189"/>
      <c r="AP384" s="1189"/>
      <c r="AQ384" s="1189"/>
      <c r="AR384" s="1189"/>
      <c r="AS384" s="1189"/>
      <c r="AT384" s="1189"/>
      <c r="AU384" s="1189"/>
      <c r="AV384" s="1189"/>
      <c r="AW384" s="1189"/>
      <c r="AX384" s="1189"/>
    </row>
    <row r="385" spans="4:53" ht="12.75" customHeight="1">
      <c r="D385" s="1231"/>
      <c r="E385" s="1230"/>
      <c r="F385" s="1230"/>
      <c r="G385" s="1230"/>
      <c r="H385" s="1230"/>
      <c r="I385" s="1189"/>
      <c r="J385" s="1189"/>
      <c r="K385" s="1189"/>
      <c r="L385" s="1225"/>
      <c r="M385" s="1189"/>
      <c r="N385" s="1189"/>
      <c r="O385" s="1189"/>
      <c r="P385" s="1189"/>
      <c r="Q385" s="1189"/>
      <c r="R385" s="1189"/>
      <c r="S385" s="1189"/>
      <c r="T385" s="1208"/>
      <c r="U385" s="1208"/>
      <c r="V385" s="1189"/>
      <c r="W385" s="1189"/>
      <c r="X385" s="1189"/>
      <c r="Y385" s="1189"/>
      <c r="Z385" s="1189"/>
      <c r="AA385" s="1189"/>
      <c r="AB385" s="1189"/>
      <c r="AC385" s="1189"/>
      <c r="AD385" s="1189"/>
      <c r="AE385" s="1189"/>
      <c r="AF385" s="1234"/>
      <c r="AG385" s="1234"/>
      <c r="AH385" s="1232"/>
      <c r="AI385" s="1233"/>
      <c r="AJ385" s="1235"/>
      <c r="AK385" s="256"/>
      <c r="AL385" s="257"/>
      <c r="AM385" s="1236"/>
      <c r="AN385" s="1236"/>
      <c r="AO385" s="1237"/>
      <c r="AP385" s="1238"/>
      <c r="AQ385" s="1236"/>
      <c r="AR385" s="1236"/>
      <c r="AS385" s="1239">
        <v>20000</v>
      </c>
      <c r="AT385" s="1236"/>
      <c r="AU385" s="1232">
        <v>24</v>
      </c>
      <c r="AV385" s="1240"/>
      <c r="AW385" s="1241"/>
      <c r="AX385" s="1240"/>
      <c r="AY385" s="1236"/>
      <c r="AZ385" s="1236"/>
      <c r="BA385" s="1236"/>
    </row>
    <row r="386" spans="4:53" ht="12.75" customHeight="1">
      <c r="D386" s="1231"/>
      <c r="E386" s="1230"/>
      <c r="F386" s="1230"/>
      <c r="G386" s="1230"/>
      <c r="H386" s="1230"/>
      <c r="I386" s="1189"/>
      <c r="J386" s="1189"/>
      <c r="K386" s="1189"/>
      <c r="L386" s="1225"/>
      <c r="M386" s="1189"/>
      <c r="N386" s="1189"/>
      <c r="O386" s="1189"/>
      <c r="P386" s="1189"/>
      <c r="Q386" s="1189"/>
      <c r="R386" s="1189"/>
      <c r="S386" s="1189"/>
      <c r="T386" s="1208"/>
      <c r="U386" s="1208"/>
      <c r="V386" s="1189"/>
      <c r="W386" s="1189"/>
      <c r="X386" s="1189"/>
      <c r="Y386" s="1189"/>
      <c r="Z386" s="1189"/>
      <c r="AA386" s="1189"/>
      <c r="AB386" s="1189"/>
      <c r="AC386" s="1189"/>
      <c r="AD386" s="1189"/>
      <c r="AE386" s="1189"/>
      <c r="AF386" s="1234"/>
      <c r="AG386" s="1234"/>
      <c r="AH386" s="1232"/>
      <c r="AI386" s="1234"/>
      <c r="AJ386" s="1242"/>
      <c r="AK386" s="258"/>
      <c r="AL386" s="259"/>
      <c r="AM386" s="1239"/>
      <c r="AN386" s="1239"/>
      <c r="AO386" s="1243"/>
      <c r="AP386" s="1244"/>
      <c r="AQ386" s="1239"/>
      <c r="AR386" s="1239"/>
      <c r="AS386" s="1239">
        <v>15000</v>
      </c>
      <c r="AT386" s="1239"/>
      <c r="AU386" s="1234"/>
      <c r="AV386" s="1245"/>
      <c r="AW386" s="1246"/>
      <c r="AX386" s="1245"/>
      <c r="AY386" s="1239"/>
      <c r="AZ386" s="1239"/>
      <c r="BA386" s="1239"/>
    </row>
    <row r="387" spans="4:53" ht="12.75" customHeight="1">
      <c r="D387" s="1231"/>
      <c r="E387" s="1230"/>
      <c r="F387" s="1230"/>
      <c r="G387" s="1230"/>
      <c r="H387" s="1230"/>
      <c r="I387" s="1189"/>
      <c r="J387" s="1189"/>
      <c r="K387" s="1189"/>
      <c r="L387" s="1225"/>
      <c r="M387" s="1189"/>
      <c r="N387" s="1189"/>
      <c r="O387" s="1189"/>
      <c r="P387" s="1189"/>
      <c r="Q387" s="1189"/>
      <c r="R387" s="1189"/>
      <c r="S387" s="1189"/>
      <c r="T387" s="1208"/>
      <c r="U387" s="1208"/>
      <c r="V387" s="1189"/>
      <c r="W387" s="1189"/>
      <c r="X387" s="1189"/>
      <c r="Y387" s="1189"/>
      <c r="Z387" s="1189"/>
      <c r="AA387" s="1189"/>
      <c r="AB387" s="1189"/>
      <c r="AC387" s="1189"/>
      <c r="AD387" s="1189"/>
      <c r="AE387" s="1189"/>
      <c r="AF387" s="1234"/>
      <c r="AG387" s="1234"/>
      <c r="AH387" s="1232"/>
      <c r="AI387" s="1234"/>
      <c r="AJ387" s="1242"/>
      <c r="AK387" s="258"/>
      <c r="AL387" s="259"/>
      <c r="AM387" s="1239"/>
      <c r="AN387" s="1239"/>
      <c r="AO387" s="1243"/>
      <c r="AP387" s="1244"/>
      <c r="AQ387" s="1239"/>
      <c r="AR387" s="1239"/>
      <c r="AS387" s="1239"/>
      <c r="AT387" s="1239"/>
      <c r="AU387" s="1234"/>
      <c r="AV387" s="1245"/>
      <c r="AW387" s="1246"/>
      <c r="AX387" s="1245"/>
      <c r="AY387" s="1239"/>
      <c r="AZ387" s="1239"/>
      <c r="BA387" s="1239"/>
    </row>
    <row r="388" spans="4:53" ht="12.75" customHeight="1">
      <c r="D388" s="1231"/>
      <c r="E388" s="1230"/>
      <c r="F388" s="1230"/>
      <c r="G388" s="1230"/>
      <c r="H388" s="1230"/>
      <c r="I388" s="1189"/>
      <c r="J388" s="1189"/>
      <c r="K388" s="1189"/>
      <c r="L388" s="1225"/>
      <c r="M388" s="1189"/>
      <c r="N388" s="1189"/>
      <c r="O388" s="1189"/>
      <c r="P388" s="1189"/>
      <c r="Q388" s="1189"/>
      <c r="R388" s="1189"/>
      <c r="S388" s="1189"/>
      <c r="T388" s="1208"/>
      <c r="U388" s="1208"/>
      <c r="V388" s="1189"/>
      <c r="W388" s="1189"/>
      <c r="X388" s="1189"/>
      <c r="Y388" s="1189"/>
      <c r="Z388" s="1189"/>
      <c r="AA388" s="1189"/>
      <c r="AB388" s="1189"/>
      <c r="AC388" s="1189"/>
      <c r="AD388" s="1189"/>
      <c r="AE388" s="1189"/>
      <c r="AF388" s="1234"/>
      <c r="AG388" s="1234"/>
      <c r="AH388" s="1232"/>
      <c r="AI388" s="1234"/>
      <c r="AJ388" s="1242"/>
      <c r="AK388" s="258"/>
      <c r="AL388" s="259"/>
      <c r="AM388" s="1239"/>
      <c r="AN388" s="1239"/>
      <c r="AO388" s="1243"/>
      <c r="AP388" s="1244"/>
      <c r="AQ388" s="1239"/>
      <c r="AR388" s="1239"/>
      <c r="AS388" s="1239"/>
      <c r="AT388" s="1239"/>
      <c r="AU388" s="1234"/>
      <c r="AV388" s="1245"/>
      <c r="AW388" s="1246"/>
      <c r="AX388" s="1245"/>
      <c r="AY388" s="1239"/>
      <c r="AZ388" s="1239"/>
      <c r="BA388" s="1239"/>
    </row>
    <row r="389" spans="4:53" ht="12.75" customHeight="1">
      <c r="D389" s="1231"/>
      <c r="E389" s="1230"/>
      <c r="F389" s="1230"/>
      <c r="G389" s="1230"/>
      <c r="H389" s="1230"/>
      <c r="I389" s="1189"/>
      <c r="J389" s="1189"/>
      <c r="K389" s="1189"/>
      <c r="L389" s="1225"/>
      <c r="M389" s="1189"/>
      <c r="N389" s="1189"/>
      <c r="O389" s="1189"/>
      <c r="P389" s="1189"/>
      <c r="Q389" s="1189"/>
      <c r="R389" s="1189"/>
      <c r="S389" s="1189"/>
      <c r="T389" s="1208"/>
      <c r="U389" s="1208"/>
      <c r="V389" s="1189"/>
      <c r="W389" s="1189"/>
      <c r="X389" s="1189"/>
      <c r="Y389" s="1189"/>
      <c r="Z389" s="1189"/>
      <c r="AA389" s="1189"/>
      <c r="AB389" s="1189"/>
      <c r="AC389" s="1189"/>
      <c r="AD389" s="1189"/>
      <c r="AE389" s="1189"/>
      <c r="AF389" s="1234"/>
      <c r="AG389" s="1234"/>
      <c r="AH389" s="1232"/>
      <c r="AI389" s="1234"/>
      <c r="AJ389" s="1242"/>
      <c r="AK389" s="258"/>
      <c r="AL389" s="259"/>
      <c r="AM389" s="1239"/>
      <c r="AN389" s="1239"/>
      <c r="AO389" s="1243"/>
      <c r="AP389" s="1244"/>
      <c r="AQ389" s="1239"/>
      <c r="AR389" s="1239"/>
      <c r="AS389" s="1239"/>
      <c r="AT389" s="1239"/>
      <c r="AU389" s="1234"/>
      <c r="AV389" s="1245"/>
      <c r="AW389" s="1246"/>
      <c r="AX389" s="1245"/>
      <c r="AY389" s="1239"/>
      <c r="AZ389" s="1239"/>
      <c r="BA389" s="1239"/>
    </row>
    <row r="390" spans="4:53" ht="12.75" customHeight="1">
      <c r="D390" s="1231"/>
      <c r="E390" s="1230"/>
      <c r="F390" s="1230"/>
      <c r="G390" s="1230"/>
      <c r="H390" s="1230"/>
      <c r="I390" s="1189"/>
      <c r="J390" s="1189"/>
      <c r="K390" s="1189"/>
      <c r="L390" s="1225"/>
      <c r="M390" s="1189"/>
      <c r="N390" s="1189"/>
      <c r="O390" s="1189"/>
      <c r="P390" s="1189"/>
      <c r="Q390" s="1189"/>
      <c r="R390" s="1189"/>
      <c r="S390" s="1189"/>
      <c r="T390" s="1208"/>
      <c r="U390" s="1208"/>
      <c r="V390" s="1189"/>
      <c r="W390" s="1189"/>
      <c r="X390" s="1189"/>
      <c r="Y390" s="1189"/>
      <c r="Z390" s="1189"/>
      <c r="AA390" s="1189"/>
      <c r="AB390" s="1189"/>
      <c r="AC390" s="1189"/>
      <c r="AD390" s="1189"/>
      <c r="AE390" s="1189"/>
      <c r="AF390" s="1234"/>
      <c r="AG390" s="1234"/>
      <c r="AH390" s="1232"/>
      <c r="AI390" s="1234"/>
      <c r="AJ390" s="1242"/>
      <c r="AK390" s="258"/>
      <c r="AL390" s="259"/>
      <c r="AM390" s="1239"/>
      <c r="AN390" s="1239"/>
      <c r="AO390" s="1243"/>
      <c r="AP390" s="1244"/>
      <c r="AQ390" s="1239"/>
      <c r="AR390" s="1239"/>
      <c r="AS390" s="1239"/>
      <c r="AT390" s="1239"/>
      <c r="AU390" s="1234"/>
      <c r="AV390" s="1245"/>
      <c r="AW390" s="1246"/>
      <c r="AX390" s="1245"/>
      <c r="AY390" s="1239"/>
      <c r="AZ390" s="1239"/>
      <c r="BA390" s="1239"/>
    </row>
    <row r="391" spans="4:53" ht="12.75" customHeight="1">
      <c r="D391" s="1231"/>
      <c r="E391" s="1230"/>
      <c r="F391" s="1230"/>
      <c r="G391" s="1230"/>
      <c r="H391" s="1230"/>
      <c r="I391" s="1189"/>
      <c r="J391" s="1189"/>
      <c r="K391" s="1189"/>
      <c r="L391" s="1225"/>
      <c r="M391" s="1189"/>
      <c r="N391" s="1189"/>
      <c r="O391" s="1189"/>
      <c r="P391" s="1189"/>
      <c r="Q391" s="1189"/>
      <c r="R391" s="1189"/>
      <c r="S391" s="1189"/>
      <c r="T391" s="1208"/>
      <c r="U391" s="1208"/>
      <c r="V391" s="1189"/>
      <c r="W391" s="1189"/>
      <c r="X391" s="1189"/>
      <c r="Y391" s="1189"/>
      <c r="Z391" s="1189"/>
      <c r="AA391" s="1189"/>
      <c r="AB391" s="1189"/>
      <c r="AC391" s="1189"/>
      <c r="AD391" s="1189"/>
      <c r="AE391" s="1189"/>
      <c r="AF391" s="1234"/>
      <c r="AG391" s="1234"/>
      <c r="AH391" s="1232"/>
      <c r="AI391" s="1234"/>
      <c r="AJ391" s="1242"/>
      <c r="AK391" s="258"/>
      <c r="AL391" s="259"/>
      <c r="AM391" s="1239"/>
      <c r="AN391" s="1239"/>
      <c r="AO391" s="1243"/>
      <c r="AP391" s="1244"/>
      <c r="AQ391" s="1239"/>
      <c r="AR391" s="1239"/>
      <c r="AS391" s="1239"/>
      <c r="AT391" s="1239"/>
      <c r="AU391" s="1234"/>
      <c r="AV391" s="1245"/>
      <c r="AW391" s="1246"/>
      <c r="AX391" s="1245"/>
      <c r="AY391" s="1239"/>
      <c r="AZ391" s="1239"/>
      <c r="BA391" s="1239"/>
    </row>
    <row r="392" spans="4:53" ht="12.75" customHeight="1">
      <c r="D392" s="1231"/>
      <c r="E392" s="1230"/>
      <c r="F392" s="1230"/>
      <c r="G392" s="1230"/>
      <c r="H392" s="1230"/>
      <c r="I392" s="1189"/>
      <c r="J392" s="1189"/>
      <c r="K392" s="1189"/>
      <c r="L392" s="1225"/>
      <c r="M392" s="1189"/>
      <c r="N392" s="1189"/>
      <c r="O392" s="1189"/>
      <c r="P392" s="1189"/>
      <c r="Q392" s="1189"/>
      <c r="R392" s="1189"/>
      <c r="S392" s="1189"/>
      <c r="T392" s="1208"/>
      <c r="U392" s="1208"/>
      <c r="V392" s="1189"/>
      <c r="W392" s="1189"/>
      <c r="X392" s="1189"/>
      <c r="Y392" s="1189"/>
      <c r="Z392" s="1189"/>
      <c r="AA392" s="1189"/>
      <c r="AB392" s="1189"/>
      <c r="AC392" s="1189"/>
      <c r="AD392" s="1189"/>
      <c r="AE392" s="1189"/>
      <c r="AF392" s="1234"/>
      <c r="AG392" s="1234"/>
      <c r="AH392" s="1232"/>
      <c r="AI392" s="1234"/>
      <c r="AJ392" s="1242"/>
      <c r="AK392" s="258"/>
      <c r="AL392" s="259"/>
      <c r="AM392" s="1239"/>
      <c r="AN392" s="1239"/>
      <c r="AO392" s="1243"/>
      <c r="AP392" s="1244"/>
      <c r="AQ392" s="1239"/>
      <c r="AR392" s="1239"/>
      <c r="AS392" s="1239"/>
      <c r="AT392" s="1239"/>
      <c r="AU392" s="1234"/>
      <c r="AV392" s="1245"/>
      <c r="AW392" s="1246"/>
      <c r="AX392" s="1245"/>
      <c r="AY392" s="1239"/>
      <c r="AZ392" s="1239"/>
      <c r="BA392" s="1239"/>
    </row>
    <row r="393" spans="4:53" ht="12.75" customHeight="1">
      <c r="D393" s="1231"/>
      <c r="E393" s="1230"/>
      <c r="F393" s="1230"/>
      <c r="G393" s="1230"/>
      <c r="H393" s="1230"/>
      <c r="I393" s="1189"/>
      <c r="J393" s="1189"/>
      <c r="K393" s="1189"/>
      <c r="L393" s="1225"/>
      <c r="M393" s="1189"/>
      <c r="N393" s="1189"/>
      <c r="O393" s="1189"/>
      <c r="P393" s="1189"/>
      <c r="Q393" s="1189"/>
      <c r="R393" s="1189"/>
      <c r="S393" s="1189"/>
      <c r="T393" s="1208"/>
      <c r="U393" s="1208"/>
      <c r="V393" s="1189"/>
      <c r="W393" s="1189"/>
      <c r="X393" s="1189"/>
      <c r="Y393" s="1189"/>
      <c r="Z393" s="1189"/>
      <c r="AA393" s="1189"/>
      <c r="AB393" s="1189"/>
      <c r="AC393" s="1189"/>
      <c r="AD393" s="1189"/>
      <c r="AE393" s="1189"/>
      <c r="AF393" s="1234"/>
      <c r="AG393" s="1234"/>
      <c r="AH393" s="1232"/>
      <c r="AI393" s="1234"/>
      <c r="AJ393" s="1242"/>
      <c r="AK393" s="258"/>
      <c r="AL393" s="259"/>
      <c r="AM393" s="1239"/>
      <c r="AN393" s="1239"/>
      <c r="AO393" s="1243"/>
      <c r="AP393" s="1244"/>
      <c r="AQ393" s="1239"/>
      <c r="AR393" s="1239"/>
      <c r="AS393" s="1239"/>
      <c r="AT393" s="1239"/>
      <c r="AU393" s="1234"/>
      <c r="AV393" s="1245"/>
      <c r="AW393" s="1246"/>
      <c r="AX393" s="1245"/>
      <c r="AY393" s="1239"/>
      <c r="AZ393" s="1239"/>
      <c r="BA393" s="1239"/>
    </row>
    <row r="394" spans="4:53" ht="12.75" customHeight="1">
      <c r="D394" s="1231"/>
      <c r="E394" s="1230"/>
      <c r="F394" s="1230"/>
      <c r="G394" s="1230"/>
      <c r="H394" s="1230"/>
      <c r="I394" s="1189"/>
      <c r="J394" s="1189"/>
      <c r="K394" s="1189"/>
      <c r="L394" s="1225"/>
      <c r="M394" s="1189"/>
      <c r="N394" s="1189"/>
      <c r="O394" s="1189"/>
      <c r="P394" s="1189"/>
      <c r="Q394" s="1189"/>
      <c r="R394" s="1189"/>
      <c r="S394" s="1189"/>
      <c r="T394" s="1208"/>
      <c r="U394" s="1208"/>
      <c r="V394" s="1189"/>
      <c r="W394" s="1189"/>
      <c r="X394" s="1189"/>
      <c r="Y394" s="1189"/>
      <c r="Z394" s="1189"/>
      <c r="AA394" s="1189"/>
      <c r="AB394" s="1189"/>
      <c r="AC394" s="1189"/>
      <c r="AD394" s="1189"/>
      <c r="AE394" s="1189"/>
      <c r="AF394" s="1225"/>
      <c r="AG394" s="1189"/>
      <c r="AH394" s="1189"/>
      <c r="AI394" s="1234"/>
      <c r="AJ394" s="1242"/>
      <c r="AK394" s="258"/>
      <c r="AL394" s="259"/>
      <c r="AM394" s="1239"/>
      <c r="AN394" s="1239"/>
      <c r="AO394" s="1243"/>
      <c r="AP394" s="1244"/>
      <c r="AQ394" s="1239"/>
      <c r="AR394" s="1239"/>
      <c r="AS394" s="1239"/>
      <c r="AT394" s="1239"/>
      <c r="AU394" s="1234"/>
      <c r="AV394" s="1245"/>
      <c r="AW394" s="1246"/>
      <c r="AX394" s="1245"/>
      <c r="AY394" s="1239"/>
      <c r="AZ394" s="1239"/>
      <c r="BA394" s="1239"/>
    </row>
    <row r="395" spans="4:53" ht="12.75" customHeight="1">
      <c r="D395" s="1231"/>
      <c r="E395" s="1230"/>
      <c r="F395" s="1230"/>
      <c r="G395" s="1230"/>
      <c r="H395" s="1230"/>
      <c r="I395" s="1189"/>
      <c r="J395" s="1189"/>
      <c r="K395" s="1189"/>
      <c r="L395" s="1225"/>
      <c r="M395" s="1189"/>
      <c r="N395" s="1189"/>
      <c r="O395" s="1189"/>
      <c r="P395" s="1189"/>
      <c r="Q395" s="1189"/>
      <c r="R395" s="1189"/>
      <c r="S395" s="1189"/>
      <c r="T395" s="1208"/>
      <c r="U395" s="1208"/>
      <c r="V395" s="1189"/>
      <c r="W395" s="1189"/>
      <c r="X395" s="1189"/>
      <c r="Y395" s="1189"/>
      <c r="Z395" s="1189"/>
      <c r="AA395" s="1189"/>
      <c r="AB395" s="1189"/>
      <c r="AC395" s="1189"/>
      <c r="AD395" s="1189"/>
      <c r="AE395" s="1189"/>
      <c r="AF395" s="1225"/>
      <c r="AG395" s="1189"/>
      <c r="AH395" s="1189"/>
      <c r="AI395" s="1189"/>
      <c r="AJ395" s="1247"/>
      <c r="AK395" s="1189"/>
      <c r="AL395" s="1189"/>
      <c r="AM395" s="1189"/>
      <c r="AN395" s="1189"/>
      <c r="AO395" s="1189"/>
      <c r="AP395" s="1189"/>
      <c r="AQ395" s="1189"/>
      <c r="AR395" s="1189"/>
      <c r="AS395" s="1248"/>
      <c r="AT395" s="1189"/>
      <c r="AU395" s="1189"/>
      <c r="AV395" s="1189"/>
      <c r="AW395" s="1211"/>
      <c r="AX395" s="1212"/>
      <c r="AY395" s="1189"/>
      <c r="AZ395" s="1189"/>
      <c r="BA395" s="1189"/>
    </row>
    <row r="396" spans="4:53" ht="12.75" customHeight="1">
      <c r="D396" s="1231"/>
      <c r="E396" s="1230"/>
      <c r="F396" s="1230"/>
      <c r="G396" s="1230"/>
      <c r="H396" s="1230"/>
      <c r="I396" s="1189"/>
      <c r="J396" s="1189"/>
      <c r="K396" s="1189"/>
      <c r="L396" s="1225"/>
      <c r="M396" s="1189"/>
      <c r="N396" s="1189"/>
      <c r="O396" s="1189"/>
      <c r="P396" s="1189"/>
      <c r="Q396" s="1189"/>
      <c r="R396" s="1189"/>
      <c r="S396" s="1189"/>
      <c r="T396" s="1208"/>
      <c r="U396" s="1208"/>
      <c r="V396" s="1189"/>
      <c r="W396" s="1189"/>
      <c r="X396" s="1189"/>
      <c r="Y396" s="1189"/>
      <c r="Z396" s="1189"/>
      <c r="AA396" s="1189"/>
      <c r="AB396" s="1189"/>
      <c r="AC396" s="1189"/>
      <c r="AD396" s="1189"/>
      <c r="AE396" s="1189"/>
      <c r="AF396" s="1225"/>
      <c r="AG396" s="1189"/>
      <c r="AH396" s="1189"/>
      <c r="AI396" s="1189"/>
      <c r="AJ396" s="1247"/>
      <c r="AK396" s="1189"/>
      <c r="AL396" s="1189"/>
      <c r="AM396" s="1189"/>
      <c r="AN396" s="1189"/>
      <c r="AO396" s="1189"/>
      <c r="AP396" s="1189"/>
      <c r="AQ396" s="1189"/>
      <c r="AR396" s="1189"/>
      <c r="AS396" s="1248"/>
      <c r="AT396" s="1189"/>
      <c r="AU396" s="1189"/>
      <c r="AV396" s="1189"/>
      <c r="AW396" s="1211"/>
      <c r="AX396" s="1212"/>
      <c r="AY396" s="1189"/>
      <c r="AZ396" s="1189"/>
      <c r="BA396" s="1189"/>
    </row>
    <row r="397" spans="4:53" ht="12.75" customHeight="1">
      <c r="D397" s="1231"/>
      <c r="E397" s="1230"/>
      <c r="F397" s="1230"/>
      <c r="G397" s="1230"/>
      <c r="H397" s="1230"/>
      <c r="I397" s="1189"/>
      <c r="J397" s="1189"/>
      <c r="K397" s="1189"/>
      <c r="L397" s="1225"/>
      <c r="M397" s="1189"/>
      <c r="N397" s="1189"/>
      <c r="O397" s="1189"/>
      <c r="P397" s="1189"/>
      <c r="Q397" s="1189"/>
      <c r="R397" s="1189"/>
      <c r="S397" s="1189"/>
      <c r="T397" s="1208"/>
      <c r="U397" s="1208"/>
      <c r="V397" s="1189"/>
      <c r="W397" s="1189"/>
      <c r="X397" s="1189"/>
      <c r="Y397" s="1189"/>
      <c r="Z397" s="1189"/>
      <c r="AA397" s="1189"/>
      <c r="AB397" s="1189"/>
      <c r="AC397" s="1189"/>
      <c r="AD397" s="1189"/>
      <c r="AE397" s="1189"/>
      <c r="AF397" s="1225"/>
      <c r="AG397" s="1189"/>
      <c r="AH397" s="1189"/>
      <c r="AI397" s="1189"/>
      <c r="AJ397" s="1247"/>
      <c r="AK397" s="1189"/>
      <c r="AL397" s="1189"/>
      <c r="AM397" s="1189"/>
      <c r="AN397" s="1189"/>
      <c r="AO397" s="1189"/>
      <c r="AP397" s="1189"/>
      <c r="AQ397" s="1189"/>
      <c r="AR397" s="1189"/>
      <c r="AS397" s="1248"/>
      <c r="AT397" s="1189"/>
      <c r="AU397" s="1189"/>
      <c r="AV397" s="1189"/>
      <c r="AW397" s="1211"/>
      <c r="AX397" s="1212"/>
      <c r="AY397" s="1189"/>
      <c r="AZ397" s="1189"/>
      <c r="BA397" s="1189"/>
    </row>
    <row r="398" spans="4:53" ht="12.75" customHeight="1">
      <c r="D398" s="1231"/>
      <c r="E398" s="1230"/>
      <c r="F398" s="1230"/>
      <c r="G398" s="1230"/>
      <c r="H398" s="1230"/>
      <c r="I398" s="1189"/>
      <c r="J398" s="1189"/>
      <c r="K398" s="1189"/>
      <c r="L398" s="1225"/>
      <c r="M398" s="1189"/>
      <c r="N398" s="1189"/>
      <c r="O398" s="1189"/>
      <c r="P398" s="1189"/>
      <c r="Q398" s="1189"/>
      <c r="R398" s="1189"/>
      <c r="S398" s="1189"/>
      <c r="T398" s="1208"/>
      <c r="U398" s="1208"/>
      <c r="V398" s="1189"/>
      <c r="W398" s="1189"/>
      <c r="X398" s="1189"/>
      <c r="Y398" s="1189"/>
      <c r="Z398" s="1189"/>
      <c r="AA398" s="1189"/>
      <c r="AB398" s="1189"/>
      <c r="AC398" s="1189"/>
      <c r="AD398" s="1189"/>
      <c r="AE398" s="1189"/>
      <c r="AF398" s="1225"/>
      <c r="AG398" s="1189"/>
      <c r="AH398" s="1189"/>
      <c r="AI398" s="1189"/>
      <c r="AJ398" s="1247"/>
      <c r="AK398" s="1189"/>
      <c r="AL398" s="1189"/>
      <c r="AM398" s="1189"/>
      <c r="AN398" s="1189"/>
      <c r="AO398" s="1189"/>
      <c r="AP398" s="1189"/>
      <c r="AQ398" s="1189"/>
      <c r="AR398" s="1189"/>
      <c r="AS398" s="1248"/>
      <c r="AT398" s="1189"/>
      <c r="AU398" s="1189"/>
      <c r="AV398" s="1189"/>
      <c r="AW398" s="1211"/>
      <c r="AX398" s="1212"/>
      <c r="AY398" s="1189"/>
      <c r="AZ398" s="1189"/>
      <c r="BA398" s="1189"/>
    </row>
    <row r="399" spans="4:53" ht="12.75" customHeight="1">
      <c r="D399" s="1231"/>
      <c r="E399" s="1230"/>
      <c r="F399" s="1230"/>
      <c r="G399" s="1230"/>
      <c r="H399" s="1230"/>
      <c r="I399" s="1189"/>
      <c r="J399" s="1189"/>
      <c r="K399" s="1189"/>
      <c r="L399" s="1225"/>
      <c r="M399" s="1189"/>
      <c r="N399" s="1189"/>
      <c r="O399" s="1189"/>
      <c r="P399" s="1189"/>
      <c r="Q399" s="1189"/>
      <c r="R399" s="1189"/>
      <c r="S399" s="1189"/>
      <c r="T399" s="1208"/>
      <c r="U399" s="1208"/>
      <c r="V399" s="1189"/>
      <c r="W399" s="1189"/>
      <c r="X399" s="1189"/>
      <c r="Y399" s="1189"/>
      <c r="Z399" s="1189"/>
      <c r="AA399" s="1189"/>
      <c r="AB399" s="1189"/>
      <c r="AC399" s="1189"/>
      <c r="AD399" s="1189"/>
      <c r="AE399" s="1189"/>
      <c r="AF399" s="1225"/>
      <c r="AG399" s="1189"/>
      <c r="AH399" s="1189"/>
      <c r="AI399" s="1189"/>
      <c r="AJ399" s="1247"/>
      <c r="AK399" s="1189"/>
      <c r="AL399" s="1189"/>
      <c r="AM399" s="1189"/>
      <c r="AN399" s="1189"/>
      <c r="AO399" s="1189"/>
      <c r="AP399" s="1189"/>
      <c r="AQ399" s="1189"/>
      <c r="AR399" s="1189"/>
      <c r="AS399" s="1248"/>
      <c r="AT399" s="1189"/>
      <c r="AU399" s="1189"/>
      <c r="AV399" s="1189"/>
      <c r="AW399" s="1211"/>
      <c r="AX399" s="1212"/>
      <c r="AY399" s="1189"/>
      <c r="AZ399" s="1189"/>
      <c r="BA399" s="1189"/>
    </row>
    <row r="400" spans="4:53" ht="12.75" customHeight="1">
      <c r="D400" s="1231"/>
      <c r="E400" s="1230"/>
      <c r="F400" s="1230"/>
      <c r="G400" s="1230"/>
      <c r="H400" s="1230"/>
      <c r="I400" s="1189"/>
      <c r="J400" s="1189"/>
      <c r="K400" s="1189"/>
      <c r="L400" s="1225"/>
      <c r="M400" s="1189"/>
      <c r="N400" s="1189"/>
      <c r="O400" s="1189"/>
      <c r="P400" s="1189"/>
      <c r="Q400" s="1189"/>
      <c r="R400" s="1189"/>
      <c r="S400" s="1189"/>
      <c r="T400" s="1208"/>
      <c r="U400" s="1208"/>
      <c r="V400" s="1189"/>
      <c r="W400" s="1189"/>
      <c r="X400" s="1189"/>
      <c r="Y400" s="1189"/>
      <c r="Z400" s="1189"/>
      <c r="AA400" s="1189"/>
      <c r="AB400" s="1189"/>
      <c r="AC400" s="1189"/>
      <c r="AD400" s="1189"/>
      <c r="AE400" s="1189"/>
      <c r="AF400" s="1225"/>
      <c r="AG400" s="1189"/>
      <c r="AH400" s="1189"/>
      <c r="AI400" s="1189"/>
      <c r="AJ400" s="1247"/>
      <c r="AK400" s="1189"/>
      <c r="AL400" s="1189"/>
      <c r="AM400" s="1189"/>
      <c r="AN400" s="1189"/>
      <c r="AO400" s="1189"/>
      <c r="AP400" s="1189"/>
      <c r="AQ400" s="1189"/>
      <c r="AR400" s="1189"/>
      <c r="AS400" s="1248"/>
      <c r="AT400" s="1189"/>
      <c r="AU400" s="1189"/>
      <c r="AV400" s="1189"/>
      <c r="AW400" s="1211"/>
      <c r="AX400" s="1212"/>
      <c r="AY400" s="1189"/>
      <c r="AZ400" s="1189"/>
      <c r="BA400" s="1189"/>
    </row>
    <row r="401" spans="4:45" ht="12.75" customHeight="1">
      <c r="D401" s="1231"/>
      <c r="E401" s="1230"/>
      <c r="F401" s="1230"/>
      <c r="G401" s="1230"/>
      <c r="H401" s="1230"/>
      <c r="I401" s="1189"/>
      <c r="J401" s="1189"/>
      <c r="K401" s="1189"/>
      <c r="L401" s="1225"/>
      <c r="M401" s="1189"/>
      <c r="N401" s="1189"/>
      <c r="O401" s="1189"/>
      <c r="P401" s="1189"/>
      <c r="Q401" s="1189"/>
      <c r="R401" s="1189"/>
      <c r="S401" s="1189"/>
      <c r="T401" s="1208"/>
      <c r="U401" s="1208"/>
      <c r="V401" s="1189"/>
      <c r="W401" s="1189"/>
      <c r="X401" s="1189"/>
      <c r="Y401" s="1189"/>
      <c r="Z401" s="1189"/>
      <c r="AA401" s="1189"/>
      <c r="AB401" s="1189"/>
      <c r="AC401" s="1189"/>
      <c r="AD401" s="1189"/>
      <c r="AE401" s="1189"/>
      <c r="AF401" s="1225"/>
      <c r="AG401" s="1189"/>
      <c r="AH401" s="1189"/>
      <c r="AI401" s="1189"/>
      <c r="AJ401" s="1247"/>
      <c r="AK401" s="1189"/>
      <c r="AL401" s="1189"/>
      <c r="AM401" s="1189"/>
      <c r="AN401" s="1189"/>
      <c r="AO401" s="1189"/>
      <c r="AP401" s="1189"/>
      <c r="AQ401" s="1189"/>
      <c r="AR401" s="1189"/>
      <c r="AS401" s="1248"/>
    </row>
    <row r="402" spans="4:45" ht="12.75" customHeight="1">
      <c r="D402" s="1231"/>
      <c r="E402" s="1230"/>
      <c r="F402" s="1230"/>
      <c r="G402" s="1230"/>
      <c r="H402" s="1230"/>
      <c r="I402" s="1189"/>
      <c r="J402" s="1189"/>
      <c r="K402" s="1189"/>
      <c r="L402" s="1225"/>
      <c r="M402" s="1189"/>
      <c r="N402" s="1189"/>
      <c r="O402" s="1189"/>
      <c r="P402" s="1189"/>
      <c r="Q402" s="1189"/>
      <c r="R402" s="1189"/>
      <c r="S402" s="1189"/>
      <c r="T402" s="1208"/>
      <c r="U402" s="1208"/>
      <c r="V402" s="1189"/>
      <c r="W402" s="1189"/>
      <c r="X402" s="1189"/>
      <c r="Y402" s="1189"/>
      <c r="Z402" s="1189"/>
      <c r="AA402" s="1189"/>
      <c r="AB402" s="1189"/>
      <c r="AC402" s="1189"/>
      <c r="AD402" s="1189"/>
      <c r="AE402" s="1189"/>
      <c r="AF402" s="1189"/>
      <c r="AG402" s="1189"/>
      <c r="AH402" s="1189"/>
      <c r="AI402" s="1189"/>
      <c r="AJ402" s="1247"/>
      <c r="AK402" s="1189"/>
      <c r="AL402" s="1189"/>
      <c r="AM402" s="1189"/>
      <c r="AN402" s="1189"/>
      <c r="AO402" s="1189"/>
      <c r="AP402" s="1189"/>
      <c r="AQ402" s="1189"/>
      <c r="AR402" s="1189"/>
      <c r="AS402" s="1248"/>
    </row>
    <row r="403" spans="4:45" ht="12.75" customHeight="1">
      <c r="D403" s="1231"/>
      <c r="E403" s="1230"/>
      <c r="F403" s="1230"/>
      <c r="G403" s="1230"/>
      <c r="H403" s="1230"/>
      <c r="I403" s="1189"/>
      <c r="J403" s="1189"/>
      <c r="K403" s="1189"/>
      <c r="L403" s="1225"/>
      <c r="M403" s="1189"/>
      <c r="N403" s="1189"/>
      <c r="O403" s="1189"/>
      <c r="P403" s="1189"/>
      <c r="Q403" s="1189"/>
      <c r="R403" s="1189"/>
      <c r="S403" s="1189"/>
      <c r="T403" s="1208"/>
      <c r="U403" s="1208"/>
      <c r="V403" s="1189"/>
      <c r="W403" s="1189"/>
      <c r="X403" s="1189"/>
      <c r="Y403" s="1189"/>
      <c r="Z403" s="1189"/>
      <c r="AA403" s="1189"/>
      <c r="AB403" s="1189"/>
      <c r="AC403" s="1189"/>
      <c r="AD403" s="1189"/>
      <c r="AE403" s="1189"/>
      <c r="AF403" s="1189"/>
      <c r="AG403" s="1189"/>
      <c r="AH403" s="1189"/>
      <c r="AI403" s="1189"/>
      <c r="AJ403" s="1247"/>
      <c r="AK403" s="1189"/>
      <c r="AL403" s="1189"/>
      <c r="AM403" s="1189"/>
      <c r="AN403" s="1189"/>
      <c r="AO403" s="1189"/>
      <c r="AP403" s="1189"/>
      <c r="AQ403" s="1189"/>
      <c r="AR403" s="1189"/>
      <c r="AS403" s="1189"/>
    </row>
    <row r="404" spans="4:45" ht="12.75" customHeight="1">
      <c r="D404" s="1231"/>
      <c r="E404" s="1230"/>
      <c r="F404" s="1230"/>
      <c r="G404" s="1230"/>
      <c r="H404" s="1230"/>
      <c r="I404" s="1189"/>
      <c r="J404" s="1189"/>
      <c r="K404" s="1189"/>
      <c r="L404" s="1225"/>
      <c r="M404" s="1189"/>
      <c r="N404" s="1189"/>
      <c r="O404" s="1189"/>
      <c r="P404" s="1189"/>
      <c r="Q404" s="1189"/>
      <c r="R404" s="1189"/>
      <c r="S404" s="1189"/>
      <c r="T404" s="1208"/>
      <c r="U404" s="1208"/>
      <c r="V404" s="1189"/>
      <c r="W404" s="1189"/>
      <c r="X404" s="1189"/>
      <c r="Y404" s="1189"/>
      <c r="Z404" s="1189"/>
      <c r="AA404" s="1189"/>
      <c r="AB404" s="1189"/>
      <c r="AC404" s="1189"/>
      <c r="AD404" s="1189"/>
      <c r="AE404" s="1189"/>
      <c r="AF404" s="1189"/>
      <c r="AG404" s="1189"/>
      <c r="AH404" s="1189"/>
      <c r="AI404" s="1189"/>
      <c r="AJ404" s="1247"/>
      <c r="AK404" s="1189"/>
      <c r="AL404" s="1189"/>
      <c r="AM404" s="1189"/>
      <c r="AN404" s="1189"/>
      <c r="AO404" s="1189"/>
      <c r="AP404" s="1189"/>
      <c r="AQ404" s="1189"/>
      <c r="AR404" s="1189"/>
      <c r="AS404" s="1189"/>
    </row>
    <row r="405" spans="4:45" ht="12.75" customHeight="1">
      <c r="D405" s="1231"/>
      <c r="E405" s="1230"/>
      <c r="F405" s="1230"/>
      <c r="G405" s="1230"/>
      <c r="H405" s="1230"/>
      <c r="I405" s="1189"/>
      <c r="J405" s="1189"/>
      <c r="K405" s="1189"/>
      <c r="L405" s="1225"/>
      <c r="M405" s="1189"/>
      <c r="N405" s="1189"/>
      <c r="O405" s="1189"/>
      <c r="P405" s="1189"/>
      <c r="Q405" s="1189"/>
      <c r="R405" s="1189"/>
      <c r="S405" s="1189"/>
      <c r="T405" s="1208"/>
      <c r="U405" s="1208"/>
      <c r="V405" s="1189"/>
      <c r="W405" s="1189"/>
      <c r="X405" s="1189"/>
      <c r="Y405" s="1189"/>
      <c r="Z405" s="1189"/>
      <c r="AA405" s="1189"/>
      <c r="AB405" s="1189"/>
      <c r="AC405" s="1189"/>
      <c r="AD405" s="1189"/>
      <c r="AE405" s="1189"/>
      <c r="AF405" s="1189"/>
      <c r="AG405" s="1189"/>
      <c r="AH405" s="1189"/>
      <c r="AI405" s="1189"/>
      <c r="AJ405" s="1247"/>
      <c r="AK405" s="1189"/>
      <c r="AL405" s="1189"/>
      <c r="AM405" s="1189"/>
      <c r="AN405" s="1189"/>
      <c r="AO405" s="1189"/>
      <c r="AP405" s="1189"/>
      <c r="AQ405" s="1189"/>
      <c r="AR405" s="1189"/>
      <c r="AS405" s="1189"/>
    </row>
    <row r="406" spans="4:45" ht="12.75" customHeight="1">
      <c r="D406" s="1231"/>
      <c r="E406" s="1230"/>
      <c r="F406" s="1230"/>
      <c r="G406" s="1230"/>
      <c r="H406" s="1230"/>
      <c r="I406" s="1189"/>
      <c r="J406" s="1189"/>
      <c r="K406" s="1189"/>
      <c r="L406" s="1225"/>
      <c r="M406" s="1189"/>
      <c r="N406" s="1189"/>
      <c r="O406" s="1189"/>
      <c r="P406" s="1189"/>
      <c r="Q406" s="1189"/>
      <c r="R406" s="1189"/>
      <c r="S406" s="1189"/>
      <c r="T406" s="1208"/>
      <c r="U406" s="1208"/>
      <c r="V406" s="1189"/>
      <c r="W406" s="1189"/>
      <c r="X406" s="1189"/>
      <c r="Y406" s="1189"/>
      <c r="Z406" s="1189"/>
      <c r="AA406" s="1189"/>
      <c r="AB406" s="1189"/>
      <c r="AC406" s="1189"/>
      <c r="AD406" s="1189"/>
      <c r="AE406" s="1189"/>
      <c r="AF406" s="1189"/>
      <c r="AG406" s="1189"/>
      <c r="AH406" s="1189"/>
      <c r="AI406" s="1189"/>
      <c r="AJ406" s="1247"/>
      <c r="AK406" s="1189"/>
      <c r="AL406" s="1189"/>
      <c r="AM406" s="1189"/>
      <c r="AN406" s="1189"/>
      <c r="AO406" s="1189"/>
      <c r="AP406" s="1189"/>
      <c r="AQ406" s="1189"/>
      <c r="AR406" s="1189"/>
      <c r="AS406" s="1189"/>
    </row>
    <row r="407" spans="4:45" ht="12.75" customHeight="1">
      <c r="D407" s="1231"/>
      <c r="E407" s="1230"/>
      <c r="F407" s="1230"/>
      <c r="G407" s="1230"/>
      <c r="H407" s="1230"/>
      <c r="I407" s="1189"/>
      <c r="J407" s="1189"/>
      <c r="K407" s="1189"/>
      <c r="L407" s="1225"/>
      <c r="M407" s="1189"/>
      <c r="N407" s="1189"/>
      <c r="O407" s="1189"/>
      <c r="P407" s="1189"/>
      <c r="Q407" s="1189"/>
      <c r="R407" s="1189"/>
      <c r="S407" s="1189"/>
      <c r="T407" s="1208"/>
      <c r="U407" s="1208"/>
      <c r="V407" s="1189"/>
      <c r="W407" s="1189"/>
      <c r="X407" s="1189"/>
      <c r="Y407" s="1189"/>
      <c r="Z407" s="1189"/>
      <c r="AA407" s="1189"/>
      <c r="AB407" s="1189"/>
      <c r="AC407" s="1189"/>
      <c r="AD407" s="1189"/>
      <c r="AE407" s="1189"/>
      <c r="AF407" s="1189"/>
      <c r="AG407" s="1189"/>
      <c r="AH407" s="1189"/>
      <c r="AI407" s="1189"/>
      <c r="AJ407" s="1247"/>
      <c r="AK407" s="1189"/>
      <c r="AL407" s="1189"/>
      <c r="AM407" s="1189"/>
      <c r="AN407" s="1189"/>
      <c r="AO407" s="1189"/>
      <c r="AP407" s="1189"/>
      <c r="AQ407" s="1189"/>
      <c r="AR407" s="1189"/>
      <c r="AS407" s="1189"/>
    </row>
    <row r="408" spans="4:45" ht="12.75" customHeight="1">
      <c r="D408" s="1231"/>
      <c r="E408" s="1230"/>
      <c r="F408" s="1230"/>
      <c r="G408" s="1230"/>
      <c r="H408" s="1230"/>
      <c r="I408" s="1189"/>
      <c r="J408" s="1189"/>
      <c r="K408" s="1189"/>
      <c r="L408" s="1225"/>
      <c r="M408" s="1189"/>
      <c r="N408" s="1189"/>
      <c r="O408" s="1189"/>
      <c r="P408" s="1189"/>
      <c r="Q408" s="1189"/>
      <c r="R408" s="1189"/>
      <c r="S408" s="1189"/>
      <c r="T408" s="1208"/>
      <c r="U408" s="1208"/>
      <c r="V408" s="1189"/>
      <c r="W408" s="1189"/>
      <c r="X408" s="1189"/>
      <c r="Y408" s="1189"/>
      <c r="Z408" s="1189"/>
      <c r="AA408" s="1189"/>
      <c r="AB408" s="1189"/>
      <c r="AC408" s="1189"/>
      <c r="AD408" s="1189"/>
      <c r="AE408" s="1189"/>
      <c r="AF408" s="1189"/>
      <c r="AG408" s="1189"/>
      <c r="AH408" s="1189"/>
      <c r="AI408" s="1189"/>
      <c r="AJ408" s="1247"/>
      <c r="AK408" s="1189"/>
      <c r="AL408" s="1189"/>
      <c r="AM408" s="1189"/>
      <c r="AN408" s="1189"/>
      <c r="AO408" s="1189"/>
      <c r="AP408" s="1189"/>
      <c r="AQ408" s="1189"/>
      <c r="AR408" s="1189"/>
      <c r="AS408" s="1189"/>
    </row>
    <row r="409" spans="4:45" ht="12.75" customHeight="1">
      <c r="D409" s="1231"/>
      <c r="E409" s="1230"/>
      <c r="F409" s="1230"/>
      <c r="G409" s="1230"/>
      <c r="H409" s="1230"/>
      <c r="I409" s="1189"/>
      <c r="J409" s="1189"/>
      <c r="K409" s="1189"/>
      <c r="L409" s="1225"/>
      <c r="M409" s="1189"/>
      <c r="N409" s="1189"/>
      <c r="O409" s="1189"/>
      <c r="P409" s="1189"/>
      <c r="Q409" s="1189"/>
      <c r="R409" s="1189"/>
      <c r="S409" s="1189"/>
      <c r="T409" s="1208"/>
      <c r="U409" s="1208"/>
      <c r="V409" s="1189"/>
      <c r="W409" s="1189"/>
      <c r="X409" s="1189"/>
      <c r="Y409" s="1189"/>
      <c r="Z409" s="1189"/>
      <c r="AA409" s="1189"/>
      <c r="AB409" s="1189"/>
      <c r="AC409" s="1189"/>
      <c r="AD409" s="1189"/>
      <c r="AE409" s="1189"/>
      <c r="AF409" s="1189"/>
      <c r="AG409" s="1189"/>
      <c r="AH409" s="1189"/>
      <c r="AI409" s="1189"/>
      <c r="AJ409" s="1247"/>
      <c r="AK409" s="1189"/>
      <c r="AL409" s="1189"/>
      <c r="AM409" s="1189"/>
      <c r="AN409" s="1189"/>
      <c r="AO409" s="1189"/>
      <c r="AP409" s="1189"/>
      <c r="AQ409" s="1189"/>
      <c r="AR409" s="1189"/>
      <c r="AS409" s="1189"/>
    </row>
    <row r="410" spans="4:45" ht="12.75" customHeight="1">
      <c r="D410" s="1231"/>
      <c r="E410" s="1230"/>
      <c r="F410" s="1230"/>
      <c r="G410" s="1230"/>
      <c r="H410" s="1230"/>
      <c r="I410" s="1189"/>
      <c r="J410" s="1189"/>
      <c r="K410" s="1189"/>
      <c r="L410" s="1225"/>
      <c r="M410" s="1189"/>
      <c r="N410" s="1189"/>
      <c r="O410" s="1189"/>
      <c r="P410" s="1189"/>
      <c r="Q410" s="1189"/>
      <c r="R410" s="1189"/>
      <c r="S410" s="1189"/>
      <c r="T410" s="1208"/>
      <c r="U410" s="1208"/>
      <c r="V410" s="1189"/>
      <c r="W410" s="1189"/>
      <c r="X410" s="1189"/>
      <c r="Y410" s="1189"/>
      <c r="Z410" s="1189"/>
      <c r="AA410" s="1189"/>
      <c r="AB410" s="1189"/>
      <c r="AC410" s="1189"/>
      <c r="AD410" s="1189"/>
      <c r="AE410" s="1189"/>
      <c r="AF410" s="1189"/>
      <c r="AG410" s="1189"/>
      <c r="AH410" s="1189"/>
      <c r="AI410" s="1189"/>
      <c r="AJ410" s="1210"/>
      <c r="AK410" s="1189"/>
      <c r="AL410" s="1189"/>
      <c r="AM410" s="1189"/>
      <c r="AN410" s="1189"/>
      <c r="AO410" s="1189"/>
      <c r="AP410" s="1189"/>
      <c r="AQ410" s="1189"/>
      <c r="AR410" s="1189"/>
      <c r="AS410" s="1189"/>
    </row>
    <row r="411" spans="4:45" ht="12.75" customHeight="1">
      <c r="D411" s="1231"/>
      <c r="E411" s="1230"/>
      <c r="F411" s="1230"/>
      <c r="G411" s="1230"/>
      <c r="H411" s="1230"/>
      <c r="I411" s="1189"/>
      <c r="J411" s="1189"/>
      <c r="K411" s="1189"/>
      <c r="L411" s="1225"/>
      <c r="M411" s="1189"/>
      <c r="N411" s="1189"/>
      <c r="O411" s="1189"/>
      <c r="P411" s="1189"/>
      <c r="Q411" s="1189"/>
      <c r="R411" s="1189"/>
      <c r="S411" s="1189"/>
      <c r="T411" s="1208"/>
      <c r="U411" s="1208"/>
      <c r="V411" s="1189"/>
      <c r="W411" s="1189"/>
      <c r="X411" s="1189"/>
      <c r="Y411" s="1189"/>
      <c r="Z411" s="1189"/>
      <c r="AA411" s="1189"/>
      <c r="AB411" s="1189"/>
      <c r="AC411" s="1189"/>
      <c r="AD411" s="1189"/>
      <c r="AE411" s="1189"/>
      <c r="AF411" s="1189"/>
      <c r="AG411" s="1189"/>
      <c r="AH411" s="1189"/>
      <c r="AI411" s="1189"/>
      <c r="AJ411" s="1210"/>
      <c r="AK411" s="1189"/>
      <c r="AL411" s="1189"/>
      <c r="AM411" s="1189"/>
      <c r="AN411" s="1189"/>
      <c r="AO411" s="1189"/>
      <c r="AP411" s="1189"/>
      <c r="AQ411" s="1189"/>
      <c r="AR411" s="1189"/>
      <c r="AS411" s="1189"/>
    </row>
    <row r="412" spans="4:45" ht="12.75" customHeight="1">
      <c r="D412" s="1231"/>
      <c r="E412" s="1230"/>
      <c r="F412" s="1230"/>
      <c r="G412" s="1230"/>
      <c r="H412" s="1230"/>
      <c r="I412" s="1189"/>
      <c r="J412" s="1189"/>
      <c r="K412" s="1189"/>
      <c r="L412" s="1225"/>
      <c r="M412" s="1189"/>
      <c r="N412" s="1189"/>
      <c r="O412" s="1189"/>
      <c r="P412" s="1189"/>
      <c r="Q412" s="1189"/>
      <c r="R412" s="1189"/>
      <c r="S412" s="1189"/>
      <c r="T412" s="1208"/>
      <c r="U412" s="1208"/>
      <c r="V412" s="1189"/>
      <c r="W412" s="1189"/>
      <c r="X412" s="1189"/>
      <c r="Y412" s="1189"/>
      <c r="Z412" s="1189"/>
      <c r="AA412" s="1189"/>
      <c r="AB412" s="1189"/>
      <c r="AC412" s="1189"/>
      <c r="AD412" s="1189"/>
      <c r="AE412" s="1189"/>
      <c r="AF412" s="1189"/>
      <c r="AG412" s="1189"/>
      <c r="AH412" s="1189"/>
      <c r="AI412" s="1189"/>
      <c r="AJ412" s="1210"/>
      <c r="AK412" s="1189"/>
      <c r="AL412" s="1189"/>
      <c r="AM412" s="1189"/>
      <c r="AN412" s="1189"/>
      <c r="AO412" s="1189"/>
      <c r="AP412" s="1189"/>
      <c r="AQ412" s="1189"/>
      <c r="AR412" s="1189"/>
      <c r="AS412" s="1189"/>
    </row>
    <row r="413" spans="4:45" ht="12.75" customHeight="1">
      <c r="D413" s="1231"/>
      <c r="E413" s="1230"/>
      <c r="F413" s="1230"/>
      <c r="G413" s="1230"/>
      <c r="H413" s="1230"/>
      <c r="I413" s="1189"/>
      <c r="J413" s="1189"/>
      <c r="K413" s="1189"/>
      <c r="L413" s="1225"/>
      <c r="M413" s="1189"/>
      <c r="N413" s="1189"/>
      <c r="O413" s="1189"/>
      <c r="P413" s="1189"/>
      <c r="Q413" s="1189"/>
      <c r="R413" s="1189"/>
      <c r="S413" s="1189"/>
      <c r="T413" s="1208"/>
      <c r="U413" s="1208"/>
      <c r="V413" s="1189"/>
      <c r="W413" s="1189"/>
      <c r="X413" s="1189"/>
      <c r="Y413" s="1189"/>
      <c r="Z413" s="1189"/>
      <c r="AA413" s="1189"/>
      <c r="AB413" s="1189"/>
      <c r="AC413" s="1189"/>
      <c r="AD413" s="1189"/>
      <c r="AE413" s="1189"/>
      <c r="AF413" s="1189"/>
      <c r="AG413" s="1189"/>
      <c r="AH413" s="1189"/>
      <c r="AI413" s="1189"/>
      <c r="AJ413" s="1210"/>
      <c r="AK413" s="1189"/>
      <c r="AL413" s="1189"/>
      <c r="AM413" s="1189"/>
      <c r="AN413" s="1189"/>
      <c r="AO413" s="1189"/>
      <c r="AP413" s="1189"/>
      <c r="AQ413" s="1189"/>
      <c r="AR413" s="1189"/>
      <c r="AS413" s="1189"/>
    </row>
    <row r="414" spans="4:45" ht="12.75" customHeight="1">
      <c r="D414" s="1231"/>
      <c r="E414" s="1230"/>
      <c r="F414" s="1230"/>
      <c r="G414" s="1230"/>
      <c r="H414" s="1230"/>
      <c r="I414" s="1189"/>
      <c r="J414" s="1189"/>
      <c r="K414" s="1189"/>
      <c r="L414" s="1225"/>
      <c r="M414" s="1189"/>
      <c r="N414" s="1189"/>
      <c r="O414" s="1189"/>
      <c r="P414" s="1189"/>
      <c r="Q414" s="1189"/>
      <c r="R414" s="1189"/>
      <c r="S414" s="1189"/>
      <c r="T414" s="1208"/>
      <c r="U414" s="1208"/>
      <c r="V414" s="1189"/>
      <c r="W414" s="1189"/>
      <c r="X414" s="1189"/>
      <c r="Y414" s="1189"/>
      <c r="Z414" s="1189"/>
      <c r="AA414" s="1189"/>
      <c r="AB414" s="1189"/>
      <c r="AC414" s="1189"/>
      <c r="AD414" s="1189"/>
      <c r="AE414" s="1189"/>
      <c r="AF414" s="1189"/>
      <c r="AG414" s="1189"/>
      <c r="AH414" s="1189"/>
      <c r="AI414" s="1189"/>
      <c r="AJ414" s="1210"/>
      <c r="AK414" s="1189"/>
      <c r="AL414" s="1189"/>
      <c r="AM414" s="1189"/>
      <c r="AN414" s="1189"/>
      <c r="AO414" s="1189"/>
      <c r="AP414" s="1189"/>
      <c r="AQ414" s="1189"/>
      <c r="AR414" s="1189"/>
      <c r="AS414" s="1189"/>
    </row>
    <row r="415" spans="4:45" ht="12.75" customHeight="1">
      <c r="D415" s="1231"/>
      <c r="E415" s="1230"/>
      <c r="F415" s="1230"/>
      <c r="G415" s="1230"/>
      <c r="H415" s="1230"/>
      <c r="I415" s="1189"/>
      <c r="J415" s="1189"/>
      <c r="K415" s="1189"/>
      <c r="L415" s="1225"/>
      <c r="M415" s="1189"/>
      <c r="N415" s="1189"/>
      <c r="O415" s="1189"/>
      <c r="P415" s="1189"/>
      <c r="Q415" s="1189"/>
      <c r="R415" s="1189"/>
      <c r="S415" s="1189"/>
      <c r="T415" s="1208"/>
      <c r="U415" s="1208"/>
      <c r="V415" s="1189"/>
      <c r="W415" s="1189"/>
      <c r="X415" s="1189"/>
      <c r="Y415" s="1189"/>
      <c r="Z415" s="1189"/>
      <c r="AA415" s="1189"/>
      <c r="AB415" s="1189"/>
      <c r="AC415" s="1189"/>
      <c r="AD415" s="1189"/>
      <c r="AE415" s="1189"/>
      <c r="AF415" s="1189"/>
      <c r="AG415" s="1189"/>
      <c r="AH415" s="1189"/>
      <c r="AI415" s="1189"/>
      <c r="AJ415" s="1210"/>
      <c r="AK415" s="1189"/>
      <c r="AL415" s="1189"/>
      <c r="AM415" s="1189"/>
      <c r="AN415" s="1189"/>
      <c r="AO415" s="1189"/>
      <c r="AP415" s="1189"/>
      <c r="AQ415" s="1189"/>
      <c r="AR415" s="1189"/>
      <c r="AS415" s="1189"/>
    </row>
    <row r="416" spans="4:45" ht="12.75" customHeight="1">
      <c r="D416" s="1231"/>
      <c r="E416" s="1230"/>
      <c r="F416" s="1230"/>
      <c r="G416" s="1230"/>
      <c r="H416" s="1230"/>
      <c r="I416" s="1189"/>
      <c r="J416" s="1189"/>
      <c r="K416" s="1189"/>
      <c r="L416" s="1225"/>
      <c r="M416" s="1189"/>
      <c r="N416" s="1189"/>
      <c r="O416" s="1189"/>
      <c r="P416" s="1189"/>
      <c r="Q416" s="1189"/>
      <c r="R416" s="1189"/>
      <c r="S416" s="1189"/>
      <c r="T416" s="1208"/>
      <c r="U416" s="1208"/>
      <c r="V416" s="1189"/>
      <c r="W416" s="1189"/>
      <c r="X416" s="1189"/>
      <c r="Y416" s="1189"/>
      <c r="Z416" s="1189"/>
      <c r="AA416" s="1189"/>
      <c r="AB416" s="1189"/>
      <c r="AC416" s="1189"/>
      <c r="AD416" s="1189"/>
      <c r="AE416" s="1189"/>
      <c r="AF416" s="1189"/>
      <c r="AG416" s="1189"/>
      <c r="AH416" s="1189"/>
      <c r="AI416" s="1189"/>
      <c r="AJ416" s="1210"/>
      <c r="AK416" s="1189"/>
      <c r="AL416" s="1189"/>
      <c r="AM416" s="1189"/>
      <c r="AN416" s="1189"/>
      <c r="AO416" s="1189"/>
      <c r="AP416" s="1189"/>
      <c r="AQ416" s="1189"/>
      <c r="AR416" s="1189"/>
      <c r="AS416" s="1189"/>
    </row>
    <row r="417" spans="4:8" ht="12.75" customHeight="1">
      <c r="D417" s="1231"/>
      <c r="E417" s="1230"/>
      <c r="F417" s="1230"/>
      <c r="G417" s="1230"/>
      <c r="H417" s="1230"/>
    </row>
    <row r="418" spans="4:8" ht="12.75" customHeight="1">
      <c r="D418" s="1231"/>
      <c r="E418" s="1230"/>
      <c r="F418" s="1230"/>
      <c r="G418" s="1230"/>
      <c r="H418" s="1230"/>
    </row>
    <row r="419" spans="4:8" ht="12.75" customHeight="1">
      <c r="D419" s="1231"/>
      <c r="E419" s="1230"/>
      <c r="F419" s="1230"/>
      <c r="G419" s="1230"/>
      <c r="H419" s="1230"/>
    </row>
    <row r="420" spans="4:8" ht="12.75" customHeight="1">
      <c r="D420" s="1231"/>
      <c r="E420" s="1230"/>
      <c r="F420" s="1230"/>
      <c r="G420" s="1230"/>
      <c r="H420" s="1230"/>
    </row>
    <row r="421" spans="4:8" ht="12.75" customHeight="1">
      <c r="D421" s="1231"/>
      <c r="E421" s="1230"/>
      <c r="F421" s="1230"/>
      <c r="G421" s="1230"/>
      <c r="H421" s="1230"/>
    </row>
    <row r="422" spans="4:8" ht="12.75" customHeight="1">
      <c r="D422" s="1231"/>
      <c r="E422" s="1230"/>
      <c r="F422" s="1230"/>
      <c r="G422" s="1230"/>
      <c r="H422" s="1230"/>
    </row>
    <row r="423" spans="4:8" ht="12.75" customHeight="1">
      <c r="D423" s="1231"/>
      <c r="E423" s="1230"/>
      <c r="F423" s="1230"/>
      <c r="G423" s="1230"/>
      <c r="H423" s="1230"/>
    </row>
    <row r="424" spans="4:8" ht="12.75" customHeight="1">
      <c r="D424" s="1231"/>
      <c r="E424" s="1230"/>
      <c r="F424" s="1230"/>
      <c r="G424" s="1230"/>
      <c r="H424" s="1230"/>
    </row>
    <row r="425" spans="4:8" ht="12.75" customHeight="1">
      <c r="D425" s="1231"/>
      <c r="E425" s="1230"/>
      <c r="F425" s="1230"/>
      <c r="G425" s="1230"/>
      <c r="H425" s="1230"/>
    </row>
    <row r="426" spans="4:8" ht="12.75" customHeight="1">
      <c r="D426" s="1231"/>
      <c r="E426" s="1230"/>
      <c r="F426" s="1230"/>
      <c r="G426" s="1230"/>
      <c r="H426" s="1230"/>
    </row>
    <row r="427" spans="4:8" ht="12.75" customHeight="1">
      <c r="D427" s="1231"/>
      <c r="E427" s="1230"/>
      <c r="F427" s="1230"/>
      <c r="G427" s="1230"/>
      <c r="H427" s="1230"/>
    </row>
    <row r="428" spans="4:8" ht="12.75" customHeight="1">
      <c r="D428" s="1231"/>
      <c r="E428" s="1230"/>
      <c r="F428" s="1230"/>
      <c r="G428" s="1230"/>
      <c r="H428" s="1230"/>
    </row>
    <row r="429" spans="4:8" ht="12.75" customHeight="1">
      <c r="D429" s="1231"/>
      <c r="E429" s="1230"/>
      <c r="F429" s="1230"/>
      <c r="G429" s="1230"/>
      <c r="H429" s="1230"/>
    </row>
    <row r="430" spans="4:8" ht="12.75" customHeight="1">
      <c r="D430" s="1231"/>
      <c r="E430" s="1230"/>
      <c r="F430" s="1230"/>
      <c r="G430" s="1230"/>
      <c r="H430" s="1230"/>
    </row>
    <row r="431" spans="4:8" ht="12.75" customHeight="1">
      <c r="D431" s="1231"/>
      <c r="E431" s="1230"/>
      <c r="F431" s="1230"/>
      <c r="G431" s="1230"/>
      <c r="H431" s="1230"/>
    </row>
    <row r="432" spans="4:8" ht="12.75" customHeight="1">
      <c r="D432" s="1231"/>
      <c r="E432" s="1230"/>
      <c r="F432" s="1230"/>
      <c r="G432" s="1230"/>
      <c r="H432" s="1230"/>
    </row>
    <row r="433" spans="4:8" ht="12.75" customHeight="1">
      <c r="D433" s="1231"/>
      <c r="E433" s="1230"/>
      <c r="F433" s="1230"/>
      <c r="G433" s="1230"/>
      <c r="H433" s="1230"/>
    </row>
    <row r="434" spans="4:8" ht="12.75" customHeight="1">
      <c r="D434" s="1231"/>
      <c r="E434" s="1230"/>
      <c r="F434" s="1230"/>
      <c r="G434" s="1230"/>
      <c r="H434" s="1230"/>
    </row>
    <row r="435" spans="4:8" ht="12.75" customHeight="1">
      <c r="D435" s="1231"/>
      <c r="E435" s="1230"/>
      <c r="F435" s="1230"/>
      <c r="G435" s="1230"/>
      <c r="H435" s="1230"/>
    </row>
    <row r="436" spans="4:8" ht="12.75" customHeight="1">
      <c r="D436" s="1231"/>
      <c r="E436" s="1230"/>
      <c r="F436" s="1230"/>
      <c r="G436" s="1230"/>
      <c r="H436" s="1230"/>
    </row>
    <row r="437" spans="4:8" ht="12.75" customHeight="1">
      <c r="D437" s="1231"/>
      <c r="E437" s="1230"/>
      <c r="F437" s="1230"/>
      <c r="G437" s="1230"/>
      <c r="H437" s="1230"/>
    </row>
    <row r="438" spans="4:8" ht="12.75" customHeight="1">
      <c r="D438" s="1231"/>
      <c r="E438" s="1230"/>
      <c r="F438" s="1230"/>
      <c r="G438" s="1230"/>
      <c r="H438" s="1230"/>
    </row>
    <row r="439" spans="4:8" ht="12.75" customHeight="1">
      <c r="D439" s="1231"/>
      <c r="E439" s="1230"/>
      <c r="F439" s="1230"/>
      <c r="G439" s="1230"/>
      <c r="H439" s="1230"/>
    </row>
    <row r="440" spans="4:8" ht="12.75" customHeight="1">
      <c r="D440" s="1231"/>
      <c r="E440" s="1230"/>
      <c r="F440" s="1230"/>
      <c r="G440" s="1230"/>
      <c r="H440" s="1230"/>
    </row>
    <row r="441" spans="4:8" ht="12.75" customHeight="1">
      <c r="D441" s="1231"/>
      <c r="E441" s="1230"/>
      <c r="F441" s="1230"/>
      <c r="G441" s="1230"/>
      <c r="H441" s="1230"/>
    </row>
    <row r="442" spans="4:8" ht="12.75" customHeight="1">
      <c r="D442" s="1231"/>
      <c r="E442" s="1230"/>
      <c r="F442" s="1230"/>
      <c r="G442" s="1230"/>
      <c r="H442" s="1230"/>
    </row>
    <row r="443" spans="4:8" ht="12.75" customHeight="1">
      <c r="D443" s="1231"/>
      <c r="E443" s="1230"/>
      <c r="F443" s="1230"/>
      <c r="G443" s="1230"/>
      <c r="H443" s="1230"/>
    </row>
    <row r="444" spans="4:8" ht="12.75" customHeight="1">
      <c r="D444" s="1231"/>
      <c r="E444" s="1230"/>
      <c r="F444" s="1230"/>
      <c r="G444" s="1230"/>
      <c r="H444" s="1230"/>
    </row>
    <row r="445" spans="4:8" ht="12.75" customHeight="1">
      <c r="D445" s="1231"/>
      <c r="E445" s="1230"/>
      <c r="F445" s="1230"/>
      <c r="G445" s="1230"/>
      <c r="H445" s="1230"/>
    </row>
    <row r="446" spans="4:8" ht="12.75" customHeight="1">
      <c r="D446" s="1231"/>
      <c r="E446" s="1230"/>
      <c r="F446" s="1230"/>
      <c r="G446" s="1230"/>
      <c r="H446" s="1230"/>
    </row>
    <row r="447" spans="4:8" ht="12.75" customHeight="1">
      <c r="D447" s="1231"/>
      <c r="E447" s="1230"/>
      <c r="F447" s="1230"/>
      <c r="G447" s="1230"/>
      <c r="H447" s="1230"/>
    </row>
    <row r="448" spans="4:8" ht="12.75" customHeight="1">
      <c r="D448" s="1231"/>
      <c r="E448" s="1230"/>
      <c r="F448" s="1230"/>
      <c r="G448" s="1230"/>
      <c r="H448" s="1230"/>
    </row>
    <row r="449" spans="4:8" ht="12.75" customHeight="1">
      <c r="D449" s="1231"/>
      <c r="E449" s="1230"/>
      <c r="F449" s="1230"/>
      <c r="G449" s="1230"/>
      <c r="H449" s="1230"/>
    </row>
    <row r="450" spans="4:8" ht="12.75" customHeight="1">
      <c r="D450" s="1231"/>
      <c r="E450" s="1230"/>
      <c r="F450" s="1230"/>
      <c r="G450" s="1230"/>
      <c r="H450" s="1230"/>
    </row>
    <row r="451" spans="4:8" ht="12.75" customHeight="1">
      <c r="D451" s="1231"/>
      <c r="E451" s="1230"/>
      <c r="F451" s="1230"/>
      <c r="G451" s="1230"/>
      <c r="H451" s="1230"/>
    </row>
    <row r="452" spans="4:8" ht="12.75" customHeight="1">
      <c r="D452" s="1231"/>
      <c r="E452" s="1230"/>
      <c r="F452" s="1230"/>
      <c r="G452" s="1230"/>
      <c r="H452" s="1230"/>
    </row>
    <row r="453" spans="4:8" ht="12.75" customHeight="1">
      <c r="D453" s="1231"/>
      <c r="E453" s="1230"/>
      <c r="F453" s="1230"/>
      <c r="G453" s="1230"/>
      <c r="H453" s="1230"/>
    </row>
    <row r="454" spans="4:8" ht="12.75" customHeight="1">
      <c r="D454" s="1231"/>
      <c r="E454" s="1230"/>
      <c r="F454" s="1230"/>
      <c r="G454" s="1230"/>
      <c r="H454" s="1230"/>
    </row>
    <row r="455" spans="4:8" ht="12.75" customHeight="1">
      <c r="D455" s="1231"/>
      <c r="E455" s="1230"/>
      <c r="F455" s="1230"/>
      <c r="G455" s="1230"/>
      <c r="H455" s="1230"/>
    </row>
    <row r="456" spans="4:8" ht="12.75" customHeight="1">
      <c r="D456" s="1231"/>
      <c r="E456" s="1230"/>
      <c r="F456" s="1230"/>
      <c r="G456" s="1230"/>
      <c r="H456" s="1230"/>
    </row>
    <row r="457" spans="4:8" ht="12.75" customHeight="1">
      <c r="D457" s="1231"/>
      <c r="E457" s="1230"/>
      <c r="F457" s="1230"/>
      <c r="G457" s="1230"/>
      <c r="H457" s="1230"/>
    </row>
    <row r="458" spans="4:8" ht="12.75" customHeight="1">
      <c r="D458" s="1231"/>
      <c r="E458" s="1230"/>
      <c r="F458" s="1230"/>
      <c r="G458" s="1230"/>
      <c r="H458" s="1230"/>
    </row>
    <row r="459" spans="4:8" ht="12.75" customHeight="1">
      <c r="D459" s="1231"/>
      <c r="E459" s="1230"/>
      <c r="F459" s="1230"/>
      <c r="G459" s="1230"/>
      <c r="H459" s="1230"/>
    </row>
    <row r="460" spans="4:8" ht="12.75" customHeight="1">
      <c r="D460" s="1231"/>
      <c r="E460" s="1230"/>
      <c r="F460" s="1230"/>
      <c r="G460" s="1230"/>
      <c r="H460" s="1230"/>
    </row>
    <row r="461" spans="4:8" ht="12.75" customHeight="1">
      <c r="D461" s="1231"/>
      <c r="E461" s="1230"/>
      <c r="F461" s="1230"/>
      <c r="G461" s="1230"/>
      <c r="H461" s="1230"/>
    </row>
    <row r="462" spans="4:8" ht="12.75" customHeight="1">
      <c r="D462" s="1231"/>
      <c r="E462" s="1230"/>
      <c r="F462" s="1230"/>
      <c r="G462" s="1230"/>
      <c r="H462" s="1230"/>
    </row>
    <row r="463" spans="4:8" ht="12.75" customHeight="1">
      <c r="D463" s="1231"/>
      <c r="E463" s="1230"/>
      <c r="F463" s="1230"/>
      <c r="G463" s="1230"/>
      <c r="H463" s="1230"/>
    </row>
    <row r="464" spans="4:8" ht="12.75" customHeight="1">
      <c r="D464" s="1231"/>
      <c r="E464" s="1230"/>
      <c r="F464" s="1230"/>
      <c r="G464" s="1230"/>
      <c r="H464" s="1230"/>
    </row>
    <row r="465" spans="4:8" ht="12.75" customHeight="1">
      <c r="D465" s="1231"/>
      <c r="E465" s="1230"/>
      <c r="F465" s="1230"/>
      <c r="G465" s="1230"/>
      <c r="H465" s="1230"/>
    </row>
    <row r="466" spans="4:8" ht="12.75" customHeight="1">
      <c r="D466" s="1231"/>
      <c r="E466" s="1230"/>
      <c r="F466" s="1230"/>
      <c r="G466" s="1230"/>
      <c r="H466" s="1230"/>
    </row>
    <row r="467" spans="4:8" ht="12.75" customHeight="1">
      <c r="D467" s="1231"/>
      <c r="E467" s="1230"/>
      <c r="F467" s="1230"/>
      <c r="G467" s="1230"/>
      <c r="H467" s="1230"/>
    </row>
    <row r="468" spans="4:8" ht="12.75" customHeight="1">
      <c r="D468" s="1231"/>
      <c r="E468" s="1230"/>
      <c r="F468" s="1230"/>
      <c r="G468" s="1230"/>
      <c r="H468" s="1230"/>
    </row>
    <row r="469" spans="4:8" ht="12.75" customHeight="1">
      <c r="D469" s="1231"/>
      <c r="E469" s="1230"/>
      <c r="F469" s="1230"/>
      <c r="G469" s="1230"/>
      <c r="H469" s="1230"/>
    </row>
    <row r="470" spans="4:8" ht="12.75" customHeight="1">
      <c r="D470" s="1231"/>
      <c r="E470" s="1230"/>
      <c r="F470" s="1230"/>
      <c r="G470" s="1230"/>
      <c r="H470" s="1230"/>
    </row>
    <row r="471" spans="4:8" ht="12.75" customHeight="1">
      <c r="D471" s="1231"/>
      <c r="E471" s="1230"/>
      <c r="F471" s="1230"/>
      <c r="G471" s="1230"/>
      <c r="H471" s="1230"/>
    </row>
    <row r="472" spans="4:8" ht="12.75" customHeight="1">
      <c r="D472" s="1231"/>
      <c r="E472" s="1230"/>
      <c r="F472" s="1230"/>
      <c r="G472" s="1230"/>
      <c r="H472" s="1230"/>
    </row>
    <row r="473" spans="4:8" ht="12.75" customHeight="1">
      <c r="D473" s="1231"/>
      <c r="E473" s="1230"/>
      <c r="F473" s="1230"/>
      <c r="G473" s="1230"/>
      <c r="H473" s="1230"/>
    </row>
    <row r="474" spans="4:8" ht="12.75" customHeight="1">
      <c r="D474" s="1231"/>
      <c r="E474" s="1230"/>
      <c r="F474" s="1230"/>
      <c r="G474" s="1230"/>
      <c r="H474" s="1230"/>
    </row>
    <row r="475" spans="4:8" ht="12.75" customHeight="1">
      <c r="D475" s="1231"/>
      <c r="E475" s="1230"/>
      <c r="F475" s="1230"/>
      <c r="G475" s="1230"/>
      <c r="H475" s="1230"/>
    </row>
    <row r="476" spans="4:8" ht="12.75" customHeight="1">
      <c r="D476" s="1231"/>
      <c r="E476" s="1230"/>
      <c r="F476" s="1230"/>
      <c r="G476" s="1230"/>
      <c r="H476" s="1230"/>
    </row>
    <row r="477" spans="4:8" ht="12.75" customHeight="1">
      <c r="D477" s="1231"/>
      <c r="E477" s="1230"/>
      <c r="F477" s="1230"/>
      <c r="G477" s="1230"/>
      <c r="H477" s="1230"/>
    </row>
    <row r="478" spans="4:8" ht="12.75" customHeight="1">
      <c r="D478" s="1231"/>
      <c r="E478" s="1230"/>
      <c r="F478" s="1230"/>
      <c r="G478" s="1230"/>
      <c r="H478" s="1230"/>
    </row>
    <row r="479" spans="4:8" ht="12.75" customHeight="1">
      <c r="D479" s="1231"/>
      <c r="E479" s="1230"/>
      <c r="F479" s="1230"/>
      <c r="G479" s="1230"/>
      <c r="H479" s="1230"/>
    </row>
    <row r="480" spans="4:8" ht="12.75" customHeight="1">
      <c r="D480" s="1231"/>
      <c r="E480" s="1230"/>
      <c r="F480" s="1230"/>
      <c r="G480" s="1230"/>
      <c r="H480" s="1230"/>
    </row>
    <row r="481" spans="4:8" ht="12.75" customHeight="1">
      <c r="D481" s="1231"/>
      <c r="E481" s="1230"/>
      <c r="F481" s="1230"/>
      <c r="G481" s="1230"/>
      <c r="H481" s="1230"/>
    </row>
    <row r="482" spans="4:8" ht="12.75" customHeight="1">
      <c r="D482" s="1231"/>
      <c r="E482" s="1230"/>
      <c r="F482" s="1230"/>
      <c r="G482" s="1230"/>
      <c r="H482" s="1230"/>
    </row>
    <row r="483" spans="4:8" ht="12.75" customHeight="1">
      <c r="D483" s="1231"/>
      <c r="E483" s="1230"/>
      <c r="F483" s="1230"/>
      <c r="G483" s="1230"/>
      <c r="H483" s="1230"/>
    </row>
    <row r="484" spans="4:8" ht="12.75" customHeight="1">
      <c r="D484" s="1231"/>
      <c r="E484" s="1230"/>
      <c r="F484" s="1230"/>
      <c r="G484" s="1230"/>
      <c r="H484" s="1230"/>
    </row>
    <row r="485" spans="4:8" ht="12.75" customHeight="1">
      <c r="D485" s="1231"/>
      <c r="E485" s="1230"/>
      <c r="F485" s="1230"/>
      <c r="G485" s="1230"/>
      <c r="H485" s="1230"/>
    </row>
    <row r="486" spans="4:8" ht="12.75" customHeight="1">
      <c r="D486" s="1231"/>
      <c r="E486" s="1230"/>
      <c r="F486" s="1230"/>
      <c r="G486" s="1230"/>
      <c r="H486" s="1230"/>
    </row>
    <row r="487" spans="4:8" ht="12.75" customHeight="1">
      <c r="D487" s="1231"/>
      <c r="E487" s="1230"/>
      <c r="F487" s="1230"/>
      <c r="G487" s="1230"/>
      <c r="H487" s="1230"/>
    </row>
    <row r="488" spans="4:8" ht="12.75" customHeight="1">
      <c r="D488" s="1231"/>
      <c r="E488" s="1230"/>
      <c r="F488" s="1230"/>
      <c r="G488" s="1230"/>
      <c r="H488" s="1230"/>
    </row>
    <row r="489" spans="4:8" ht="12.75" customHeight="1">
      <c r="D489" s="1231"/>
      <c r="E489" s="1230"/>
      <c r="F489" s="1230"/>
      <c r="G489" s="1230"/>
      <c r="H489" s="1230"/>
    </row>
    <row r="490" spans="4:8" ht="12.75" customHeight="1">
      <c r="D490" s="1231"/>
      <c r="E490" s="1230"/>
      <c r="F490" s="1230"/>
      <c r="G490" s="1230"/>
      <c r="H490" s="1230"/>
    </row>
    <row r="491" spans="4:8" ht="12.75" customHeight="1">
      <c r="D491" s="1231"/>
      <c r="E491" s="1230"/>
      <c r="F491" s="1230"/>
      <c r="G491" s="1230"/>
      <c r="H491" s="1230"/>
    </row>
    <row r="492" spans="4:8" ht="12.75" customHeight="1">
      <c r="D492" s="1231"/>
      <c r="E492" s="1230"/>
      <c r="F492" s="1230"/>
      <c r="G492" s="1230"/>
      <c r="H492" s="1230"/>
    </row>
    <row r="493" spans="4:8" ht="12.75" customHeight="1">
      <c r="D493" s="1231"/>
      <c r="E493" s="1230"/>
      <c r="F493" s="1230"/>
      <c r="G493" s="1230"/>
      <c r="H493" s="1230"/>
    </row>
    <row r="494" spans="4:8" ht="12.75" customHeight="1">
      <c r="D494" s="1231"/>
      <c r="E494" s="1230"/>
      <c r="F494" s="1230"/>
      <c r="G494" s="1230"/>
      <c r="H494" s="1230"/>
    </row>
    <row r="495" spans="4:8" ht="12.75" customHeight="1">
      <c r="D495" s="1231"/>
      <c r="E495" s="1230"/>
      <c r="F495" s="1230"/>
      <c r="G495" s="1230"/>
      <c r="H495" s="1230"/>
    </row>
    <row r="496" spans="4:8" ht="12.75" customHeight="1">
      <c r="D496" s="1231"/>
      <c r="E496" s="1230"/>
      <c r="F496" s="1230"/>
      <c r="G496" s="1230"/>
      <c r="H496" s="1230"/>
    </row>
    <row r="497" spans="4:8" ht="12.75" customHeight="1">
      <c r="D497" s="1231"/>
      <c r="E497" s="1230"/>
      <c r="F497" s="1230"/>
      <c r="G497" s="1230"/>
      <c r="H497" s="1230"/>
    </row>
    <row r="498" spans="4:8" ht="12.75" customHeight="1">
      <c r="D498" s="1231"/>
      <c r="E498" s="1230"/>
      <c r="F498" s="1230"/>
      <c r="G498" s="1230"/>
      <c r="H498" s="1230"/>
    </row>
    <row r="499" spans="4:8" ht="12.75" customHeight="1">
      <c r="D499" s="1231"/>
      <c r="E499" s="1230"/>
      <c r="F499" s="1230"/>
      <c r="G499" s="1230"/>
      <c r="H499" s="1230"/>
    </row>
    <row r="500" spans="4:8" ht="12.75" customHeight="1">
      <c r="D500" s="1231"/>
      <c r="E500" s="1230"/>
      <c r="F500" s="1230"/>
      <c r="G500" s="1230"/>
      <c r="H500" s="1230"/>
    </row>
    <row r="501" spans="4:8" ht="12.75" customHeight="1">
      <c r="D501" s="1231"/>
      <c r="E501" s="1230"/>
      <c r="F501" s="1230"/>
      <c r="G501" s="1230"/>
      <c r="H501" s="1230"/>
    </row>
    <row r="502" spans="4:8" ht="12.75" customHeight="1">
      <c r="D502" s="1231"/>
      <c r="E502" s="1230"/>
      <c r="F502" s="1230"/>
      <c r="G502" s="1230"/>
      <c r="H502" s="1230"/>
    </row>
    <row r="503" spans="4:8" ht="12.75" customHeight="1">
      <c r="D503" s="1231"/>
      <c r="E503" s="1230"/>
      <c r="F503" s="1230"/>
      <c r="G503" s="1230"/>
      <c r="H503" s="1230"/>
    </row>
    <row r="504" spans="4:8" ht="12.75" customHeight="1">
      <c r="D504" s="1231"/>
      <c r="E504" s="1230"/>
      <c r="F504" s="1230"/>
      <c r="G504" s="1230"/>
      <c r="H504" s="1230"/>
    </row>
    <row r="505" spans="4:8" ht="12.75" customHeight="1">
      <c r="D505" s="1231"/>
      <c r="E505" s="1230"/>
      <c r="F505" s="1230"/>
      <c r="G505" s="1230"/>
      <c r="H505" s="1230"/>
    </row>
    <row r="506" spans="4:8" ht="12.75" customHeight="1">
      <c r="D506" s="1231"/>
      <c r="E506" s="1230"/>
      <c r="F506" s="1230"/>
      <c r="G506" s="1230"/>
      <c r="H506" s="1230"/>
    </row>
    <row r="507" spans="4:8" ht="12.75" customHeight="1">
      <c r="D507" s="1231"/>
      <c r="E507" s="1230"/>
      <c r="F507" s="1230"/>
      <c r="G507" s="1230"/>
      <c r="H507" s="1230"/>
    </row>
    <row r="508" spans="4:8" ht="12.75" customHeight="1">
      <c r="D508" s="1231"/>
      <c r="E508" s="1230"/>
      <c r="F508" s="1230"/>
      <c r="G508" s="1230"/>
      <c r="H508" s="1230"/>
    </row>
    <row r="509" spans="4:8" ht="12.75" customHeight="1">
      <c r="D509" s="1231"/>
      <c r="E509" s="1230"/>
      <c r="F509" s="1230"/>
      <c r="G509" s="1230"/>
      <c r="H509" s="1230"/>
    </row>
    <row r="510" spans="4:8" ht="12.75" customHeight="1">
      <c r="D510" s="1231"/>
      <c r="E510" s="1230"/>
      <c r="F510" s="1230"/>
      <c r="G510" s="1230"/>
      <c r="H510" s="1230"/>
    </row>
    <row r="511" spans="4:8" ht="12.75" customHeight="1">
      <c r="D511" s="1231"/>
      <c r="E511" s="1230"/>
      <c r="F511" s="1230"/>
      <c r="G511" s="1230"/>
      <c r="H511" s="1230"/>
    </row>
    <row r="512" spans="4:8" ht="12.75" customHeight="1">
      <c r="D512" s="1231"/>
      <c r="E512" s="1230"/>
      <c r="F512" s="1230"/>
      <c r="G512" s="1230"/>
      <c r="H512" s="1230"/>
    </row>
    <row r="513" spans="4:8" ht="12.75" customHeight="1">
      <c r="D513" s="1231"/>
      <c r="E513" s="1230"/>
      <c r="F513" s="1230"/>
      <c r="G513" s="1230"/>
      <c r="H513" s="1230"/>
    </row>
    <row r="514" spans="4:8" ht="12.75" customHeight="1">
      <c r="D514" s="1231"/>
      <c r="E514" s="1230"/>
      <c r="F514" s="1230"/>
      <c r="G514" s="1230"/>
      <c r="H514" s="1230"/>
    </row>
    <row r="515" spans="4:8" ht="12.75" customHeight="1">
      <c r="D515" s="1231"/>
      <c r="E515" s="1230"/>
      <c r="F515" s="1230"/>
      <c r="G515" s="1230"/>
      <c r="H515" s="1230"/>
    </row>
    <row r="516" spans="4:8" ht="12.75" customHeight="1">
      <c r="D516" s="1231"/>
      <c r="E516" s="1230"/>
      <c r="F516" s="1230"/>
      <c r="G516" s="1230"/>
      <c r="H516" s="1230"/>
    </row>
    <row r="517" spans="4:8" ht="12.75" customHeight="1">
      <c r="D517" s="1231"/>
      <c r="E517" s="1230"/>
      <c r="F517" s="1230"/>
      <c r="G517" s="1230"/>
      <c r="H517" s="1230"/>
    </row>
    <row r="518" spans="4:8" ht="12.75" customHeight="1">
      <c r="D518" s="1231"/>
      <c r="E518" s="1230"/>
      <c r="F518" s="1230"/>
      <c r="G518" s="1230"/>
      <c r="H518" s="1230"/>
    </row>
    <row r="519" spans="4:8" ht="12.75" customHeight="1">
      <c r="D519" s="1231"/>
      <c r="E519" s="1230"/>
      <c r="F519" s="1230"/>
      <c r="G519" s="1230"/>
      <c r="H519" s="1230"/>
    </row>
    <row r="520" spans="4:8" ht="12.75" customHeight="1">
      <c r="D520" s="1231"/>
      <c r="E520" s="1230"/>
      <c r="F520" s="1230"/>
      <c r="G520" s="1230"/>
      <c r="H520" s="1230"/>
    </row>
    <row r="521" spans="4:8" ht="12.75" customHeight="1">
      <c r="D521" s="1231"/>
      <c r="E521" s="1230"/>
      <c r="F521" s="1230"/>
      <c r="G521" s="1230"/>
      <c r="H521" s="1230"/>
    </row>
    <row r="522" spans="4:8" ht="12.75" customHeight="1">
      <c r="D522" s="1231"/>
      <c r="E522" s="1230"/>
      <c r="F522" s="1230"/>
      <c r="G522" s="1230"/>
      <c r="H522" s="1230"/>
    </row>
    <row r="523" spans="4:8" ht="12.75" customHeight="1">
      <c r="D523" s="1231"/>
      <c r="E523" s="1230"/>
      <c r="F523" s="1230"/>
      <c r="G523" s="1230"/>
      <c r="H523" s="1230"/>
    </row>
    <row r="524" spans="4:8" ht="12.75" customHeight="1">
      <c r="D524" s="1231"/>
      <c r="E524" s="1230"/>
      <c r="F524" s="1230"/>
      <c r="G524" s="1230"/>
      <c r="H524" s="1230"/>
    </row>
    <row r="525" spans="4:8" ht="12.75" customHeight="1">
      <c r="D525" s="1231"/>
      <c r="E525" s="1230"/>
      <c r="F525" s="1230"/>
      <c r="G525" s="1230"/>
      <c r="H525" s="1230"/>
    </row>
    <row r="526" spans="4:8" ht="12.75" customHeight="1">
      <c r="D526" s="1231"/>
      <c r="E526" s="1230"/>
      <c r="F526" s="1230"/>
      <c r="G526" s="1230"/>
      <c r="H526" s="1230"/>
    </row>
    <row r="527" spans="4:8" ht="12.75" customHeight="1">
      <c r="D527" s="1231"/>
      <c r="E527" s="1230"/>
      <c r="F527" s="1230"/>
      <c r="G527" s="1230"/>
      <c r="H527" s="1230"/>
    </row>
    <row r="528" spans="4:8" ht="12.75" customHeight="1">
      <c r="D528" s="1231"/>
      <c r="E528" s="1230"/>
      <c r="F528" s="1230"/>
      <c r="G528" s="1230"/>
      <c r="H528" s="1230"/>
    </row>
    <row r="529" spans="4:8" ht="12.75" customHeight="1">
      <c r="D529" s="1231"/>
      <c r="E529" s="1230"/>
      <c r="F529" s="1230"/>
      <c r="G529" s="1230"/>
      <c r="H529" s="1230"/>
    </row>
    <row r="530" spans="4:8" ht="12.75" customHeight="1">
      <c r="D530" s="1231"/>
      <c r="E530" s="1230"/>
      <c r="F530" s="1230"/>
      <c r="G530" s="1230"/>
      <c r="H530" s="1230"/>
    </row>
    <row r="531" spans="4:8" ht="12.75" customHeight="1">
      <c r="D531" s="1231"/>
      <c r="E531" s="1230"/>
      <c r="F531" s="1230"/>
      <c r="G531" s="1230"/>
      <c r="H531" s="1230"/>
    </row>
    <row r="532" spans="4:8" ht="12.75" customHeight="1">
      <c r="D532" s="1231"/>
      <c r="E532" s="1230"/>
      <c r="F532" s="1230"/>
      <c r="G532" s="1230"/>
      <c r="H532" s="1230"/>
    </row>
    <row r="533" spans="4:8" ht="12.75" customHeight="1">
      <c r="D533" s="1231"/>
      <c r="E533" s="1230"/>
      <c r="F533" s="1230"/>
      <c r="G533" s="1230"/>
      <c r="H533" s="1230"/>
    </row>
    <row r="534" spans="4:8" ht="12.75" customHeight="1">
      <c r="D534" s="1231"/>
      <c r="E534" s="1230"/>
      <c r="F534" s="1230"/>
      <c r="G534" s="1230"/>
      <c r="H534" s="1230"/>
    </row>
    <row r="535" spans="4:8" ht="12.75" customHeight="1">
      <c r="D535" s="1231"/>
      <c r="E535" s="1230"/>
      <c r="F535" s="1230"/>
      <c r="G535" s="1230"/>
      <c r="H535" s="1230"/>
    </row>
    <row r="536" spans="4:8" ht="12.75" customHeight="1">
      <c r="D536" s="1231"/>
      <c r="E536" s="1230"/>
      <c r="F536" s="1230"/>
      <c r="G536" s="1230"/>
      <c r="H536" s="1230"/>
    </row>
    <row r="537" spans="4:8" ht="12.75" customHeight="1">
      <c r="D537" s="1231"/>
      <c r="E537" s="1230"/>
      <c r="F537" s="1230"/>
      <c r="G537" s="1230"/>
      <c r="H537" s="1230"/>
    </row>
    <row r="538" spans="4:8" ht="12.75" customHeight="1">
      <c r="D538" s="1231"/>
      <c r="E538" s="1230"/>
      <c r="F538" s="1230"/>
      <c r="G538" s="1230"/>
      <c r="H538" s="1230"/>
    </row>
    <row r="539" spans="4:8" ht="12.75" customHeight="1">
      <c r="D539" s="1231"/>
      <c r="E539" s="1230"/>
      <c r="F539" s="1230"/>
      <c r="G539" s="1230"/>
      <c r="H539" s="1230"/>
    </row>
    <row r="540" spans="4:8" ht="12.75" customHeight="1">
      <c r="D540" s="1231"/>
      <c r="E540" s="1230"/>
      <c r="F540" s="1230"/>
      <c r="G540" s="1230"/>
      <c r="H540" s="1230"/>
    </row>
    <row r="541" spans="4:8" ht="12.75" customHeight="1">
      <c r="D541" s="1231"/>
      <c r="E541" s="1230"/>
      <c r="F541" s="1230"/>
      <c r="G541" s="1230"/>
      <c r="H541" s="1230"/>
    </row>
    <row r="542" spans="4:8" ht="12.75" customHeight="1">
      <c r="D542" s="1231"/>
      <c r="E542" s="1230"/>
      <c r="F542" s="1230"/>
      <c r="G542" s="1230"/>
      <c r="H542" s="1230"/>
    </row>
    <row r="543" spans="4:8" ht="12.75" customHeight="1">
      <c r="D543" s="1231"/>
      <c r="E543" s="1230"/>
      <c r="F543" s="1230"/>
      <c r="G543" s="1230"/>
      <c r="H543" s="1230"/>
    </row>
    <row r="544" spans="4:8" ht="12.75" customHeight="1">
      <c r="D544" s="1231"/>
      <c r="E544" s="1230"/>
      <c r="F544" s="1230"/>
      <c r="G544" s="1230"/>
      <c r="H544" s="1230"/>
    </row>
    <row r="545" spans="4:8" ht="12.75" customHeight="1">
      <c r="D545" s="1231"/>
      <c r="E545" s="1230"/>
      <c r="F545" s="1230"/>
      <c r="G545" s="1230"/>
      <c r="H545" s="1230"/>
    </row>
    <row r="546" spans="4:8" ht="12.75" customHeight="1">
      <c r="D546" s="1231"/>
      <c r="E546" s="1230"/>
      <c r="F546" s="1230"/>
      <c r="G546" s="1230"/>
      <c r="H546" s="1230"/>
    </row>
    <row r="547" spans="4:8" ht="12.75" customHeight="1">
      <c r="D547" s="1231"/>
      <c r="E547" s="1230"/>
      <c r="F547" s="1230"/>
      <c r="G547" s="1230"/>
      <c r="H547" s="1230"/>
    </row>
    <row r="548" spans="4:8" ht="12.75" customHeight="1">
      <c r="D548" s="1231"/>
      <c r="E548" s="1230"/>
      <c r="F548" s="1230"/>
      <c r="G548" s="1230"/>
      <c r="H548" s="1230"/>
    </row>
    <row r="549" spans="4:8" ht="12.75" customHeight="1">
      <c r="D549" s="1231"/>
      <c r="E549" s="1230"/>
      <c r="F549" s="1230"/>
      <c r="G549" s="1230"/>
      <c r="H549" s="1230"/>
    </row>
    <row r="550" spans="4:8" ht="12.75" customHeight="1">
      <c r="D550" s="1231"/>
      <c r="E550" s="1230"/>
      <c r="F550" s="1230"/>
      <c r="G550" s="1230"/>
      <c r="H550" s="1230"/>
    </row>
    <row r="551" spans="4:8" ht="12.75" customHeight="1">
      <c r="D551" s="1231"/>
      <c r="E551" s="1230"/>
      <c r="F551" s="1230"/>
      <c r="G551" s="1230"/>
      <c r="H551" s="1230"/>
    </row>
    <row r="552" spans="4:8" ht="12.75" customHeight="1">
      <c r="D552" s="1231"/>
      <c r="E552" s="1230"/>
      <c r="F552" s="1230"/>
      <c r="G552" s="1230"/>
      <c r="H552" s="1230"/>
    </row>
    <row r="553" spans="4:8" ht="12.75" customHeight="1">
      <c r="D553" s="1231"/>
      <c r="E553" s="1230"/>
      <c r="F553" s="1230"/>
      <c r="G553" s="1230"/>
      <c r="H553" s="1230"/>
    </row>
    <row r="554" spans="4:8" ht="12.75" customHeight="1">
      <c r="D554" s="1231"/>
      <c r="E554" s="1230"/>
      <c r="F554" s="1230"/>
      <c r="G554" s="1230"/>
      <c r="H554" s="1230"/>
    </row>
    <row r="555" spans="4:8" ht="12.75" customHeight="1">
      <c r="D555" s="1231"/>
      <c r="E555" s="1230"/>
      <c r="F555" s="1230"/>
      <c r="G555" s="1230"/>
      <c r="H555" s="1230"/>
    </row>
    <row r="556" spans="4:8" ht="12.75" customHeight="1">
      <c r="D556" s="1231"/>
      <c r="E556" s="1230"/>
      <c r="F556" s="1230"/>
      <c r="G556" s="1230"/>
      <c r="H556" s="1230"/>
    </row>
    <row r="557" spans="4:8" ht="12.75" customHeight="1">
      <c r="D557" s="1231"/>
      <c r="E557" s="1230"/>
      <c r="F557" s="1230"/>
      <c r="G557" s="1230"/>
      <c r="H557" s="1230"/>
    </row>
    <row r="558" spans="4:8" ht="12.75" customHeight="1">
      <c r="D558" s="1231"/>
      <c r="E558" s="1230"/>
      <c r="F558" s="1230"/>
      <c r="G558" s="1230"/>
      <c r="H558" s="1230"/>
    </row>
    <row r="559" spans="4:8" ht="12.75" customHeight="1">
      <c r="D559" s="1231"/>
      <c r="E559" s="1230"/>
      <c r="F559" s="1230"/>
      <c r="G559" s="1230"/>
      <c r="H559" s="1230"/>
    </row>
    <row r="560" spans="4:8" ht="12.75" customHeight="1">
      <c r="D560" s="1231"/>
      <c r="E560" s="1230"/>
      <c r="F560" s="1230"/>
      <c r="G560" s="1230"/>
      <c r="H560" s="1230"/>
    </row>
    <row r="561" spans="4:8" ht="12.75" customHeight="1">
      <c r="D561" s="1231"/>
      <c r="E561" s="1230"/>
      <c r="F561" s="1230"/>
      <c r="G561" s="1230"/>
      <c r="H561" s="1230"/>
    </row>
    <row r="562" spans="4:8" ht="12.75" customHeight="1">
      <c r="D562" s="1231"/>
      <c r="E562" s="1230"/>
      <c r="F562" s="1230"/>
      <c r="G562" s="1230"/>
      <c r="H562" s="1230"/>
    </row>
    <row r="563" spans="4:8" ht="12.75" customHeight="1">
      <c r="D563" s="1231"/>
      <c r="E563" s="1230"/>
      <c r="F563" s="1230"/>
      <c r="G563" s="1230"/>
      <c r="H563" s="1230"/>
    </row>
    <row r="564" spans="4:8" ht="12.75" customHeight="1">
      <c r="D564" s="1231"/>
      <c r="E564" s="1230"/>
      <c r="F564" s="1230"/>
      <c r="G564" s="1230"/>
      <c r="H564" s="1230"/>
    </row>
    <row r="565" spans="4:8" ht="12.75" customHeight="1">
      <c r="D565" s="1231"/>
      <c r="E565" s="1230"/>
      <c r="F565" s="1230"/>
      <c r="G565" s="1230"/>
      <c r="H565" s="1230"/>
    </row>
    <row r="566" spans="4:8" ht="12.75" customHeight="1">
      <c r="D566" s="1231"/>
      <c r="E566" s="1230"/>
      <c r="F566" s="1230"/>
      <c r="G566" s="1230"/>
      <c r="H566" s="1230"/>
    </row>
    <row r="567" spans="4:8" ht="12.75" customHeight="1">
      <c r="D567" s="1231"/>
      <c r="E567" s="1230"/>
      <c r="F567" s="1230"/>
      <c r="G567" s="1230"/>
      <c r="H567" s="1230"/>
    </row>
    <row r="568" spans="4:8" ht="12.75" customHeight="1">
      <c r="D568" s="1231"/>
      <c r="E568" s="1230"/>
      <c r="F568" s="1230"/>
      <c r="G568" s="1230"/>
      <c r="H568" s="1230"/>
    </row>
    <row r="569" spans="4:8" ht="12.75" customHeight="1">
      <c r="D569" s="1231"/>
      <c r="E569" s="1230"/>
      <c r="F569" s="1230"/>
      <c r="G569" s="1230"/>
      <c r="H569" s="1230"/>
    </row>
    <row r="570" spans="4:8" ht="12.75" customHeight="1">
      <c r="D570" s="1231"/>
      <c r="E570" s="1230"/>
      <c r="F570" s="1230"/>
      <c r="G570" s="1230"/>
      <c r="H570" s="1230"/>
    </row>
    <row r="571" spans="4:8" ht="12.75" customHeight="1">
      <c r="D571" s="1231"/>
      <c r="E571" s="1230"/>
      <c r="F571" s="1230"/>
      <c r="G571" s="1230"/>
      <c r="H571" s="1230"/>
    </row>
    <row r="572" spans="4:8" ht="12.75" customHeight="1">
      <c r="D572" s="1231"/>
      <c r="E572" s="1230"/>
      <c r="F572" s="1230"/>
      <c r="G572" s="1230"/>
      <c r="H572" s="1230"/>
    </row>
    <row r="573" spans="4:8" ht="12.75" customHeight="1">
      <c r="D573" s="1231"/>
      <c r="E573" s="1230"/>
      <c r="F573" s="1230"/>
      <c r="G573" s="1230"/>
      <c r="H573" s="1230"/>
    </row>
    <row r="574" spans="4:8" ht="12.75" customHeight="1">
      <c r="D574" s="1231"/>
      <c r="E574" s="1230"/>
      <c r="F574" s="1230"/>
      <c r="G574" s="1230"/>
      <c r="H574" s="1230"/>
    </row>
    <row r="575" spans="4:8" ht="12.75" customHeight="1">
      <c r="D575" s="1231"/>
      <c r="E575" s="1230"/>
      <c r="F575" s="1230"/>
      <c r="G575" s="1230"/>
      <c r="H575" s="1230"/>
    </row>
    <row r="576" spans="4:8" ht="12.75" customHeight="1">
      <c r="D576" s="1231"/>
      <c r="E576" s="1230"/>
      <c r="F576" s="1230"/>
      <c r="G576" s="1230"/>
      <c r="H576" s="1230"/>
    </row>
    <row r="577" spans="4:8" ht="12.75" customHeight="1">
      <c r="D577" s="1231"/>
      <c r="E577" s="1230"/>
      <c r="F577" s="1230"/>
      <c r="G577" s="1230"/>
      <c r="H577" s="1230"/>
    </row>
    <row r="578" spans="4:8" ht="12.75" customHeight="1">
      <c r="D578" s="1231"/>
      <c r="E578" s="1230"/>
      <c r="F578" s="1230"/>
      <c r="G578" s="1230"/>
      <c r="H578" s="1230"/>
    </row>
    <row r="579" spans="4:8" ht="12.75" customHeight="1">
      <c r="D579" s="1231"/>
      <c r="E579" s="1230"/>
      <c r="F579" s="1230"/>
      <c r="G579" s="1230"/>
      <c r="H579" s="1230"/>
    </row>
    <row r="580" spans="4:8" ht="12.75" customHeight="1">
      <c r="D580" s="1231"/>
      <c r="E580" s="1230"/>
      <c r="F580" s="1230"/>
      <c r="G580" s="1230"/>
      <c r="H580" s="1230"/>
    </row>
    <row r="581" spans="4:8" ht="12.75" customHeight="1">
      <c r="D581" s="1231"/>
      <c r="E581" s="1230"/>
      <c r="F581" s="1230"/>
      <c r="G581" s="1230"/>
      <c r="H581" s="1230"/>
    </row>
    <row r="582" spans="4:8" ht="12.75" customHeight="1">
      <c r="D582" s="1231"/>
      <c r="E582" s="1230"/>
      <c r="F582" s="1230"/>
      <c r="G582" s="1230"/>
      <c r="H582" s="1230"/>
    </row>
    <row r="583" spans="4:8" ht="12.75" customHeight="1">
      <c r="D583" s="1231"/>
      <c r="E583" s="1230"/>
      <c r="F583" s="1230"/>
      <c r="G583" s="1230"/>
      <c r="H583" s="1230"/>
    </row>
    <row r="584" spans="4:8" ht="12.75" customHeight="1">
      <c r="D584" s="1231"/>
      <c r="E584" s="1230"/>
      <c r="F584" s="1230"/>
      <c r="G584" s="1230"/>
      <c r="H584" s="1230"/>
    </row>
    <row r="585" spans="4:8" ht="12.75" customHeight="1">
      <c r="D585" s="1231"/>
      <c r="E585" s="1230"/>
      <c r="F585" s="1230"/>
      <c r="G585" s="1230"/>
      <c r="H585" s="1230"/>
    </row>
    <row r="586" spans="4:8" ht="12.75" customHeight="1">
      <c r="D586" s="1231"/>
      <c r="E586" s="1230"/>
      <c r="F586" s="1230"/>
      <c r="G586" s="1230"/>
      <c r="H586" s="1230"/>
    </row>
    <row r="587" spans="4:8" ht="12.75" customHeight="1">
      <c r="D587" s="1231"/>
      <c r="E587" s="1230"/>
      <c r="F587" s="1230"/>
      <c r="G587" s="1230"/>
      <c r="H587" s="1230"/>
    </row>
    <row r="588" spans="4:8" ht="12.75" customHeight="1">
      <c r="D588" s="1231"/>
      <c r="E588" s="1230"/>
      <c r="F588" s="1230"/>
      <c r="G588" s="1230"/>
      <c r="H588" s="1230"/>
    </row>
    <row r="589" spans="4:8" ht="12.75" customHeight="1">
      <c r="D589" s="1231"/>
      <c r="E589" s="1230"/>
      <c r="F589" s="1230"/>
      <c r="G589" s="1230"/>
      <c r="H589" s="1230"/>
    </row>
    <row r="590" spans="4:8" ht="12.75" customHeight="1">
      <c r="D590" s="1231"/>
      <c r="E590" s="1230"/>
      <c r="F590" s="1230"/>
      <c r="G590" s="1230"/>
      <c r="H590" s="1230"/>
    </row>
    <row r="591" spans="4:8" ht="12.75" customHeight="1">
      <c r="D591" s="1231"/>
      <c r="E591" s="1230"/>
      <c r="F591" s="1230"/>
      <c r="G591" s="1230"/>
      <c r="H591" s="1230"/>
    </row>
    <row r="592" spans="4:8" ht="12.75" customHeight="1">
      <c r="D592" s="1231"/>
      <c r="E592" s="1230"/>
      <c r="F592" s="1230"/>
      <c r="G592" s="1230"/>
      <c r="H592" s="1230"/>
    </row>
    <row r="593" spans="4:8" ht="12.75" customHeight="1">
      <c r="D593" s="1231"/>
      <c r="E593" s="1230"/>
      <c r="F593" s="1230"/>
      <c r="G593" s="1230"/>
      <c r="H593" s="1230"/>
    </row>
    <row r="594" spans="4:8" ht="12.75" customHeight="1">
      <c r="D594" s="1231"/>
      <c r="E594" s="1230"/>
      <c r="F594" s="1230"/>
      <c r="G594" s="1230"/>
      <c r="H594" s="1230"/>
    </row>
    <row r="595" spans="4:8" ht="12.75" customHeight="1">
      <c r="D595" s="1231"/>
      <c r="E595" s="1230"/>
      <c r="F595" s="1230"/>
      <c r="G595" s="1230"/>
      <c r="H595" s="1230"/>
    </row>
    <row r="596" spans="4:8" ht="12.75" customHeight="1">
      <c r="D596" s="1231"/>
      <c r="E596" s="1230"/>
      <c r="F596" s="1230"/>
      <c r="G596" s="1230"/>
      <c r="H596" s="1230"/>
    </row>
    <row r="597" spans="4:8" ht="12.75" customHeight="1">
      <c r="D597" s="1231"/>
      <c r="E597" s="1230"/>
      <c r="F597" s="1230"/>
      <c r="G597" s="1230"/>
      <c r="H597" s="1230"/>
    </row>
    <row r="598" spans="4:8" ht="12.75" customHeight="1">
      <c r="D598" s="1231"/>
      <c r="E598" s="1230"/>
      <c r="F598" s="1230"/>
      <c r="G598" s="1230"/>
      <c r="H598" s="1230"/>
    </row>
    <row r="599" spans="4:8" ht="12.75" customHeight="1">
      <c r="D599" s="1231"/>
      <c r="E599" s="1230"/>
      <c r="F599" s="1230"/>
      <c r="G599" s="1230"/>
      <c r="H599" s="1230"/>
    </row>
    <row r="600" spans="4:8" ht="12.75" customHeight="1">
      <c r="D600" s="1231"/>
      <c r="E600" s="1230"/>
      <c r="F600" s="1230"/>
      <c r="G600" s="1230"/>
      <c r="H600" s="1230"/>
    </row>
    <row r="601" spans="4:8" ht="12.75" customHeight="1">
      <c r="D601" s="1231"/>
      <c r="E601" s="1230"/>
      <c r="F601" s="1230"/>
      <c r="G601" s="1230"/>
      <c r="H601" s="1230"/>
    </row>
    <row r="602" spans="4:8" ht="12.75" customHeight="1">
      <c r="D602" s="1231"/>
      <c r="E602" s="1230"/>
      <c r="F602" s="1230"/>
      <c r="G602" s="1230"/>
      <c r="H602" s="1230"/>
    </row>
    <row r="603" spans="4:8" ht="12.75" customHeight="1">
      <c r="D603" s="1231"/>
      <c r="E603" s="1230"/>
      <c r="F603" s="1230"/>
      <c r="G603" s="1230"/>
      <c r="H603" s="1230"/>
    </row>
    <row r="604" spans="4:8" ht="12.75" customHeight="1">
      <c r="D604" s="1231"/>
      <c r="E604" s="1230"/>
      <c r="F604" s="1230"/>
      <c r="G604" s="1230"/>
      <c r="H604" s="1230"/>
    </row>
    <row r="605" spans="4:8" ht="12.75" customHeight="1">
      <c r="D605" s="1231"/>
      <c r="E605" s="1230"/>
      <c r="F605" s="1230"/>
      <c r="G605" s="1230"/>
      <c r="H605" s="1230"/>
    </row>
    <row r="606" spans="4:8" ht="12.75" customHeight="1">
      <c r="D606" s="1231"/>
      <c r="E606" s="1230"/>
      <c r="F606" s="1230"/>
      <c r="G606" s="1230"/>
      <c r="H606" s="1230"/>
    </row>
    <row r="607" spans="4:8" ht="12.75" customHeight="1">
      <c r="D607" s="1231"/>
      <c r="E607" s="1230"/>
      <c r="F607" s="1230"/>
      <c r="G607" s="1230"/>
      <c r="H607" s="1230"/>
    </row>
    <row r="608" spans="4:8" ht="12.75" customHeight="1">
      <c r="D608" s="1231"/>
      <c r="E608" s="1230"/>
      <c r="F608" s="1230"/>
      <c r="G608" s="1230"/>
      <c r="H608" s="1230"/>
    </row>
    <row r="609" spans="4:8" ht="12.75" customHeight="1">
      <c r="D609" s="1231"/>
      <c r="E609" s="1230"/>
      <c r="F609" s="1230"/>
      <c r="G609" s="1230"/>
      <c r="H609" s="1230"/>
    </row>
    <row r="610" spans="4:8" ht="12.75" customHeight="1">
      <c r="D610" s="1231"/>
      <c r="E610" s="1230"/>
      <c r="F610" s="1230"/>
      <c r="G610" s="1230"/>
      <c r="H610" s="1230"/>
    </row>
    <row r="611" spans="4:8" ht="12.75" customHeight="1">
      <c r="D611" s="1231"/>
      <c r="E611" s="1230"/>
      <c r="F611" s="1230"/>
      <c r="G611" s="1230"/>
      <c r="H611" s="1230"/>
    </row>
    <row r="612" spans="4:8" ht="12.75" customHeight="1">
      <c r="D612" s="1231"/>
      <c r="E612" s="1230"/>
      <c r="F612" s="1230"/>
      <c r="G612" s="1230"/>
      <c r="H612" s="1230"/>
    </row>
    <row r="613" spans="4:8" ht="12.75" customHeight="1">
      <c r="D613" s="1231"/>
      <c r="E613" s="1230"/>
      <c r="F613" s="1230"/>
      <c r="G613" s="1230"/>
      <c r="H613" s="1230"/>
    </row>
    <row r="614" spans="4:8" ht="12.75" customHeight="1">
      <c r="D614" s="1231"/>
      <c r="E614" s="1230"/>
      <c r="F614" s="1230"/>
      <c r="G614" s="1230"/>
      <c r="H614" s="1230"/>
    </row>
    <row r="615" spans="4:8" ht="12.75" customHeight="1">
      <c r="D615" s="1231"/>
      <c r="E615" s="1230"/>
      <c r="F615" s="1230"/>
      <c r="G615" s="1230"/>
      <c r="H615" s="1230"/>
    </row>
    <row r="616" spans="4:8" ht="12.75" customHeight="1">
      <c r="D616" s="1231"/>
      <c r="E616" s="1230"/>
      <c r="F616" s="1230"/>
      <c r="G616" s="1230"/>
      <c r="H616" s="1230"/>
    </row>
    <row r="617" spans="4:8" ht="12.75" customHeight="1">
      <c r="D617" s="1231"/>
      <c r="E617" s="1230"/>
      <c r="F617" s="1230"/>
      <c r="G617" s="1230"/>
      <c r="H617" s="1230"/>
    </row>
    <row r="618" spans="4:8" ht="12.75" customHeight="1">
      <c r="D618" s="1231"/>
      <c r="E618" s="1230"/>
      <c r="F618" s="1230"/>
      <c r="G618" s="1230"/>
      <c r="H618" s="1230"/>
    </row>
    <row r="619" spans="4:8" ht="12.75" customHeight="1">
      <c r="D619" s="1231"/>
      <c r="E619" s="1230"/>
      <c r="F619" s="1230"/>
      <c r="G619" s="1230"/>
      <c r="H619" s="1230"/>
    </row>
    <row r="620" spans="4:8" ht="12.75" customHeight="1">
      <c r="D620" s="1231"/>
      <c r="E620" s="1230"/>
      <c r="F620" s="1230"/>
      <c r="G620" s="1230"/>
      <c r="H620" s="1230"/>
    </row>
    <row r="621" spans="4:8" ht="12.75" customHeight="1">
      <c r="D621" s="1231"/>
      <c r="E621" s="1230"/>
      <c r="F621" s="1230"/>
      <c r="G621" s="1230"/>
      <c r="H621" s="1230"/>
    </row>
    <row r="622" spans="4:8" ht="12.75" customHeight="1">
      <c r="D622" s="1231"/>
      <c r="E622" s="1230"/>
      <c r="F622" s="1230"/>
      <c r="G622" s="1230"/>
      <c r="H622" s="1230"/>
    </row>
    <row r="623" spans="4:8" ht="12.75" customHeight="1">
      <c r="D623" s="1231"/>
      <c r="E623" s="1230"/>
      <c r="F623" s="1230"/>
      <c r="G623" s="1230"/>
      <c r="H623" s="1230"/>
    </row>
    <row r="624" spans="4:8" ht="12.75" customHeight="1">
      <c r="D624" s="1231"/>
      <c r="E624" s="1230"/>
      <c r="F624" s="1230"/>
      <c r="G624" s="1230"/>
      <c r="H624" s="1230"/>
    </row>
    <row r="625" spans="4:8" ht="12.75" customHeight="1">
      <c r="D625" s="1231"/>
      <c r="E625" s="1230"/>
      <c r="F625" s="1230"/>
      <c r="G625" s="1230"/>
      <c r="H625" s="1230"/>
    </row>
    <row r="626" spans="4:8" ht="12.75" customHeight="1">
      <c r="D626" s="1231"/>
      <c r="E626" s="1230"/>
      <c r="F626" s="1230"/>
      <c r="G626" s="1230"/>
      <c r="H626" s="1230"/>
    </row>
    <row r="627" spans="4:8" ht="12.75" customHeight="1">
      <c r="D627" s="1231"/>
      <c r="E627" s="1230"/>
      <c r="F627" s="1230"/>
      <c r="G627" s="1230"/>
      <c r="H627" s="1230"/>
    </row>
    <row r="628" spans="4:8" ht="12.75" customHeight="1">
      <c r="D628" s="1231"/>
      <c r="E628" s="1230"/>
      <c r="F628" s="1230"/>
      <c r="G628" s="1230"/>
      <c r="H628" s="1230"/>
    </row>
    <row r="629" spans="4:8" ht="12.75" customHeight="1">
      <c r="D629" s="1231"/>
      <c r="E629" s="1230"/>
      <c r="F629" s="1230"/>
      <c r="G629" s="1230"/>
      <c r="H629" s="1230"/>
    </row>
    <row r="630" spans="4:8" ht="12.75" customHeight="1">
      <c r="D630" s="1231"/>
      <c r="E630" s="1230"/>
      <c r="F630" s="1230"/>
      <c r="G630" s="1230"/>
      <c r="H630" s="1230"/>
    </row>
    <row r="631" spans="4:8" ht="12.75" customHeight="1">
      <c r="D631" s="1231"/>
      <c r="E631" s="1230"/>
      <c r="F631" s="1230"/>
      <c r="G631" s="1230"/>
      <c r="H631" s="1230"/>
    </row>
    <row r="632" spans="4:8" ht="12.75" customHeight="1">
      <c r="D632" s="1231"/>
      <c r="E632" s="1230"/>
      <c r="F632" s="1230"/>
      <c r="G632" s="1230"/>
      <c r="H632" s="1230"/>
    </row>
    <row r="633" spans="4:8" ht="12.75" customHeight="1">
      <c r="D633" s="1231"/>
      <c r="E633" s="1230"/>
      <c r="F633" s="1230"/>
      <c r="G633" s="1230"/>
      <c r="H633" s="1230"/>
    </row>
    <row r="634" spans="4:8" ht="12.75" customHeight="1">
      <c r="D634" s="1231"/>
      <c r="E634" s="1230"/>
      <c r="F634" s="1230"/>
      <c r="G634" s="1230"/>
      <c r="H634" s="1230"/>
    </row>
    <row r="635" spans="4:8" ht="12.75" customHeight="1">
      <c r="D635" s="1231"/>
      <c r="E635" s="1230"/>
      <c r="F635" s="1230"/>
      <c r="G635" s="1230"/>
      <c r="H635" s="1230"/>
    </row>
    <row r="636" spans="4:8" ht="12.75" customHeight="1">
      <c r="D636" s="1231"/>
      <c r="E636" s="1230"/>
      <c r="F636" s="1230"/>
      <c r="G636" s="1230"/>
      <c r="H636" s="1230"/>
    </row>
    <row r="637" spans="4:8" ht="12.75" customHeight="1">
      <c r="D637" s="1231"/>
      <c r="E637" s="1230"/>
      <c r="F637" s="1230"/>
      <c r="G637" s="1230"/>
      <c r="H637" s="1230"/>
    </row>
    <row r="638" spans="4:8" ht="12.75" customHeight="1">
      <c r="D638" s="1231"/>
      <c r="E638" s="1230"/>
      <c r="F638" s="1230"/>
      <c r="G638" s="1230"/>
      <c r="H638" s="1230"/>
    </row>
    <row r="639" spans="4:8" ht="12.75" customHeight="1">
      <c r="D639" s="1231"/>
      <c r="E639" s="1230"/>
      <c r="F639" s="1230"/>
      <c r="G639" s="1230"/>
      <c r="H639" s="1230"/>
    </row>
    <row r="640" spans="4:8" ht="12.75" customHeight="1">
      <c r="D640" s="1231"/>
      <c r="E640" s="1230"/>
      <c r="F640" s="1230"/>
      <c r="G640" s="1230"/>
      <c r="H640" s="1230"/>
    </row>
    <row r="641" spans="4:8" ht="12.75" customHeight="1">
      <c r="D641" s="1231"/>
      <c r="E641" s="1230"/>
      <c r="F641" s="1230"/>
      <c r="G641" s="1230"/>
      <c r="H641" s="1230"/>
    </row>
    <row r="642" spans="4:8" ht="12.75" customHeight="1">
      <c r="D642" s="1231"/>
      <c r="E642" s="1230"/>
      <c r="F642" s="1230"/>
      <c r="G642" s="1230"/>
      <c r="H642" s="1230"/>
    </row>
    <row r="643" spans="4:8" ht="12.75" customHeight="1">
      <c r="D643" s="1231"/>
      <c r="E643" s="1230"/>
      <c r="F643" s="1230"/>
      <c r="G643" s="1230"/>
      <c r="H643" s="1230"/>
    </row>
    <row r="644" spans="4:8" ht="12.75" customHeight="1">
      <c r="D644" s="1231"/>
      <c r="E644" s="1230"/>
      <c r="F644" s="1230"/>
      <c r="G644" s="1230"/>
      <c r="H644" s="1230"/>
    </row>
    <row r="645" spans="4:8" ht="12.75" customHeight="1">
      <c r="D645" s="1231"/>
      <c r="E645" s="1230"/>
      <c r="F645" s="1230"/>
      <c r="G645" s="1230"/>
      <c r="H645" s="1230"/>
    </row>
    <row r="646" spans="4:8" ht="12.75" customHeight="1">
      <c r="D646" s="1231"/>
      <c r="E646" s="1230"/>
      <c r="F646" s="1230"/>
      <c r="G646" s="1230"/>
      <c r="H646" s="1230"/>
    </row>
    <row r="647" spans="4:8" ht="12.75" customHeight="1">
      <c r="D647" s="1231"/>
      <c r="E647" s="1230"/>
      <c r="F647" s="1230"/>
      <c r="G647" s="1230"/>
      <c r="H647" s="1230"/>
    </row>
    <row r="648" spans="4:8" ht="12.75" customHeight="1">
      <c r="D648" s="1231"/>
      <c r="E648" s="1230"/>
      <c r="F648" s="1230"/>
      <c r="G648" s="1230"/>
      <c r="H648" s="1230"/>
    </row>
    <row r="649" spans="4:8" ht="12.75" customHeight="1">
      <c r="D649" s="1231"/>
      <c r="E649" s="1230"/>
      <c r="F649" s="1230"/>
      <c r="G649" s="1230"/>
      <c r="H649" s="1230"/>
    </row>
    <row r="650" spans="4:8" ht="12.75" customHeight="1">
      <c r="D650" s="1231"/>
      <c r="E650" s="1230"/>
      <c r="F650" s="1230"/>
      <c r="G650" s="1230"/>
      <c r="H650" s="1230"/>
    </row>
    <row r="651" spans="4:8" ht="12.75" customHeight="1">
      <c r="D651" s="1231"/>
      <c r="E651" s="1230"/>
      <c r="F651" s="1230"/>
      <c r="G651" s="1230"/>
      <c r="H651" s="1230"/>
    </row>
    <row r="652" spans="4:8" ht="12.75" customHeight="1">
      <c r="D652" s="1231"/>
      <c r="E652" s="1230"/>
      <c r="F652" s="1230"/>
      <c r="G652" s="1230"/>
      <c r="H652" s="1230"/>
    </row>
    <row r="653" spans="4:8" ht="12.75" customHeight="1">
      <c r="D653" s="1231"/>
      <c r="E653" s="1230"/>
      <c r="F653" s="1230"/>
      <c r="G653" s="1230"/>
      <c r="H653" s="1230"/>
    </row>
    <row r="654" spans="4:8" ht="12.75" customHeight="1">
      <c r="D654" s="1231"/>
      <c r="E654" s="1230"/>
      <c r="F654" s="1230"/>
      <c r="G654" s="1230"/>
      <c r="H654" s="1230"/>
    </row>
    <row r="655" spans="4:8" ht="12.75" customHeight="1">
      <c r="D655" s="1231"/>
      <c r="E655" s="1230"/>
      <c r="F655" s="1230"/>
      <c r="G655" s="1230"/>
      <c r="H655" s="1230"/>
    </row>
    <row r="656" spans="4:8" ht="12.75" customHeight="1">
      <c r="D656" s="1231"/>
      <c r="E656" s="1230"/>
      <c r="F656" s="1230"/>
      <c r="G656" s="1230"/>
      <c r="H656" s="1230"/>
    </row>
    <row r="657" spans="4:8" ht="12.75" customHeight="1">
      <c r="D657" s="1231"/>
      <c r="E657" s="1230"/>
      <c r="F657" s="1230"/>
      <c r="G657" s="1230"/>
      <c r="H657" s="1230"/>
    </row>
    <row r="658" spans="4:8" ht="12.75" customHeight="1">
      <c r="D658" s="1231"/>
      <c r="E658" s="1230"/>
      <c r="F658" s="1230"/>
      <c r="G658" s="1230"/>
      <c r="H658" s="1230"/>
    </row>
    <row r="659" spans="4:8" ht="12.75" customHeight="1">
      <c r="D659" s="1231"/>
      <c r="E659" s="1230"/>
      <c r="F659" s="1230"/>
      <c r="G659" s="1230"/>
      <c r="H659" s="1230"/>
    </row>
    <row r="660" spans="4:8" ht="12.75" customHeight="1">
      <c r="D660" s="1231"/>
      <c r="E660" s="1230"/>
      <c r="F660" s="1230"/>
      <c r="G660" s="1230"/>
      <c r="H660" s="1230"/>
    </row>
    <row r="661" spans="4:8" ht="12.75" customHeight="1">
      <c r="D661" s="1231"/>
      <c r="E661" s="1230"/>
      <c r="F661" s="1230"/>
      <c r="G661" s="1230"/>
      <c r="H661" s="1230"/>
    </row>
    <row r="662" spans="4:8" ht="12.75" customHeight="1">
      <c r="D662" s="1231"/>
      <c r="E662" s="1230"/>
      <c r="F662" s="1230"/>
      <c r="G662" s="1230"/>
      <c r="H662" s="1230"/>
    </row>
    <row r="663" spans="4:8" ht="12.75" customHeight="1">
      <c r="D663" s="1231"/>
      <c r="E663" s="1230"/>
      <c r="F663" s="1230"/>
      <c r="G663" s="1230"/>
      <c r="H663" s="1230"/>
    </row>
    <row r="664" spans="4:8" ht="12.75" customHeight="1">
      <c r="D664" s="1231"/>
      <c r="E664" s="1230"/>
      <c r="F664" s="1230"/>
      <c r="G664" s="1230"/>
      <c r="H664" s="1230"/>
    </row>
    <row r="665" spans="4:8" ht="12.75" customHeight="1">
      <c r="D665" s="1231"/>
      <c r="E665" s="1230"/>
      <c r="F665" s="1230"/>
      <c r="G665" s="1230"/>
      <c r="H665" s="1230"/>
    </row>
    <row r="666" spans="4:8" ht="12.75" customHeight="1">
      <c r="D666" s="1231"/>
      <c r="E666" s="1230"/>
      <c r="F666" s="1230"/>
      <c r="G666" s="1230"/>
      <c r="H666" s="1230"/>
    </row>
    <row r="667" spans="4:8" ht="12.75" customHeight="1">
      <c r="D667" s="1231"/>
      <c r="E667" s="1230"/>
      <c r="F667" s="1230"/>
      <c r="G667" s="1230"/>
      <c r="H667" s="1230"/>
    </row>
    <row r="668" spans="4:8" ht="12.75" customHeight="1">
      <c r="D668" s="1231"/>
      <c r="E668" s="1230"/>
      <c r="F668" s="1230"/>
      <c r="G668" s="1230"/>
      <c r="H668" s="1230"/>
    </row>
    <row r="669" spans="4:8" ht="12.75" customHeight="1">
      <c r="D669" s="1231"/>
      <c r="E669" s="1230"/>
      <c r="F669" s="1230"/>
      <c r="G669" s="1230"/>
      <c r="H669" s="1230"/>
    </row>
    <row r="670" spans="4:8" ht="12.75" customHeight="1">
      <c r="D670" s="1231"/>
      <c r="E670" s="1230"/>
      <c r="F670" s="1230"/>
      <c r="G670" s="1230"/>
      <c r="H670" s="1230"/>
    </row>
    <row r="671" spans="4:8" ht="12.75" customHeight="1">
      <c r="D671" s="1231"/>
      <c r="E671" s="1230"/>
      <c r="F671" s="1230"/>
      <c r="G671" s="1230"/>
      <c r="H671" s="1230"/>
    </row>
    <row r="672" spans="4:8" ht="12.75" customHeight="1">
      <c r="D672" s="1231"/>
      <c r="E672" s="1230"/>
      <c r="F672" s="1230"/>
      <c r="G672" s="1230"/>
      <c r="H672" s="1230"/>
    </row>
    <row r="673" spans="4:8" ht="12.75" customHeight="1">
      <c r="D673" s="1231"/>
      <c r="E673" s="1230"/>
      <c r="F673" s="1230"/>
      <c r="G673" s="1230"/>
      <c r="H673" s="1230"/>
    </row>
    <row r="674" spans="4:8" ht="12.75" customHeight="1">
      <c r="D674" s="1231"/>
      <c r="E674" s="1230"/>
      <c r="F674" s="1230"/>
      <c r="G674" s="1230"/>
      <c r="H674" s="1230"/>
    </row>
    <row r="675" spans="4:8" ht="12.75" customHeight="1">
      <c r="D675" s="1231"/>
      <c r="E675" s="1230"/>
      <c r="F675" s="1230"/>
      <c r="G675" s="1230"/>
      <c r="H675" s="1230"/>
    </row>
    <row r="676" spans="4:8" ht="12.75" customHeight="1">
      <c r="D676" s="1231"/>
      <c r="E676" s="1230"/>
      <c r="F676" s="1230"/>
      <c r="G676" s="1230"/>
      <c r="H676" s="1230"/>
    </row>
    <row r="677" spans="4:8" ht="12.75" customHeight="1">
      <c r="D677" s="1231"/>
      <c r="E677" s="1230"/>
      <c r="F677" s="1230"/>
      <c r="G677" s="1230"/>
      <c r="H677" s="1230"/>
    </row>
    <row r="678" spans="4:8" ht="12.75" customHeight="1">
      <c r="D678" s="1231"/>
      <c r="E678" s="1230"/>
      <c r="F678" s="1230"/>
      <c r="G678" s="1230"/>
      <c r="H678" s="1230"/>
    </row>
    <row r="679" spans="4:8" ht="12.75" customHeight="1">
      <c r="D679" s="1231"/>
      <c r="E679" s="1230"/>
      <c r="F679" s="1230"/>
      <c r="G679" s="1230"/>
      <c r="H679" s="1230"/>
    </row>
    <row r="680" spans="4:8" ht="12.75" customHeight="1">
      <c r="D680" s="1231"/>
      <c r="E680" s="1230"/>
      <c r="F680" s="1230"/>
      <c r="G680" s="1230"/>
      <c r="H680" s="1230"/>
    </row>
    <row r="681" spans="4:8" ht="12.75" customHeight="1">
      <c r="D681" s="1231"/>
      <c r="E681" s="1230"/>
      <c r="F681" s="1230"/>
      <c r="G681" s="1230"/>
      <c r="H681" s="1230"/>
    </row>
    <row r="682" spans="4:8" ht="12.75" customHeight="1">
      <c r="D682" s="1231"/>
      <c r="E682" s="1230"/>
      <c r="F682" s="1230"/>
      <c r="G682" s="1230"/>
      <c r="H682" s="1230"/>
    </row>
    <row r="683" spans="4:8" ht="12.75" customHeight="1">
      <c r="D683" s="1231"/>
      <c r="E683" s="1230"/>
      <c r="F683" s="1230"/>
      <c r="G683" s="1230"/>
      <c r="H683" s="1230"/>
    </row>
    <row r="684" spans="4:8" ht="12.75" customHeight="1">
      <c r="D684" s="1231"/>
      <c r="E684" s="1230"/>
      <c r="F684" s="1230"/>
      <c r="G684" s="1230"/>
      <c r="H684" s="1230"/>
    </row>
    <row r="685" spans="4:8" ht="12.75" customHeight="1">
      <c r="D685" s="1231"/>
      <c r="E685" s="1230"/>
      <c r="F685" s="1230"/>
      <c r="G685" s="1230"/>
      <c r="H685" s="1230"/>
    </row>
    <row r="686" spans="4:8" ht="12.75" customHeight="1">
      <c r="D686" s="1231"/>
      <c r="E686" s="1230"/>
      <c r="F686" s="1230"/>
      <c r="G686" s="1230"/>
      <c r="H686" s="1230"/>
    </row>
    <row r="687" spans="4:8" ht="12.75" customHeight="1">
      <c r="D687" s="1231"/>
      <c r="E687" s="1230"/>
      <c r="F687" s="1230"/>
      <c r="G687" s="1230"/>
      <c r="H687" s="1230"/>
    </row>
    <row r="688" spans="4:8" ht="12.75" customHeight="1">
      <c r="D688" s="1231"/>
      <c r="E688" s="1230"/>
      <c r="F688" s="1230"/>
      <c r="G688" s="1230"/>
      <c r="H688" s="1230"/>
    </row>
    <row r="689" spans="4:8" ht="12.75" customHeight="1">
      <c r="D689" s="1231"/>
      <c r="E689" s="1230"/>
      <c r="F689" s="1230"/>
      <c r="G689" s="1230"/>
      <c r="H689" s="1230"/>
    </row>
    <row r="690" spans="4:8" ht="12.75" customHeight="1">
      <c r="D690" s="1231"/>
      <c r="E690" s="1230"/>
      <c r="F690" s="1230"/>
      <c r="G690" s="1230"/>
      <c r="H690" s="1230"/>
    </row>
    <row r="691" spans="4:8" ht="12.75" customHeight="1">
      <c r="D691" s="1231"/>
      <c r="E691" s="1230"/>
      <c r="F691" s="1230"/>
      <c r="G691" s="1230"/>
      <c r="H691" s="1230"/>
    </row>
    <row r="692" spans="4:8" ht="12.75" customHeight="1">
      <c r="D692" s="1231"/>
      <c r="E692" s="1230"/>
      <c r="F692" s="1230"/>
      <c r="G692" s="1230"/>
      <c r="H692" s="1230"/>
    </row>
    <row r="693" spans="4:8" ht="12.75" customHeight="1">
      <c r="D693" s="1231"/>
      <c r="E693" s="1230"/>
      <c r="F693" s="1230"/>
      <c r="G693" s="1230"/>
      <c r="H693" s="1230"/>
    </row>
    <row r="694" spans="4:8" ht="12.75" customHeight="1">
      <c r="D694" s="1231"/>
      <c r="E694" s="1230"/>
      <c r="F694" s="1230"/>
      <c r="G694" s="1230"/>
      <c r="H694" s="1230"/>
    </row>
    <row r="695" spans="4:8" ht="12.75" customHeight="1">
      <c r="D695" s="1231"/>
      <c r="E695" s="1230"/>
      <c r="F695" s="1230"/>
      <c r="G695" s="1230"/>
      <c r="H695" s="1230"/>
    </row>
    <row r="696" spans="4:8" ht="12.75" customHeight="1">
      <c r="D696" s="1231"/>
      <c r="E696" s="1230"/>
      <c r="F696" s="1230"/>
      <c r="G696" s="1230"/>
      <c r="H696" s="1230"/>
    </row>
    <row r="697" spans="4:8" ht="12.75" customHeight="1">
      <c r="D697" s="1231"/>
      <c r="E697" s="1230"/>
      <c r="F697" s="1230"/>
      <c r="G697" s="1230"/>
      <c r="H697" s="1230"/>
    </row>
    <row r="698" spans="4:8" ht="12.75" customHeight="1">
      <c r="D698" s="1231"/>
      <c r="E698" s="1230"/>
      <c r="F698" s="1230"/>
      <c r="G698" s="1230"/>
      <c r="H698" s="1230"/>
    </row>
    <row r="699" spans="4:8" ht="12.75" customHeight="1">
      <c r="D699" s="1231"/>
      <c r="E699" s="1230"/>
      <c r="F699" s="1230"/>
      <c r="G699" s="1230"/>
      <c r="H699" s="1230"/>
    </row>
    <row r="700" spans="4:8" ht="12.75" customHeight="1">
      <c r="D700" s="1231"/>
      <c r="E700" s="1230"/>
      <c r="F700" s="1230"/>
      <c r="G700" s="1230"/>
      <c r="H700" s="1230"/>
    </row>
    <row r="701" spans="4:8" ht="12.75" customHeight="1">
      <c r="D701" s="1231"/>
      <c r="E701" s="1230"/>
      <c r="F701" s="1230"/>
      <c r="G701" s="1230"/>
      <c r="H701" s="1230"/>
    </row>
    <row r="702" spans="4:8" ht="12.75" customHeight="1">
      <c r="D702" s="1231"/>
      <c r="E702" s="1230"/>
      <c r="F702" s="1230"/>
      <c r="G702" s="1230"/>
      <c r="H702" s="1230"/>
    </row>
    <row r="703" spans="4:8" ht="12.75" customHeight="1">
      <c r="D703" s="1231"/>
      <c r="E703" s="1230"/>
      <c r="F703" s="1230"/>
      <c r="G703" s="1230"/>
      <c r="H703" s="1230"/>
    </row>
    <row r="704" spans="4:8" ht="12.75" customHeight="1">
      <c r="D704" s="1231"/>
      <c r="E704" s="1230"/>
      <c r="F704" s="1230"/>
      <c r="G704" s="1230"/>
      <c r="H704" s="1230"/>
    </row>
    <row r="705" spans="4:8" ht="12.75" customHeight="1">
      <c r="D705" s="1231"/>
      <c r="E705" s="1230"/>
      <c r="F705" s="1230"/>
      <c r="G705" s="1230"/>
      <c r="H705" s="1230"/>
    </row>
    <row r="706" spans="4:8" ht="12.75" customHeight="1">
      <c r="D706" s="1231"/>
      <c r="E706" s="1230"/>
      <c r="F706" s="1230"/>
      <c r="G706" s="1230"/>
      <c r="H706" s="1230"/>
    </row>
    <row r="707" spans="4:8" ht="12.75" customHeight="1">
      <c r="D707" s="1231"/>
      <c r="E707" s="1230"/>
      <c r="F707" s="1230"/>
      <c r="G707" s="1230"/>
      <c r="H707" s="1230"/>
    </row>
    <row r="708" spans="4:8" ht="12.75" customHeight="1">
      <c r="D708" s="1231"/>
      <c r="E708" s="1230"/>
      <c r="F708" s="1230"/>
      <c r="G708" s="1230"/>
      <c r="H708" s="1230"/>
    </row>
    <row r="709" spans="4:8" ht="12.75" customHeight="1">
      <c r="D709" s="1231"/>
      <c r="E709" s="1230"/>
      <c r="F709" s="1230"/>
      <c r="G709" s="1230"/>
      <c r="H709" s="1230"/>
    </row>
    <row r="710" spans="4:8" ht="12.75" customHeight="1">
      <c r="D710" s="1231"/>
      <c r="E710" s="1230"/>
      <c r="F710" s="1230"/>
      <c r="G710" s="1230"/>
      <c r="H710" s="1230"/>
    </row>
    <row r="711" spans="4:8" ht="12.75" customHeight="1">
      <c r="D711" s="1231"/>
      <c r="E711" s="1230"/>
      <c r="F711" s="1230"/>
      <c r="G711" s="1230"/>
      <c r="H711" s="1230"/>
    </row>
    <row r="712" spans="4:8" ht="12.75" customHeight="1">
      <c r="D712" s="1231"/>
      <c r="E712" s="1230"/>
      <c r="F712" s="1230"/>
      <c r="G712" s="1230"/>
      <c r="H712" s="1230"/>
    </row>
    <row r="713" spans="4:8" ht="12.75" customHeight="1">
      <c r="D713" s="1231"/>
      <c r="E713" s="1230"/>
      <c r="F713" s="1230"/>
      <c r="G713" s="1230"/>
      <c r="H713" s="1230"/>
    </row>
    <row r="714" spans="4:8" ht="12.75" customHeight="1">
      <c r="D714" s="1231"/>
      <c r="E714" s="1230"/>
      <c r="F714" s="1230"/>
      <c r="G714" s="1230"/>
      <c r="H714" s="1230"/>
    </row>
    <row r="715" spans="4:8" ht="12.75" customHeight="1">
      <c r="D715" s="1231"/>
      <c r="E715" s="1230"/>
      <c r="F715" s="1230"/>
      <c r="G715" s="1230"/>
      <c r="H715" s="1230"/>
    </row>
    <row r="716" spans="4:8" ht="12.75" customHeight="1">
      <c r="D716" s="1231"/>
      <c r="E716" s="1230"/>
      <c r="F716" s="1230"/>
      <c r="G716" s="1230"/>
      <c r="H716" s="1230"/>
    </row>
    <row r="717" spans="4:8" ht="12.75" customHeight="1">
      <c r="D717" s="1231"/>
      <c r="E717" s="1230"/>
      <c r="F717" s="1230"/>
      <c r="G717" s="1230"/>
      <c r="H717" s="1230"/>
    </row>
    <row r="718" spans="4:8" ht="12.75" customHeight="1">
      <c r="D718" s="1231"/>
      <c r="E718" s="1230"/>
      <c r="F718" s="1230"/>
      <c r="G718" s="1230"/>
      <c r="H718" s="1230"/>
    </row>
    <row r="719" spans="4:8" ht="12.75" customHeight="1">
      <c r="D719" s="1231"/>
      <c r="E719" s="1230"/>
      <c r="F719" s="1230"/>
      <c r="G719" s="1230"/>
      <c r="H719" s="1230"/>
    </row>
    <row r="720" spans="4:8" ht="12.75" customHeight="1">
      <c r="D720" s="1231"/>
      <c r="E720" s="1230"/>
      <c r="F720" s="1230"/>
      <c r="G720" s="1230"/>
      <c r="H720" s="1230"/>
    </row>
    <row r="721" spans="4:8" ht="12.75" customHeight="1">
      <c r="D721" s="1231"/>
      <c r="E721" s="1230"/>
      <c r="F721" s="1230"/>
      <c r="G721" s="1230"/>
      <c r="H721" s="1230"/>
    </row>
    <row r="722" spans="4:8" ht="12.75" customHeight="1">
      <c r="D722" s="1231"/>
      <c r="E722" s="1230"/>
      <c r="F722" s="1230"/>
      <c r="G722" s="1230"/>
      <c r="H722" s="1230"/>
    </row>
    <row r="723" spans="4:8" ht="12.75" customHeight="1">
      <c r="D723" s="1231"/>
      <c r="E723" s="1230"/>
      <c r="F723" s="1230"/>
      <c r="G723" s="1230"/>
      <c r="H723" s="1230"/>
    </row>
    <row r="724" spans="4:8" ht="12.75" customHeight="1">
      <c r="D724" s="1231"/>
      <c r="E724" s="1230"/>
      <c r="F724" s="1230"/>
      <c r="G724" s="1230"/>
      <c r="H724" s="1230"/>
    </row>
    <row r="725" spans="4:8" ht="12.75" customHeight="1">
      <c r="D725" s="1231"/>
      <c r="E725" s="1230"/>
      <c r="F725" s="1230"/>
      <c r="G725" s="1230"/>
      <c r="H725" s="1230"/>
    </row>
    <row r="726" spans="4:8" ht="12.75" customHeight="1">
      <c r="D726" s="1231"/>
      <c r="E726" s="1230"/>
      <c r="F726" s="1230"/>
      <c r="G726" s="1230"/>
      <c r="H726" s="1230"/>
    </row>
    <row r="727" spans="4:8" ht="12.75" customHeight="1">
      <c r="D727" s="1231"/>
      <c r="E727" s="1230"/>
      <c r="F727" s="1230"/>
      <c r="G727" s="1230"/>
      <c r="H727" s="1230"/>
    </row>
    <row r="728" spans="4:8" ht="12.75" customHeight="1">
      <c r="D728" s="1231"/>
      <c r="E728" s="1230"/>
      <c r="F728" s="1230"/>
      <c r="G728" s="1230"/>
      <c r="H728" s="1230"/>
    </row>
    <row r="729" spans="4:8" ht="12.75" customHeight="1">
      <c r="D729" s="1231"/>
      <c r="E729" s="1230"/>
      <c r="F729" s="1230"/>
      <c r="G729" s="1230"/>
      <c r="H729" s="1230"/>
    </row>
    <row r="730" spans="4:8" ht="12.75" customHeight="1">
      <c r="D730" s="1231"/>
      <c r="E730" s="1230"/>
      <c r="F730" s="1230"/>
      <c r="G730" s="1230"/>
      <c r="H730" s="1230"/>
    </row>
    <row r="731" spans="4:8" ht="12.75" customHeight="1">
      <c r="D731" s="1231"/>
      <c r="E731" s="1230"/>
      <c r="F731" s="1230"/>
      <c r="G731" s="1230"/>
      <c r="H731" s="1230"/>
    </row>
    <row r="732" spans="4:8" ht="12.75" customHeight="1">
      <c r="D732" s="1231"/>
      <c r="E732" s="1230"/>
      <c r="F732" s="1230"/>
      <c r="G732" s="1230"/>
      <c r="H732" s="1230"/>
    </row>
    <row r="733" spans="4:8" ht="12.75" customHeight="1">
      <c r="D733" s="1231"/>
      <c r="E733" s="1230"/>
      <c r="F733" s="1230"/>
      <c r="G733" s="1230"/>
      <c r="H733" s="1230"/>
    </row>
    <row r="734" spans="4:8" ht="12.75" customHeight="1">
      <c r="D734" s="1231"/>
      <c r="E734" s="1230"/>
      <c r="F734" s="1230"/>
      <c r="G734" s="1230"/>
      <c r="H734" s="1230"/>
    </row>
    <row r="735" spans="4:8" ht="12.75" customHeight="1">
      <c r="D735" s="1231"/>
      <c r="E735" s="1230"/>
      <c r="F735" s="1230"/>
      <c r="G735" s="1230"/>
      <c r="H735" s="1230"/>
    </row>
    <row r="736" spans="4:8" ht="12.75" customHeight="1">
      <c r="D736" s="1231"/>
      <c r="E736" s="1230"/>
      <c r="F736" s="1230"/>
      <c r="G736" s="1230"/>
      <c r="H736" s="1230"/>
    </row>
    <row r="737" spans="4:8" ht="12.75" customHeight="1">
      <c r="D737" s="1231"/>
      <c r="E737" s="1230"/>
      <c r="F737" s="1230"/>
      <c r="G737" s="1230"/>
      <c r="H737" s="1230"/>
    </row>
    <row r="738" spans="4:8" ht="12.75" customHeight="1">
      <c r="D738" s="1231"/>
      <c r="E738" s="1230"/>
      <c r="F738" s="1230"/>
      <c r="G738" s="1230"/>
      <c r="H738" s="1230"/>
    </row>
    <row r="739" spans="4:8" ht="12.75" customHeight="1">
      <c r="D739" s="1231"/>
      <c r="E739" s="1230"/>
      <c r="F739" s="1230"/>
      <c r="G739" s="1230"/>
      <c r="H739" s="1230"/>
    </row>
    <row r="740" spans="4:8" ht="12.75" customHeight="1">
      <c r="D740" s="1231"/>
      <c r="E740" s="1230"/>
      <c r="F740" s="1230"/>
      <c r="G740" s="1230"/>
      <c r="H740" s="1230"/>
    </row>
    <row r="741" spans="4:8" ht="12.75" customHeight="1">
      <c r="D741" s="1231"/>
      <c r="E741" s="1230"/>
      <c r="F741" s="1230"/>
      <c r="G741" s="1230"/>
      <c r="H741" s="1230"/>
    </row>
    <row r="742" spans="4:8" ht="12.75" customHeight="1">
      <c r="D742" s="1231"/>
      <c r="E742" s="1230"/>
      <c r="F742" s="1230"/>
      <c r="G742" s="1230"/>
      <c r="H742" s="1230"/>
    </row>
    <row r="743" spans="4:8" ht="13.5" customHeight="1">
      <c r="D743" s="1231"/>
      <c r="E743" s="1230"/>
      <c r="F743" s="1230"/>
      <c r="G743" s="1230"/>
      <c r="H743" s="1230"/>
    </row>
    <row r="744" spans="4:8" ht="12.75" customHeight="1">
      <c r="D744" s="1231"/>
      <c r="E744" s="1230"/>
      <c r="F744" s="1230"/>
      <c r="G744" s="1230"/>
      <c r="H744" s="1230"/>
    </row>
    <row r="745" spans="4:8" ht="12.75" customHeight="1">
      <c r="D745" s="1231"/>
      <c r="E745" s="1230"/>
      <c r="F745" s="1230"/>
      <c r="G745" s="1230"/>
      <c r="H745" s="1230"/>
    </row>
    <row r="746" spans="4:8" ht="12.75" customHeight="1">
      <c r="D746" s="1231"/>
      <c r="E746" s="1230"/>
      <c r="F746" s="1230"/>
      <c r="G746" s="1230"/>
      <c r="H746" s="1230"/>
    </row>
    <row r="747" spans="4:8" ht="12.75" customHeight="1">
      <c r="D747" s="1231"/>
      <c r="E747" s="1230"/>
      <c r="F747" s="1230"/>
      <c r="G747" s="1230"/>
      <c r="H747" s="1230"/>
    </row>
    <row r="748" spans="4:8" ht="12.75" customHeight="1">
      <c r="D748" s="1231"/>
      <c r="E748" s="1230"/>
      <c r="F748" s="1230"/>
      <c r="G748" s="1230"/>
      <c r="H748" s="1230"/>
    </row>
    <row r="749" spans="4:8" ht="12.75" customHeight="1">
      <c r="D749" s="1231"/>
      <c r="E749" s="1230"/>
      <c r="F749" s="1230"/>
      <c r="G749" s="1230"/>
      <c r="H749" s="1230"/>
    </row>
    <row r="750" spans="4:8" ht="12.75" customHeight="1">
      <c r="D750" s="1231"/>
      <c r="E750" s="1230"/>
      <c r="F750" s="1230"/>
      <c r="G750" s="1230"/>
      <c r="H750" s="1230"/>
    </row>
    <row r="751" spans="4:8" ht="12.75" customHeight="1">
      <c r="D751" s="1231"/>
      <c r="E751" s="1230"/>
      <c r="F751" s="1230"/>
      <c r="G751" s="1230"/>
      <c r="H751" s="1230"/>
    </row>
    <row r="752" spans="4:8" ht="12.75" customHeight="1">
      <c r="D752" s="1231"/>
      <c r="E752" s="1230"/>
      <c r="F752" s="1230"/>
      <c r="G752" s="1230"/>
      <c r="H752" s="1230"/>
    </row>
    <row r="753" spans="4:8" ht="12.75" customHeight="1">
      <c r="D753" s="1231"/>
      <c r="E753" s="1230"/>
      <c r="F753" s="1230"/>
      <c r="G753" s="1230"/>
      <c r="H753" s="1230"/>
    </row>
    <row r="754" spans="4:8" ht="12.75" customHeight="1">
      <c r="D754" s="1231"/>
      <c r="E754" s="1230"/>
      <c r="F754" s="1230"/>
      <c r="G754" s="1230"/>
      <c r="H754" s="1230"/>
    </row>
    <row r="755" spans="4:8" ht="12.75" customHeight="1">
      <c r="D755" s="1231"/>
      <c r="E755" s="1230"/>
      <c r="F755" s="1230"/>
      <c r="G755" s="1230"/>
      <c r="H755" s="1230"/>
    </row>
    <row r="756" spans="4:8" ht="12.75" customHeight="1">
      <c r="D756" s="1231"/>
      <c r="E756" s="1230"/>
      <c r="F756" s="1230"/>
      <c r="G756" s="1230"/>
      <c r="H756" s="1230"/>
    </row>
    <row r="757" spans="4:8" ht="12.75" customHeight="1">
      <c r="D757" s="1231"/>
      <c r="E757" s="1230"/>
      <c r="F757" s="1230"/>
      <c r="G757" s="1230"/>
      <c r="H757" s="1230"/>
    </row>
    <row r="758" spans="4:8" ht="12.75" customHeight="1">
      <c r="D758" s="1231"/>
      <c r="E758" s="1230"/>
      <c r="F758" s="1230"/>
      <c r="G758" s="1230"/>
      <c r="H758" s="1230"/>
    </row>
    <row r="759" spans="4:8" ht="12.75" customHeight="1">
      <c r="D759" s="1231"/>
      <c r="E759" s="1230"/>
      <c r="F759" s="1230"/>
      <c r="G759" s="1230"/>
      <c r="H759" s="1230"/>
    </row>
    <row r="760" spans="4:8" ht="12.75" customHeight="1">
      <c r="D760" s="1231"/>
      <c r="E760" s="1230"/>
      <c r="F760" s="1230"/>
      <c r="G760" s="1230"/>
      <c r="H760" s="1230"/>
    </row>
    <row r="761" spans="4:8" ht="12.75" customHeight="1">
      <c r="D761" s="1231"/>
      <c r="E761" s="1230"/>
      <c r="F761" s="1230"/>
      <c r="G761" s="1230"/>
      <c r="H761" s="1230"/>
    </row>
    <row r="762" spans="4:8" ht="12.75" customHeight="1">
      <c r="D762" s="1231"/>
      <c r="E762" s="1230"/>
      <c r="F762" s="1230"/>
      <c r="G762" s="1230"/>
      <c r="H762" s="1230"/>
    </row>
    <row r="763" spans="4:8" ht="12.75" customHeight="1">
      <c r="D763" s="1231"/>
      <c r="E763" s="1230"/>
      <c r="F763" s="1230"/>
      <c r="G763" s="1230"/>
      <c r="H763" s="1230"/>
    </row>
    <row r="764" spans="4:8" ht="12.75" customHeight="1">
      <c r="D764" s="1231"/>
      <c r="E764" s="1230"/>
      <c r="F764" s="1230"/>
      <c r="G764" s="1230"/>
      <c r="H764" s="1230"/>
    </row>
    <row r="765" spans="4:8" ht="12.75" customHeight="1">
      <c r="D765" s="1231"/>
      <c r="E765" s="1230"/>
      <c r="F765" s="1230"/>
      <c r="G765" s="1230"/>
      <c r="H765" s="1230"/>
    </row>
    <row r="766" spans="4:8" ht="12.75" customHeight="1">
      <c r="D766" s="1231"/>
      <c r="E766" s="1230"/>
      <c r="F766" s="1230"/>
      <c r="G766" s="1230"/>
      <c r="H766" s="1230"/>
    </row>
    <row r="767" spans="4:8" ht="12.75" customHeight="1">
      <c r="D767" s="1231"/>
      <c r="E767" s="1230"/>
      <c r="F767" s="1230"/>
      <c r="G767" s="1230"/>
      <c r="H767" s="1230"/>
    </row>
    <row r="768" spans="4:8" ht="12.75" customHeight="1">
      <c r="D768" s="1231"/>
      <c r="E768" s="1230"/>
      <c r="F768" s="1230"/>
      <c r="G768" s="1230"/>
      <c r="H768" s="1230"/>
    </row>
    <row r="769" spans="4:30" ht="12.75" customHeight="1">
      <c r="D769" s="1231"/>
      <c r="E769" s="1230"/>
      <c r="F769" s="1230"/>
      <c r="G769" s="1230"/>
      <c r="H769" s="1230"/>
      <c r="I769" s="1189"/>
      <c r="J769" s="1189"/>
      <c r="K769" s="1189"/>
      <c r="L769" s="1225"/>
      <c r="M769" s="1189"/>
      <c r="N769" s="1189"/>
      <c r="O769" s="1189"/>
      <c r="P769" s="1189"/>
      <c r="Q769" s="1189"/>
      <c r="R769" s="1189"/>
      <c r="S769" s="1189"/>
      <c r="T769" s="1208"/>
      <c r="U769" s="1208"/>
      <c r="V769" s="1189"/>
      <c r="W769" s="1189"/>
      <c r="X769" s="1189"/>
      <c r="Y769" s="1189"/>
      <c r="Z769" s="1189"/>
      <c r="AA769" s="1189"/>
      <c r="AB769" s="1189"/>
      <c r="AC769" s="1189"/>
      <c r="AD769" s="1189"/>
    </row>
    <row r="770" spans="4:30" ht="12.75" customHeight="1">
      <c r="D770" s="1231"/>
      <c r="E770" s="1230"/>
      <c r="F770" s="1230"/>
      <c r="G770" s="1230"/>
      <c r="H770" s="1230"/>
      <c r="I770" s="1189"/>
      <c r="J770" s="1189"/>
      <c r="K770" s="1189"/>
      <c r="L770" s="1225"/>
      <c r="M770" s="1189"/>
      <c r="N770" s="1189"/>
      <c r="O770" s="1189"/>
      <c r="P770" s="1189"/>
      <c r="Q770" s="1189"/>
      <c r="R770" s="1189"/>
      <c r="S770" s="1189"/>
      <c r="T770" s="1208"/>
      <c r="U770" s="1208"/>
      <c r="V770" s="1189"/>
      <c r="W770" s="1189"/>
      <c r="X770" s="1189"/>
      <c r="Y770" s="1189"/>
      <c r="Z770" s="1189"/>
      <c r="AA770" s="1189"/>
      <c r="AB770" s="1189"/>
      <c r="AC770" s="1189"/>
      <c r="AD770" s="1189">
        <v>1</v>
      </c>
    </row>
    <row r="771" spans="4:30" ht="12.75" customHeight="1">
      <c r="D771" s="1231"/>
      <c r="E771" s="1230"/>
      <c r="F771" s="1230"/>
      <c r="G771" s="1230"/>
      <c r="H771" s="1230"/>
      <c r="I771" s="1189"/>
      <c r="J771" s="1189"/>
      <c r="K771" s="1189"/>
      <c r="L771" s="1225"/>
      <c r="M771" s="1189"/>
      <c r="N771" s="1189"/>
      <c r="O771" s="1189"/>
      <c r="P771" s="1189"/>
      <c r="Q771" s="1189"/>
      <c r="R771" s="1189"/>
      <c r="S771" s="1189"/>
      <c r="T771" s="1208"/>
      <c r="U771" s="1208"/>
      <c r="V771" s="1189"/>
      <c r="W771" s="1189"/>
      <c r="X771" s="1189"/>
      <c r="Y771" s="1189"/>
      <c r="Z771" s="1189"/>
      <c r="AA771" s="1189"/>
      <c r="AB771" s="1189"/>
      <c r="AC771" s="1189"/>
      <c r="AD771" s="1189"/>
    </row>
    <row r="772" spans="4:30" ht="12.75" customHeight="1">
      <c r="D772" s="1231"/>
      <c r="E772" s="1230"/>
      <c r="F772" s="1230"/>
      <c r="G772" s="1230"/>
      <c r="H772" s="1230"/>
      <c r="I772" s="1189"/>
      <c r="J772" s="1189"/>
      <c r="K772" s="1189"/>
      <c r="L772" s="1225"/>
      <c r="M772" s="1189"/>
      <c r="N772" s="1189"/>
      <c r="O772" s="1189"/>
      <c r="P772" s="1189"/>
      <c r="Q772" s="1189"/>
      <c r="R772" s="1189"/>
      <c r="S772" s="1189"/>
      <c r="T772" s="1208"/>
      <c r="U772" s="1208"/>
      <c r="V772" s="1189"/>
      <c r="W772" s="1189"/>
      <c r="X772" s="1189"/>
      <c r="Y772" s="1189"/>
      <c r="Z772" s="1189"/>
      <c r="AA772" s="1189"/>
      <c r="AB772" s="1189"/>
      <c r="AC772" s="1189"/>
      <c r="AD772" s="1189"/>
    </row>
    <row r="773" spans="4:30" ht="12.75" customHeight="1">
      <c r="D773" s="1231"/>
      <c r="E773" s="1230"/>
      <c r="F773" s="1230"/>
      <c r="G773" s="1230"/>
      <c r="H773" s="1230"/>
      <c r="I773" s="1189"/>
      <c r="J773" s="1189"/>
      <c r="K773" s="1189"/>
      <c r="L773" s="1225"/>
      <c r="M773" s="1189"/>
      <c r="N773" s="1189"/>
      <c r="O773" s="1189"/>
      <c r="P773" s="1189"/>
      <c r="Q773" s="1189"/>
      <c r="R773" s="1189"/>
      <c r="S773" s="1189"/>
      <c r="T773" s="1208"/>
      <c r="U773" s="1208"/>
      <c r="V773" s="1189"/>
      <c r="W773" s="1189"/>
      <c r="X773" s="1189"/>
      <c r="Y773" s="1189"/>
      <c r="Z773" s="1189"/>
      <c r="AA773" s="1189"/>
      <c r="AB773" s="1189"/>
      <c r="AC773" s="1189"/>
      <c r="AD773" s="1189"/>
    </row>
    <row r="774" spans="4:30" ht="12.75" customHeight="1">
      <c r="D774" s="1231"/>
      <c r="E774" s="1230"/>
      <c r="F774" s="1230"/>
      <c r="G774" s="1230"/>
      <c r="H774" s="1230"/>
      <c r="I774" s="1189"/>
      <c r="J774" s="1189"/>
      <c r="K774" s="1189"/>
      <c r="L774" s="1225"/>
      <c r="M774" s="1189"/>
      <c r="N774" s="1189"/>
      <c r="O774" s="1189"/>
      <c r="P774" s="1189"/>
      <c r="Q774" s="1189"/>
      <c r="R774" s="1189"/>
      <c r="S774" s="1189"/>
      <c r="T774" s="1208"/>
      <c r="U774" s="1208"/>
      <c r="V774" s="1189"/>
      <c r="W774" s="1189"/>
      <c r="X774" s="1189"/>
      <c r="Y774" s="1189"/>
      <c r="Z774" s="1189"/>
      <c r="AA774" s="1189"/>
      <c r="AB774" s="1189"/>
      <c r="AC774" s="1189"/>
      <c r="AD774" s="1189"/>
    </row>
    <row r="775" spans="4:30" ht="12.75" customHeight="1">
      <c r="D775" s="1231"/>
      <c r="E775" s="1230"/>
      <c r="F775" s="1230"/>
      <c r="G775" s="1230"/>
      <c r="H775" s="1230"/>
      <c r="I775" s="1189"/>
      <c r="J775" s="1189"/>
      <c r="K775" s="1189"/>
      <c r="L775" s="1225"/>
      <c r="M775" s="1189"/>
      <c r="N775" s="1189"/>
      <c r="O775" s="1189"/>
      <c r="P775" s="1189"/>
      <c r="Q775" s="1189"/>
      <c r="R775" s="1189"/>
      <c r="S775" s="1189"/>
      <c r="T775" s="1208"/>
      <c r="U775" s="1208"/>
      <c r="V775" s="1189"/>
      <c r="W775" s="1189"/>
      <c r="X775" s="1189"/>
      <c r="Y775" s="1189"/>
      <c r="Z775" s="1189"/>
      <c r="AA775" s="1189"/>
      <c r="AB775" s="1189"/>
      <c r="AC775" s="1189"/>
      <c r="AD775" s="1189"/>
    </row>
    <row r="776" spans="4:30" ht="12.75" customHeight="1">
      <c r="D776" s="1231"/>
      <c r="E776" s="1230"/>
      <c r="F776" s="1230"/>
      <c r="G776" s="1230"/>
      <c r="H776" s="1230"/>
      <c r="I776" s="1189"/>
      <c r="J776" s="1189"/>
      <c r="K776" s="1189"/>
      <c r="L776" s="1225"/>
      <c r="M776" s="1189"/>
      <c r="N776" s="1189"/>
      <c r="O776" s="1189"/>
      <c r="P776" s="1189"/>
      <c r="Q776" s="1189"/>
      <c r="R776" s="1189"/>
      <c r="S776" s="1189"/>
      <c r="T776" s="1208"/>
      <c r="U776" s="1208"/>
      <c r="V776" s="1189"/>
      <c r="W776" s="1189"/>
      <c r="X776" s="1189"/>
      <c r="Y776" s="1189"/>
      <c r="Z776" s="1189"/>
      <c r="AA776" s="1189"/>
      <c r="AB776" s="1189"/>
      <c r="AC776" s="1189"/>
      <c r="AD776" s="1189"/>
    </row>
    <row r="777" spans="4:30" ht="12.75" customHeight="1">
      <c r="D777" s="1231"/>
      <c r="E777" s="1230"/>
      <c r="F777" s="1230"/>
      <c r="G777" s="1230"/>
      <c r="H777" s="1230"/>
      <c r="I777" s="1189"/>
      <c r="J777" s="1189"/>
      <c r="K777" s="1189"/>
      <c r="L777" s="1225"/>
      <c r="M777" s="1189"/>
      <c r="N777" s="1189"/>
      <c r="O777" s="1189"/>
      <c r="P777" s="1189"/>
      <c r="Q777" s="1189"/>
      <c r="R777" s="1189"/>
      <c r="S777" s="1189"/>
      <c r="T777" s="1208"/>
      <c r="U777" s="1208"/>
      <c r="V777" s="1189"/>
      <c r="W777" s="1189"/>
      <c r="X777" s="1189"/>
      <c r="Y777" s="1189"/>
      <c r="Z777" s="1189"/>
      <c r="AA777" s="1189"/>
      <c r="AB777" s="1189"/>
      <c r="AC777" s="1189"/>
      <c r="AD777" s="1189"/>
    </row>
    <row r="778" spans="4:30" ht="12.75" customHeight="1">
      <c r="D778" s="1231"/>
      <c r="E778" s="1230"/>
      <c r="F778" s="1230"/>
      <c r="G778" s="1230"/>
      <c r="H778" s="1230"/>
      <c r="I778" s="1189"/>
      <c r="J778" s="1189"/>
      <c r="K778" s="1189"/>
      <c r="L778" s="1225"/>
      <c r="M778" s="1189"/>
      <c r="N778" s="1189"/>
      <c r="O778" s="1189"/>
      <c r="P778" s="1189"/>
      <c r="Q778" s="1189"/>
      <c r="R778" s="1189"/>
      <c r="S778" s="1189"/>
      <c r="T778" s="1208"/>
      <c r="U778" s="1208"/>
      <c r="V778" s="1189"/>
      <c r="W778" s="1189"/>
      <c r="X778" s="1189"/>
      <c r="Y778" s="1189"/>
      <c r="Z778" s="1189"/>
      <c r="AA778" s="1189"/>
      <c r="AB778" s="1189"/>
      <c r="AC778" s="1189"/>
      <c r="AD778" s="1189"/>
    </row>
    <row r="779" spans="4:30" ht="12.75" customHeight="1">
      <c r="D779" s="1231"/>
      <c r="E779" s="1230"/>
      <c r="F779" s="1230"/>
      <c r="G779" s="1230"/>
      <c r="H779" s="1230"/>
      <c r="I779" s="1189"/>
      <c r="J779" s="1189"/>
      <c r="K779" s="1189"/>
      <c r="L779" s="1225"/>
      <c r="M779" s="1189"/>
      <c r="N779" s="1189"/>
      <c r="O779" s="1189"/>
      <c r="P779" s="1189"/>
      <c r="Q779" s="1189"/>
      <c r="R779" s="1189"/>
      <c r="S779" s="1189"/>
      <c r="T779" s="1208"/>
      <c r="U779" s="1208"/>
      <c r="V779" s="1189"/>
      <c r="W779" s="1189"/>
      <c r="X779" s="1189"/>
      <c r="Y779" s="1189"/>
      <c r="Z779" s="1189"/>
      <c r="AA779" s="1189"/>
      <c r="AB779" s="1189"/>
      <c r="AC779" s="1189"/>
      <c r="AD779" s="1189"/>
    </row>
    <row r="780" spans="4:30" ht="12.75" customHeight="1">
      <c r="D780" s="1231"/>
      <c r="E780" s="1230"/>
      <c r="F780" s="1230"/>
      <c r="G780" s="1230"/>
      <c r="H780" s="1230"/>
      <c r="I780" s="1189"/>
      <c r="J780" s="1189"/>
      <c r="K780" s="1189"/>
      <c r="L780" s="1225"/>
      <c r="M780" s="1189"/>
      <c r="N780" s="1189"/>
      <c r="O780" s="1189"/>
      <c r="P780" s="1189"/>
      <c r="Q780" s="1189"/>
      <c r="R780" s="1189"/>
      <c r="S780" s="1189"/>
      <c r="T780" s="1208"/>
      <c r="U780" s="1208"/>
      <c r="V780" s="1189"/>
      <c r="W780" s="1189"/>
      <c r="X780" s="1189"/>
      <c r="Y780" s="1189"/>
      <c r="Z780" s="1189"/>
      <c r="AA780" s="1189"/>
      <c r="AB780" s="1189"/>
      <c r="AC780" s="1189"/>
      <c r="AD780" s="1189"/>
    </row>
    <row r="781" spans="4:30" ht="12.75" customHeight="1">
      <c r="D781" s="1231"/>
      <c r="E781" s="1230"/>
      <c r="F781" s="1230"/>
      <c r="G781" s="1230"/>
      <c r="H781" s="1230"/>
      <c r="I781" s="1189"/>
      <c r="J781" s="1189"/>
      <c r="K781" s="1189"/>
      <c r="L781" s="1225"/>
      <c r="M781" s="1189"/>
      <c r="N781" s="1189"/>
      <c r="O781" s="1189"/>
      <c r="P781" s="1189"/>
      <c r="Q781" s="1189"/>
      <c r="R781" s="1189"/>
      <c r="S781" s="1189"/>
      <c r="T781" s="1208"/>
      <c r="U781" s="1208"/>
      <c r="V781" s="1189"/>
      <c r="W781" s="1189"/>
      <c r="X781" s="1189"/>
      <c r="Y781" s="1189"/>
      <c r="Z781" s="1189"/>
      <c r="AA781" s="1189"/>
      <c r="AB781" s="1189"/>
      <c r="AC781" s="1189"/>
      <c r="AD781" s="1189"/>
    </row>
    <row r="782" spans="4:30" ht="12.75" customHeight="1">
      <c r="D782" s="1231"/>
      <c r="E782" s="1230"/>
      <c r="F782" s="1230"/>
      <c r="G782" s="1230"/>
      <c r="H782" s="1230"/>
      <c r="I782" s="1189"/>
      <c r="J782" s="1189"/>
      <c r="K782" s="1189"/>
      <c r="L782" s="1225"/>
      <c r="M782" s="1189"/>
      <c r="N782" s="1189"/>
      <c r="O782" s="1189"/>
      <c r="P782" s="1189"/>
      <c r="Q782" s="1189"/>
      <c r="R782" s="1189"/>
      <c r="S782" s="1189"/>
      <c r="T782" s="1208"/>
      <c r="U782" s="1208"/>
      <c r="V782" s="1189"/>
      <c r="W782" s="1189"/>
      <c r="X782" s="1189"/>
      <c r="Y782" s="1189"/>
      <c r="Z782" s="1189"/>
      <c r="AA782" s="1189"/>
      <c r="AB782" s="1189"/>
      <c r="AC782" s="1189"/>
      <c r="AD782" s="1189"/>
    </row>
    <row r="783" spans="4:30" ht="12.75" customHeight="1">
      <c r="D783" s="1231"/>
      <c r="E783" s="1230"/>
      <c r="F783" s="1230"/>
      <c r="G783" s="1230"/>
      <c r="H783" s="1230"/>
      <c r="I783" s="1189"/>
      <c r="J783" s="1189"/>
      <c r="K783" s="1189"/>
      <c r="L783" s="1225"/>
      <c r="M783" s="1189"/>
      <c r="N783" s="1189"/>
      <c r="O783" s="1189"/>
      <c r="P783" s="1189"/>
      <c r="Q783" s="1189"/>
      <c r="R783" s="1189"/>
      <c r="S783" s="1189"/>
      <c r="T783" s="1208"/>
      <c r="U783" s="1208"/>
      <c r="V783" s="1189"/>
      <c r="W783" s="1189"/>
      <c r="X783" s="1189"/>
      <c r="Y783" s="1189"/>
      <c r="Z783" s="1189"/>
      <c r="AA783" s="1189"/>
      <c r="AB783" s="1189"/>
      <c r="AC783" s="1189"/>
      <c r="AD783" s="1189"/>
    </row>
    <row r="784" spans="4:30" ht="12.75" customHeight="1">
      <c r="D784" s="1231"/>
      <c r="E784" s="1230"/>
      <c r="F784" s="1230"/>
      <c r="G784" s="1230"/>
      <c r="H784" s="1230"/>
      <c r="I784" s="1189"/>
      <c r="J784" s="1189"/>
      <c r="K784" s="1189"/>
      <c r="L784" s="1225"/>
      <c r="M784" s="1189"/>
      <c r="N784" s="1189"/>
      <c r="O784" s="1189"/>
      <c r="P784" s="1189"/>
      <c r="Q784" s="1189"/>
      <c r="R784" s="1189"/>
      <c r="S784" s="1189"/>
      <c r="T784" s="1208"/>
      <c r="U784" s="1208"/>
      <c r="V784" s="1189"/>
      <c r="W784" s="1189"/>
      <c r="X784" s="1189"/>
      <c r="Y784" s="1189"/>
      <c r="Z784" s="1189"/>
      <c r="AA784" s="1189"/>
      <c r="AB784" s="1189"/>
      <c r="AC784" s="1189"/>
      <c r="AD784" s="1189"/>
    </row>
    <row r="785" spans="4:31" ht="12.75" customHeight="1">
      <c r="D785" s="1231"/>
      <c r="E785" s="1230"/>
      <c r="F785" s="1230"/>
      <c r="G785" s="1230"/>
      <c r="H785" s="1230"/>
      <c r="I785" s="1189"/>
      <c r="J785" s="1189"/>
      <c r="K785" s="1189"/>
      <c r="L785" s="1225"/>
      <c r="M785" s="1189"/>
      <c r="N785" s="1189"/>
      <c r="O785" s="1189"/>
      <c r="P785" s="1189"/>
      <c r="Q785" s="1189"/>
      <c r="R785" s="1189"/>
      <c r="S785" s="1189"/>
      <c r="T785" s="1208"/>
      <c r="U785" s="1208"/>
      <c r="V785" s="1189"/>
      <c r="W785" s="1189"/>
      <c r="X785" s="1189"/>
      <c r="Y785" s="1189"/>
      <c r="Z785" s="1189"/>
      <c r="AA785" s="1189"/>
      <c r="AB785" s="1189"/>
      <c r="AC785" s="1189"/>
      <c r="AD785" s="1189"/>
      <c r="AE785" s="1189"/>
    </row>
    <row r="786" spans="4:31" ht="12.75" customHeight="1">
      <c r="D786" s="1231"/>
      <c r="E786" s="1230"/>
      <c r="F786" s="1230"/>
      <c r="G786" s="1230"/>
      <c r="H786" s="1230"/>
      <c r="I786" s="1189"/>
      <c r="J786" s="1189"/>
      <c r="K786" s="1189"/>
      <c r="L786" s="1225"/>
      <c r="M786" s="1189"/>
      <c r="N786" s="1189"/>
      <c r="O786" s="1189"/>
      <c r="P786" s="1189"/>
      <c r="Q786" s="1189"/>
      <c r="R786" s="1189"/>
      <c r="S786" s="1189"/>
      <c r="T786" s="1208"/>
      <c r="U786" s="1208"/>
      <c r="V786" s="1189"/>
      <c r="W786" s="1189"/>
      <c r="X786" s="1189"/>
      <c r="Y786" s="1189"/>
      <c r="Z786" s="1189"/>
      <c r="AA786" s="1189"/>
      <c r="AB786" s="1189"/>
      <c r="AC786" s="1189"/>
      <c r="AD786" s="1189"/>
      <c r="AE786" s="1189"/>
    </row>
    <row r="787" spans="4:31" ht="12.75" customHeight="1">
      <c r="D787" s="1231"/>
      <c r="E787" s="1230"/>
      <c r="F787" s="1230"/>
      <c r="G787" s="1230"/>
      <c r="H787" s="1230"/>
      <c r="I787" s="1189"/>
      <c r="J787" s="1189"/>
      <c r="K787" s="1189"/>
      <c r="L787" s="1225"/>
      <c r="M787" s="1189"/>
      <c r="N787" s="1189"/>
      <c r="O787" s="1189"/>
      <c r="P787" s="1189"/>
      <c r="Q787" s="1189"/>
      <c r="R787" s="1189"/>
      <c r="S787" s="1189"/>
      <c r="T787" s="1208"/>
      <c r="U787" s="1208"/>
      <c r="V787" s="1189"/>
      <c r="W787" s="1189"/>
      <c r="X787" s="1189"/>
      <c r="Y787" s="1189"/>
      <c r="Z787" s="1189"/>
      <c r="AA787" s="1189"/>
      <c r="AB787" s="1189"/>
      <c r="AC787" s="1189"/>
      <c r="AD787" s="1189"/>
      <c r="AE787" s="1189"/>
    </row>
    <row r="788" spans="4:31" ht="12.75" customHeight="1">
      <c r="D788" s="1231"/>
      <c r="E788" s="1230"/>
      <c r="F788" s="1230"/>
      <c r="G788" s="1230"/>
      <c r="H788" s="1230"/>
      <c r="I788" s="1189"/>
      <c r="J788" s="1189"/>
      <c r="K788" s="1189"/>
      <c r="L788" s="1225"/>
      <c r="M788" s="1189"/>
      <c r="N788" s="1189"/>
      <c r="O788" s="1189"/>
      <c r="P788" s="1189"/>
      <c r="Q788" s="1189"/>
      <c r="R788" s="1189"/>
      <c r="S788" s="1189"/>
      <c r="T788" s="1208"/>
      <c r="U788" s="1208"/>
      <c r="V788" s="1189"/>
      <c r="W788" s="1189"/>
      <c r="X788" s="1189"/>
      <c r="Y788" s="1189"/>
      <c r="Z788" s="1189"/>
      <c r="AA788" s="1189"/>
      <c r="AB788" s="1189"/>
      <c r="AC788" s="1189"/>
      <c r="AD788" s="1189"/>
      <c r="AE788" s="1189"/>
    </row>
    <row r="789" spans="4:31" ht="12.75" customHeight="1">
      <c r="D789" s="1231"/>
      <c r="E789" s="1230"/>
      <c r="F789" s="1230"/>
      <c r="G789" s="1230"/>
      <c r="H789" s="1230"/>
      <c r="I789" s="1189"/>
      <c r="J789" s="1189"/>
      <c r="K789" s="1189"/>
      <c r="L789" s="1225"/>
      <c r="M789" s="1189"/>
      <c r="N789" s="1189"/>
      <c r="O789" s="1189"/>
      <c r="P789" s="1189"/>
      <c r="Q789" s="1189"/>
      <c r="R789" s="1189"/>
      <c r="S789" s="1189"/>
      <c r="T789" s="1208"/>
      <c r="U789" s="1208"/>
      <c r="V789" s="1189"/>
      <c r="W789" s="1189"/>
      <c r="X789" s="1189"/>
      <c r="Y789" s="1189"/>
      <c r="Z789" s="1189"/>
      <c r="AA789" s="1189"/>
      <c r="AB789" s="1189"/>
      <c r="AC789" s="1189"/>
      <c r="AD789" s="1189"/>
      <c r="AE789" s="1189"/>
    </row>
    <row r="790" spans="4:31" ht="12.75" customHeight="1">
      <c r="D790" s="1231"/>
      <c r="E790" s="1230"/>
      <c r="F790" s="1230"/>
      <c r="G790" s="1230"/>
      <c r="H790" s="1230"/>
      <c r="I790" s="1189"/>
      <c r="J790" s="1189"/>
      <c r="K790" s="1189"/>
      <c r="L790" s="1225"/>
      <c r="M790" s="1189"/>
      <c r="N790" s="1189"/>
      <c r="O790" s="1189"/>
      <c r="P790" s="1189"/>
      <c r="Q790" s="1189"/>
      <c r="R790" s="1189"/>
      <c r="S790" s="1189"/>
      <c r="T790" s="1208"/>
      <c r="U790" s="1208"/>
      <c r="V790" s="1189"/>
      <c r="W790" s="1189"/>
      <c r="X790" s="1189"/>
      <c r="Y790" s="1189"/>
      <c r="Z790" s="1189"/>
      <c r="AA790" s="1189"/>
      <c r="AB790" s="1189"/>
      <c r="AC790" s="1189"/>
      <c r="AD790" s="1189"/>
      <c r="AE790" s="1189"/>
    </row>
    <row r="791" spans="4:31" ht="12.75" customHeight="1">
      <c r="D791" s="1231"/>
      <c r="E791" s="1230"/>
      <c r="F791" s="1230"/>
      <c r="G791" s="1230"/>
      <c r="H791" s="1230"/>
      <c r="I791" s="1189"/>
      <c r="J791" s="1189"/>
      <c r="K791" s="1189"/>
      <c r="L791" s="1225"/>
      <c r="M791" s="1189"/>
      <c r="N791" s="1189"/>
      <c r="O791" s="1189"/>
      <c r="P791" s="1189"/>
      <c r="Q791" s="1189"/>
      <c r="R791" s="1189"/>
      <c r="S791" s="1189"/>
      <c r="T791" s="1208"/>
      <c r="U791" s="1208"/>
      <c r="V791" s="1189"/>
      <c r="W791" s="1189"/>
      <c r="X791" s="1189"/>
      <c r="Y791" s="1189"/>
      <c r="Z791" s="1189"/>
      <c r="AA791" s="1189"/>
      <c r="AB791" s="1189"/>
      <c r="AC791" s="1189"/>
      <c r="AD791" s="1189"/>
      <c r="AE791" s="1189"/>
    </row>
    <row r="792" spans="4:31" ht="12.75" customHeight="1">
      <c r="D792" s="1231"/>
      <c r="E792" s="1230"/>
      <c r="F792" s="1230"/>
      <c r="G792" s="1230"/>
      <c r="H792" s="1230"/>
      <c r="I792" s="1189"/>
      <c r="J792" s="1189"/>
      <c r="K792" s="1189"/>
      <c r="L792" s="1225"/>
      <c r="M792" s="1189"/>
      <c r="N792" s="1189"/>
      <c r="O792" s="1189"/>
      <c r="P792" s="1189"/>
      <c r="Q792" s="1189"/>
      <c r="R792" s="1189"/>
      <c r="S792" s="1189"/>
      <c r="T792" s="1208"/>
      <c r="U792" s="1208"/>
      <c r="V792" s="1189"/>
      <c r="W792" s="1189"/>
      <c r="X792" s="1189"/>
      <c r="Y792" s="1189"/>
      <c r="Z792" s="1189"/>
      <c r="AA792" s="1189"/>
      <c r="AB792" s="1189"/>
      <c r="AC792" s="1189"/>
      <c r="AD792" s="1189"/>
      <c r="AE792" s="1189"/>
    </row>
    <row r="793" spans="4:31" ht="12" customHeight="1">
      <c r="D793" s="1231"/>
      <c r="E793" s="1189"/>
      <c r="F793" s="1230"/>
      <c r="G793" s="1230"/>
      <c r="H793" s="1230"/>
      <c r="I793" s="1189"/>
      <c r="J793" s="1189"/>
      <c r="K793" s="1189"/>
      <c r="L793" s="1225"/>
      <c r="M793" s="1189"/>
      <c r="N793" s="1189"/>
      <c r="O793" s="1189"/>
      <c r="P793" s="1189"/>
      <c r="Q793" s="1189"/>
      <c r="R793" s="1189"/>
      <c r="S793" s="1189"/>
      <c r="T793" s="1208"/>
      <c r="U793" s="1208"/>
      <c r="V793" s="1189"/>
      <c r="W793" s="1189"/>
      <c r="X793" s="1189"/>
      <c r="Y793" s="1189"/>
      <c r="Z793" s="1189"/>
      <c r="AA793" s="1189"/>
      <c r="AB793" s="1189"/>
      <c r="AC793" s="1189"/>
      <c r="AD793" s="1189"/>
      <c r="AE793" s="1189"/>
    </row>
    <row r="794" spans="4:31" ht="12.75" customHeight="1">
      <c r="D794" s="1231"/>
      <c r="E794" s="1189"/>
      <c r="F794" s="1230"/>
      <c r="G794" s="1230"/>
      <c r="H794" s="1230"/>
      <c r="I794" s="1189"/>
      <c r="J794" s="1189"/>
      <c r="K794" s="1189"/>
      <c r="L794" s="1225"/>
      <c r="M794" s="1189"/>
      <c r="N794" s="1189"/>
      <c r="O794" s="1189"/>
      <c r="P794" s="1189"/>
      <c r="Q794" s="1189"/>
      <c r="R794" s="1189"/>
      <c r="S794" s="1189"/>
      <c r="T794" s="1208"/>
      <c r="U794" s="1208"/>
      <c r="V794" s="1189"/>
      <c r="W794" s="1189"/>
      <c r="X794" s="1189"/>
      <c r="Y794" s="1189"/>
      <c r="Z794" s="1189"/>
      <c r="AA794" s="1189"/>
      <c r="AB794" s="1189"/>
      <c r="AC794" s="1189"/>
      <c r="AD794" s="1189"/>
      <c r="AE794" s="1189"/>
    </row>
    <row r="795" spans="4:31" ht="12.75" customHeight="1">
      <c r="D795" s="1189"/>
      <c r="E795" s="1189"/>
      <c r="F795" s="1189"/>
      <c r="G795" s="1189"/>
      <c r="H795" s="1189"/>
      <c r="I795" s="1189"/>
      <c r="J795" s="1189"/>
      <c r="K795" s="1189"/>
      <c r="L795" s="1225"/>
      <c r="M795" s="1189"/>
      <c r="N795" s="1189"/>
      <c r="O795" s="1189"/>
      <c r="P795" s="1189"/>
      <c r="Q795" s="1189"/>
      <c r="R795" s="1189"/>
      <c r="S795" s="1189"/>
      <c r="T795" s="1208"/>
      <c r="U795" s="1208"/>
      <c r="V795" s="1189"/>
      <c r="W795" s="1189"/>
      <c r="X795" s="1189"/>
      <c r="Y795" s="1189"/>
      <c r="Z795" s="1189"/>
      <c r="AA795" s="1189"/>
      <c r="AB795" s="1189"/>
      <c r="AC795" s="1189"/>
      <c r="AD795" s="1189"/>
      <c r="AE795" s="1189"/>
    </row>
    <row r="796" spans="4:31" ht="12.75" customHeight="1">
      <c r="D796" s="1189"/>
      <c r="E796" s="1189"/>
      <c r="F796" s="1189"/>
      <c r="G796" s="1189"/>
      <c r="H796" s="1189"/>
      <c r="I796" s="1189"/>
      <c r="J796" s="1189"/>
      <c r="K796" s="1189"/>
      <c r="L796" s="1225"/>
      <c r="M796" s="1189"/>
      <c r="N796" s="1189"/>
      <c r="O796" s="1189"/>
      <c r="P796" s="1189"/>
      <c r="Q796" s="1189"/>
      <c r="R796" s="1189"/>
      <c r="S796" s="1189"/>
      <c r="T796" s="1208"/>
      <c r="U796" s="1208"/>
      <c r="V796" s="1189"/>
      <c r="W796" s="1189"/>
      <c r="X796" s="1189"/>
      <c r="Y796" s="1189"/>
      <c r="Z796" s="1189"/>
      <c r="AA796" s="1189"/>
      <c r="AB796" s="1189"/>
      <c r="AC796" s="1189"/>
      <c r="AD796" s="1189"/>
      <c r="AE796" s="1189"/>
    </row>
    <row r="797" spans="4:31" ht="12.75" customHeight="1">
      <c r="D797" s="1189"/>
      <c r="E797" s="1189"/>
      <c r="F797" s="1189"/>
      <c r="G797" s="1189"/>
      <c r="H797" s="1189"/>
      <c r="I797" s="1189"/>
      <c r="J797" s="1189"/>
      <c r="K797" s="1189"/>
      <c r="L797" s="1225"/>
      <c r="M797" s="1189"/>
      <c r="N797" s="1189"/>
      <c r="O797" s="1189"/>
      <c r="P797" s="1189"/>
      <c r="Q797" s="1189"/>
      <c r="R797" s="1189"/>
      <c r="S797" s="1189"/>
      <c r="T797" s="1208"/>
      <c r="U797" s="1208"/>
      <c r="V797" s="1189"/>
      <c r="W797" s="1189"/>
      <c r="X797" s="1189"/>
      <c r="Y797" s="1189"/>
      <c r="Z797" s="1189"/>
      <c r="AA797" s="1189"/>
      <c r="AB797" s="1189"/>
      <c r="AC797" s="1189"/>
      <c r="AD797" s="1189"/>
      <c r="AE797" s="1189"/>
    </row>
    <row r="798" spans="4:31" ht="12.75" customHeight="1">
      <c r="D798" s="1189"/>
      <c r="E798" s="1189"/>
      <c r="F798" s="1189"/>
      <c r="G798" s="1189"/>
      <c r="H798" s="1189"/>
      <c r="I798" s="1189"/>
      <c r="J798" s="1189"/>
      <c r="K798" s="1189"/>
      <c r="L798" s="1225"/>
      <c r="M798" s="1189"/>
      <c r="N798" s="1189"/>
      <c r="O798" s="1189"/>
      <c r="P798" s="1189"/>
      <c r="Q798" s="1189"/>
      <c r="R798" s="1189"/>
      <c r="S798" s="1189"/>
      <c r="T798" s="1208"/>
      <c r="U798" s="1208"/>
      <c r="V798" s="1189"/>
      <c r="W798" s="1189"/>
      <c r="X798" s="1189"/>
      <c r="Y798" s="1189"/>
      <c r="Z798" s="1189"/>
      <c r="AA798" s="1189"/>
      <c r="AB798" s="1189"/>
      <c r="AC798" s="1189"/>
      <c r="AD798" s="1189"/>
      <c r="AE798" s="1249"/>
    </row>
    <row r="799" spans="4:31" ht="12.75" customHeight="1">
      <c r="D799" s="1189"/>
      <c r="E799" s="1189"/>
      <c r="F799" s="1189"/>
      <c r="G799" s="1189"/>
      <c r="H799" s="1189"/>
      <c r="I799" s="1189"/>
      <c r="J799" s="1189"/>
      <c r="K799" s="1189"/>
      <c r="L799" s="1225"/>
      <c r="M799" s="1189"/>
      <c r="N799" s="1189"/>
      <c r="O799" s="1189"/>
      <c r="P799" s="1189"/>
      <c r="Q799" s="1189"/>
      <c r="R799" s="1189"/>
      <c r="S799" s="1189"/>
      <c r="T799" s="1208"/>
      <c r="U799" s="1208"/>
      <c r="V799" s="1189"/>
      <c r="W799" s="1189"/>
      <c r="X799" s="1189"/>
      <c r="Y799" s="1189"/>
      <c r="Z799" s="1189"/>
      <c r="AA799" s="1189"/>
      <c r="AB799" s="1189"/>
      <c r="AC799" s="1189"/>
      <c r="AD799" s="1189"/>
      <c r="AE799" s="1189"/>
    </row>
    <row r="800" spans="4:31" ht="12.75" customHeight="1">
      <c r="D800" s="1189"/>
      <c r="E800" s="1189"/>
      <c r="F800" s="1189"/>
      <c r="G800" s="1189"/>
      <c r="H800" s="1189"/>
      <c r="I800" s="1189"/>
      <c r="J800" s="1189"/>
      <c r="K800" s="1189"/>
      <c r="L800" s="1225"/>
      <c r="M800" s="1189"/>
      <c r="N800" s="1189"/>
      <c r="O800" s="1189"/>
      <c r="P800" s="1189"/>
      <c r="Q800" s="1189"/>
      <c r="R800" s="1189"/>
      <c r="S800" s="1189"/>
      <c r="T800" s="1208"/>
      <c r="U800" s="1208"/>
      <c r="V800" s="1189"/>
      <c r="W800" s="1189"/>
      <c r="X800" s="1189"/>
      <c r="Y800" s="1189"/>
      <c r="Z800" s="1189"/>
      <c r="AA800" s="1189"/>
      <c r="AB800" s="1189"/>
      <c r="AC800" s="1189"/>
      <c r="AD800" s="1189"/>
      <c r="AE800" s="1189"/>
    </row>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6">
    <mergeCell ref="G63:I64"/>
    <mergeCell ref="K63:L63"/>
    <mergeCell ref="N63:O63"/>
    <mergeCell ref="C82:D82"/>
    <mergeCell ref="F82:H82"/>
    <mergeCell ref="K257:M257"/>
    <mergeCell ref="P257:Q257"/>
    <mergeCell ref="L258:M258"/>
    <mergeCell ref="K70:M70"/>
    <mergeCell ref="O70:Q70"/>
    <mergeCell ref="L71:M71"/>
    <mergeCell ref="O71:Q71"/>
    <mergeCell ref="D72:F72"/>
    <mergeCell ref="B81:D81"/>
    <mergeCell ref="F81:I81"/>
    <mergeCell ref="B69:C70"/>
    <mergeCell ref="D69:F70"/>
    <mergeCell ref="G69:I70"/>
    <mergeCell ref="T63:U63"/>
    <mergeCell ref="K64:L64"/>
    <mergeCell ref="N64:O64"/>
    <mergeCell ref="B67:C68"/>
    <mergeCell ref="D67:F68"/>
    <mergeCell ref="G67:I68"/>
    <mergeCell ref="B61:C62"/>
    <mergeCell ref="D61:F62"/>
    <mergeCell ref="G61:I62"/>
    <mergeCell ref="K61:L61"/>
    <mergeCell ref="N61:O61"/>
    <mergeCell ref="P61:Q61"/>
    <mergeCell ref="T61:U61"/>
    <mergeCell ref="K62:L62"/>
    <mergeCell ref="N62:O62"/>
    <mergeCell ref="T62:U62"/>
    <mergeCell ref="P64:Q64"/>
    <mergeCell ref="B65:C66"/>
    <mergeCell ref="D65:F66"/>
    <mergeCell ref="G65:I66"/>
    <mergeCell ref="K65:L65"/>
    <mergeCell ref="N65:O65"/>
    <mergeCell ref="B63:C64"/>
    <mergeCell ref="D63:F64"/>
    <mergeCell ref="B59:C60"/>
    <mergeCell ref="D59:F60"/>
    <mergeCell ref="G59:I60"/>
    <mergeCell ref="K59:L59"/>
    <mergeCell ref="N59:O59"/>
    <mergeCell ref="P59:Q59"/>
    <mergeCell ref="T59:U59"/>
    <mergeCell ref="K60:L60"/>
    <mergeCell ref="N60:O60"/>
    <mergeCell ref="P60:Q60"/>
    <mergeCell ref="T60:U60"/>
    <mergeCell ref="K57:L57"/>
    <mergeCell ref="N57:O57"/>
    <mergeCell ref="P57:Q57"/>
    <mergeCell ref="T57:U57"/>
    <mergeCell ref="B58:C58"/>
    <mergeCell ref="D58:F58"/>
    <mergeCell ref="G58:I58"/>
    <mergeCell ref="K58:L58"/>
    <mergeCell ref="N58:O58"/>
    <mergeCell ref="P58:Q58"/>
    <mergeCell ref="T58:U58"/>
    <mergeCell ref="K55:L55"/>
    <mergeCell ref="N55:O55"/>
    <mergeCell ref="P55:Q55"/>
    <mergeCell ref="T55:U55"/>
    <mergeCell ref="K56:L56"/>
    <mergeCell ref="N56:O56"/>
    <mergeCell ref="P56:Q56"/>
    <mergeCell ref="T56:U56"/>
    <mergeCell ref="K53:L53"/>
    <mergeCell ref="N53:O53"/>
    <mergeCell ref="P53:Q53"/>
    <mergeCell ref="T53:U53"/>
    <mergeCell ref="K54:L54"/>
    <mergeCell ref="N54:O54"/>
    <mergeCell ref="P54:Q54"/>
    <mergeCell ref="T54:U54"/>
    <mergeCell ref="F51:I51"/>
    <mergeCell ref="K51:L51"/>
    <mergeCell ref="N51:O51"/>
    <mergeCell ref="P51:Q51"/>
    <mergeCell ref="T51:U51"/>
    <mergeCell ref="F52:I52"/>
    <mergeCell ref="K52:L52"/>
    <mergeCell ref="N52:O52"/>
    <mergeCell ref="P52:Q52"/>
    <mergeCell ref="T52:U52"/>
    <mergeCell ref="F49:I49"/>
    <mergeCell ref="K49:L49"/>
    <mergeCell ref="N49:O49"/>
    <mergeCell ref="P49:Q49"/>
    <mergeCell ref="T49:U49"/>
    <mergeCell ref="F50:I50"/>
    <mergeCell ref="K50:L50"/>
    <mergeCell ref="N50:O50"/>
    <mergeCell ref="P50:Q50"/>
    <mergeCell ref="T50:U50"/>
    <mergeCell ref="K47:L47"/>
    <mergeCell ref="N47:O47"/>
    <mergeCell ref="P47:Q47"/>
    <mergeCell ref="T47:U47"/>
    <mergeCell ref="F48:I48"/>
    <mergeCell ref="K48:L48"/>
    <mergeCell ref="N48:O48"/>
    <mergeCell ref="P48:Q48"/>
    <mergeCell ref="T48:U48"/>
    <mergeCell ref="K45:L45"/>
    <mergeCell ref="N45:O45"/>
    <mergeCell ref="P45:Q45"/>
    <mergeCell ref="T45:U45"/>
    <mergeCell ref="F46:I46"/>
    <mergeCell ref="K46:L46"/>
    <mergeCell ref="N46:O46"/>
    <mergeCell ref="P46:Q46"/>
    <mergeCell ref="T46:U46"/>
    <mergeCell ref="K43:L43"/>
    <mergeCell ref="N43:O43"/>
    <mergeCell ref="P43:Q43"/>
    <mergeCell ref="T43:U43"/>
    <mergeCell ref="K44:L44"/>
    <mergeCell ref="N44:O44"/>
    <mergeCell ref="P44:Q44"/>
    <mergeCell ref="T44:U44"/>
    <mergeCell ref="K41:L41"/>
    <mergeCell ref="N41:O41"/>
    <mergeCell ref="P41:Q41"/>
    <mergeCell ref="T41:U41"/>
    <mergeCell ref="K42:L42"/>
    <mergeCell ref="N42:O42"/>
    <mergeCell ref="P42:Q42"/>
    <mergeCell ref="T42:U42"/>
    <mergeCell ref="F39:G39"/>
    <mergeCell ref="K39:L39"/>
    <mergeCell ref="N39:O39"/>
    <mergeCell ref="P39:Q39"/>
    <mergeCell ref="T39:U39"/>
    <mergeCell ref="K40:L40"/>
    <mergeCell ref="N40:O40"/>
    <mergeCell ref="P40:Q40"/>
    <mergeCell ref="T40:U40"/>
    <mergeCell ref="F37:I37"/>
    <mergeCell ref="K37:L37"/>
    <mergeCell ref="N37:O37"/>
    <mergeCell ref="P37:Q37"/>
    <mergeCell ref="T37:U37"/>
    <mergeCell ref="F38:I38"/>
    <mergeCell ref="K38:L38"/>
    <mergeCell ref="N38:O38"/>
    <mergeCell ref="P38:Q38"/>
    <mergeCell ref="T38:U38"/>
    <mergeCell ref="F35:I35"/>
    <mergeCell ref="K35:L35"/>
    <mergeCell ref="N35:O35"/>
    <mergeCell ref="P35:Q35"/>
    <mergeCell ref="T35:U35"/>
    <mergeCell ref="F36:I36"/>
    <mergeCell ref="K36:L36"/>
    <mergeCell ref="N36:O36"/>
    <mergeCell ref="P36:Q36"/>
    <mergeCell ref="T36:U36"/>
    <mergeCell ref="K33:L33"/>
    <mergeCell ref="N33:O33"/>
    <mergeCell ref="P33:Q33"/>
    <mergeCell ref="T33:U33"/>
    <mergeCell ref="F34:I34"/>
    <mergeCell ref="K34:L34"/>
    <mergeCell ref="N34:O34"/>
    <mergeCell ref="P34:Q34"/>
    <mergeCell ref="T34:U34"/>
    <mergeCell ref="K31:L31"/>
    <mergeCell ref="N31:O31"/>
    <mergeCell ref="P31:Q31"/>
    <mergeCell ref="T31:U31"/>
    <mergeCell ref="K32:L32"/>
    <mergeCell ref="N32:O32"/>
    <mergeCell ref="P32:Q32"/>
    <mergeCell ref="T32:U32"/>
    <mergeCell ref="K29:L29"/>
    <mergeCell ref="N29:O29"/>
    <mergeCell ref="P29:Q29"/>
    <mergeCell ref="T29:U29"/>
    <mergeCell ref="F30:I30"/>
    <mergeCell ref="K30:L30"/>
    <mergeCell ref="N30:O30"/>
    <mergeCell ref="P30:Q30"/>
    <mergeCell ref="T30:U30"/>
    <mergeCell ref="K27:L27"/>
    <mergeCell ref="N27:O27"/>
    <mergeCell ref="P27:Q27"/>
    <mergeCell ref="T27:U27"/>
    <mergeCell ref="B28:C28"/>
    <mergeCell ref="F28:I28"/>
    <mergeCell ref="K28:L28"/>
    <mergeCell ref="N28:O28"/>
    <mergeCell ref="P28:Q28"/>
    <mergeCell ref="T28:U28"/>
    <mergeCell ref="K25:L25"/>
    <mergeCell ref="N25:O25"/>
    <mergeCell ref="P25:Q25"/>
    <mergeCell ref="T25:U25"/>
    <mergeCell ref="F26:I26"/>
    <mergeCell ref="K26:L26"/>
    <mergeCell ref="N26:O26"/>
    <mergeCell ref="P26:Q26"/>
    <mergeCell ref="T26:U26"/>
    <mergeCell ref="K23:L23"/>
    <mergeCell ref="N23:O23"/>
    <mergeCell ref="P23:Q23"/>
    <mergeCell ref="T23:U23"/>
    <mergeCell ref="F24:I24"/>
    <mergeCell ref="K24:L24"/>
    <mergeCell ref="N24:O24"/>
    <mergeCell ref="P24:Q24"/>
    <mergeCell ref="T24:U24"/>
    <mergeCell ref="K21:L21"/>
    <mergeCell ref="N21:O21"/>
    <mergeCell ref="P21:Q21"/>
    <mergeCell ref="T21:U21"/>
    <mergeCell ref="F22:I22"/>
    <mergeCell ref="K22:L22"/>
    <mergeCell ref="N22:O22"/>
    <mergeCell ref="P22:Q22"/>
    <mergeCell ref="T22:U22"/>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F16:I16"/>
    <mergeCell ref="F17:I17"/>
    <mergeCell ref="K17:L17"/>
    <mergeCell ref="N17:O17"/>
    <mergeCell ref="P17:Q17"/>
    <mergeCell ref="K18:L18"/>
    <mergeCell ref="N18:O18"/>
    <mergeCell ref="P18:Q18"/>
    <mergeCell ref="E13:F13"/>
    <mergeCell ref="H13:I13"/>
    <mergeCell ref="K13:L13"/>
    <mergeCell ref="N13:O13"/>
    <mergeCell ref="P13:Q13"/>
    <mergeCell ref="F15:I15"/>
    <mergeCell ref="K15:L16"/>
    <mergeCell ref="M15:M16"/>
    <mergeCell ref="N15:O16"/>
    <mergeCell ref="P15:Q16"/>
    <mergeCell ref="E11:F11"/>
    <mergeCell ref="H11:I11"/>
    <mergeCell ref="K11:L11"/>
    <mergeCell ref="N11:O11"/>
    <mergeCell ref="P11:Q11"/>
    <mergeCell ref="E12:F12"/>
    <mergeCell ref="H12:I12"/>
    <mergeCell ref="K12:L12"/>
    <mergeCell ref="N12:O12"/>
    <mergeCell ref="P12:Q12"/>
    <mergeCell ref="E10:I10"/>
    <mergeCell ref="K10:L10"/>
    <mergeCell ref="N10:Q10"/>
    <mergeCell ref="E7:F7"/>
    <mergeCell ref="K7:L7"/>
    <mergeCell ref="N7:Q7"/>
    <mergeCell ref="E8:I8"/>
    <mergeCell ref="K8:L8"/>
    <mergeCell ref="N8:Q8"/>
    <mergeCell ref="G2:I2"/>
    <mergeCell ref="B4:I4"/>
    <mergeCell ref="K4:Q4"/>
    <mergeCell ref="E6:I6"/>
    <mergeCell ref="K6:L6"/>
    <mergeCell ref="N6:Q6"/>
    <mergeCell ref="E9:I9"/>
    <mergeCell ref="K9:L9"/>
    <mergeCell ref="N9:Q9"/>
  </mergeCells>
  <pageMargins left="0.70866141732283472" right="0.70866141732283472" top="0.8364583333333333" bottom="0.74803149606299213" header="0.31496062992125984" footer="0.31496062992125984"/>
  <pageSetup paperSize="10000" scale="66" orientation="portrait" r:id="rId1"/>
  <headerFooter>
    <oddHeader xml:space="preserve">&amp;R&amp;"Century Gothic,Bold"&amp;18ANNEX A: 
SAMPLE PACKAGE COMPUTATION
</oddHeader>
  </headerFooter>
  <colBreaks count="1" manualBreakCount="1">
    <brk id="10" max="83"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00B050"/>
  </sheetPr>
  <dimension ref="A1:BA114"/>
  <sheetViews>
    <sheetView showGridLines="0" showZeros="0" view="pageBreakPreview" topLeftCell="A13" zoomScale="80" zoomScaleNormal="90" zoomScaleSheetLayoutView="80" zoomScalePageLayoutView="70" workbookViewId="0">
      <selection activeCell="B29" sqref="B29:C29"/>
    </sheetView>
  </sheetViews>
  <sheetFormatPr defaultColWidth="9.140625" defaultRowHeight="13.5"/>
  <cols>
    <col min="1" max="1" width="1.140625" style="2" customWidth="1"/>
    <col min="2" max="2" width="12" style="2" customWidth="1"/>
    <col min="3" max="3" width="26.42578125" style="2" customWidth="1"/>
    <col min="4" max="4" width="21"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86" customFormat="1" ht="12.6">
      <c r="B1" s="160" t="s">
        <v>847</v>
      </c>
      <c r="C1" s="1191" t="str">
        <f>FORM!I20</f>
        <v>September 1,2025</v>
      </c>
      <c r="D1" s="1192"/>
      <c r="F1" s="132" t="s">
        <v>942</v>
      </c>
      <c r="G1" s="1528" t="s">
        <v>849</v>
      </c>
      <c r="H1" s="1528"/>
      <c r="I1" s="1528"/>
      <c r="J1" s="88"/>
      <c r="K1" s="160" t="s">
        <v>847</v>
      </c>
      <c r="L1" s="1191" t="str">
        <f>C1</f>
        <v>September 1,2025</v>
      </c>
      <c r="M1" s="1250"/>
      <c r="O1" s="471"/>
      <c r="P1" s="132" t="s">
        <v>943</v>
      </c>
      <c r="Q1" s="1193" t="s">
        <v>851</v>
      </c>
      <c r="V1" s="284"/>
    </row>
    <row r="2" spans="1:53" s="86" customFormat="1" ht="7.5" customHeight="1">
      <c r="C2" s="87"/>
      <c r="D2" s="87"/>
      <c r="K2" s="137"/>
      <c r="L2" s="137"/>
      <c r="M2" s="137"/>
      <c r="N2" s="137"/>
      <c r="O2" s="137"/>
      <c r="P2" s="137"/>
      <c r="Q2" s="137"/>
      <c r="V2" s="284"/>
    </row>
    <row r="3" spans="1:53" s="86" customFormat="1" ht="14.25" customHeight="1">
      <c r="B3" s="1638" t="s">
        <v>308</v>
      </c>
      <c r="C3" s="1638"/>
      <c r="D3" s="1638"/>
      <c r="E3" s="1638"/>
      <c r="F3" s="1638"/>
      <c r="G3" s="1638"/>
      <c r="H3" s="1638"/>
      <c r="I3" s="1638"/>
      <c r="J3" s="285"/>
      <c r="K3" s="1638" t="s">
        <v>853</v>
      </c>
      <c r="L3" s="1638"/>
      <c r="M3" s="1638"/>
      <c r="N3" s="1638"/>
      <c r="O3" s="1638"/>
      <c r="P3" s="1638"/>
      <c r="Q3" s="1638"/>
      <c r="V3" s="284"/>
    </row>
    <row r="4" spans="1:53" s="86" customFormat="1" ht="12.75" customHeight="1">
      <c r="B4" s="1638"/>
      <c r="C4" s="1638"/>
      <c r="D4" s="1638"/>
      <c r="E4" s="1638"/>
      <c r="F4" s="1638"/>
      <c r="G4" s="1638"/>
      <c r="H4" s="1638"/>
      <c r="I4" s="1638"/>
      <c r="J4" s="285"/>
      <c r="K4" s="1638"/>
      <c r="L4" s="1638"/>
      <c r="M4" s="1638"/>
      <c r="N4" s="1638"/>
      <c r="O4" s="1638"/>
      <c r="P4" s="1638"/>
      <c r="Q4" s="1638"/>
      <c r="V4" s="284"/>
    </row>
    <row r="5" spans="1:53" s="86" customFormat="1" ht="12.75" customHeight="1">
      <c r="B5" s="174"/>
      <c r="C5" s="174"/>
      <c r="D5" s="207"/>
      <c r="E5" s="97"/>
      <c r="F5" s="97"/>
      <c r="G5" s="97"/>
      <c r="H5" s="97"/>
      <c r="I5" s="97"/>
      <c r="J5" s="174"/>
      <c r="K5" s="286"/>
      <c r="L5" s="287"/>
      <c r="M5" s="288"/>
      <c r="N5" s="287"/>
      <c r="O5" s="287"/>
      <c r="P5" s="287"/>
      <c r="Q5" s="288"/>
      <c r="V5" s="284"/>
    </row>
    <row r="6" spans="1:53">
      <c r="A6" s="1123"/>
      <c r="B6" s="225" t="s">
        <v>854</v>
      </c>
      <c r="C6" s="226"/>
      <c r="D6" s="171" t="s">
        <v>802</v>
      </c>
      <c r="E6" s="1529" t="str">
        <f>'STANDARD_NON RFO UNITS'!E6:I6</f>
        <v>cnc</v>
      </c>
      <c r="F6" s="1530"/>
      <c r="G6" s="1530"/>
      <c r="H6" s="1530"/>
      <c r="I6" s="1531"/>
      <c r="J6" s="142"/>
      <c r="K6" s="225" t="s">
        <v>854</v>
      </c>
      <c r="L6" s="228"/>
      <c r="M6" s="705" t="s">
        <v>802</v>
      </c>
      <c r="N6" s="1527" t="str">
        <f>E6</f>
        <v>cnc</v>
      </c>
      <c r="O6" s="1527"/>
      <c r="P6" s="1527"/>
      <c r="Q6" s="1527"/>
      <c r="AM6" s="291"/>
      <c r="AZ6" s="292"/>
      <c r="BA6" s="293"/>
    </row>
    <row r="7" spans="1:53">
      <c r="A7" s="1123"/>
      <c r="B7" s="144" t="s">
        <v>801</v>
      </c>
      <c r="C7" s="227"/>
      <c r="D7" s="171" t="s">
        <v>802</v>
      </c>
      <c r="E7" s="1543" t="str">
        <f>'STANDARD_NON RFO UNITS'!E7:I7</f>
        <v>The Southprime Flats</v>
      </c>
      <c r="F7" s="1544"/>
      <c r="G7" s="1200" t="str">
        <f>FORM!I14</f>
        <v>B1</v>
      </c>
      <c r="H7" s="1200"/>
      <c r="I7" s="1201"/>
      <c r="J7" s="142"/>
      <c r="K7" s="144" t="s">
        <v>801</v>
      </c>
      <c r="L7" s="148"/>
      <c r="M7" s="705" t="s">
        <v>802</v>
      </c>
      <c r="N7" s="1527" t="str">
        <f>E7</f>
        <v>The Southprime Flats</v>
      </c>
      <c r="O7" s="1527"/>
      <c r="P7" s="1527"/>
      <c r="Q7" s="1527"/>
      <c r="AM7" s="291"/>
      <c r="AZ7" s="292"/>
      <c r="BA7" s="293"/>
    </row>
    <row r="8" spans="1:53">
      <c r="A8" s="1123"/>
      <c r="B8" s="144" t="s">
        <v>855</v>
      </c>
      <c r="C8" s="227"/>
      <c r="D8" s="171" t="s">
        <v>802</v>
      </c>
      <c r="E8" s="1529" t="str">
        <f>'STANDARD_NON RFO UNITS'!E8:I8</f>
        <v>2F</v>
      </c>
      <c r="F8" s="1530"/>
      <c r="G8" s="1530"/>
      <c r="H8" s="1530"/>
      <c r="I8" s="1531"/>
      <c r="J8" s="142"/>
      <c r="K8" s="144" t="s">
        <v>855</v>
      </c>
      <c r="L8" s="148"/>
      <c r="M8" s="705" t="s">
        <v>802</v>
      </c>
      <c r="N8" s="1527" t="str">
        <f>E8</f>
        <v>2F</v>
      </c>
      <c r="O8" s="1527"/>
      <c r="P8" s="1527"/>
      <c r="Q8" s="1527"/>
      <c r="AM8" s="291"/>
      <c r="AZ8" s="292"/>
      <c r="BA8" s="293"/>
    </row>
    <row r="9" spans="1:53" hidden="1">
      <c r="A9" s="1123"/>
      <c r="B9" s="144" t="s">
        <v>856</v>
      </c>
      <c r="C9" s="227"/>
      <c r="D9" s="171" t="s">
        <v>802</v>
      </c>
      <c r="E9" s="1529" t="e">
        <f>'STANDARD_NON RFO UNITS'!E9:I9</f>
        <v>#REF!</v>
      </c>
      <c r="F9" s="1530"/>
      <c r="G9" s="1530"/>
      <c r="H9" s="1530"/>
      <c r="I9" s="1531"/>
      <c r="J9" s="142"/>
      <c r="K9" s="144" t="s">
        <v>856</v>
      </c>
      <c r="L9" s="148"/>
      <c r="M9" s="705" t="s">
        <v>802</v>
      </c>
      <c r="N9" s="1527" t="str">
        <f>[5]FORM!I14</f>
        <v>TOWER 1</v>
      </c>
      <c r="O9" s="1527"/>
      <c r="P9" s="1527"/>
      <c r="Q9" s="1527"/>
      <c r="AM9" s="291"/>
      <c r="AZ9" s="292"/>
      <c r="BA9" s="293"/>
    </row>
    <row r="10" spans="1:53">
      <c r="A10" s="1123"/>
      <c r="B10" s="144" t="s">
        <v>857</v>
      </c>
      <c r="C10" s="227"/>
      <c r="D10" s="171" t="s">
        <v>802</v>
      </c>
      <c r="E10" s="1529" t="str">
        <f>'STANDARD_NON RFO UNITS'!E10:I10</f>
        <v>Studio Unit</v>
      </c>
      <c r="F10" s="1530"/>
      <c r="G10" s="1530"/>
      <c r="H10" s="1530"/>
      <c r="I10" s="1531"/>
      <c r="J10" s="142"/>
      <c r="K10" s="144" t="s">
        <v>857</v>
      </c>
      <c r="L10" s="148"/>
      <c r="M10" s="705" t="s">
        <v>802</v>
      </c>
      <c r="N10" s="1527" t="str">
        <f>E10</f>
        <v>Studio Unit</v>
      </c>
      <c r="O10" s="1527"/>
      <c r="P10" s="1527"/>
      <c r="Q10" s="1527"/>
      <c r="AM10" s="291"/>
      <c r="AZ10" s="292"/>
      <c r="BA10" s="293"/>
    </row>
    <row r="11" spans="1:53">
      <c r="A11" s="1123"/>
      <c r="B11" s="144" t="s">
        <v>858</v>
      </c>
      <c r="C11" s="227"/>
      <c r="D11" s="171" t="s">
        <v>802</v>
      </c>
      <c r="E11" s="1539">
        <f>'STANDARD_NON RFO UNITS'!E11:F11</f>
        <v>22</v>
      </c>
      <c r="F11" s="1540"/>
      <c r="G11" s="1541" t="s">
        <v>859</v>
      </c>
      <c r="H11" s="1541"/>
      <c r="I11" s="1542"/>
      <c r="J11" s="142"/>
      <c r="K11" s="144" t="s">
        <v>858</v>
      </c>
      <c r="L11" s="148"/>
      <c r="M11" s="705" t="s">
        <v>802</v>
      </c>
      <c r="N11" s="1639">
        <f>E11</f>
        <v>22</v>
      </c>
      <c r="O11" s="1640"/>
      <c r="P11" s="1636" t="s">
        <v>859</v>
      </c>
      <c r="Q11" s="1637"/>
      <c r="AM11" s="291"/>
      <c r="AZ11" s="292"/>
      <c r="BA11" s="293"/>
    </row>
    <row r="12" spans="1:53">
      <c r="A12" s="1123"/>
      <c r="B12" s="148" t="s">
        <v>860</v>
      </c>
      <c r="C12" s="227"/>
      <c r="D12" s="171" t="s">
        <v>802</v>
      </c>
      <c r="E12" s="1539">
        <f>'STANDARD_NON RFO UNITS'!E12:F12</f>
        <v>0</v>
      </c>
      <c r="F12" s="1540"/>
      <c r="G12" s="1541" t="s">
        <v>859</v>
      </c>
      <c r="H12" s="1541"/>
      <c r="I12" s="1542"/>
      <c r="J12" s="142"/>
      <c r="K12" s="148" t="s">
        <v>860</v>
      </c>
      <c r="L12" s="148"/>
      <c r="M12" s="705" t="s">
        <v>802</v>
      </c>
      <c r="N12" s="1634">
        <f>E12</f>
        <v>0</v>
      </c>
      <c r="O12" s="1635"/>
      <c r="P12" s="1636" t="s">
        <v>859</v>
      </c>
      <c r="Q12" s="1637"/>
      <c r="AM12" s="291"/>
      <c r="AZ12" s="292"/>
      <c r="BA12" s="293"/>
    </row>
    <row r="13" spans="1:53">
      <c r="A13" s="1123"/>
      <c r="B13" s="238" t="s">
        <v>861</v>
      </c>
      <c r="C13" s="101"/>
      <c r="D13" s="171" t="s">
        <v>802</v>
      </c>
      <c r="E13" s="1539">
        <f>'STANDARD_NON RFO UNITS'!E13:F13</f>
        <v>22</v>
      </c>
      <c r="F13" s="1540"/>
      <c r="G13" s="1541" t="s">
        <v>859</v>
      </c>
      <c r="H13" s="1541"/>
      <c r="I13" s="1542"/>
      <c r="J13" s="142"/>
      <c r="K13" s="238" t="s">
        <v>861</v>
      </c>
      <c r="L13" s="126"/>
      <c r="M13" s="705" t="s">
        <v>802</v>
      </c>
      <c r="N13" s="1634">
        <f>E13</f>
        <v>22</v>
      </c>
      <c r="O13" s="1635"/>
      <c r="P13" s="1636" t="s">
        <v>859</v>
      </c>
      <c r="Q13" s="1637"/>
      <c r="AM13" s="291"/>
      <c r="AZ13" s="292"/>
      <c r="BA13" s="293"/>
    </row>
    <row r="14" spans="1:53">
      <c r="A14" s="1189"/>
      <c r="B14" s="1123"/>
      <c r="C14" s="1123"/>
      <c r="D14" s="171"/>
      <c r="E14" s="1123"/>
      <c r="F14" s="1123"/>
      <c r="G14" s="1123"/>
      <c r="H14" s="1123"/>
      <c r="I14" s="1123"/>
    </row>
    <row r="15" spans="1:53" ht="14.1">
      <c r="A15" s="1189"/>
      <c r="B15" s="141" t="s">
        <v>862</v>
      </c>
      <c r="C15" s="226"/>
      <c r="D15" s="295" t="s">
        <v>802</v>
      </c>
      <c r="E15" s="460"/>
      <c r="F15" s="1623">
        <f>'STANDARD_NON RFO UNITS'!F15:I15</f>
        <v>3195170.8635638431</v>
      </c>
      <c r="G15" s="1623"/>
      <c r="H15" s="1623"/>
      <c r="I15" s="1624"/>
      <c r="J15" s="296"/>
      <c r="K15" s="1549" t="s">
        <v>863</v>
      </c>
      <c r="L15" s="1549"/>
      <c r="M15" s="1550" t="s">
        <v>773</v>
      </c>
      <c r="N15" s="1549" t="s">
        <v>776</v>
      </c>
      <c r="O15" s="1549"/>
      <c r="P15" s="1553" t="s">
        <v>214</v>
      </c>
      <c r="Q15" s="1554"/>
    </row>
    <row r="16" spans="1:53" s="296" customFormat="1" ht="14.1">
      <c r="A16" s="3"/>
      <c r="B16" s="144" t="s">
        <v>864</v>
      </c>
      <c r="C16" s="148"/>
      <c r="D16" s="171" t="s">
        <v>802</v>
      </c>
      <c r="E16" s="461"/>
      <c r="F16" s="1623">
        <f>'STANDARD_NON RFO UNITS'!F16:I16</f>
        <v>0</v>
      </c>
      <c r="G16" s="1623"/>
      <c r="H16" s="1623"/>
      <c r="I16" s="1624"/>
      <c r="J16" s="2"/>
      <c r="K16" s="1549"/>
      <c r="L16" s="1549"/>
      <c r="M16" s="1550"/>
      <c r="N16" s="1549"/>
      <c r="O16" s="1549"/>
      <c r="P16" s="1555"/>
      <c r="Q16" s="1556"/>
      <c r="V16" s="297"/>
      <c r="W16" s="296">
        <f>SUM(F29:F31)</f>
        <v>0</v>
      </c>
      <c r="X16" s="298"/>
      <c r="Y16" s="298"/>
    </row>
    <row r="17" spans="1:31" s="22" customFormat="1" ht="12.6">
      <c r="B17" s="129" t="s">
        <v>865</v>
      </c>
      <c r="C17" s="101"/>
      <c r="D17" s="295" t="s">
        <v>802</v>
      </c>
      <c r="E17" s="462"/>
      <c r="F17" s="1622">
        <f>F15-F16</f>
        <v>3195170.8635638431</v>
      </c>
      <c r="G17" s="1623"/>
      <c r="H17" s="1623"/>
      <c r="I17" s="1624"/>
      <c r="J17" s="299"/>
      <c r="K17" s="1527" t="s">
        <v>820</v>
      </c>
      <c r="L17" s="1527"/>
      <c r="M17" s="1207" t="str">
        <f>C1</f>
        <v>September 1,2025</v>
      </c>
      <c r="N17" s="1551">
        <f>F25</f>
        <v>30000</v>
      </c>
      <c r="O17" s="1551"/>
      <c r="P17" s="1603"/>
      <c r="Q17" s="1604"/>
      <c r="T17" s="1632" t="s">
        <v>944</v>
      </c>
      <c r="U17" s="1633"/>
      <c r="V17" s="300" t="str">
        <f>C1</f>
        <v>September 1,2025</v>
      </c>
      <c r="W17" s="301" t="e">
        <f>EDATE(V17,W16)</f>
        <v>#VALUE!</v>
      </c>
      <c r="X17" s="76"/>
      <c r="Y17" s="76"/>
    </row>
    <row r="18" spans="1:31" s="299" customFormat="1" ht="12.6">
      <c r="B18" s="147"/>
      <c r="C18" s="1123"/>
      <c r="D18" s="171"/>
      <c r="E18" s="1200"/>
      <c r="F18" s="1252"/>
      <c r="G18" s="1252"/>
      <c r="H18" s="1252"/>
      <c r="I18" s="1253"/>
      <c r="J18" s="22"/>
      <c r="K18" s="1527" t="e">
        <f t="shared" ref="K18:K58" si="0">IF(N18&gt;1,T18,0)</f>
        <v>#DIV/0!</v>
      </c>
      <c r="L18" s="1527"/>
      <c r="M18" s="313" t="e">
        <f t="shared" ref="M18:M58" si="1">IF(N18&gt;1,V18,"")</f>
        <v>#DIV/0!</v>
      </c>
      <c r="N18" s="1614" t="e">
        <f>G29</f>
        <v>#DIV/0!</v>
      </c>
      <c r="O18" s="1614"/>
      <c r="P18" s="1603"/>
      <c r="Q18" s="1604"/>
      <c r="T18" s="1588" t="s">
        <v>945</v>
      </c>
      <c r="U18" s="1588"/>
      <c r="V18" s="303" t="e">
        <f>IF(DAY(V17)=31,X21,Z21)</f>
        <v>#VALUE!</v>
      </c>
      <c r="X18" s="304"/>
      <c r="Y18" s="304"/>
    </row>
    <row r="19" spans="1:31" s="22" customFormat="1" ht="12.6">
      <c r="B19" s="148" t="s">
        <v>868</v>
      </c>
      <c r="C19" s="148"/>
      <c r="D19" s="171" t="s">
        <v>802</v>
      </c>
      <c r="E19" s="1213">
        <v>0.12</v>
      </c>
      <c r="F19" s="1627">
        <f>'STANDARD_NON RFO UNITS'!F19:I19</f>
        <v>0</v>
      </c>
      <c r="G19" s="1628"/>
      <c r="H19" s="1628"/>
      <c r="I19" s="1629"/>
      <c r="K19" s="1527" t="e">
        <f t="shared" ref="K19:K20" si="2">IF(N19&gt;1,T19,0)</f>
        <v>#DIV/0!</v>
      </c>
      <c r="L19" s="1527"/>
      <c r="M19" s="313" t="e">
        <f t="shared" si="1"/>
        <v>#DIV/0!</v>
      </c>
      <c r="N19" s="1614" t="e">
        <f>N18</f>
        <v>#DIV/0!</v>
      </c>
      <c r="O19" s="1614"/>
      <c r="P19" s="1603"/>
      <c r="Q19" s="1604"/>
      <c r="T19" s="1603" t="s">
        <v>869</v>
      </c>
      <c r="U19" s="1604"/>
      <c r="V19" s="305" t="e">
        <f t="shared" ref="V19:V59" si="3">IF(AND(DAY(V18)&gt;=6,DAY(V18)&lt;=20),DATE(YEAR(V18),MONTH(V18)+1,DAY(20)),IF(AND(DAY(V18)&gt;=21,DAY(V18)&lt;=30),DATE(YEAR(V18),MONTH(V18)+1,IF(DAY(EOMONTH(V18,1))&lt;30,DAY(EOMONTH(V18,1)),DAY(30))),DATE(YEAR(V18),MONTH(V18)+1,DAY(5))))</f>
        <v>#VALUE!</v>
      </c>
      <c r="X19" s="1522" t="s">
        <v>867</v>
      </c>
      <c r="Y19" s="1522"/>
      <c r="AD19" s="1603"/>
      <c r="AE19" s="1604"/>
    </row>
    <row r="20" spans="1:31" s="22" customFormat="1" ht="12.6">
      <c r="B20" s="238" t="s">
        <v>870</v>
      </c>
      <c r="C20" s="126"/>
      <c r="D20" s="171" t="s">
        <v>802</v>
      </c>
      <c r="E20" s="1254"/>
      <c r="F20" s="1630">
        <f>'STANDARD_NON RFO UNITS'!F20:I20</f>
        <v>439335.99374002841</v>
      </c>
      <c r="G20" s="1630"/>
      <c r="H20" s="1630"/>
      <c r="I20" s="1631"/>
      <c r="K20" s="1527" t="e">
        <f t="shared" si="2"/>
        <v>#DIV/0!</v>
      </c>
      <c r="L20" s="1527"/>
      <c r="M20" s="313" t="e">
        <f t="shared" si="1"/>
        <v>#DIV/0!</v>
      </c>
      <c r="N20" s="1614" t="e">
        <f t="shared" ref="N20:N22" si="4">N19</f>
        <v>#DIV/0!</v>
      </c>
      <c r="O20" s="1614"/>
      <c r="P20" s="1603"/>
      <c r="Q20" s="1604"/>
      <c r="T20" s="1588" t="s">
        <v>871</v>
      </c>
      <c r="U20" s="1588"/>
      <c r="V20" s="305" t="e">
        <f t="shared" si="3"/>
        <v>#VALUE!</v>
      </c>
      <c r="W20" s="58" t="s">
        <v>38</v>
      </c>
      <c r="X20" s="1523" t="e">
        <f>IF(DAY(V17)=31,DATE(YEAR(W17),MONTH(W17)+2,DAY(5)))</f>
        <v>#VALUE!</v>
      </c>
      <c r="Y20" s="1524"/>
      <c r="Z20" s="306" t="e">
        <f>IF(AND(DAY(W17)&gt;=6,DAY(W17)&lt;=20),DATE(YEAR(W17),MONTH(W17)+1,DAY(20)),IF(AND(DAY(W17)&gt;=21,DAY(W17)&lt;=31),DATE(YEAR(W17),MONTH(W17)+1,IF(DAY(EOMONTH(W17,1))&lt;30,DAY(EOMONTH(W17,1)),DAY(30))),DATE(YEAR(W17),MONTH(W17)+1,DAY(5))))</f>
        <v>#VALUE!</v>
      </c>
      <c r="AD20" s="1603"/>
      <c r="AE20" s="1604"/>
    </row>
    <row r="21" spans="1:31" s="22" customFormat="1" ht="12.6">
      <c r="B21" s="147"/>
      <c r="C21" s="1123"/>
      <c r="D21" s="171"/>
      <c r="E21" s="1255"/>
      <c r="F21" s="1256"/>
      <c r="G21" s="1214"/>
      <c r="H21" s="1214"/>
      <c r="I21" s="1201"/>
      <c r="K21" s="1527" t="e">
        <f t="shared" ref="K21:K30" si="5">IF(N21&gt;1,T21,0)</f>
        <v>#DIV/0!</v>
      </c>
      <c r="L21" s="1527"/>
      <c r="M21" s="313" t="e">
        <f t="shared" si="1"/>
        <v>#DIV/0!</v>
      </c>
      <c r="N21" s="1614" t="e">
        <f t="shared" si="4"/>
        <v>#DIV/0!</v>
      </c>
      <c r="O21" s="1614"/>
      <c r="P21" s="1603"/>
      <c r="Q21" s="1604"/>
      <c r="T21" s="1588" t="s">
        <v>873</v>
      </c>
      <c r="U21" s="1588"/>
      <c r="V21" s="305" t="e">
        <f t="shared" si="3"/>
        <v>#VALUE!</v>
      </c>
      <c r="W21" s="58" t="s">
        <v>872</v>
      </c>
      <c r="X21" s="1523" t="e">
        <f>IF(DAY(V17)=31,DATE(YEAR(V17),MONTH(V17)+2,DAY(5)))</f>
        <v>#VALUE!</v>
      </c>
      <c r="Y21" s="1524"/>
      <c r="Z21" s="306" t="e">
        <f>IF(AND(DAY(V17)&gt;=6,DAY(V17)&lt;=20),DATE(YEAR(V17),MONTH(V17)+1,DAY(20)),IF(AND(DAY(V17)&gt;=21,DAY(V17)&lt;=30),DATE(YEAR(V17),MONTH(V17)+1,IF(DAY(EOMONTH(V17,1))&lt;31,DAY(EOMONTH(V17,1)),DAY(30))),DATE(YEAR(V17),MONTH(V17)+1,DAY(5))))</f>
        <v>#VALUE!</v>
      </c>
      <c r="AD21" s="1603"/>
      <c r="AE21" s="1604"/>
    </row>
    <row r="22" spans="1:31" s="22" customFormat="1" ht="12.6">
      <c r="B22" s="129" t="s">
        <v>874</v>
      </c>
      <c r="C22" s="101"/>
      <c r="D22" s="295" t="s">
        <v>802</v>
      </c>
      <c r="E22" s="273"/>
      <c r="F22" s="1558">
        <f>SUM(F19:I20,F17)</f>
        <v>3634506.8573038713</v>
      </c>
      <c r="G22" s="1559"/>
      <c r="H22" s="1559"/>
      <c r="I22" s="1560"/>
      <c r="K22" s="1527" t="e">
        <f t="shared" si="5"/>
        <v>#DIV/0!</v>
      </c>
      <c r="L22" s="1527"/>
      <c r="M22" s="313" t="e">
        <f t="shared" si="1"/>
        <v>#DIV/0!</v>
      </c>
      <c r="N22" s="1614" t="e">
        <f t="shared" si="4"/>
        <v>#DIV/0!</v>
      </c>
      <c r="O22" s="1614"/>
      <c r="P22" s="1603"/>
      <c r="Q22" s="1604"/>
      <c r="T22" s="1588" t="s">
        <v>875</v>
      </c>
      <c r="U22" s="1588"/>
      <c r="V22" s="305" t="e">
        <f t="shared" si="3"/>
        <v>#VALUE!</v>
      </c>
      <c r="X22" s="1522"/>
      <c r="Y22" s="1522"/>
      <c r="AD22" s="1603"/>
      <c r="AE22" s="1604"/>
    </row>
    <row r="23" spans="1:31" s="22" customFormat="1" ht="12.6">
      <c r="A23" s="299"/>
      <c r="B23" s="147"/>
      <c r="C23" s="1123"/>
      <c r="D23" s="171"/>
      <c r="E23" s="705"/>
      <c r="F23" s="1257"/>
      <c r="G23" s="1257"/>
      <c r="H23" s="1257"/>
      <c r="I23" s="1123"/>
      <c r="J23" s="299"/>
      <c r="K23" s="1527" t="e">
        <f t="shared" si="5"/>
        <v>#DIV/0!</v>
      </c>
      <c r="L23" s="1527"/>
      <c r="M23" s="313" t="e">
        <f t="shared" si="1"/>
        <v>#DIV/0!</v>
      </c>
      <c r="N23" s="1614" t="e">
        <f>G30</f>
        <v>#DIV/0!</v>
      </c>
      <c r="O23" s="1614"/>
      <c r="P23" s="1603"/>
      <c r="Q23" s="1604"/>
      <c r="T23" s="1588" t="s">
        <v>876</v>
      </c>
      <c r="U23" s="1588"/>
      <c r="V23" s="305" t="e">
        <f t="shared" si="3"/>
        <v>#VALUE!</v>
      </c>
      <c r="X23" s="1522"/>
      <c r="Y23" s="1522"/>
      <c r="AD23" s="1603"/>
      <c r="AE23" s="1604"/>
    </row>
    <row r="24" spans="1:31" s="299" customFormat="1" ht="12.6">
      <c r="A24" s="22"/>
      <c r="B24" s="129" t="s">
        <v>877</v>
      </c>
      <c r="C24" s="226"/>
      <c r="D24" s="295" t="s">
        <v>802</v>
      </c>
      <c r="E24" s="271">
        <f>'STANDARD_NON RFO UNITS'!E24</f>
        <v>0.125</v>
      </c>
      <c r="F24" s="1622">
        <f>F22*E24</f>
        <v>454313.35716298391</v>
      </c>
      <c r="G24" s="1623"/>
      <c r="H24" s="1623"/>
      <c r="I24" s="1624"/>
      <c r="J24" s="22"/>
      <c r="K24" s="1527" t="e">
        <f t="shared" si="5"/>
        <v>#DIV/0!</v>
      </c>
      <c r="L24" s="1527"/>
      <c r="M24" s="313" t="e">
        <f t="shared" si="1"/>
        <v>#DIV/0!</v>
      </c>
      <c r="N24" s="1614" t="e">
        <f>N23</f>
        <v>#DIV/0!</v>
      </c>
      <c r="O24" s="1614"/>
      <c r="P24" s="1603"/>
      <c r="Q24" s="1604"/>
      <c r="T24" s="1588" t="s">
        <v>878</v>
      </c>
      <c r="U24" s="1588"/>
      <c r="V24" s="305" t="e">
        <f t="shared" si="3"/>
        <v>#VALUE!</v>
      </c>
      <c r="X24" s="1522"/>
      <c r="Y24" s="1522"/>
      <c r="AD24" s="1603"/>
      <c r="AE24" s="1604"/>
    </row>
    <row r="25" spans="1:31" s="22" customFormat="1" ht="12.6">
      <c r="B25" s="144" t="s">
        <v>879</v>
      </c>
      <c r="C25" s="148"/>
      <c r="D25" s="171" t="s">
        <v>802</v>
      </c>
      <c r="E25" s="1198"/>
      <c r="F25" s="1627">
        <f>'STANDARD_NON RFO UNITS'!F25</f>
        <v>30000</v>
      </c>
      <c r="G25" s="1628"/>
      <c r="H25" s="1628"/>
      <c r="I25" s="1629"/>
      <c r="K25" s="1527" t="e">
        <f t="shared" si="5"/>
        <v>#DIV/0!</v>
      </c>
      <c r="L25" s="1527"/>
      <c r="M25" s="313" t="e">
        <f t="shared" si="1"/>
        <v>#DIV/0!</v>
      </c>
      <c r="N25" s="1614" t="e">
        <f t="shared" ref="N25:N28" si="6">N24</f>
        <v>#DIV/0!</v>
      </c>
      <c r="O25" s="1614"/>
      <c r="P25" s="1603"/>
      <c r="Q25" s="1604"/>
      <c r="T25" s="1588" t="s">
        <v>880</v>
      </c>
      <c r="U25" s="1588"/>
      <c r="V25" s="305" t="e">
        <f t="shared" si="3"/>
        <v>#VALUE!</v>
      </c>
      <c r="X25" s="1522"/>
      <c r="Y25" s="1522"/>
      <c r="AD25" s="1603"/>
      <c r="AE25" s="1604"/>
    </row>
    <row r="26" spans="1:31" s="22" customFormat="1" ht="12.6">
      <c r="A26" s="299"/>
      <c r="B26" s="129" t="s">
        <v>946</v>
      </c>
      <c r="C26" s="101"/>
      <c r="D26" s="295" t="s">
        <v>802</v>
      </c>
      <c r="E26" s="239"/>
      <c r="F26" s="1622">
        <f>F24-F25</f>
        <v>424313.35716298391</v>
      </c>
      <c r="G26" s="1623"/>
      <c r="H26" s="1623"/>
      <c r="I26" s="1624"/>
      <c r="J26" s="299"/>
      <c r="K26" s="1527" t="e">
        <f t="shared" si="5"/>
        <v>#DIV/0!</v>
      </c>
      <c r="L26" s="1527"/>
      <c r="M26" s="313" t="e">
        <f t="shared" si="1"/>
        <v>#DIV/0!</v>
      </c>
      <c r="N26" s="1614" t="e">
        <f t="shared" si="6"/>
        <v>#DIV/0!</v>
      </c>
      <c r="O26" s="1614"/>
      <c r="P26" s="1603"/>
      <c r="Q26" s="1604"/>
      <c r="T26" s="1588" t="s">
        <v>882</v>
      </c>
      <c r="U26" s="1588"/>
      <c r="V26" s="305" t="e">
        <f t="shared" si="3"/>
        <v>#VALUE!</v>
      </c>
      <c r="X26" s="1522"/>
      <c r="Y26" s="1522"/>
      <c r="AD26" s="1603"/>
      <c r="AE26" s="1604"/>
    </row>
    <row r="27" spans="1:31" s="299" customFormat="1" ht="12.6">
      <c r="B27" s="147"/>
      <c r="C27" s="1123"/>
      <c r="D27" s="171"/>
      <c r="E27" s="705"/>
      <c r="F27" s="1257"/>
      <c r="G27" s="1257"/>
      <c r="H27" s="1257"/>
      <c r="I27" s="100"/>
      <c r="J27" s="307"/>
      <c r="K27" s="1527" t="e">
        <f t="shared" si="5"/>
        <v>#DIV/0!</v>
      </c>
      <c r="L27" s="1527"/>
      <c r="M27" s="313" t="e">
        <f t="shared" si="1"/>
        <v>#DIV/0!</v>
      </c>
      <c r="N27" s="1614" t="e">
        <f t="shared" si="6"/>
        <v>#DIV/0!</v>
      </c>
      <c r="O27" s="1614"/>
      <c r="P27" s="1603"/>
      <c r="Q27" s="1604"/>
      <c r="R27" s="299" t="s">
        <v>819</v>
      </c>
      <c r="T27" s="1588" t="s">
        <v>883</v>
      </c>
      <c r="U27" s="1588"/>
      <c r="V27" s="305" t="e">
        <f t="shared" si="3"/>
        <v>#VALUE!</v>
      </c>
      <c r="X27" s="1522"/>
      <c r="Y27" s="1522"/>
      <c r="AD27" s="1603"/>
      <c r="AE27" s="1604"/>
    </row>
    <row r="28" spans="1:31" s="299" customFormat="1" ht="12.6">
      <c r="B28" s="1625" t="s">
        <v>947</v>
      </c>
      <c r="C28" s="1625"/>
      <c r="D28" s="295"/>
      <c r="E28" s="463" t="s">
        <v>835</v>
      </c>
      <c r="F28" s="464" t="s">
        <v>834</v>
      </c>
      <c r="G28" s="1626" t="s">
        <v>948</v>
      </c>
      <c r="H28" s="1626"/>
      <c r="I28" s="1626"/>
      <c r="K28" s="1527" t="e">
        <f t="shared" si="5"/>
        <v>#DIV/0!</v>
      </c>
      <c r="L28" s="1527"/>
      <c r="M28" s="313" t="e">
        <f t="shared" si="1"/>
        <v>#DIV/0!</v>
      </c>
      <c r="N28" s="1614" t="e">
        <f t="shared" si="6"/>
        <v>#DIV/0!</v>
      </c>
      <c r="O28" s="1614"/>
      <c r="P28" s="1603"/>
      <c r="Q28" s="1604"/>
      <c r="T28" s="1588" t="s">
        <v>885</v>
      </c>
      <c r="U28" s="1588"/>
      <c r="V28" s="305" t="e">
        <f t="shared" si="3"/>
        <v>#VALUE!</v>
      </c>
      <c r="X28" s="1522"/>
      <c r="Y28" s="1522"/>
      <c r="AD28" s="1603"/>
      <c r="AE28" s="1604"/>
    </row>
    <row r="29" spans="1:31" s="299" customFormat="1" ht="12.6">
      <c r="A29" s="22"/>
      <c r="B29" s="1620">
        <f>FORM!K39</f>
        <v>0</v>
      </c>
      <c r="C29" s="1620"/>
      <c r="D29" s="295" t="s">
        <v>802</v>
      </c>
      <c r="E29" s="1258">
        <f>FORM!T39</f>
        <v>0</v>
      </c>
      <c r="F29" s="465">
        <f>FORM!P39</f>
        <v>0</v>
      </c>
      <c r="G29" s="1621" t="e">
        <f>F26*E29/F29</f>
        <v>#DIV/0!</v>
      </c>
      <c r="H29" s="1621"/>
      <c r="I29" s="1621"/>
      <c r="J29" s="22"/>
      <c r="K29" s="1527" t="e">
        <f t="shared" si="5"/>
        <v>#DIV/0!</v>
      </c>
      <c r="L29" s="1527"/>
      <c r="M29" s="313" t="e">
        <f t="shared" si="1"/>
        <v>#DIV/0!</v>
      </c>
      <c r="N29" s="1614" t="e">
        <f>G31</f>
        <v>#DIV/0!</v>
      </c>
      <c r="O29" s="1614"/>
      <c r="P29" s="1603"/>
      <c r="Q29" s="1604"/>
      <c r="T29" s="1588" t="s">
        <v>886</v>
      </c>
      <c r="U29" s="1588"/>
      <c r="V29" s="305" t="e">
        <f t="shared" si="3"/>
        <v>#VALUE!</v>
      </c>
      <c r="X29" s="1522"/>
      <c r="Y29" s="1522"/>
      <c r="AD29" s="1603"/>
      <c r="AE29" s="1604"/>
    </row>
    <row r="30" spans="1:31" s="22" customFormat="1" ht="12.6">
      <c r="A30" s="299"/>
      <c r="B30" s="1620">
        <f>FORM!K40</f>
        <v>0</v>
      </c>
      <c r="C30" s="1620"/>
      <c r="D30" s="295" t="s">
        <v>802</v>
      </c>
      <c r="E30" s="1258">
        <f>FORM!T40</f>
        <v>0</v>
      </c>
      <c r="F30" s="465">
        <f>FORM!P40</f>
        <v>0</v>
      </c>
      <c r="G30" s="1621" t="e">
        <f>F26*E30/F30</f>
        <v>#DIV/0!</v>
      </c>
      <c r="H30" s="1621"/>
      <c r="I30" s="1621"/>
      <c r="J30" s="299"/>
      <c r="K30" s="1527" t="e">
        <f t="shared" si="5"/>
        <v>#DIV/0!</v>
      </c>
      <c r="L30" s="1527"/>
      <c r="M30" s="313" t="e">
        <f t="shared" si="1"/>
        <v>#DIV/0!</v>
      </c>
      <c r="N30" s="1614" t="e">
        <f>N29</f>
        <v>#DIV/0!</v>
      </c>
      <c r="O30" s="1614"/>
      <c r="P30" s="1603"/>
      <c r="Q30" s="1604"/>
      <c r="R30" s="299"/>
      <c r="S30" s="299"/>
      <c r="T30" s="1588" t="s">
        <v>888</v>
      </c>
      <c r="U30" s="1588"/>
      <c r="V30" s="305" t="e">
        <f t="shared" si="3"/>
        <v>#VALUE!</v>
      </c>
      <c r="X30" s="1522"/>
      <c r="Y30" s="1522"/>
      <c r="AD30" s="1603"/>
      <c r="AE30" s="1604"/>
    </row>
    <row r="31" spans="1:31" s="299" customFormat="1" ht="12.6">
      <c r="A31" s="22"/>
      <c r="B31" s="1620">
        <f>FORM!K41</f>
        <v>0</v>
      </c>
      <c r="C31" s="1620"/>
      <c r="D31" s="295" t="s">
        <v>802</v>
      </c>
      <c r="E31" s="1258">
        <f>FORM!T41</f>
        <v>0</v>
      </c>
      <c r="F31" s="465">
        <f>FORM!P41</f>
        <v>0</v>
      </c>
      <c r="G31" s="1621" t="e">
        <f>F26*E31/F31</f>
        <v>#DIV/0!</v>
      </c>
      <c r="H31" s="1621"/>
      <c r="I31" s="1621"/>
      <c r="J31" s="22"/>
      <c r="K31" s="1527" t="e">
        <f t="shared" si="0"/>
        <v>#DIV/0!</v>
      </c>
      <c r="L31" s="1527"/>
      <c r="M31" s="313" t="e">
        <f t="shared" si="1"/>
        <v>#DIV/0!</v>
      </c>
      <c r="N31" s="1614" t="e">
        <f t="shared" ref="N31:N34" si="7">N30</f>
        <v>#DIV/0!</v>
      </c>
      <c r="O31" s="1614"/>
      <c r="P31" s="1603"/>
      <c r="Q31" s="1604"/>
      <c r="T31" s="1588" t="s">
        <v>889</v>
      </c>
      <c r="U31" s="1588"/>
      <c r="V31" s="305" t="e">
        <f t="shared" si="3"/>
        <v>#VALUE!</v>
      </c>
      <c r="X31" s="1522"/>
      <c r="Y31" s="1522"/>
      <c r="AD31" s="1603"/>
      <c r="AE31" s="1604"/>
    </row>
    <row r="32" spans="1:31" s="22" customFormat="1" ht="12.95">
      <c r="A32" s="299"/>
      <c r="B32" s="175"/>
      <c r="C32" s="175"/>
      <c r="D32" s="171"/>
      <c r="E32" s="705"/>
      <c r="F32" s="466">
        <f>SUM(F29:F31)</f>
        <v>0</v>
      </c>
      <c r="G32" s="1125"/>
      <c r="H32" s="1125"/>
      <c r="I32" s="1123"/>
      <c r="J32" s="299"/>
      <c r="K32" s="1527" t="e">
        <f t="shared" si="0"/>
        <v>#DIV/0!</v>
      </c>
      <c r="L32" s="1527"/>
      <c r="M32" s="313" t="e">
        <f t="shared" si="1"/>
        <v>#DIV/0!</v>
      </c>
      <c r="N32" s="1614" t="e">
        <f t="shared" si="7"/>
        <v>#DIV/0!</v>
      </c>
      <c r="O32" s="1614"/>
      <c r="P32" s="1603"/>
      <c r="Q32" s="1604"/>
      <c r="R32" s="299"/>
      <c r="S32" s="299"/>
      <c r="T32" s="1588" t="s">
        <v>891</v>
      </c>
      <c r="U32" s="1588"/>
      <c r="V32" s="305" t="e">
        <f t="shared" si="3"/>
        <v>#VALUE!</v>
      </c>
      <c r="X32" s="1522"/>
      <c r="Y32" s="1522"/>
      <c r="AD32" s="1603"/>
      <c r="AE32" s="1604"/>
    </row>
    <row r="33" spans="1:31" s="299" customFormat="1" ht="12.6">
      <c r="A33" s="22"/>
      <c r="B33" s="129" t="s">
        <v>887</v>
      </c>
      <c r="C33" s="101"/>
      <c r="D33" s="295" t="s">
        <v>802</v>
      </c>
      <c r="E33" s="271">
        <f>100%-E24</f>
        <v>0.875</v>
      </c>
      <c r="F33" s="1622">
        <f>F22*E33</f>
        <v>3180193.5001408872</v>
      </c>
      <c r="G33" s="1623"/>
      <c r="H33" s="1623"/>
      <c r="I33" s="1624"/>
      <c r="J33" s="22"/>
      <c r="K33" s="1527" t="e">
        <f t="shared" si="0"/>
        <v>#DIV/0!</v>
      </c>
      <c r="L33" s="1527"/>
      <c r="M33" s="313" t="e">
        <f t="shared" si="1"/>
        <v>#DIV/0!</v>
      </c>
      <c r="N33" s="1614" t="e">
        <f t="shared" si="7"/>
        <v>#DIV/0!</v>
      </c>
      <c r="O33" s="1614"/>
      <c r="P33" s="1603"/>
      <c r="Q33" s="1604"/>
      <c r="T33" s="1588" t="s">
        <v>892</v>
      </c>
      <c r="U33" s="1588"/>
      <c r="V33" s="305" t="e">
        <f t="shared" si="3"/>
        <v>#VALUE!</v>
      </c>
      <c r="X33" s="1522"/>
      <c r="Y33" s="1522"/>
      <c r="AD33" s="1603"/>
      <c r="AE33" s="1604"/>
    </row>
    <row r="34" spans="1:31" s="22" customFormat="1" ht="12.6">
      <c r="B34" s="147"/>
      <c r="C34" s="1123"/>
      <c r="D34" s="171"/>
      <c r="E34" s="98"/>
      <c r="F34" s="98"/>
      <c r="G34" s="98"/>
      <c r="H34" s="98"/>
      <c r="I34" s="98"/>
      <c r="K34" s="1527" t="e">
        <f t="shared" si="0"/>
        <v>#DIV/0!</v>
      </c>
      <c r="L34" s="1527"/>
      <c r="M34" s="313" t="e">
        <f t="shared" si="1"/>
        <v>#DIV/0!</v>
      </c>
      <c r="N34" s="1614" t="e">
        <f t="shared" si="7"/>
        <v>#DIV/0!</v>
      </c>
      <c r="O34" s="1614"/>
      <c r="P34" s="1603"/>
      <c r="Q34" s="1604"/>
      <c r="T34" s="1588" t="s">
        <v>895</v>
      </c>
      <c r="U34" s="1588"/>
      <c r="V34" s="305" t="e">
        <f t="shared" si="3"/>
        <v>#VALUE!</v>
      </c>
      <c r="X34" s="1522"/>
      <c r="Y34" s="1522"/>
      <c r="AD34" s="1603"/>
      <c r="AE34" s="1604"/>
    </row>
    <row r="35" spans="1:31" s="22" customFormat="1" ht="12.6">
      <c r="A35" s="299"/>
      <c r="B35" s="101" t="s">
        <v>890</v>
      </c>
      <c r="C35" s="101"/>
      <c r="D35" s="308"/>
      <c r="E35" s="308"/>
      <c r="F35" s="308"/>
      <c r="G35" s="308"/>
      <c r="H35" s="308"/>
      <c r="I35" s="308"/>
      <c r="J35" s="299"/>
      <c r="K35" s="1527">
        <f t="shared" si="0"/>
        <v>0</v>
      </c>
      <c r="L35" s="1527"/>
      <c r="M35" s="313" t="str">
        <f t="shared" si="1"/>
        <v/>
      </c>
      <c r="N35" s="1614"/>
      <c r="O35" s="1614"/>
      <c r="P35" s="1603"/>
      <c r="Q35" s="1604"/>
      <c r="T35" s="1588" t="s">
        <v>896</v>
      </c>
      <c r="U35" s="1588"/>
      <c r="V35" s="305" t="e">
        <f t="shared" si="3"/>
        <v>#VALUE!</v>
      </c>
      <c r="X35" s="1522"/>
      <c r="Y35" s="1522"/>
      <c r="AD35" s="1603"/>
      <c r="AE35" s="1604"/>
    </row>
    <row r="36" spans="1:31" s="299" customFormat="1" ht="12.6">
      <c r="A36" s="22"/>
      <c r="B36" s="175"/>
      <c r="C36" s="175"/>
      <c r="D36" s="308"/>
      <c r="E36" s="308"/>
      <c r="F36" s="308"/>
      <c r="G36" s="308"/>
      <c r="H36" s="308"/>
      <c r="I36" s="308"/>
      <c r="J36" s="22"/>
      <c r="K36" s="1527">
        <f t="shared" si="0"/>
        <v>0</v>
      </c>
      <c r="L36" s="1527"/>
      <c r="M36" s="313" t="str">
        <f t="shared" si="1"/>
        <v/>
      </c>
      <c r="N36" s="1614"/>
      <c r="O36" s="1614"/>
      <c r="P36" s="1603"/>
      <c r="Q36" s="1604"/>
      <c r="T36" s="1588" t="s">
        <v>897</v>
      </c>
      <c r="U36" s="1588"/>
      <c r="V36" s="305" t="e">
        <f t="shared" si="3"/>
        <v>#VALUE!</v>
      </c>
      <c r="X36" s="1522"/>
      <c r="Y36" s="1522"/>
      <c r="AD36" s="1603"/>
      <c r="AE36" s="1604"/>
    </row>
    <row r="37" spans="1:31" s="22" customFormat="1" ht="12.6">
      <c r="B37" s="608" t="s">
        <v>56</v>
      </c>
      <c r="C37" s="608" t="s">
        <v>57</v>
      </c>
      <c r="D37" s="1616" t="s">
        <v>58</v>
      </c>
      <c r="E37" s="1616"/>
      <c r="F37" s="608" t="s">
        <v>893</v>
      </c>
      <c r="G37" s="1617" t="s">
        <v>949</v>
      </c>
      <c r="H37" s="1618"/>
      <c r="I37" s="1619"/>
      <c r="K37" s="1527">
        <f t="shared" si="0"/>
        <v>0</v>
      </c>
      <c r="L37" s="1527"/>
      <c r="M37" s="313" t="str">
        <f t="shared" si="1"/>
        <v/>
      </c>
      <c r="N37" s="1614"/>
      <c r="O37" s="1614"/>
      <c r="P37" s="1603"/>
      <c r="Q37" s="1604"/>
      <c r="T37" s="1588" t="s">
        <v>898</v>
      </c>
      <c r="U37" s="1588"/>
      <c r="V37" s="305" t="e">
        <f t="shared" si="3"/>
        <v>#VALUE!</v>
      </c>
      <c r="X37" s="1522"/>
      <c r="Y37" s="1522"/>
      <c r="AD37" s="1603"/>
      <c r="AE37" s="1604"/>
    </row>
    <row r="38" spans="1:31" s="22" customFormat="1" ht="12.6">
      <c r="B38" s="467">
        <v>5</v>
      </c>
      <c r="C38" s="468">
        <f>'STANDARD_NON RFO UNITS'!C35</f>
        <v>7.0000000000000007E-2</v>
      </c>
      <c r="D38" s="1615">
        <f>PMT(C38/12,B38*12,-1)</f>
        <v>1.9801198540349535E-2</v>
      </c>
      <c r="E38" s="1615"/>
      <c r="F38" s="1259">
        <f>D38*F33</f>
        <v>62971.642893018812</v>
      </c>
      <c r="G38" s="1611">
        <f>F38/0.33</f>
        <v>190823.16028187517</v>
      </c>
      <c r="H38" s="1612"/>
      <c r="I38" s="1613"/>
      <c r="K38" s="1527">
        <f t="shared" si="0"/>
        <v>0</v>
      </c>
      <c r="L38" s="1527"/>
      <c r="M38" s="313" t="str">
        <f t="shared" si="1"/>
        <v/>
      </c>
      <c r="N38" s="1614"/>
      <c r="O38" s="1614"/>
      <c r="P38" s="1603"/>
      <c r="Q38" s="1604"/>
      <c r="T38" s="1588" t="s">
        <v>899</v>
      </c>
      <c r="U38" s="1588"/>
      <c r="V38" s="305" t="e">
        <f t="shared" si="3"/>
        <v>#VALUE!</v>
      </c>
      <c r="X38" s="1522"/>
      <c r="Y38" s="1522"/>
      <c r="AD38" s="1603"/>
      <c r="AE38" s="1604"/>
    </row>
    <row r="39" spans="1:31" s="22" customFormat="1" ht="12.6">
      <c r="B39" s="467">
        <v>10</v>
      </c>
      <c r="C39" s="468">
        <f>'STANDARD_NON RFO UNITS'!C36</f>
        <v>7.0000000000000007E-2</v>
      </c>
      <c r="D39" s="1615">
        <f>PMT(C39/12,B39*12,-1)</f>
        <v>1.1610847921862406E-2</v>
      </c>
      <c r="E39" s="1615"/>
      <c r="F39" s="1259">
        <f>D39*F33</f>
        <v>36924.743092231154</v>
      </c>
      <c r="G39" s="1611">
        <f>F39/0.33</f>
        <v>111893.16088554895</v>
      </c>
      <c r="H39" s="1612"/>
      <c r="I39" s="1613"/>
      <c r="K39" s="1527">
        <f t="shared" si="0"/>
        <v>0</v>
      </c>
      <c r="L39" s="1527"/>
      <c r="M39" s="313" t="str">
        <f t="shared" si="1"/>
        <v/>
      </c>
      <c r="N39" s="1614"/>
      <c r="O39" s="1614"/>
      <c r="P39" s="1603"/>
      <c r="Q39" s="1604"/>
      <c r="T39" s="1588" t="s">
        <v>901</v>
      </c>
      <c r="U39" s="1588"/>
      <c r="V39" s="305" t="e">
        <f t="shared" si="3"/>
        <v>#VALUE!</v>
      </c>
      <c r="X39" s="1522"/>
      <c r="Y39" s="1522"/>
      <c r="AD39" s="1603"/>
      <c r="AE39" s="1604"/>
    </row>
    <row r="40" spans="1:31" s="22" customFormat="1" ht="12.6">
      <c r="B40" s="467">
        <v>15</v>
      </c>
      <c r="C40" s="468">
        <f>'STANDARD_NON RFO UNITS'!C37</f>
        <v>7.0000000000000007E-2</v>
      </c>
      <c r="D40" s="1615">
        <f>PMT(C40/12,B40*12,-1)</f>
        <v>8.988282708524269E-3</v>
      </c>
      <c r="E40" s="1615"/>
      <c r="F40" s="1259">
        <f>D40*F33</f>
        <v>28584.478247077608</v>
      </c>
      <c r="G40" s="1611">
        <f>F40/0.33</f>
        <v>86619.63105175033</v>
      </c>
      <c r="H40" s="1612"/>
      <c r="I40" s="1613"/>
      <c r="K40" s="1527">
        <f t="shared" si="0"/>
        <v>0</v>
      </c>
      <c r="L40" s="1527"/>
      <c r="M40" s="313" t="str">
        <f t="shared" si="1"/>
        <v/>
      </c>
      <c r="N40" s="1614"/>
      <c r="O40" s="1614"/>
      <c r="P40" s="1603"/>
      <c r="Q40" s="1604"/>
      <c r="T40" s="1588" t="s">
        <v>903</v>
      </c>
      <c r="U40" s="1588"/>
      <c r="V40" s="305" t="e">
        <f t="shared" si="3"/>
        <v>#VALUE!</v>
      </c>
      <c r="X40" s="1522"/>
      <c r="Y40" s="1522"/>
      <c r="AD40" s="1603"/>
      <c r="AE40" s="1604"/>
    </row>
    <row r="41" spans="1:31" s="22" customFormat="1" ht="12.6">
      <c r="B41" s="467">
        <v>20</v>
      </c>
      <c r="C41" s="468">
        <f>'STANDARD_NON RFO UNITS'!C38</f>
        <v>7.0000000000000007E-2</v>
      </c>
      <c r="D41" s="1610">
        <f>PMT(C41/12,B41*12,-1)</f>
        <v>7.7529893561887461E-3</v>
      </c>
      <c r="E41" s="1610"/>
      <c r="F41" s="1259">
        <f>D41*F33</f>
        <v>24656.006357212933</v>
      </c>
      <c r="G41" s="1611">
        <f>F41/0.33</f>
        <v>74715.170779433131</v>
      </c>
      <c r="H41" s="1612"/>
      <c r="I41" s="1613"/>
      <c r="K41" s="1527">
        <f t="shared" si="0"/>
        <v>0</v>
      </c>
      <c r="L41" s="1527"/>
      <c r="M41" s="313" t="str">
        <f t="shared" si="1"/>
        <v/>
      </c>
      <c r="N41" s="1605"/>
      <c r="O41" s="1605"/>
      <c r="P41" s="1603"/>
      <c r="Q41" s="1604"/>
      <c r="T41" s="1588" t="s">
        <v>905</v>
      </c>
      <c r="U41" s="1588"/>
      <c r="V41" s="305" t="e">
        <f t="shared" si="3"/>
        <v>#VALUE!</v>
      </c>
      <c r="X41" s="1522"/>
      <c r="Y41" s="1522"/>
      <c r="AD41" s="1603"/>
      <c r="AE41" s="1604"/>
    </row>
    <row r="42" spans="1:31" s="22" customFormat="1" ht="12">
      <c r="B42" s="309" t="s">
        <v>900</v>
      </c>
      <c r="G42" s="24"/>
      <c r="K42" s="1588">
        <f t="shared" si="0"/>
        <v>0</v>
      </c>
      <c r="L42" s="1588"/>
      <c r="M42" s="302" t="str">
        <f t="shared" si="1"/>
        <v/>
      </c>
      <c r="N42" s="1607"/>
      <c r="O42" s="1607"/>
      <c r="P42" s="1603"/>
      <c r="Q42" s="1604"/>
      <c r="T42" s="1588" t="s">
        <v>907</v>
      </c>
      <c r="U42" s="1588"/>
      <c r="V42" s="305" t="e">
        <f t="shared" si="3"/>
        <v>#VALUE!</v>
      </c>
      <c r="X42" s="1522"/>
      <c r="Y42" s="1522"/>
      <c r="AD42" s="1603"/>
      <c r="AE42" s="1604"/>
    </row>
    <row r="43" spans="1:31" s="22" customFormat="1" ht="12">
      <c r="B43" s="309" t="str">
        <f>'STANDARD_NON RFO UNITS'!B40</f>
        <v>Sample Computation for Interest rate is at 7% fixed for three (3) years only</v>
      </c>
      <c r="C43" s="310"/>
      <c r="D43" s="434"/>
      <c r="K43" s="1588">
        <f t="shared" si="0"/>
        <v>0</v>
      </c>
      <c r="L43" s="1588"/>
      <c r="M43" s="302" t="str">
        <f t="shared" si="1"/>
        <v/>
      </c>
      <c r="N43" s="1607"/>
      <c r="O43" s="1607"/>
      <c r="P43" s="1603"/>
      <c r="Q43" s="1604"/>
      <c r="T43" s="1588" t="s">
        <v>908</v>
      </c>
      <c r="U43" s="1588"/>
      <c r="V43" s="305" t="e">
        <f t="shared" si="3"/>
        <v>#VALUE!</v>
      </c>
      <c r="X43" s="1522"/>
      <c r="Y43" s="1522"/>
      <c r="AD43" s="1603"/>
      <c r="AE43" s="1604"/>
    </row>
    <row r="44" spans="1:31" s="22" customFormat="1" ht="12">
      <c r="B44" s="311" t="s">
        <v>904</v>
      </c>
      <c r="D44" s="434"/>
      <c r="K44" s="1588">
        <f t="shared" si="0"/>
        <v>0</v>
      </c>
      <c r="L44" s="1588"/>
      <c r="M44" s="302" t="str">
        <f t="shared" si="1"/>
        <v/>
      </c>
      <c r="N44" s="1607"/>
      <c r="O44" s="1607"/>
      <c r="P44" s="1603"/>
      <c r="Q44" s="1604"/>
      <c r="T44" s="1588" t="s">
        <v>910</v>
      </c>
      <c r="U44" s="1588"/>
      <c r="V44" s="305" t="e">
        <f t="shared" si="3"/>
        <v>#VALUE!</v>
      </c>
      <c r="X44" s="1522"/>
      <c r="Y44" s="1522"/>
      <c r="AD44" s="1603"/>
      <c r="AE44" s="1604"/>
    </row>
    <row r="45" spans="1:31" s="22" customFormat="1" ht="12">
      <c r="B45" s="311" t="s">
        <v>906</v>
      </c>
      <c r="C45" s="310"/>
      <c r="D45" s="434"/>
      <c r="K45" s="1588">
        <f t="shared" si="0"/>
        <v>0</v>
      </c>
      <c r="L45" s="1588"/>
      <c r="M45" s="302" t="str">
        <f t="shared" si="1"/>
        <v/>
      </c>
      <c r="N45" s="1607"/>
      <c r="O45" s="1607"/>
      <c r="P45" s="1603"/>
      <c r="Q45" s="1604"/>
      <c r="T45" s="1588" t="s">
        <v>911</v>
      </c>
      <c r="U45" s="1588"/>
      <c r="V45" s="305" t="e">
        <f t="shared" si="3"/>
        <v>#VALUE!</v>
      </c>
      <c r="X45" s="1522"/>
      <c r="Y45" s="1522"/>
      <c r="AD45" s="1603"/>
      <c r="AE45" s="1604"/>
    </row>
    <row r="46" spans="1:31" s="22" customFormat="1" ht="12">
      <c r="B46" s="311"/>
      <c r="C46" s="310"/>
      <c r="D46" s="434"/>
      <c r="K46" s="1588">
        <f t="shared" si="0"/>
        <v>0</v>
      </c>
      <c r="L46" s="1588"/>
      <c r="M46" s="302" t="str">
        <f t="shared" si="1"/>
        <v/>
      </c>
      <c r="N46" s="1607"/>
      <c r="O46" s="1607"/>
      <c r="P46" s="1603"/>
      <c r="Q46" s="1604"/>
      <c r="T46" s="1588" t="s">
        <v>913</v>
      </c>
      <c r="U46" s="1588"/>
      <c r="V46" s="305" t="e">
        <f t="shared" si="3"/>
        <v>#VALUE!</v>
      </c>
      <c r="X46" s="1522"/>
      <c r="Y46" s="1522"/>
      <c r="AD46" s="1603"/>
      <c r="AE46" s="1604"/>
    </row>
    <row r="47" spans="1:31" s="22" customFormat="1" ht="12.6">
      <c r="B47" s="101" t="s">
        <v>909</v>
      </c>
      <c r="C47" s="238"/>
      <c r="D47" s="245"/>
      <c r="E47" s="1120"/>
      <c r="F47" s="924"/>
      <c r="G47" s="167"/>
      <c r="H47" s="167"/>
      <c r="I47" s="167"/>
      <c r="K47" s="1588">
        <f t="shared" si="0"/>
        <v>0</v>
      </c>
      <c r="L47" s="1588"/>
      <c r="M47" s="302" t="str">
        <f t="shared" si="1"/>
        <v/>
      </c>
      <c r="N47" s="1607"/>
      <c r="O47" s="1607"/>
      <c r="P47" s="1603"/>
      <c r="Q47" s="1604"/>
      <c r="T47" s="1588" t="s">
        <v>914</v>
      </c>
      <c r="U47" s="1588"/>
      <c r="V47" s="305" t="e">
        <f t="shared" si="3"/>
        <v>#VALUE!</v>
      </c>
      <c r="X47" s="1522"/>
      <c r="Y47" s="1522"/>
      <c r="AD47" s="1603"/>
      <c r="AE47" s="1604"/>
    </row>
    <row r="48" spans="1:31" s="22" customFormat="1" ht="12.6">
      <c r="B48" s="175"/>
      <c r="C48" s="245"/>
      <c r="D48" s="245"/>
      <c r="E48" s="1121"/>
      <c r="F48" s="1122"/>
      <c r="G48" s="496"/>
      <c r="H48" s="496"/>
      <c r="I48" s="496"/>
      <c r="K48" s="1588">
        <f t="shared" si="0"/>
        <v>0</v>
      </c>
      <c r="L48" s="1588"/>
      <c r="M48" s="302" t="str">
        <f t="shared" si="1"/>
        <v/>
      </c>
      <c r="N48" s="1607"/>
      <c r="O48" s="1607"/>
      <c r="P48" s="1603"/>
      <c r="Q48" s="1604"/>
      <c r="T48" s="1588" t="s">
        <v>915</v>
      </c>
      <c r="U48" s="1588"/>
      <c r="V48" s="305" t="e">
        <f t="shared" si="3"/>
        <v>#VALUE!</v>
      </c>
      <c r="X48" s="1522"/>
      <c r="Y48" s="1522"/>
      <c r="AD48" s="1603"/>
      <c r="AE48" s="1604"/>
    </row>
    <row r="49" spans="1:25" s="22" customFormat="1" ht="12.6">
      <c r="A49" s="1189"/>
      <c r="B49" s="129" t="s">
        <v>912</v>
      </c>
      <c r="C49" s="129"/>
      <c r="D49" s="142" t="s">
        <v>802</v>
      </c>
      <c r="E49" s="241">
        <f>IF(E10="COMMERCIAL",60%,80%)</f>
        <v>0.8</v>
      </c>
      <c r="F49" s="1558">
        <f>E49*F22</f>
        <v>2907605.4858430973</v>
      </c>
      <c r="G49" s="1559"/>
      <c r="H49" s="1559"/>
      <c r="I49" s="1560"/>
      <c r="K49" s="1588">
        <f t="shared" si="0"/>
        <v>0</v>
      </c>
      <c r="L49" s="1588"/>
      <c r="M49" s="302" t="str">
        <f t="shared" si="1"/>
        <v/>
      </c>
      <c r="N49" s="1607"/>
      <c r="O49" s="1607"/>
      <c r="P49" s="1603"/>
      <c r="Q49" s="1604"/>
      <c r="T49" s="1588" t="s">
        <v>916</v>
      </c>
      <c r="U49" s="1588"/>
      <c r="V49" s="305" t="e">
        <f t="shared" si="3"/>
        <v>#VALUE!</v>
      </c>
      <c r="X49" s="1606"/>
      <c r="Y49" s="1606"/>
    </row>
    <row r="50" spans="1:25">
      <c r="A50" s="22"/>
      <c r="B50" s="1123"/>
      <c r="C50" s="178"/>
      <c r="D50" s="178"/>
      <c r="E50" s="1124"/>
      <c r="F50" s="1125"/>
      <c r="G50" s="1125"/>
      <c r="H50" s="1125"/>
      <c r="I50" s="1125"/>
      <c r="K50" s="1588">
        <f t="shared" si="0"/>
        <v>0</v>
      </c>
      <c r="L50" s="1588"/>
      <c r="M50" s="302" t="str">
        <f t="shared" si="1"/>
        <v/>
      </c>
      <c r="N50" s="1607"/>
      <c r="O50" s="1607"/>
      <c r="P50" s="1603"/>
      <c r="Q50" s="1604"/>
      <c r="T50" s="1588" t="s">
        <v>917</v>
      </c>
      <c r="U50" s="1588"/>
      <c r="V50" s="305" t="e">
        <f t="shared" si="3"/>
        <v>#VALUE!</v>
      </c>
    </row>
    <row r="51" spans="1:25" s="22" customFormat="1" ht="12.6">
      <c r="B51" s="208" t="s">
        <v>56</v>
      </c>
      <c r="C51" s="208" t="s">
        <v>57</v>
      </c>
      <c r="D51" s="208" t="s">
        <v>58</v>
      </c>
      <c r="E51" s="208" t="s">
        <v>893</v>
      </c>
      <c r="F51" s="1549" t="s">
        <v>894</v>
      </c>
      <c r="G51" s="1549"/>
      <c r="H51" s="1549"/>
      <c r="I51" s="1549"/>
      <c r="K51" s="1588">
        <f t="shared" si="0"/>
        <v>0</v>
      </c>
      <c r="L51" s="1588"/>
      <c r="M51" s="302" t="str">
        <f t="shared" si="1"/>
        <v/>
      </c>
      <c r="N51" s="1607"/>
      <c r="O51" s="1607"/>
      <c r="P51" s="1603"/>
      <c r="Q51" s="1604"/>
      <c r="T51" s="1588" t="s">
        <v>918</v>
      </c>
      <c r="U51" s="1588"/>
      <c r="V51" s="305" t="e">
        <f t="shared" si="3"/>
        <v>#VALUE!</v>
      </c>
      <c r="X51" s="76"/>
      <c r="Y51" s="76"/>
    </row>
    <row r="52" spans="1:25" s="22" customFormat="1" ht="12.6">
      <c r="B52" s="246">
        <v>1</v>
      </c>
      <c r="C52" s="1126">
        <v>0.12</v>
      </c>
      <c r="D52" s="248">
        <f>PMT(C52/12,B52*12,-1)</f>
        <v>8.88487886783417E-2</v>
      </c>
      <c r="E52" s="1127">
        <f>$F$49*D52</f>
        <v>258337.2253716604</v>
      </c>
      <c r="F52" s="1551">
        <f>E52/0.33</f>
        <v>782840.07688381942</v>
      </c>
      <c r="G52" s="1551"/>
      <c r="H52" s="1551"/>
      <c r="I52" s="1551"/>
      <c r="K52" s="1588">
        <f t="shared" si="0"/>
        <v>0</v>
      </c>
      <c r="L52" s="1588"/>
      <c r="M52" s="302" t="str">
        <f t="shared" si="1"/>
        <v/>
      </c>
      <c r="N52" s="1607"/>
      <c r="O52" s="1607"/>
      <c r="P52" s="1603"/>
      <c r="Q52" s="1604"/>
      <c r="T52" s="1588" t="s">
        <v>919</v>
      </c>
      <c r="U52" s="1588"/>
      <c r="V52" s="305" t="e">
        <f t="shared" si="3"/>
        <v>#VALUE!</v>
      </c>
      <c r="X52" s="76"/>
      <c r="Y52" s="76"/>
    </row>
    <row r="53" spans="1:25" s="22" customFormat="1" ht="12.6">
      <c r="B53" s="246">
        <v>3</v>
      </c>
      <c r="C53" s="1126">
        <v>0.16</v>
      </c>
      <c r="D53" s="248">
        <f>PMT(C53/12,B53*12,-1)</f>
        <v>3.5157033036350094E-2</v>
      </c>
      <c r="E53" s="1127">
        <f>$F$49*D53</f>
        <v>102222.78212245854</v>
      </c>
      <c r="F53" s="1551">
        <f>E53/0.33</f>
        <v>309766.00643169251</v>
      </c>
      <c r="G53" s="1551"/>
      <c r="H53" s="1551"/>
      <c r="I53" s="1551"/>
      <c r="K53" s="1588">
        <f t="shared" si="0"/>
        <v>0</v>
      </c>
      <c r="L53" s="1588"/>
      <c r="M53" s="302" t="str">
        <f t="shared" si="1"/>
        <v/>
      </c>
      <c r="N53" s="1607"/>
      <c r="O53" s="1607"/>
      <c r="P53" s="1603"/>
      <c r="Q53" s="1604"/>
      <c r="T53" s="1588" t="s">
        <v>921</v>
      </c>
      <c r="U53" s="1588"/>
      <c r="V53" s="305" t="e">
        <f t="shared" si="3"/>
        <v>#VALUE!</v>
      </c>
      <c r="X53" s="76"/>
      <c r="Y53" s="76"/>
    </row>
    <row r="54" spans="1:25" s="22" customFormat="1" ht="12.6">
      <c r="B54" s="246">
        <v>5</v>
      </c>
      <c r="C54" s="1126">
        <v>0.18</v>
      </c>
      <c r="D54" s="248">
        <f>PMT(C54/12,B54*12,-1)</f>
        <v>2.5393427427109084E-2</v>
      </c>
      <c r="E54" s="1127">
        <f>$F$49*D54</f>
        <v>73834.068891420946</v>
      </c>
      <c r="F54" s="1551">
        <f>E54/0.33</f>
        <v>223739.60270127558</v>
      </c>
      <c r="G54" s="1551"/>
      <c r="H54" s="1551"/>
      <c r="I54" s="1551"/>
      <c r="K54" s="1588">
        <f t="shared" si="0"/>
        <v>0</v>
      </c>
      <c r="L54" s="1588"/>
      <c r="M54" s="302" t="str">
        <f t="shared" si="1"/>
        <v/>
      </c>
      <c r="N54" s="1607"/>
      <c r="O54" s="1607"/>
      <c r="P54" s="1603"/>
      <c r="Q54" s="1604"/>
      <c r="T54" s="1588" t="s">
        <v>922</v>
      </c>
      <c r="U54" s="1588"/>
      <c r="V54" s="305" t="e">
        <f t="shared" si="3"/>
        <v>#VALUE!</v>
      </c>
      <c r="X54" s="76"/>
      <c r="Y54" s="76"/>
    </row>
    <row r="55" spans="1:25" s="22" customFormat="1" ht="12.6">
      <c r="B55" s="246">
        <v>10</v>
      </c>
      <c r="C55" s="1126">
        <v>0.2</v>
      </c>
      <c r="D55" s="248">
        <f>PMT(C55/12,B55*12,-1)</f>
        <v>1.9325567219932577E-2</v>
      </c>
      <c r="E55" s="1127">
        <f>$F$49*D55</f>
        <v>56191.125265705501</v>
      </c>
      <c r="F55" s="1551">
        <f>E55/0.33</f>
        <v>170276.13716880453</v>
      </c>
      <c r="G55" s="1551"/>
      <c r="H55" s="1551"/>
      <c r="I55" s="1551"/>
      <c r="K55" s="1527">
        <f t="shared" si="0"/>
        <v>0</v>
      </c>
      <c r="L55" s="1527"/>
      <c r="M55" s="313" t="str">
        <f t="shared" si="1"/>
        <v/>
      </c>
      <c r="N55" s="1608"/>
      <c r="O55" s="1609"/>
      <c r="P55" s="1603"/>
      <c r="Q55" s="1604"/>
      <c r="T55" s="1588" t="s">
        <v>923</v>
      </c>
      <c r="U55" s="1588"/>
      <c r="V55" s="305" t="e">
        <f t="shared" si="3"/>
        <v>#VALUE!</v>
      </c>
      <c r="X55" s="76"/>
      <c r="Y55" s="76"/>
    </row>
    <row r="56" spans="1:25" s="22" customFormat="1" ht="12.95" thickBot="1">
      <c r="B56" s="1167" t="s">
        <v>920</v>
      </c>
      <c r="C56" s="1128"/>
      <c r="D56" s="1128"/>
      <c r="E56" s="1128"/>
      <c r="F56" s="1128"/>
      <c r="G56" s="1128"/>
      <c r="H56" s="1128"/>
      <c r="I56" s="1128"/>
      <c r="K56" s="1527">
        <f t="shared" si="0"/>
        <v>0</v>
      </c>
      <c r="L56" s="1527"/>
      <c r="M56" s="313" t="str">
        <f t="shared" si="1"/>
        <v/>
      </c>
      <c r="N56" s="1608"/>
      <c r="O56" s="1609"/>
      <c r="P56" s="1603"/>
      <c r="Q56" s="1604"/>
      <c r="T56" s="1588" t="s">
        <v>925</v>
      </c>
      <c r="U56" s="1588"/>
      <c r="V56" s="305" t="e">
        <f t="shared" si="3"/>
        <v>#VALUE!</v>
      </c>
      <c r="X56" s="76"/>
      <c r="Y56" s="76"/>
    </row>
    <row r="57" spans="1:25" s="22" customFormat="1" ht="12.6">
      <c r="D57" s="434"/>
      <c r="J57" s="22" t="s">
        <v>819</v>
      </c>
      <c r="K57" s="1527">
        <f t="shared" si="0"/>
        <v>0</v>
      </c>
      <c r="L57" s="1527"/>
      <c r="M57" s="313" t="str">
        <f t="shared" si="1"/>
        <v/>
      </c>
      <c r="N57" s="1605"/>
      <c r="O57" s="1605"/>
      <c r="P57" s="1603"/>
      <c r="Q57" s="1604"/>
      <c r="T57" s="1588" t="s">
        <v>926</v>
      </c>
      <c r="U57" s="1588"/>
      <c r="V57" s="305" t="e">
        <f t="shared" si="3"/>
        <v>#VALUE!</v>
      </c>
      <c r="X57" s="76"/>
      <c r="Y57" s="76"/>
    </row>
    <row r="58" spans="1:25" s="22" customFormat="1" ht="12.6">
      <c r="B58" s="294" t="s">
        <v>924</v>
      </c>
      <c r="C58" s="312"/>
      <c r="D58" s="299"/>
      <c r="E58" s="299"/>
      <c r="F58" s="299"/>
      <c r="G58" s="299"/>
      <c r="H58" s="299"/>
      <c r="I58" s="299"/>
      <c r="K58" s="1527">
        <f t="shared" si="0"/>
        <v>0</v>
      </c>
      <c r="L58" s="1527"/>
      <c r="M58" s="313" t="str">
        <f t="shared" si="1"/>
        <v/>
      </c>
      <c r="N58" s="1605"/>
      <c r="O58" s="1605"/>
      <c r="P58" s="1603"/>
      <c r="Q58" s="1604"/>
      <c r="T58" s="1588" t="s">
        <v>929</v>
      </c>
      <c r="U58" s="1588"/>
      <c r="V58" s="305" t="e">
        <f t="shared" si="3"/>
        <v>#VALUE!</v>
      </c>
      <c r="X58" s="76"/>
      <c r="Y58" s="76"/>
    </row>
    <row r="59" spans="1:25" s="22" customFormat="1" ht="12.6">
      <c r="B59" s="299"/>
      <c r="C59" s="299"/>
      <c r="D59" s="299"/>
      <c r="E59" s="299"/>
      <c r="F59" s="299"/>
      <c r="G59" s="299"/>
      <c r="H59" s="299"/>
      <c r="I59" s="299"/>
      <c r="K59" s="1527" t="s">
        <v>935</v>
      </c>
      <c r="L59" s="1527"/>
      <c r="M59" s="313" t="e">
        <f>IF(DAY(M17)=31,X20,Z20)</f>
        <v>#VALUE!</v>
      </c>
      <c r="N59" s="1602">
        <f>F33</f>
        <v>3180193.5001408872</v>
      </c>
      <c r="O59" s="1602"/>
      <c r="P59" s="1603"/>
      <c r="Q59" s="1604"/>
      <c r="T59" s="1588" t="s">
        <v>930</v>
      </c>
      <c r="U59" s="1588"/>
      <c r="V59" s="305" t="e">
        <f t="shared" si="3"/>
        <v>#VALUE!</v>
      </c>
      <c r="X59" s="76"/>
      <c r="Y59" s="76"/>
    </row>
    <row r="60" spans="1:25" s="22" customFormat="1" ht="12.6">
      <c r="B60" s="1549" t="s">
        <v>814</v>
      </c>
      <c r="C60" s="1549"/>
      <c r="D60" s="1549" t="s">
        <v>815</v>
      </c>
      <c r="E60" s="1549"/>
      <c r="F60" s="1549"/>
      <c r="G60" s="1549" t="s">
        <v>928</v>
      </c>
      <c r="H60" s="1549"/>
      <c r="I60" s="1549"/>
      <c r="K60" s="314"/>
      <c r="M60" s="315"/>
      <c r="V60" s="316"/>
      <c r="X60" s="76"/>
      <c r="Y60" s="76"/>
    </row>
    <row r="61" spans="1:25" s="22" customFormat="1" ht="12.6">
      <c r="B61" s="1508">
        <f>FORM!O19</f>
        <v>0</v>
      </c>
      <c r="C61" s="1509"/>
      <c r="D61" s="1508">
        <f>FORM!S19</f>
        <v>0</v>
      </c>
      <c r="E61" s="1512"/>
      <c r="F61" s="1509"/>
      <c r="G61" s="1514">
        <f>FORM!V19</f>
        <v>0</v>
      </c>
      <c r="H61" s="1515"/>
      <c r="I61" s="1516"/>
      <c r="K61" s="469"/>
      <c r="L61" s="1189"/>
      <c r="M61" s="1248"/>
      <c r="N61" s="1189"/>
      <c r="O61" s="1189"/>
      <c r="P61" s="1189"/>
      <c r="Q61" s="1189"/>
      <c r="V61" s="301"/>
      <c r="X61" s="76"/>
      <c r="Y61" s="76"/>
    </row>
    <row r="62" spans="1:25" s="22" customFormat="1" ht="12.6">
      <c r="B62" s="1510"/>
      <c r="C62" s="1511"/>
      <c r="D62" s="1510"/>
      <c r="E62" s="1513"/>
      <c r="F62" s="1511"/>
      <c r="G62" s="1517"/>
      <c r="H62" s="1518"/>
      <c r="I62" s="1519"/>
      <c r="K62" s="1189"/>
      <c r="L62" s="1189"/>
      <c r="M62" s="1248"/>
      <c r="N62" s="1189"/>
      <c r="O62" s="1189"/>
      <c r="P62" s="1189"/>
      <c r="Q62" s="1189"/>
      <c r="V62" s="301"/>
      <c r="X62" s="76"/>
      <c r="Y62" s="76"/>
    </row>
    <row r="63" spans="1:25" s="22" customFormat="1" ht="12.6">
      <c r="B63" s="1508">
        <f>FORM!O21</f>
        <v>0</v>
      </c>
      <c r="C63" s="1509"/>
      <c r="D63" s="1508">
        <f>FORM!S21</f>
        <v>0</v>
      </c>
      <c r="E63" s="1512"/>
      <c r="F63" s="1509"/>
      <c r="G63" s="1514">
        <f>FORM!V21</f>
        <v>0</v>
      </c>
      <c r="H63" s="1515"/>
      <c r="I63" s="1516"/>
      <c r="K63" s="3" t="s">
        <v>936</v>
      </c>
      <c r="L63" s="3"/>
      <c r="M63" s="3"/>
      <c r="N63" s="3"/>
      <c r="O63" s="1189"/>
      <c r="P63" s="3" t="s">
        <v>937</v>
      </c>
      <c r="Q63" s="3"/>
      <c r="V63" s="301"/>
      <c r="X63" s="76"/>
      <c r="Y63" s="76"/>
    </row>
    <row r="64" spans="1:25" s="22" customFormat="1">
      <c r="A64" s="2"/>
      <c r="B64" s="1510"/>
      <c r="C64" s="1511"/>
      <c r="D64" s="1510"/>
      <c r="E64" s="1513"/>
      <c r="F64" s="1511"/>
      <c r="G64" s="1517"/>
      <c r="H64" s="1518"/>
      <c r="I64" s="1519"/>
      <c r="K64" s="1189"/>
      <c r="L64" s="1189"/>
      <c r="M64" s="1225"/>
      <c r="N64" s="1189"/>
      <c r="O64" s="1189"/>
      <c r="P64" s="1189"/>
      <c r="Q64" s="1189"/>
      <c r="V64" s="301"/>
      <c r="X64" s="76"/>
      <c r="Y64" s="76"/>
    </row>
    <row r="65" spans="2:17">
      <c r="B65" s="1508">
        <f>FORM!O25</f>
        <v>0</v>
      </c>
      <c r="C65" s="1509"/>
      <c r="D65" s="1508">
        <f>FORM!S25</f>
        <v>0</v>
      </c>
      <c r="E65" s="1512"/>
      <c r="F65" s="1509"/>
      <c r="G65" s="1514">
        <f>FORM!V25</f>
        <v>0</v>
      </c>
      <c r="H65" s="1515"/>
      <c r="I65" s="1516"/>
      <c r="K65" s="1189"/>
      <c r="L65" s="1189"/>
      <c r="M65" s="1225"/>
      <c r="N65" s="1189"/>
      <c r="O65" s="1189"/>
      <c r="P65" s="1189"/>
      <c r="Q65" s="1189"/>
    </row>
    <row r="66" spans="2:17">
      <c r="B66" s="1510"/>
      <c r="C66" s="1511"/>
      <c r="D66" s="1510"/>
      <c r="E66" s="1513"/>
      <c r="F66" s="1511"/>
      <c r="G66" s="1517"/>
      <c r="H66" s="1518"/>
      <c r="I66" s="1519"/>
      <c r="K66" s="1587" t="str">
        <f>B78</f>
        <v xml:space="preserve">agent </v>
      </c>
      <c r="L66" s="1587"/>
      <c r="M66" s="1587"/>
      <c r="N66" s="1189"/>
      <c r="O66" s="1189"/>
      <c r="P66" s="1587" t="str">
        <f>F78</f>
        <v>cnc</v>
      </c>
      <c r="Q66" s="1587"/>
    </row>
    <row r="67" spans="2:17">
      <c r="B67" s="1589">
        <f>FORM!O27</f>
        <v>0</v>
      </c>
      <c r="C67" s="1590"/>
      <c r="D67" s="1589">
        <f>FORM!S27</f>
        <v>0</v>
      </c>
      <c r="E67" s="1593"/>
      <c r="F67" s="1590"/>
      <c r="G67" s="1595">
        <f>FORM!V27</f>
        <v>0</v>
      </c>
      <c r="H67" s="1596"/>
      <c r="I67" s="1597"/>
      <c r="K67" s="1260" t="s">
        <v>939</v>
      </c>
      <c r="L67" s="1260"/>
      <c r="M67" s="1261"/>
      <c r="N67" s="1189"/>
      <c r="O67" s="1189"/>
      <c r="P67" s="1260" t="s">
        <v>939</v>
      </c>
      <c r="Q67" s="1260"/>
    </row>
    <row r="68" spans="2:17">
      <c r="B68" s="1591"/>
      <c r="C68" s="1592"/>
      <c r="D68" s="1591"/>
      <c r="E68" s="1594"/>
      <c r="F68" s="1592"/>
      <c r="G68" s="1598"/>
      <c r="H68" s="1599"/>
      <c r="I68" s="1600"/>
      <c r="M68" s="2"/>
    </row>
    <row r="69" spans="2:17">
      <c r="B69" s="1589">
        <f>FORM!O31</f>
        <v>0</v>
      </c>
      <c r="C69" s="1590"/>
      <c r="D69" s="1589">
        <f>FORM!S31</f>
        <v>0</v>
      </c>
      <c r="E69" s="1593"/>
      <c r="F69" s="1590"/>
      <c r="G69" s="1595">
        <f>FORM!V31</f>
        <v>0</v>
      </c>
      <c r="H69" s="1596"/>
      <c r="I69" s="1597"/>
      <c r="M69" s="2"/>
    </row>
    <row r="70" spans="2:17">
      <c r="B70" s="1591"/>
      <c r="C70" s="1592"/>
      <c r="D70" s="1591"/>
      <c r="E70" s="1594"/>
      <c r="F70" s="1592"/>
      <c r="G70" s="1598"/>
      <c r="H70" s="1599"/>
      <c r="I70" s="1600"/>
    </row>
    <row r="71" spans="2:17">
      <c r="B71" s="1589">
        <f>FORM!O33</f>
        <v>0</v>
      </c>
      <c r="C71" s="1590"/>
      <c r="D71" s="1589">
        <f>FORM!S33</f>
        <v>0</v>
      </c>
      <c r="E71" s="1593"/>
      <c r="F71" s="1590"/>
      <c r="G71" s="1595">
        <f>FORM!V33</f>
        <v>0</v>
      </c>
      <c r="H71" s="1596"/>
      <c r="I71" s="1597"/>
    </row>
    <row r="72" spans="2:17">
      <c r="B72" s="1591"/>
      <c r="C72" s="1592"/>
      <c r="D72" s="1591"/>
      <c r="E72" s="1594"/>
      <c r="F72" s="1592"/>
      <c r="G72" s="1598"/>
      <c r="H72" s="1599"/>
      <c r="I72" s="1600"/>
    </row>
    <row r="73" spans="2:17">
      <c r="B73" s="1189"/>
      <c r="C73" s="1189"/>
      <c r="D73" s="1225"/>
      <c r="E73" s="1189"/>
      <c r="F73" s="1189"/>
      <c r="G73" s="1189"/>
      <c r="H73" s="1189"/>
      <c r="I73" s="1189"/>
    </row>
    <row r="74" spans="2:17">
      <c r="B74" s="250"/>
      <c r="C74" s="161" t="s">
        <v>950</v>
      </c>
      <c r="D74" s="1601"/>
      <c r="E74" s="1601"/>
      <c r="F74" s="1601"/>
      <c r="G74" s="1189"/>
      <c r="H74" s="1189"/>
      <c r="I74" s="1189"/>
    </row>
    <row r="75" spans="2:17">
      <c r="B75" s="470"/>
      <c r="C75" s="1123"/>
      <c r="D75" s="1123"/>
      <c r="E75" s="1123"/>
      <c r="F75" s="100"/>
      <c r="G75" s="1189"/>
      <c r="H75" s="1189"/>
      <c r="I75" s="1189"/>
    </row>
    <row r="76" spans="2:17">
      <c r="B76" s="3" t="s">
        <v>936</v>
      </c>
      <c r="C76" s="3"/>
      <c r="D76" s="3"/>
      <c r="E76" s="3"/>
      <c r="F76" s="3" t="s">
        <v>937</v>
      </c>
      <c r="G76" s="3"/>
      <c r="H76" s="3"/>
      <c r="I76" s="1189"/>
    </row>
    <row r="77" spans="2:17">
      <c r="B77" s="1189"/>
      <c r="C77" s="1189"/>
      <c r="D77" s="1225"/>
      <c r="E77" s="1189"/>
      <c r="F77" s="1189"/>
      <c r="G77" s="1189"/>
      <c r="H77" s="1189"/>
      <c r="I77" s="1189"/>
    </row>
    <row r="78" spans="2:17">
      <c r="B78" s="1587" t="str">
        <f>'STANDARD_NON RFO UNITS'!B81:D81</f>
        <v xml:space="preserve">agent </v>
      </c>
      <c r="C78" s="1587"/>
      <c r="D78" s="1262"/>
      <c r="E78" s="1189"/>
      <c r="F78" s="1587" t="str">
        <f>'STANDARD_NON RFO UNITS'!F81:I81</f>
        <v>cnc</v>
      </c>
      <c r="G78" s="1587"/>
      <c r="H78" s="1189"/>
      <c r="I78" s="1189"/>
    </row>
    <row r="79" spans="2:17">
      <c r="B79" s="1260" t="s">
        <v>939</v>
      </c>
      <c r="C79" s="1260"/>
      <c r="D79" s="1225"/>
      <c r="E79" s="1189"/>
      <c r="F79" s="1260" t="s">
        <v>939</v>
      </c>
      <c r="G79" s="1260"/>
      <c r="H79" s="1189"/>
      <c r="I79" s="1189"/>
    </row>
    <row r="80" spans="2:17">
      <c r="B80" s="1189"/>
      <c r="C80" s="1189"/>
      <c r="D80" s="1225"/>
      <c r="E80" s="1189"/>
      <c r="F80" s="1189"/>
      <c r="G80" s="1189"/>
      <c r="H80" s="1189"/>
      <c r="I80" s="1189"/>
    </row>
    <row r="81" spans="2:9">
      <c r="B81" s="1189"/>
      <c r="C81" s="1189"/>
      <c r="D81" s="1225"/>
      <c r="E81" s="1189"/>
      <c r="F81" s="1189"/>
      <c r="G81" s="1189"/>
      <c r="H81" s="1189"/>
      <c r="I81" s="1189"/>
    </row>
    <row r="114" spans="1:1">
      <c r="A114" s="317">
        <f>F17*12%</f>
        <v>383420.50362766115</v>
      </c>
    </row>
  </sheetData>
  <sheetProtection password="CC2E" sheet="1" formatCells="0" formatColumns="0" formatRows="0"/>
  <mergeCells count="322">
    <mergeCell ref="G1:I1"/>
    <mergeCell ref="B3:I4"/>
    <mergeCell ref="K3:Q4"/>
    <mergeCell ref="E6:I6"/>
    <mergeCell ref="N6:Q6"/>
    <mergeCell ref="N7:Q7"/>
    <mergeCell ref="E11:F11"/>
    <mergeCell ref="G11:I11"/>
    <mergeCell ref="N11:O11"/>
    <mergeCell ref="P11:Q11"/>
    <mergeCell ref="E7:F7"/>
    <mergeCell ref="E12:F12"/>
    <mergeCell ref="G12:I12"/>
    <mergeCell ref="N12:O12"/>
    <mergeCell ref="P12:Q12"/>
    <mergeCell ref="E8:I8"/>
    <mergeCell ref="N8:Q8"/>
    <mergeCell ref="E9:I9"/>
    <mergeCell ref="N9:Q9"/>
    <mergeCell ref="E10:I10"/>
    <mergeCell ref="N10:Q10"/>
    <mergeCell ref="E13:F13"/>
    <mergeCell ref="G13:I13"/>
    <mergeCell ref="N13:O13"/>
    <mergeCell ref="P13:Q13"/>
    <mergeCell ref="F15:I15"/>
    <mergeCell ref="K15:L16"/>
    <mergeCell ref="M15:M16"/>
    <mergeCell ref="N15:O16"/>
    <mergeCell ref="P15:Q16"/>
    <mergeCell ref="F16:I16"/>
    <mergeCell ref="F17:I17"/>
    <mergeCell ref="K17:L17"/>
    <mergeCell ref="N17:O17"/>
    <mergeCell ref="P17:Q17"/>
    <mergeCell ref="T17:U17"/>
    <mergeCell ref="K18:L18"/>
    <mergeCell ref="N18:O18"/>
    <mergeCell ref="P18:Q18"/>
    <mergeCell ref="T18:U18"/>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AD22:AE22"/>
    <mergeCell ref="K23:L23"/>
    <mergeCell ref="N23:O23"/>
    <mergeCell ref="P23:Q23"/>
    <mergeCell ref="T23:U23"/>
    <mergeCell ref="X23:Y23"/>
    <mergeCell ref="AD23:AE23"/>
    <mergeCell ref="F22:I22"/>
    <mergeCell ref="K22:L22"/>
    <mergeCell ref="N22:O22"/>
    <mergeCell ref="P22:Q22"/>
    <mergeCell ref="T22:U22"/>
    <mergeCell ref="X22:Y22"/>
    <mergeCell ref="F25:I25"/>
    <mergeCell ref="K26:L26"/>
    <mergeCell ref="N26:O26"/>
    <mergeCell ref="P26:Q26"/>
    <mergeCell ref="T26:U26"/>
    <mergeCell ref="X26:Y26"/>
    <mergeCell ref="F26:I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N28:O28"/>
    <mergeCell ref="P28:Q28"/>
    <mergeCell ref="T28:U28"/>
    <mergeCell ref="X28:Y28"/>
    <mergeCell ref="X30:Y30"/>
    <mergeCell ref="AD30:AE30"/>
    <mergeCell ref="B29:C29"/>
    <mergeCell ref="G29:I29"/>
    <mergeCell ref="AD26:AE26"/>
    <mergeCell ref="K27:L27"/>
    <mergeCell ref="N27:O27"/>
    <mergeCell ref="P27:Q27"/>
    <mergeCell ref="T27:U27"/>
    <mergeCell ref="X27:Y27"/>
    <mergeCell ref="AD27:AE27"/>
    <mergeCell ref="K34:L34"/>
    <mergeCell ref="N34:O34"/>
    <mergeCell ref="P34:Q34"/>
    <mergeCell ref="T34:U34"/>
    <mergeCell ref="X34:Y34"/>
    <mergeCell ref="AD34:AE34"/>
    <mergeCell ref="X32:Y32"/>
    <mergeCell ref="AD32:AE32"/>
    <mergeCell ref="B28:C28"/>
    <mergeCell ref="G28:I28"/>
    <mergeCell ref="K30:L30"/>
    <mergeCell ref="N30:O30"/>
    <mergeCell ref="P30:Q30"/>
    <mergeCell ref="T30:U30"/>
    <mergeCell ref="AD28:AE28"/>
    <mergeCell ref="K29:L29"/>
    <mergeCell ref="N29:O29"/>
    <mergeCell ref="P29:Q29"/>
    <mergeCell ref="T29:U29"/>
    <mergeCell ref="X29:Y29"/>
    <mergeCell ref="AD29:AE29"/>
    <mergeCell ref="B30:C30"/>
    <mergeCell ref="G30:I30"/>
    <mergeCell ref="K28:L28"/>
    <mergeCell ref="B31:C31"/>
    <mergeCell ref="G31:I31"/>
    <mergeCell ref="K33:L33"/>
    <mergeCell ref="N33:O33"/>
    <mergeCell ref="P33:Q33"/>
    <mergeCell ref="T33:U33"/>
    <mergeCell ref="X33:Y33"/>
    <mergeCell ref="AD33:AE33"/>
    <mergeCell ref="F33:I33"/>
    <mergeCell ref="K32:L32"/>
    <mergeCell ref="N32:O32"/>
    <mergeCell ref="P32:Q32"/>
    <mergeCell ref="T32:U32"/>
    <mergeCell ref="K31:L31"/>
    <mergeCell ref="N31:O31"/>
    <mergeCell ref="P31:Q31"/>
    <mergeCell ref="T31:U31"/>
    <mergeCell ref="X31:Y31"/>
    <mergeCell ref="AD31:AE31"/>
    <mergeCell ref="AD35:AE35"/>
    <mergeCell ref="K36:L36"/>
    <mergeCell ref="N36:O36"/>
    <mergeCell ref="P36:Q36"/>
    <mergeCell ref="T36:U36"/>
    <mergeCell ref="X36:Y36"/>
    <mergeCell ref="AD36:AE36"/>
    <mergeCell ref="K35:L35"/>
    <mergeCell ref="N35:O35"/>
    <mergeCell ref="P35:Q35"/>
    <mergeCell ref="T35:U35"/>
    <mergeCell ref="X35:Y35"/>
    <mergeCell ref="X42:Y42"/>
    <mergeCell ref="AD42:AE42"/>
    <mergeCell ref="P37:Q37"/>
    <mergeCell ref="T37:U37"/>
    <mergeCell ref="D39:E39"/>
    <mergeCell ref="G39:I39"/>
    <mergeCell ref="X38:Y38"/>
    <mergeCell ref="X37:Y37"/>
    <mergeCell ref="AD37:AE37"/>
    <mergeCell ref="D40:E40"/>
    <mergeCell ref="G40:I40"/>
    <mergeCell ref="D37:E37"/>
    <mergeCell ref="G37:I37"/>
    <mergeCell ref="K38:L38"/>
    <mergeCell ref="N38:O38"/>
    <mergeCell ref="P38:Q38"/>
    <mergeCell ref="T38:U38"/>
    <mergeCell ref="K37:L37"/>
    <mergeCell ref="N37:O37"/>
    <mergeCell ref="D38:E38"/>
    <mergeCell ref="G38:I38"/>
    <mergeCell ref="X40:Y40"/>
    <mergeCell ref="AD40:AE40"/>
    <mergeCell ref="AD38:AE38"/>
    <mergeCell ref="X41:Y41"/>
    <mergeCell ref="AD41:AE41"/>
    <mergeCell ref="P40:Q40"/>
    <mergeCell ref="T40:U40"/>
    <mergeCell ref="K39:L39"/>
    <mergeCell ref="N39:O39"/>
    <mergeCell ref="P39:Q39"/>
    <mergeCell ref="T39:U39"/>
    <mergeCell ref="X39:Y39"/>
    <mergeCell ref="AD39:AE39"/>
    <mergeCell ref="K40:L40"/>
    <mergeCell ref="N40:O40"/>
    <mergeCell ref="D41:E41"/>
    <mergeCell ref="G41:I41"/>
    <mergeCell ref="K42:L42"/>
    <mergeCell ref="N42:O42"/>
    <mergeCell ref="P42:Q42"/>
    <mergeCell ref="T42:U42"/>
    <mergeCell ref="K41:L41"/>
    <mergeCell ref="N41:O41"/>
    <mergeCell ref="P41:Q41"/>
    <mergeCell ref="T41:U41"/>
    <mergeCell ref="K44:L44"/>
    <mergeCell ref="N44:O44"/>
    <mergeCell ref="P44:Q44"/>
    <mergeCell ref="T44:U44"/>
    <mergeCell ref="X44:Y44"/>
    <mergeCell ref="AD44:AE44"/>
    <mergeCell ref="K43:L43"/>
    <mergeCell ref="N43:O43"/>
    <mergeCell ref="P43:Q43"/>
    <mergeCell ref="T43:U43"/>
    <mergeCell ref="X43:Y43"/>
    <mergeCell ref="AD43:AE43"/>
    <mergeCell ref="K46:L46"/>
    <mergeCell ref="N46:O46"/>
    <mergeCell ref="P46:Q46"/>
    <mergeCell ref="T46:U46"/>
    <mergeCell ref="X46:Y46"/>
    <mergeCell ref="AD46:AE46"/>
    <mergeCell ref="K45:L45"/>
    <mergeCell ref="N45:O45"/>
    <mergeCell ref="P45:Q45"/>
    <mergeCell ref="T45:U45"/>
    <mergeCell ref="X45:Y45"/>
    <mergeCell ref="AD45:AE45"/>
    <mergeCell ref="K48:L48"/>
    <mergeCell ref="N48:O48"/>
    <mergeCell ref="P48:Q48"/>
    <mergeCell ref="T48:U48"/>
    <mergeCell ref="X48:Y48"/>
    <mergeCell ref="AD48:AE48"/>
    <mergeCell ref="K47:L47"/>
    <mergeCell ref="N47:O47"/>
    <mergeCell ref="P47:Q47"/>
    <mergeCell ref="T47:U47"/>
    <mergeCell ref="X47:Y47"/>
    <mergeCell ref="AD47:AE47"/>
    <mergeCell ref="F49:I49"/>
    <mergeCell ref="F51:I51"/>
    <mergeCell ref="F52:I52"/>
    <mergeCell ref="F53:I53"/>
    <mergeCell ref="F54:I54"/>
    <mergeCell ref="F55:I55"/>
    <mergeCell ref="K54:L54"/>
    <mergeCell ref="N54:O54"/>
    <mergeCell ref="P54:Q54"/>
    <mergeCell ref="N50:O50"/>
    <mergeCell ref="P50:Q50"/>
    <mergeCell ref="K51:L51"/>
    <mergeCell ref="N51:O51"/>
    <mergeCell ref="P51:Q51"/>
    <mergeCell ref="T51:U51"/>
    <mergeCell ref="K49:L49"/>
    <mergeCell ref="N49:O49"/>
    <mergeCell ref="P49:Q49"/>
    <mergeCell ref="T49:U49"/>
    <mergeCell ref="T54:U54"/>
    <mergeCell ref="K55:L55"/>
    <mergeCell ref="N55:O55"/>
    <mergeCell ref="P55:Q55"/>
    <mergeCell ref="T55:U55"/>
    <mergeCell ref="X49:Y49"/>
    <mergeCell ref="N52:O52"/>
    <mergeCell ref="P52:Q52"/>
    <mergeCell ref="T52:U52"/>
    <mergeCell ref="B63:C64"/>
    <mergeCell ref="D63:F64"/>
    <mergeCell ref="G63:I64"/>
    <mergeCell ref="K53:L53"/>
    <mergeCell ref="N53:O53"/>
    <mergeCell ref="P53:Q53"/>
    <mergeCell ref="T53:U53"/>
    <mergeCell ref="K52:L52"/>
    <mergeCell ref="B60:C60"/>
    <mergeCell ref="D60:F60"/>
    <mergeCell ref="G60:I60"/>
    <mergeCell ref="K50:L50"/>
    <mergeCell ref="T58:U58"/>
    <mergeCell ref="T50:U50"/>
    <mergeCell ref="B61:C62"/>
    <mergeCell ref="D61:F62"/>
    <mergeCell ref="K56:L56"/>
    <mergeCell ref="N56:O56"/>
    <mergeCell ref="P56:Q56"/>
    <mergeCell ref="T56:U56"/>
    <mergeCell ref="K57:L57"/>
    <mergeCell ref="N57:O57"/>
    <mergeCell ref="P57:Q57"/>
    <mergeCell ref="T57:U57"/>
    <mergeCell ref="K58:L58"/>
    <mergeCell ref="N58:O58"/>
    <mergeCell ref="P58:Q58"/>
    <mergeCell ref="B65:C66"/>
    <mergeCell ref="D65:F66"/>
    <mergeCell ref="G65:I66"/>
    <mergeCell ref="G61:I62"/>
    <mergeCell ref="B78:C78"/>
    <mergeCell ref="F78:G78"/>
    <mergeCell ref="T59:U59"/>
    <mergeCell ref="B71:C72"/>
    <mergeCell ref="D71:F72"/>
    <mergeCell ref="G71:I72"/>
    <mergeCell ref="D74:F74"/>
    <mergeCell ref="K66:M66"/>
    <mergeCell ref="P66:Q66"/>
    <mergeCell ref="K59:L59"/>
    <mergeCell ref="N59:O59"/>
    <mergeCell ref="P59:Q59"/>
    <mergeCell ref="B69:C70"/>
    <mergeCell ref="D69:F70"/>
    <mergeCell ref="G69:I70"/>
    <mergeCell ref="B67:C68"/>
    <mergeCell ref="D67:F68"/>
    <mergeCell ref="G67:I68"/>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U123"/>
  <sheetViews>
    <sheetView showGridLines="0" showZeros="0" view="pageLayout" topLeftCell="A70" zoomScaleNormal="100" zoomScaleSheetLayoutView="85" workbookViewId="0">
      <selection activeCell="T114" sqref="T114"/>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59"/>
      <c r="Q22" s="1661"/>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59"/>
      <c r="Q23" s="1661"/>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59"/>
      <c r="Q24" s="1661"/>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649">
        <f>'Step-up with Lumpsum'!F15</f>
        <v>3195170.8635638431</v>
      </c>
      <c r="J27" s="1650"/>
      <c r="K27" s="1650"/>
      <c r="L27" s="1650"/>
      <c r="M27" s="1650"/>
      <c r="N27" s="1650"/>
      <c r="O27" s="1650"/>
      <c r="P27" s="1650"/>
      <c r="Q27" s="1650"/>
      <c r="R27" s="1650"/>
      <c r="S27" s="1650"/>
      <c r="T27" s="1650"/>
      <c r="U27" s="1651"/>
    </row>
    <row r="28" spans="1:21" ht="14.1">
      <c r="A28" s="39" t="s">
        <v>990</v>
      </c>
      <c r="B28" s="40"/>
      <c r="C28" s="42"/>
      <c r="D28" s="42"/>
      <c r="E28" s="42"/>
      <c r="F28" s="42"/>
      <c r="G28" s="42"/>
      <c r="H28" s="43"/>
      <c r="I28" s="1649">
        <f>'Step-up with Lumpsum'!F16</f>
        <v>0</v>
      </c>
      <c r="J28" s="1650"/>
      <c r="K28" s="1650"/>
      <c r="L28" s="1650"/>
      <c r="M28" s="1650"/>
      <c r="N28" s="1650"/>
      <c r="O28" s="1650"/>
      <c r="P28" s="1650"/>
      <c r="Q28" s="1650"/>
      <c r="R28" s="1650"/>
      <c r="S28" s="1650"/>
      <c r="T28" s="1650"/>
      <c r="U28" s="1651"/>
    </row>
    <row r="29" spans="1:21" ht="14.1">
      <c r="A29" s="49" t="s">
        <v>791</v>
      </c>
      <c r="B29" s="50"/>
      <c r="C29" s="51"/>
      <c r="D29" s="51"/>
      <c r="E29" s="51"/>
      <c r="F29" s="51"/>
      <c r="G29" s="51"/>
      <c r="H29" s="48"/>
      <c r="I29" s="1649">
        <f>'Step-up with Lumpsum'!F17</f>
        <v>3195170.8635638431</v>
      </c>
      <c r="J29" s="1650"/>
      <c r="K29" s="1650"/>
      <c r="L29" s="1650"/>
      <c r="M29" s="1650"/>
      <c r="N29" s="1650"/>
      <c r="O29" s="1650"/>
      <c r="P29" s="1650"/>
      <c r="Q29" s="1650"/>
      <c r="R29" s="1650"/>
      <c r="S29" s="1650"/>
      <c r="T29" s="1650"/>
      <c r="U29" s="1651"/>
    </row>
    <row r="30" spans="1:21" ht="14.1">
      <c r="A30" s="39" t="s">
        <v>991</v>
      </c>
      <c r="B30" s="40"/>
      <c r="C30" s="42"/>
      <c r="D30" s="42"/>
      <c r="E30" s="42"/>
      <c r="F30" s="42"/>
      <c r="G30" s="42"/>
      <c r="H30" s="43"/>
      <c r="I30" s="1649">
        <f>'Step-up with Lumpsum'!F20</f>
        <v>439335.99374002841</v>
      </c>
      <c r="J30" s="1650"/>
      <c r="K30" s="1650"/>
      <c r="L30" s="1650"/>
      <c r="M30" s="1650"/>
      <c r="N30" s="1650"/>
      <c r="O30" s="1650"/>
      <c r="P30" s="1650"/>
      <c r="Q30" s="1650"/>
      <c r="R30" s="1650"/>
      <c r="S30" s="1650"/>
      <c r="T30" s="1650"/>
      <c r="U30" s="1651"/>
    </row>
    <row r="31" spans="1:21" ht="14.1">
      <c r="A31" s="39" t="s">
        <v>992</v>
      </c>
      <c r="B31" s="40"/>
      <c r="C31" s="42"/>
      <c r="D31" s="42"/>
      <c r="E31" s="42"/>
      <c r="F31" s="42"/>
      <c r="G31" s="42"/>
      <c r="H31" s="43"/>
      <c r="I31" s="1649">
        <f>'Step-up with Lumpsum'!F19</f>
        <v>0</v>
      </c>
      <c r="J31" s="1650"/>
      <c r="K31" s="1650"/>
      <c r="L31" s="1650"/>
      <c r="M31" s="1650"/>
      <c r="N31" s="1650"/>
      <c r="O31" s="1650"/>
      <c r="P31" s="1650"/>
      <c r="Q31" s="1650"/>
      <c r="R31" s="1650"/>
      <c r="S31" s="1650"/>
      <c r="T31" s="1650"/>
      <c r="U31" s="1651"/>
    </row>
    <row r="32" spans="1:21" ht="14.1">
      <c r="A32" s="39" t="s">
        <v>178</v>
      </c>
      <c r="B32" s="40"/>
      <c r="C32" s="42"/>
      <c r="D32" s="42"/>
      <c r="E32" s="42"/>
      <c r="F32" s="42"/>
      <c r="G32" s="42"/>
      <c r="H32" s="43"/>
      <c r="I32" s="1649">
        <f>'Step-up with Lumpsum'!F22</f>
        <v>3634506.8573038713</v>
      </c>
      <c r="J32" s="1650"/>
      <c r="K32" s="1650"/>
      <c r="L32" s="1650"/>
      <c r="M32" s="1650"/>
      <c r="N32" s="1650"/>
      <c r="O32" s="1650"/>
      <c r="P32" s="1650"/>
      <c r="Q32" s="1650"/>
      <c r="R32" s="1650"/>
      <c r="S32" s="1650"/>
      <c r="T32" s="1650"/>
      <c r="U32" s="1651"/>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gd1FYeKOPkOd83qXYWBCl5NSDx+G31jVXN8QhXETRDI4sdInEUNwvuOxx/6MDJl9FaQWVguxWDpXtLQtTw2MMg==" saltValue="xHsbFACpk2UDWoKe9MiAYg=="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860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8610"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6861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861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861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861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861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861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861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8618"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6861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862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862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862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862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862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862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862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862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9">
    <tabColor rgb="FF0070C0"/>
  </sheetPr>
  <dimension ref="A1:BA114"/>
  <sheetViews>
    <sheetView showGridLines="0" showZeros="0" view="pageLayout" topLeftCell="A13" zoomScale="85" zoomScaleNormal="90" zoomScaleSheetLayoutView="80" zoomScalePageLayoutView="85" workbookViewId="0">
      <selection activeCell="B46" sqref="B46"/>
    </sheetView>
  </sheetViews>
  <sheetFormatPr defaultColWidth="9.140625" defaultRowHeight="13.5"/>
  <cols>
    <col min="1" max="1" width="1.140625" style="2" customWidth="1"/>
    <col min="2" max="2" width="12" style="2" customWidth="1"/>
    <col min="3" max="3" width="27.85546875" style="2" customWidth="1"/>
    <col min="4" max="4" width="21"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86" customFormat="1" ht="12.6">
      <c r="B1" s="160" t="s">
        <v>847</v>
      </c>
      <c r="C1" s="1191" t="str">
        <f>FORM!I20</f>
        <v>September 1,2025</v>
      </c>
      <c r="D1" s="1192"/>
      <c r="F1" s="132" t="s">
        <v>942</v>
      </c>
      <c r="G1" s="1528" t="s">
        <v>849</v>
      </c>
      <c r="H1" s="1528"/>
      <c r="I1" s="1528"/>
      <c r="J1" s="88"/>
      <c r="K1" s="160" t="s">
        <v>847</v>
      </c>
      <c r="L1" s="1191" t="str">
        <f>C1</f>
        <v>September 1,2025</v>
      </c>
      <c r="M1" s="1250"/>
      <c r="O1" s="471"/>
      <c r="P1" s="132" t="s">
        <v>943</v>
      </c>
      <c r="Q1" s="1193" t="s">
        <v>851</v>
      </c>
      <c r="V1" s="284"/>
    </row>
    <row r="2" spans="1:53" s="86" customFormat="1" ht="7.5" customHeight="1">
      <c r="C2" s="87"/>
      <c r="D2" s="87"/>
      <c r="K2" s="137"/>
      <c r="L2" s="137"/>
      <c r="M2" s="137"/>
      <c r="N2" s="137"/>
      <c r="O2" s="137"/>
      <c r="P2" s="137"/>
      <c r="Q2" s="137"/>
      <c r="V2" s="284"/>
    </row>
    <row r="3" spans="1:53" s="86" customFormat="1" ht="14.25" customHeight="1">
      <c r="B3" s="1638" t="str">
        <f>'INTERNAL PRICELIST(OLD)'!AH24</f>
        <v>7% Step-up plus 3% Lumpsum</v>
      </c>
      <c r="C3" s="1638"/>
      <c r="D3" s="1638"/>
      <c r="E3" s="1638"/>
      <c r="F3" s="1638"/>
      <c r="G3" s="1638"/>
      <c r="H3" s="1638"/>
      <c r="I3" s="1638"/>
      <c r="J3" s="285"/>
      <c r="K3" s="1638" t="s">
        <v>853</v>
      </c>
      <c r="L3" s="1638"/>
      <c r="M3" s="1638"/>
      <c r="N3" s="1638"/>
      <c r="O3" s="1638"/>
      <c r="P3" s="1638"/>
      <c r="Q3" s="1638"/>
      <c r="V3" s="284"/>
    </row>
    <row r="4" spans="1:53" s="86" customFormat="1" ht="12.75" customHeight="1">
      <c r="B4" s="1638"/>
      <c r="C4" s="1638"/>
      <c r="D4" s="1638"/>
      <c r="E4" s="1638"/>
      <c r="F4" s="1638"/>
      <c r="G4" s="1638"/>
      <c r="H4" s="1638"/>
      <c r="I4" s="1638"/>
      <c r="J4" s="285"/>
      <c r="K4" s="1638"/>
      <c r="L4" s="1638"/>
      <c r="M4" s="1638"/>
      <c r="N4" s="1638"/>
      <c r="O4" s="1638"/>
      <c r="P4" s="1638"/>
      <c r="Q4" s="1638"/>
      <c r="V4" s="284"/>
    </row>
    <row r="5" spans="1:53" s="86" customFormat="1" ht="12.75" customHeight="1">
      <c r="B5" s="174"/>
      <c r="C5" s="174"/>
      <c r="D5" s="207"/>
      <c r="E5" s="97"/>
      <c r="F5" s="97"/>
      <c r="G5" s="706" t="str">
        <f>IF(OR(FORM!I16="UPPER GROUND",FORM!I16="2nd FLOOR",FORM!I16="3rd FLOOR",FORM!I16="4th FLOOR",FORM!I16="5th FLOOR",FORM!I16="6th FLOOR",FORM!I16="7th FLOOR",FORM!I16="8th FLOOR"),FORM!I18,"")</f>
        <v>2F</v>
      </c>
      <c r="H5" s="97"/>
      <c r="I5" s="97"/>
      <c r="J5" s="174"/>
      <c r="K5" s="286"/>
      <c r="L5" s="287"/>
      <c r="M5" s="288"/>
      <c r="N5" s="287"/>
      <c r="O5" s="287"/>
      <c r="P5" s="287"/>
      <c r="Q5" s="288"/>
      <c r="V5" s="284"/>
    </row>
    <row r="6" spans="1:53">
      <c r="A6" s="1123"/>
      <c r="B6" s="225" t="s">
        <v>854</v>
      </c>
      <c r="C6" s="226"/>
      <c r="D6" s="171" t="s">
        <v>802</v>
      </c>
      <c r="E6" s="1529" t="str">
        <f>'STANDARD_NON RFO UNITS'!E6:I6</f>
        <v>cnc</v>
      </c>
      <c r="F6" s="1530"/>
      <c r="G6" s="1530"/>
      <c r="H6" s="1530"/>
      <c r="I6" s="1531"/>
      <c r="J6" s="142"/>
      <c r="K6" s="225" t="s">
        <v>854</v>
      </c>
      <c r="L6" s="228"/>
      <c r="M6" s="705" t="s">
        <v>802</v>
      </c>
      <c r="N6" s="1527" t="str">
        <f>E6</f>
        <v>cnc</v>
      </c>
      <c r="O6" s="1527"/>
      <c r="P6" s="1527"/>
      <c r="Q6" s="1527"/>
      <c r="AM6" s="291"/>
      <c r="AZ6" s="292"/>
      <c r="BA6" s="293"/>
    </row>
    <row r="7" spans="1:53">
      <c r="A7" s="1123"/>
      <c r="B7" s="144" t="s">
        <v>801</v>
      </c>
      <c r="C7" s="227"/>
      <c r="D7" s="171" t="s">
        <v>802</v>
      </c>
      <c r="E7" s="1543" t="str">
        <f>'STANDARD_NON RFO UNITS'!E7:I7</f>
        <v>The Southprime Flats</v>
      </c>
      <c r="F7" s="1544"/>
      <c r="G7" s="1200" t="str">
        <f>FORM!I14</f>
        <v>B1</v>
      </c>
      <c r="H7" s="1200"/>
      <c r="I7" s="1201"/>
      <c r="J7" s="142"/>
      <c r="K7" s="144" t="s">
        <v>801</v>
      </c>
      <c r="L7" s="148"/>
      <c r="M7" s="705" t="s">
        <v>802</v>
      </c>
      <c r="N7" s="1527" t="str">
        <f>E7</f>
        <v>The Southprime Flats</v>
      </c>
      <c r="O7" s="1527"/>
      <c r="P7" s="1527"/>
      <c r="Q7" s="1527"/>
      <c r="AM7" s="291"/>
      <c r="AZ7" s="292"/>
      <c r="BA7" s="293"/>
    </row>
    <row r="8" spans="1:53">
      <c r="A8" s="1123"/>
      <c r="B8" s="144" t="s">
        <v>855</v>
      </c>
      <c r="C8" s="227"/>
      <c r="D8" s="171" t="s">
        <v>802</v>
      </c>
      <c r="E8" s="1529" t="str">
        <f>IF(FORM!I17="UNSOLD",G5,"UNABLE TO PROCESS, PLEASE PICK ANOTHER UNIT")</f>
        <v>2F</v>
      </c>
      <c r="F8" s="1530"/>
      <c r="G8" s="1530"/>
      <c r="H8" s="1530"/>
      <c r="I8" s="1531"/>
      <c r="J8" s="142"/>
      <c r="K8" s="144" t="s">
        <v>855</v>
      </c>
      <c r="L8" s="148"/>
      <c r="M8" s="705" t="s">
        <v>802</v>
      </c>
      <c r="N8" s="1527" t="str">
        <f>E8</f>
        <v>2F</v>
      </c>
      <c r="O8" s="1527"/>
      <c r="P8" s="1527"/>
      <c r="Q8" s="1527"/>
      <c r="AM8" s="291"/>
      <c r="AZ8" s="292"/>
      <c r="BA8" s="293"/>
    </row>
    <row r="9" spans="1:53" hidden="1">
      <c r="A9" s="1123"/>
      <c r="B9" s="144" t="s">
        <v>856</v>
      </c>
      <c r="C9" s="227"/>
      <c r="D9" s="171" t="s">
        <v>802</v>
      </c>
      <c r="E9" s="1529" t="e">
        <f>'STANDARD_NON RFO UNITS'!E9:I9</f>
        <v>#REF!</v>
      </c>
      <c r="F9" s="1530"/>
      <c r="G9" s="1530"/>
      <c r="H9" s="1530"/>
      <c r="I9" s="1531"/>
      <c r="J9" s="142"/>
      <c r="K9" s="144" t="s">
        <v>856</v>
      </c>
      <c r="L9" s="148"/>
      <c r="M9" s="705" t="s">
        <v>802</v>
      </c>
      <c r="N9" s="1527" t="str">
        <f>[5]FORM!I14</f>
        <v>TOWER 1</v>
      </c>
      <c r="O9" s="1527"/>
      <c r="P9" s="1527"/>
      <c r="Q9" s="1527"/>
      <c r="AM9" s="291"/>
      <c r="AZ9" s="292"/>
      <c r="BA9" s="293"/>
    </row>
    <row r="10" spans="1:53">
      <c r="A10" s="1123"/>
      <c r="B10" s="144" t="s">
        <v>857</v>
      </c>
      <c r="C10" s="227"/>
      <c r="D10" s="171" t="s">
        <v>802</v>
      </c>
      <c r="E10" s="1529" t="str">
        <f>'STANDARD_NON RFO UNITS'!E10:I10</f>
        <v>Studio Unit</v>
      </c>
      <c r="F10" s="1530"/>
      <c r="G10" s="1530"/>
      <c r="H10" s="1530"/>
      <c r="I10" s="1531"/>
      <c r="J10" s="142"/>
      <c r="K10" s="144" t="s">
        <v>857</v>
      </c>
      <c r="L10" s="148"/>
      <c r="M10" s="705" t="s">
        <v>802</v>
      </c>
      <c r="N10" s="1527" t="str">
        <f>E10</f>
        <v>Studio Unit</v>
      </c>
      <c r="O10" s="1527"/>
      <c r="P10" s="1527"/>
      <c r="Q10" s="1527"/>
      <c r="AM10" s="291"/>
      <c r="AZ10" s="292"/>
      <c r="BA10" s="293"/>
    </row>
    <row r="11" spans="1:53">
      <c r="A11" s="1123"/>
      <c r="B11" s="144" t="s">
        <v>858</v>
      </c>
      <c r="C11" s="227"/>
      <c r="D11" s="171" t="s">
        <v>802</v>
      </c>
      <c r="E11" s="1539">
        <f>'STANDARD_NON RFO UNITS'!E11:F11</f>
        <v>22</v>
      </c>
      <c r="F11" s="1540"/>
      <c r="G11" s="1541" t="s">
        <v>859</v>
      </c>
      <c r="H11" s="1541"/>
      <c r="I11" s="1542"/>
      <c r="J11" s="142"/>
      <c r="K11" s="144" t="s">
        <v>858</v>
      </c>
      <c r="L11" s="148"/>
      <c r="M11" s="705" t="s">
        <v>802</v>
      </c>
      <c r="N11" s="1639">
        <f>E11</f>
        <v>22</v>
      </c>
      <c r="O11" s="1640"/>
      <c r="P11" s="1636" t="s">
        <v>859</v>
      </c>
      <c r="Q11" s="1637"/>
      <c r="AM11" s="291"/>
      <c r="AZ11" s="292"/>
      <c r="BA11" s="293"/>
    </row>
    <row r="12" spans="1:53">
      <c r="A12" s="1123"/>
      <c r="B12" s="148" t="s">
        <v>860</v>
      </c>
      <c r="C12" s="227"/>
      <c r="D12" s="171" t="s">
        <v>802</v>
      </c>
      <c r="E12" s="1539">
        <f>'STANDARD_NON RFO UNITS'!E12:F12</f>
        <v>0</v>
      </c>
      <c r="F12" s="1540"/>
      <c r="G12" s="1541" t="s">
        <v>859</v>
      </c>
      <c r="H12" s="1541"/>
      <c r="I12" s="1542"/>
      <c r="J12" s="142"/>
      <c r="K12" s="148" t="s">
        <v>860</v>
      </c>
      <c r="L12" s="148"/>
      <c r="M12" s="705" t="s">
        <v>802</v>
      </c>
      <c r="N12" s="1634">
        <f>E12</f>
        <v>0</v>
      </c>
      <c r="O12" s="1635"/>
      <c r="P12" s="1636" t="s">
        <v>859</v>
      </c>
      <c r="Q12" s="1637"/>
      <c r="AM12" s="291"/>
      <c r="AZ12" s="292"/>
      <c r="BA12" s="293"/>
    </row>
    <row r="13" spans="1:53">
      <c r="A13" s="1123"/>
      <c r="B13" s="238" t="s">
        <v>861</v>
      </c>
      <c r="C13" s="101"/>
      <c r="D13" s="171" t="s">
        <v>802</v>
      </c>
      <c r="E13" s="1539">
        <f>'STANDARD_NON RFO UNITS'!E13:F13</f>
        <v>22</v>
      </c>
      <c r="F13" s="1540"/>
      <c r="G13" s="1541" t="s">
        <v>859</v>
      </c>
      <c r="H13" s="1541"/>
      <c r="I13" s="1542"/>
      <c r="J13" s="142"/>
      <c r="K13" s="238" t="s">
        <v>861</v>
      </c>
      <c r="L13" s="126"/>
      <c r="M13" s="705" t="s">
        <v>802</v>
      </c>
      <c r="N13" s="1634">
        <f>E13</f>
        <v>22</v>
      </c>
      <c r="O13" s="1635"/>
      <c r="P13" s="1636" t="s">
        <v>859</v>
      </c>
      <c r="Q13" s="1637"/>
      <c r="AM13" s="291"/>
      <c r="AZ13" s="292"/>
      <c r="BA13" s="293"/>
    </row>
    <row r="14" spans="1:53">
      <c r="A14" s="1189"/>
      <c r="B14" s="1123"/>
      <c r="C14" s="1123"/>
      <c r="D14" s="171"/>
      <c r="E14" s="1123"/>
      <c r="F14" s="1123"/>
      <c r="G14" s="1123"/>
      <c r="H14" s="1123"/>
      <c r="I14" s="1123"/>
    </row>
    <row r="15" spans="1:53" ht="14.1">
      <c r="A15" s="1189"/>
      <c r="B15" s="141" t="s">
        <v>862</v>
      </c>
      <c r="C15" s="226"/>
      <c r="D15" s="295" t="s">
        <v>802</v>
      </c>
      <c r="E15" s="460"/>
      <c r="F15" s="1623">
        <f>VLOOKUP(E8,'Pricelist Link'!A6:X142,8,FALSE)</f>
        <v>3195170.8635638431</v>
      </c>
      <c r="G15" s="1623"/>
      <c r="H15" s="1623"/>
      <c r="I15" s="1624"/>
      <c r="J15" s="296"/>
      <c r="K15" s="1549" t="s">
        <v>863</v>
      </c>
      <c r="L15" s="1549"/>
      <c r="M15" s="1550" t="s">
        <v>773</v>
      </c>
      <c r="N15" s="1549" t="s">
        <v>776</v>
      </c>
      <c r="O15" s="1549"/>
      <c r="P15" s="1553" t="s">
        <v>214</v>
      </c>
      <c r="Q15" s="1554"/>
    </row>
    <row r="16" spans="1:53" s="296" customFormat="1" ht="14.1">
      <c r="A16" s="3"/>
      <c r="B16" s="144" t="s">
        <v>864</v>
      </c>
      <c r="C16" s="148"/>
      <c r="D16" s="171" t="s">
        <v>802</v>
      </c>
      <c r="E16" s="461"/>
      <c r="F16" s="1623">
        <f>VLOOKUP(E8,'Pricelist Link'!A6:X142,9,FALSE)</f>
        <v>0</v>
      </c>
      <c r="G16" s="1623"/>
      <c r="H16" s="1623"/>
      <c r="I16" s="1624"/>
      <c r="J16" s="2"/>
      <c r="K16" s="1549"/>
      <c r="L16" s="1549"/>
      <c r="M16" s="1550"/>
      <c r="N16" s="1549"/>
      <c r="O16" s="1549"/>
      <c r="P16" s="1555"/>
      <c r="Q16" s="1556"/>
      <c r="V16" s="297"/>
      <c r="W16" s="296">
        <f>SUM(F29:F31)</f>
        <v>0</v>
      </c>
      <c r="X16" s="298"/>
      <c r="Y16" s="298"/>
    </row>
    <row r="17" spans="1:36" s="22" customFormat="1" ht="12.6">
      <c r="B17" s="129" t="s">
        <v>865</v>
      </c>
      <c r="C17" s="101"/>
      <c r="D17" s="295" t="s">
        <v>802</v>
      </c>
      <c r="E17" s="462"/>
      <c r="F17" s="1622">
        <f>F15-F16</f>
        <v>3195170.8635638431</v>
      </c>
      <c r="G17" s="1623"/>
      <c r="H17" s="1623"/>
      <c r="I17" s="1624"/>
      <c r="J17" s="299"/>
      <c r="K17" s="1527" t="s">
        <v>820</v>
      </c>
      <c r="L17" s="1527"/>
      <c r="M17" s="1207" t="str">
        <f>C1</f>
        <v>September 1,2025</v>
      </c>
      <c r="N17" s="1551">
        <f>F25</f>
        <v>30000</v>
      </c>
      <c r="O17" s="1551"/>
      <c r="P17" s="1603"/>
      <c r="Q17" s="1604"/>
      <c r="T17" s="1632" t="s">
        <v>944</v>
      </c>
      <c r="U17" s="1633"/>
      <c r="V17" s="300" t="str">
        <f>C1</f>
        <v>September 1,2025</v>
      </c>
      <c r="W17" s="301" t="e">
        <f>EDATE(V17,W16)</f>
        <v>#VALUE!</v>
      </c>
      <c r="X17" s="76"/>
      <c r="Y17" s="76"/>
    </row>
    <row r="18" spans="1:36" s="299" customFormat="1" ht="12.6">
      <c r="B18" s="147"/>
      <c r="C18" s="1123"/>
      <c r="D18" s="171"/>
      <c r="E18" s="1200"/>
      <c r="F18" s="1252"/>
      <c r="G18" s="1252"/>
      <c r="H18" s="1252"/>
      <c r="I18" s="1253"/>
      <c r="J18" s="22"/>
      <c r="K18" s="1527">
        <f t="shared" ref="K18:K58" si="0">IF(N18&gt;1,T18,0)</f>
        <v>0</v>
      </c>
      <c r="L18" s="1527"/>
      <c r="M18" s="313" t="str">
        <f t="shared" ref="M18:M58" si="1">IF(N18&gt;1,V18,"")</f>
        <v/>
      </c>
      <c r="N18" s="1614">
        <f>G29</f>
        <v>0</v>
      </c>
      <c r="O18" s="1614"/>
      <c r="P18" s="1603"/>
      <c r="Q18" s="1604"/>
      <c r="T18" s="1588" t="s">
        <v>945</v>
      </c>
      <c r="U18" s="1588"/>
      <c r="V18" s="303" t="e">
        <f>IF(DAY(V17)=31,X21,Z21)</f>
        <v>#VALUE!</v>
      </c>
      <c r="X18" s="304"/>
      <c r="Y18" s="304"/>
    </row>
    <row r="19" spans="1:36" s="22" customFormat="1" ht="12.6">
      <c r="B19" s="148" t="s">
        <v>868</v>
      </c>
      <c r="C19" s="148"/>
      <c r="D19" s="171" t="s">
        <v>802</v>
      </c>
      <c r="E19" s="1213">
        <v>0.12</v>
      </c>
      <c r="F19" s="1627">
        <f>'STANDARD_NON RFO UNITS'!F19:I19</f>
        <v>0</v>
      </c>
      <c r="G19" s="1628"/>
      <c r="H19" s="1628"/>
      <c r="I19" s="1629"/>
      <c r="K19" s="1527">
        <f t="shared" si="0"/>
        <v>0</v>
      </c>
      <c r="L19" s="1527"/>
      <c r="M19" s="313" t="str">
        <f t="shared" si="1"/>
        <v/>
      </c>
      <c r="N19" s="1614">
        <f>N18</f>
        <v>0</v>
      </c>
      <c r="O19" s="1614"/>
      <c r="P19" s="1603"/>
      <c r="Q19" s="1604"/>
      <c r="T19" s="1603" t="s">
        <v>869</v>
      </c>
      <c r="U19" s="1604"/>
      <c r="V19" s="305" t="e">
        <f t="shared" ref="V19:V59" si="2">IF(AND(DAY(V18)&gt;=6,DAY(V18)&lt;=20),DATE(YEAR(V18),MONTH(V18)+1,DAY(20)),IF(AND(DAY(V18)&gt;=21,DAY(V18)&lt;=30),DATE(YEAR(V18),MONTH(V18)+1,IF(DAY(EOMONTH(V18,1))&lt;30,DAY(EOMONTH(V18,1)),DAY(30))),DATE(YEAR(V18),MONTH(V18)+1,DAY(5))))</f>
        <v>#VALUE!</v>
      </c>
      <c r="X19" s="1522" t="s">
        <v>867</v>
      </c>
      <c r="Y19" s="1522"/>
      <c r="AD19" s="1603"/>
      <c r="AE19" s="1604"/>
    </row>
    <row r="20" spans="1:36" s="22" customFormat="1" ht="12.6">
      <c r="B20" s="238" t="s">
        <v>870</v>
      </c>
      <c r="C20" s="126"/>
      <c r="D20" s="171" t="s">
        <v>802</v>
      </c>
      <c r="E20" s="1254"/>
      <c r="F20" s="1630">
        <f>VLOOKUP(E8,'Pricelist Link'!A6:X142,11,FALSE)</f>
        <v>0</v>
      </c>
      <c r="G20" s="1630"/>
      <c r="H20" s="1630"/>
      <c r="I20" s="1631"/>
      <c r="K20" s="1527">
        <f t="shared" si="0"/>
        <v>0</v>
      </c>
      <c r="L20" s="1527"/>
      <c r="M20" s="313" t="str">
        <f t="shared" si="1"/>
        <v/>
      </c>
      <c r="N20" s="1614">
        <f t="shared" ref="N20:N22" si="3">N19</f>
        <v>0</v>
      </c>
      <c r="O20" s="1614"/>
      <c r="P20" s="1603"/>
      <c r="Q20" s="1604"/>
      <c r="T20" s="1588" t="s">
        <v>871</v>
      </c>
      <c r="U20" s="1588"/>
      <c r="V20" s="305" t="e">
        <f t="shared" si="2"/>
        <v>#VALUE!</v>
      </c>
      <c r="W20" s="58" t="s">
        <v>38</v>
      </c>
      <c r="X20" s="1523" t="e">
        <f>IF(DAY(V17)=31,DATE(YEAR(W17),MONTH(W17)+2,DAY(5)))</f>
        <v>#VALUE!</v>
      </c>
      <c r="Y20" s="1524"/>
      <c r="Z20" s="306" t="e">
        <f>IF(AND(DAY(W17)&gt;=6,DAY(W17)&lt;=20),DATE(YEAR(W17),MONTH(W17)+1,DAY(20)),IF(AND(DAY(W17)&gt;=21,DAY(W17)&lt;=31),DATE(YEAR(W17),MONTH(W17)+1,IF(DAY(EOMONTH(W17,1))&lt;30,DAY(EOMONTH(W17,1)),DAY(30))),DATE(YEAR(W17),MONTH(W17)+1,DAY(5))))</f>
        <v>#VALUE!</v>
      </c>
      <c r="AD20" s="1603"/>
      <c r="AE20" s="1604"/>
    </row>
    <row r="21" spans="1:36" s="22" customFormat="1" ht="12.6">
      <c r="B21" s="147"/>
      <c r="C21" s="1123"/>
      <c r="D21" s="171"/>
      <c r="E21" s="1255"/>
      <c r="F21" s="1256"/>
      <c r="G21" s="1214"/>
      <c r="H21" s="1214"/>
      <c r="I21" s="1201"/>
      <c r="K21" s="1527">
        <f t="shared" si="0"/>
        <v>0</v>
      </c>
      <c r="L21" s="1527"/>
      <c r="M21" s="313" t="str">
        <f t="shared" si="1"/>
        <v/>
      </c>
      <c r="N21" s="1614">
        <f t="shared" si="3"/>
        <v>0</v>
      </c>
      <c r="O21" s="1614"/>
      <c r="P21" s="1603"/>
      <c r="Q21" s="1604"/>
      <c r="T21" s="1588" t="s">
        <v>873</v>
      </c>
      <c r="U21" s="1588"/>
      <c r="V21" s="305" t="e">
        <f t="shared" si="2"/>
        <v>#VALUE!</v>
      </c>
      <c r="W21" s="58" t="s">
        <v>872</v>
      </c>
      <c r="X21" s="1523" t="e">
        <f>IF(DAY(V17)=31,DATE(YEAR(V17),MONTH(V17)+2,DAY(5)))</f>
        <v>#VALUE!</v>
      </c>
      <c r="Y21" s="1524"/>
      <c r="Z21" s="306" t="e">
        <f>IF(AND(DAY(V17)&gt;=6,DAY(V17)&lt;=20),DATE(YEAR(V17),MONTH(V17)+1,DAY(20)),IF(AND(DAY(V17)&gt;=21,DAY(V17)&lt;=30),DATE(YEAR(V17),MONTH(V17)+1,IF(DAY(EOMONTH(V17,1))&lt;31,DAY(EOMONTH(V17,1)),DAY(30))),DATE(YEAR(V17),MONTH(V17)+1,DAY(5))))</f>
        <v>#VALUE!</v>
      </c>
      <c r="AD21" s="1603"/>
      <c r="AE21" s="1604"/>
    </row>
    <row r="22" spans="1:36" s="22" customFormat="1" ht="12.6">
      <c r="B22" s="129" t="s">
        <v>874</v>
      </c>
      <c r="C22" s="101"/>
      <c r="D22" s="295" t="s">
        <v>802</v>
      </c>
      <c r="E22" s="273"/>
      <c r="F22" s="1558">
        <f>SUM(F19:I20,F17)</f>
        <v>3195170.8635638431</v>
      </c>
      <c r="G22" s="1559"/>
      <c r="H22" s="1559"/>
      <c r="I22" s="1560"/>
      <c r="K22" s="1527">
        <f t="shared" si="0"/>
        <v>0</v>
      </c>
      <c r="L22" s="1527"/>
      <c r="M22" s="313" t="str">
        <f t="shared" si="1"/>
        <v/>
      </c>
      <c r="N22" s="1614">
        <f t="shared" si="3"/>
        <v>0</v>
      </c>
      <c r="O22" s="1614"/>
      <c r="P22" s="1603"/>
      <c r="Q22" s="1604"/>
      <c r="T22" s="1588" t="s">
        <v>875</v>
      </c>
      <c r="U22" s="1588"/>
      <c r="V22" s="305" t="e">
        <f t="shared" si="2"/>
        <v>#VALUE!</v>
      </c>
      <c r="X22" s="1522"/>
      <c r="Y22" s="1522"/>
      <c r="AD22" s="1603"/>
      <c r="AE22" s="1604"/>
      <c r="AF22" s="271">
        <f>'STANDARD_NON RFO UNITS'!AF22</f>
        <v>0</v>
      </c>
      <c r="AG22" s="1622">
        <f>AG20*AF22</f>
        <v>0</v>
      </c>
      <c r="AH22" s="1623"/>
      <c r="AI22" s="1623"/>
      <c r="AJ22" s="1624"/>
    </row>
    <row r="23" spans="1:36" s="22" customFormat="1" ht="12.6">
      <c r="A23" s="299"/>
      <c r="B23" s="147"/>
      <c r="C23" s="1123"/>
      <c r="D23" s="171"/>
      <c r="E23" s="705"/>
      <c r="F23" s="1257"/>
      <c r="G23" s="1257"/>
      <c r="H23" s="1257"/>
      <c r="I23" s="1123"/>
      <c r="J23" s="299"/>
      <c r="K23" s="1527" t="s">
        <v>1018</v>
      </c>
      <c r="L23" s="1527"/>
      <c r="M23" s="313" t="e">
        <f t="shared" si="1"/>
        <v>#VALUE!</v>
      </c>
      <c r="N23" s="1614">
        <f>G30+G32</f>
        <v>28951.708635638435</v>
      </c>
      <c r="O23" s="1614"/>
      <c r="P23" s="1603"/>
      <c r="Q23" s="1604"/>
      <c r="T23" s="1588" t="s">
        <v>876</v>
      </c>
      <c r="U23" s="1588"/>
      <c r="V23" s="305" t="e">
        <f t="shared" si="2"/>
        <v>#VALUE!</v>
      </c>
      <c r="X23" s="1522"/>
      <c r="Y23" s="1522"/>
      <c r="AD23" s="1603"/>
      <c r="AE23" s="1604"/>
      <c r="AF23" s="1198"/>
      <c r="AG23" s="1627">
        <f>'STANDARD_NON RFO UNITS'!AG23</f>
        <v>0</v>
      </c>
      <c r="AH23" s="1628"/>
      <c r="AI23" s="1628"/>
      <c r="AJ23" s="1629"/>
    </row>
    <row r="24" spans="1:36" s="299" customFormat="1" ht="12.6">
      <c r="A24" s="22"/>
      <c r="B24" s="129" t="s">
        <v>877</v>
      </c>
      <c r="C24" s="226"/>
      <c r="D24" s="295" t="s">
        <v>802</v>
      </c>
      <c r="E24" s="271">
        <v>0.1</v>
      </c>
      <c r="F24" s="1622">
        <f>F22*E24</f>
        <v>319517.08635638433</v>
      </c>
      <c r="G24" s="1623"/>
      <c r="H24" s="1623"/>
      <c r="I24" s="1624"/>
      <c r="J24" s="22"/>
      <c r="K24" s="1527">
        <f t="shared" si="0"/>
        <v>0</v>
      </c>
      <c r="L24" s="1527"/>
      <c r="M24" s="313" t="str">
        <f t="shared" si="1"/>
        <v/>
      </c>
      <c r="N24" s="1614">
        <f>G30</f>
        <v>0</v>
      </c>
      <c r="O24" s="1614"/>
      <c r="P24" s="1603"/>
      <c r="Q24" s="1604"/>
      <c r="T24" s="1588" t="s">
        <v>878</v>
      </c>
      <c r="U24" s="1588"/>
      <c r="V24" s="305" t="e">
        <f t="shared" si="2"/>
        <v>#VALUE!</v>
      </c>
      <c r="X24" s="1522"/>
      <c r="Y24" s="1522"/>
      <c r="AD24" s="1603"/>
      <c r="AE24" s="1604"/>
      <c r="AF24" s="1198"/>
      <c r="AG24" s="1622">
        <f>AG22-AG23</f>
        <v>0</v>
      </c>
      <c r="AH24" s="1623"/>
      <c r="AI24" s="1623"/>
      <c r="AJ24" s="1624"/>
    </row>
    <row r="25" spans="1:36" s="22" customFormat="1" ht="12.6">
      <c r="B25" s="144" t="s">
        <v>879</v>
      </c>
      <c r="C25" s="148"/>
      <c r="D25" s="171" t="s">
        <v>802</v>
      </c>
      <c r="E25" s="1198"/>
      <c r="F25" s="1627">
        <f>'STANDARD_NON RFO UNITS'!F25</f>
        <v>30000</v>
      </c>
      <c r="G25" s="1628"/>
      <c r="H25" s="1628"/>
      <c r="I25" s="1629"/>
      <c r="K25" s="1527">
        <f t="shared" si="0"/>
        <v>0</v>
      </c>
      <c r="L25" s="1527"/>
      <c r="M25" s="313" t="str">
        <f t="shared" si="1"/>
        <v/>
      </c>
      <c r="N25" s="1614">
        <f>N24</f>
        <v>0</v>
      </c>
      <c r="O25" s="1614"/>
      <c r="P25" s="1603"/>
      <c r="Q25" s="1604"/>
      <c r="T25" s="1588" t="s">
        <v>880</v>
      </c>
      <c r="U25" s="1588"/>
      <c r="V25" s="305" t="e">
        <f t="shared" si="2"/>
        <v>#VALUE!</v>
      </c>
      <c r="X25" s="1522"/>
      <c r="Y25" s="1522"/>
      <c r="AD25" s="1603"/>
      <c r="AE25" s="1604"/>
      <c r="AF25" s="1263">
        <v>0.7</v>
      </c>
      <c r="AG25" s="1622">
        <f>AG24*AF25</f>
        <v>0</v>
      </c>
      <c r="AH25" s="1623"/>
      <c r="AI25" s="1623"/>
      <c r="AJ25" s="1624"/>
    </row>
    <row r="26" spans="1:36" s="22" customFormat="1" ht="12.6">
      <c r="A26" s="299"/>
      <c r="B26" s="129" t="s">
        <v>946</v>
      </c>
      <c r="C26" s="101"/>
      <c r="D26" s="295" t="s">
        <v>802</v>
      </c>
      <c r="E26" s="1198"/>
      <c r="F26" s="1622">
        <f>F24-F25</f>
        <v>289517.08635638433</v>
      </c>
      <c r="G26" s="1623"/>
      <c r="H26" s="1623"/>
      <c r="I26" s="1624"/>
      <c r="J26" s="299"/>
      <c r="K26" s="1527">
        <f t="shared" si="0"/>
        <v>0</v>
      </c>
      <c r="L26" s="1527"/>
      <c r="M26" s="313" t="str">
        <f t="shared" si="1"/>
        <v/>
      </c>
      <c r="N26" s="1614">
        <f t="shared" ref="N26:N28" si="4">N25</f>
        <v>0</v>
      </c>
      <c r="O26" s="1614"/>
      <c r="P26" s="1603"/>
      <c r="Q26" s="1604"/>
      <c r="T26" s="1588" t="s">
        <v>882</v>
      </c>
      <c r="U26" s="1588"/>
      <c r="V26" s="305" t="e">
        <f t="shared" si="2"/>
        <v>#VALUE!</v>
      </c>
      <c r="X26" s="1522"/>
      <c r="Y26" s="1522"/>
      <c r="AD26" s="1603"/>
      <c r="AE26" s="1604"/>
      <c r="AF26" s="1263">
        <v>0.3</v>
      </c>
      <c r="AG26" s="1622">
        <f>AG24*AF26</f>
        <v>0</v>
      </c>
      <c r="AH26" s="1623"/>
      <c r="AI26" s="1623"/>
      <c r="AJ26" s="1624"/>
    </row>
    <row r="27" spans="1:36" s="299" customFormat="1" ht="12.6">
      <c r="B27" s="147"/>
      <c r="C27" s="1123"/>
      <c r="D27" s="171"/>
      <c r="E27" s="1264"/>
      <c r="F27" s="499">
        <f>(F26*0.3)/3</f>
        <v>28951.708635638435</v>
      </c>
      <c r="G27" s="1257"/>
      <c r="H27" s="1257"/>
      <c r="I27" s="100"/>
      <c r="J27" s="307"/>
      <c r="K27" s="1527">
        <f t="shared" si="0"/>
        <v>0</v>
      </c>
      <c r="L27" s="1527"/>
      <c r="M27" s="313" t="str">
        <f t="shared" si="1"/>
        <v/>
      </c>
      <c r="N27" s="1614">
        <f t="shared" si="4"/>
        <v>0</v>
      </c>
      <c r="O27" s="1614"/>
      <c r="P27" s="1603"/>
      <c r="Q27" s="1604"/>
      <c r="R27" s="299" t="s">
        <v>819</v>
      </c>
      <c r="T27" s="1588" t="s">
        <v>883</v>
      </c>
      <c r="U27" s="1588"/>
      <c r="V27" s="305" t="e">
        <f t="shared" si="2"/>
        <v>#VALUE!</v>
      </c>
      <c r="X27" s="1522"/>
      <c r="Y27" s="1522"/>
      <c r="AD27" s="1603"/>
      <c r="AE27" s="1604"/>
    </row>
    <row r="28" spans="1:36" s="299" customFormat="1" ht="12.6">
      <c r="B28" s="1625" t="s">
        <v>947</v>
      </c>
      <c r="C28" s="1625"/>
      <c r="D28" s="295"/>
      <c r="E28" s="463" t="s">
        <v>835</v>
      </c>
      <c r="F28" s="464" t="s">
        <v>834</v>
      </c>
      <c r="G28" s="1626" t="s">
        <v>948</v>
      </c>
      <c r="H28" s="1626"/>
      <c r="I28" s="1626"/>
      <c r="K28" s="1527">
        <f t="shared" si="0"/>
        <v>0</v>
      </c>
      <c r="L28" s="1527"/>
      <c r="M28" s="313" t="str">
        <f t="shared" si="1"/>
        <v/>
      </c>
      <c r="N28" s="1614">
        <f t="shared" si="4"/>
        <v>0</v>
      </c>
      <c r="O28" s="1614"/>
      <c r="P28" s="1603"/>
      <c r="Q28" s="1604"/>
      <c r="T28" s="1588" t="s">
        <v>885</v>
      </c>
      <c r="U28" s="1588"/>
      <c r="V28" s="305" t="e">
        <f t="shared" si="2"/>
        <v>#VALUE!</v>
      </c>
      <c r="X28" s="1522"/>
      <c r="Y28" s="1522"/>
      <c r="AD28" s="1603"/>
      <c r="AE28" s="1604"/>
    </row>
    <row r="29" spans="1:36" s="299" customFormat="1" ht="12.6">
      <c r="A29" s="22"/>
      <c r="B29" s="1620">
        <f>'Corrected and Updated TSF 1'!EK31</f>
        <v>0</v>
      </c>
      <c r="C29" s="1620"/>
      <c r="D29" s="295" t="s">
        <v>802</v>
      </c>
      <c r="E29" s="1258">
        <f>FORM!T39</f>
        <v>0</v>
      </c>
      <c r="F29" s="465">
        <f>'Corrected and Updated TSF 1'!EJ31</f>
        <v>0</v>
      </c>
      <c r="G29" s="1621">
        <f>((F$26*70%*E29)/'INTERNAL PRICELIST(OLD)'!AG31)</f>
        <v>0</v>
      </c>
      <c r="H29" s="1621"/>
      <c r="I29" s="1621"/>
      <c r="J29" s="22"/>
      <c r="K29" s="1527" t="s">
        <v>1019</v>
      </c>
      <c r="L29" s="1527"/>
      <c r="M29" s="313" t="e">
        <f t="shared" si="1"/>
        <v>#VALUE!</v>
      </c>
      <c r="N29" s="1614">
        <f>G31+G32</f>
        <v>28951.708635638435</v>
      </c>
      <c r="O29" s="1614"/>
      <c r="P29" s="1603"/>
      <c r="Q29" s="1604"/>
      <c r="T29" s="1588" t="s">
        <v>886</v>
      </c>
      <c r="U29" s="1588"/>
      <c r="V29" s="305" t="e">
        <f t="shared" si="2"/>
        <v>#VALUE!</v>
      </c>
      <c r="X29" s="1522"/>
      <c r="Y29" s="1522"/>
      <c r="AD29" s="1603"/>
      <c r="AE29" s="1604"/>
    </row>
    <row r="30" spans="1:36" s="22" customFormat="1" ht="12.6">
      <c r="A30" s="299"/>
      <c r="B30" s="1620">
        <f>'Corrected and Updated TSF 1'!EK32</f>
        <v>0</v>
      </c>
      <c r="C30" s="1620"/>
      <c r="D30" s="295" t="s">
        <v>802</v>
      </c>
      <c r="E30" s="1258">
        <f>FORM!T40</f>
        <v>0</v>
      </c>
      <c r="F30" s="465">
        <f>'Corrected and Updated TSF 1'!EJ32</f>
        <v>0</v>
      </c>
      <c r="G30" s="1621">
        <f>((F$26*70%*E30)/'INTERNAL PRICELIST(OLD)'!AG32)</f>
        <v>0</v>
      </c>
      <c r="H30" s="1621"/>
      <c r="I30" s="1621"/>
      <c r="J30" s="299"/>
      <c r="K30" s="1527">
        <f t="shared" si="0"/>
        <v>0</v>
      </c>
      <c r="L30" s="1527"/>
      <c r="M30" s="313" t="str">
        <f t="shared" si="1"/>
        <v/>
      </c>
      <c r="N30" s="1614">
        <f>G31</f>
        <v>0</v>
      </c>
      <c r="O30" s="1614"/>
      <c r="P30" s="1603"/>
      <c r="Q30" s="1604"/>
      <c r="R30" s="299"/>
      <c r="S30" s="299"/>
      <c r="T30" s="1588" t="s">
        <v>888</v>
      </c>
      <c r="U30" s="1588"/>
      <c r="V30" s="305" t="e">
        <f t="shared" si="2"/>
        <v>#VALUE!</v>
      </c>
      <c r="X30" s="1522"/>
      <c r="Y30" s="1522"/>
      <c r="AD30" s="1603"/>
      <c r="AE30" s="1604"/>
    </row>
    <row r="31" spans="1:36" s="299" customFormat="1" ht="12.6">
      <c r="A31" s="22"/>
      <c r="B31" s="1620">
        <f>'Corrected and Updated TSF 1'!EK33</f>
        <v>0</v>
      </c>
      <c r="C31" s="1620"/>
      <c r="D31" s="295" t="s">
        <v>802</v>
      </c>
      <c r="E31" s="1258">
        <f>FORM!T41</f>
        <v>0</v>
      </c>
      <c r="F31" s="465">
        <f>'Corrected and Updated TSF 1'!EJ33</f>
        <v>0</v>
      </c>
      <c r="G31" s="1621">
        <f>((F$26*70%*E31)/'INTERNAL PRICELIST(OLD)'!AG33)</f>
        <v>0</v>
      </c>
      <c r="H31" s="1621"/>
      <c r="I31" s="1621"/>
      <c r="J31" s="22"/>
      <c r="K31" s="1527">
        <f t="shared" si="0"/>
        <v>0</v>
      </c>
      <c r="L31" s="1527"/>
      <c r="M31" s="313" t="str">
        <f t="shared" si="1"/>
        <v/>
      </c>
      <c r="N31" s="1614">
        <f>N30</f>
        <v>0</v>
      </c>
      <c r="O31" s="1614"/>
      <c r="P31" s="1603"/>
      <c r="Q31" s="1604"/>
      <c r="T31" s="1588" t="s">
        <v>889</v>
      </c>
      <c r="U31" s="1588"/>
      <c r="V31" s="305" t="e">
        <f t="shared" si="2"/>
        <v>#VALUE!</v>
      </c>
      <c r="X31" s="1522"/>
      <c r="Y31" s="1522"/>
      <c r="AD31" s="1603"/>
      <c r="AE31" s="1604"/>
    </row>
    <row r="32" spans="1:36" s="22" customFormat="1" ht="12.6">
      <c r="A32" s="299"/>
      <c r="B32" s="693">
        <f>'Corrected and Updated TSF 1'!EK35</f>
        <v>0</v>
      </c>
      <c r="C32" s="693"/>
      <c r="D32" s="295"/>
      <c r="E32" s="1258"/>
      <c r="F32" s="465">
        <v>3</v>
      </c>
      <c r="G32" s="1621">
        <f>F27</f>
        <v>28951.708635638435</v>
      </c>
      <c r="H32" s="1621"/>
      <c r="I32" s="1621"/>
      <c r="J32" s="299"/>
      <c r="K32" s="1527">
        <f t="shared" si="0"/>
        <v>0</v>
      </c>
      <c r="L32" s="1527"/>
      <c r="M32" s="313" t="str">
        <f t="shared" si="1"/>
        <v/>
      </c>
      <c r="N32" s="1614">
        <f t="shared" ref="N32:N33" si="5">N31</f>
        <v>0</v>
      </c>
      <c r="O32" s="1614"/>
      <c r="P32" s="1603"/>
      <c r="Q32" s="1604"/>
      <c r="R32" s="299"/>
      <c r="S32" s="299"/>
      <c r="T32" s="1588" t="s">
        <v>891</v>
      </c>
      <c r="U32" s="1588"/>
      <c r="V32" s="305" t="e">
        <f t="shared" si="2"/>
        <v>#VALUE!</v>
      </c>
      <c r="X32" s="1522"/>
      <c r="Y32" s="1522"/>
      <c r="AD32" s="1603"/>
      <c r="AE32" s="1604"/>
    </row>
    <row r="33" spans="1:31" s="299" customFormat="1" ht="12.95">
      <c r="A33" s="22"/>
      <c r="B33" s="175" t="s">
        <v>1020</v>
      </c>
      <c r="C33" s="175"/>
      <c r="D33" s="171"/>
      <c r="E33" s="705"/>
      <c r="F33" s="466">
        <f>SUM(F29:F31)</f>
        <v>0</v>
      </c>
      <c r="G33" s="1125"/>
      <c r="H33" s="1125"/>
      <c r="I33" s="1123"/>
      <c r="J33" s="22"/>
      <c r="K33" s="1527">
        <f t="shared" si="0"/>
        <v>0</v>
      </c>
      <c r="L33" s="1527"/>
      <c r="M33" s="313" t="str">
        <f t="shared" si="1"/>
        <v/>
      </c>
      <c r="N33" s="1614">
        <f t="shared" si="5"/>
        <v>0</v>
      </c>
      <c r="O33" s="1614"/>
      <c r="P33" s="1603"/>
      <c r="Q33" s="1604"/>
      <c r="T33" s="1588" t="s">
        <v>892</v>
      </c>
      <c r="U33" s="1588"/>
      <c r="V33" s="305" t="e">
        <f t="shared" si="2"/>
        <v>#VALUE!</v>
      </c>
      <c r="X33" s="1522"/>
      <c r="Y33" s="1522"/>
      <c r="AD33" s="1603"/>
      <c r="AE33" s="1604"/>
    </row>
    <row r="34" spans="1:31" s="22" customFormat="1" ht="12.95">
      <c r="B34" s="175" t="s">
        <v>1020</v>
      </c>
      <c r="C34" s="175"/>
      <c r="D34" s="171"/>
      <c r="E34" s="705"/>
      <c r="F34" s="466"/>
      <c r="G34" s="1125"/>
      <c r="H34" s="1125"/>
      <c r="I34" s="1123"/>
      <c r="K34" s="1527" t="s">
        <v>1021</v>
      </c>
      <c r="L34" s="1527"/>
      <c r="M34" s="313" t="e">
        <f t="shared" si="1"/>
        <v>#VALUE!</v>
      </c>
      <c r="N34" s="1614">
        <f>G31+G32</f>
        <v>28951.708635638435</v>
      </c>
      <c r="O34" s="1614"/>
      <c r="P34" s="1603"/>
      <c r="Q34" s="1604"/>
      <c r="T34" s="1588" t="s">
        <v>895</v>
      </c>
      <c r="U34" s="1588"/>
      <c r="V34" s="305" t="e">
        <f t="shared" si="2"/>
        <v>#VALUE!</v>
      </c>
      <c r="X34" s="1522"/>
      <c r="Y34" s="1522"/>
      <c r="AD34" s="1603"/>
      <c r="AE34" s="1604"/>
    </row>
    <row r="35" spans="1:31" s="22" customFormat="1" ht="12.6">
      <c r="A35" s="299"/>
      <c r="B35" s="129" t="s">
        <v>887</v>
      </c>
      <c r="C35" s="101"/>
      <c r="D35" s="295" t="s">
        <v>802</v>
      </c>
      <c r="E35" s="271">
        <f>100%-E24</f>
        <v>0.9</v>
      </c>
      <c r="F35" s="1622">
        <f>F22*E35</f>
        <v>2875653.7772074589</v>
      </c>
      <c r="G35" s="1623"/>
      <c r="H35" s="1623"/>
      <c r="I35" s="1624"/>
      <c r="J35" s="299"/>
      <c r="K35" s="1527"/>
      <c r="L35" s="1527"/>
      <c r="M35" s="313" t="str">
        <f t="shared" si="1"/>
        <v/>
      </c>
      <c r="N35" s="1614"/>
      <c r="O35" s="1614"/>
      <c r="P35" s="1603"/>
      <c r="Q35" s="1604"/>
      <c r="T35" s="1588" t="s">
        <v>896</v>
      </c>
      <c r="U35" s="1588"/>
      <c r="V35" s="305" t="e">
        <f t="shared" si="2"/>
        <v>#VALUE!</v>
      </c>
      <c r="X35" s="1522"/>
      <c r="Y35" s="1522"/>
      <c r="AD35" s="1603"/>
      <c r="AE35" s="1604"/>
    </row>
    <row r="36" spans="1:31" s="299" customFormat="1" ht="12.6">
      <c r="A36" s="22"/>
      <c r="B36" s="147"/>
      <c r="C36" s="1123"/>
      <c r="D36" s="171"/>
      <c r="E36" s="98"/>
      <c r="F36" s="98"/>
      <c r="G36" s="98"/>
      <c r="H36" s="98"/>
      <c r="I36" s="98"/>
      <c r="J36" s="22"/>
      <c r="K36" s="1527">
        <f t="shared" si="0"/>
        <v>0</v>
      </c>
      <c r="L36" s="1527"/>
      <c r="M36" s="313" t="str">
        <f t="shared" si="1"/>
        <v/>
      </c>
      <c r="N36" s="1614"/>
      <c r="O36" s="1614"/>
      <c r="P36" s="1603"/>
      <c r="Q36" s="1604"/>
      <c r="T36" s="1588" t="s">
        <v>897</v>
      </c>
      <c r="U36" s="1588"/>
      <c r="V36" s="305" t="e">
        <f t="shared" si="2"/>
        <v>#VALUE!</v>
      </c>
      <c r="X36" s="1522"/>
      <c r="Y36" s="1522"/>
      <c r="AD36" s="1603"/>
      <c r="AE36" s="1604"/>
    </row>
    <row r="37" spans="1:31" s="22" customFormat="1" ht="12.6">
      <c r="B37" s="101" t="s">
        <v>890</v>
      </c>
      <c r="C37" s="101"/>
      <c r="D37" s="308"/>
      <c r="E37" s="308"/>
      <c r="F37" s="308"/>
      <c r="G37" s="308"/>
      <c r="H37" s="308"/>
      <c r="I37" s="308"/>
      <c r="K37" s="1527">
        <f t="shared" si="0"/>
        <v>0</v>
      </c>
      <c r="L37" s="1527"/>
      <c r="M37" s="313" t="str">
        <f t="shared" si="1"/>
        <v/>
      </c>
      <c r="N37" s="1614"/>
      <c r="O37" s="1614"/>
      <c r="P37" s="1603"/>
      <c r="Q37" s="1604"/>
      <c r="T37" s="1588" t="s">
        <v>898</v>
      </c>
      <c r="U37" s="1588"/>
      <c r="V37" s="305" t="e">
        <f t="shared" si="2"/>
        <v>#VALUE!</v>
      </c>
      <c r="X37" s="1522"/>
      <c r="Y37" s="1522"/>
      <c r="AD37" s="1603"/>
      <c r="AE37" s="1604"/>
    </row>
    <row r="38" spans="1:31" s="22" customFormat="1" ht="12.6">
      <c r="B38" s="175"/>
      <c r="C38" s="175"/>
      <c r="D38" s="308"/>
      <c r="E38" s="308"/>
      <c r="F38" s="308"/>
      <c r="G38" s="308"/>
      <c r="H38" s="308"/>
      <c r="I38" s="308"/>
      <c r="K38" s="1527">
        <f t="shared" si="0"/>
        <v>0</v>
      </c>
      <c r="L38" s="1527"/>
      <c r="M38" s="313" t="str">
        <f t="shared" si="1"/>
        <v/>
      </c>
      <c r="N38" s="1614"/>
      <c r="O38" s="1614"/>
      <c r="P38" s="1603"/>
      <c r="Q38" s="1604"/>
      <c r="T38" s="1588" t="s">
        <v>899</v>
      </c>
      <c r="U38" s="1588"/>
      <c r="V38" s="305" t="e">
        <f t="shared" si="2"/>
        <v>#VALUE!</v>
      </c>
      <c r="X38" s="1522"/>
      <c r="Y38" s="1522"/>
      <c r="AD38" s="1603"/>
      <c r="AE38" s="1604"/>
    </row>
    <row r="39" spans="1:31" s="22" customFormat="1" ht="12.6">
      <c r="B39" s="608" t="s">
        <v>56</v>
      </c>
      <c r="C39" s="608" t="s">
        <v>57</v>
      </c>
      <c r="D39" s="1616" t="s">
        <v>58</v>
      </c>
      <c r="E39" s="1616"/>
      <c r="F39" s="608" t="s">
        <v>893</v>
      </c>
      <c r="G39" s="1617" t="s">
        <v>949</v>
      </c>
      <c r="H39" s="1618"/>
      <c r="I39" s="1619"/>
      <c r="K39" s="1527">
        <f t="shared" si="0"/>
        <v>0</v>
      </c>
      <c r="L39" s="1527"/>
      <c r="M39" s="313" t="str">
        <f t="shared" si="1"/>
        <v/>
      </c>
      <c r="N39" s="1614"/>
      <c r="O39" s="1614"/>
      <c r="P39" s="1603"/>
      <c r="Q39" s="1604"/>
      <c r="T39" s="1588" t="s">
        <v>901</v>
      </c>
      <c r="U39" s="1588"/>
      <c r="V39" s="305" t="e">
        <f t="shared" si="2"/>
        <v>#VALUE!</v>
      </c>
      <c r="X39" s="1522"/>
      <c r="Y39" s="1522"/>
      <c r="AD39" s="1603"/>
      <c r="AE39" s="1604"/>
    </row>
    <row r="40" spans="1:31" s="22" customFormat="1" ht="12.6">
      <c r="B40" s="467">
        <v>5</v>
      </c>
      <c r="C40" s="468">
        <v>0.08</v>
      </c>
      <c r="D40" s="1615">
        <f>PMT(C40/12,B40*12,-1)</f>
        <v>2.0276394288413678E-2</v>
      </c>
      <c r="E40" s="1615"/>
      <c r="F40" s="1259">
        <f>D40*F35</f>
        <v>58307.889823624537</v>
      </c>
      <c r="G40" s="1611">
        <f>F40/0.33</f>
        <v>176690.57522310465</v>
      </c>
      <c r="H40" s="1612"/>
      <c r="I40" s="1613"/>
      <c r="K40" s="1527">
        <f t="shared" si="0"/>
        <v>0</v>
      </c>
      <c r="L40" s="1527"/>
      <c r="M40" s="313" t="str">
        <f t="shared" si="1"/>
        <v/>
      </c>
      <c r="N40" s="1614"/>
      <c r="O40" s="1614"/>
      <c r="P40" s="1603"/>
      <c r="Q40" s="1604"/>
      <c r="T40" s="1588" t="s">
        <v>903</v>
      </c>
      <c r="U40" s="1588"/>
      <c r="V40" s="305" t="e">
        <f t="shared" si="2"/>
        <v>#VALUE!</v>
      </c>
      <c r="X40" s="1522"/>
      <c r="Y40" s="1522"/>
      <c r="AD40" s="1603"/>
      <c r="AE40" s="1604"/>
    </row>
    <row r="41" spans="1:31" s="22" customFormat="1" ht="12.6">
      <c r="B41" s="467">
        <v>10</v>
      </c>
      <c r="C41" s="1265">
        <v>0.08</v>
      </c>
      <c r="D41" s="1615">
        <f>PMT(C41/12,B41*12,-1)</f>
        <v>1.2132759435535692E-2</v>
      </c>
      <c r="E41" s="1615"/>
      <c r="F41" s="1259">
        <f>D41*F35</f>
        <v>34889.615498747648</v>
      </c>
      <c r="G41" s="1611">
        <f>F41/0.33</f>
        <v>105726.10757196257</v>
      </c>
      <c r="H41" s="1612"/>
      <c r="I41" s="1613"/>
      <c r="K41" s="1527">
        <f t="shared" si="0"/>
        <v>0</v>
      </c>
      <c r="L41" s="1527"/>
      <c r="M41" s="313" t="str">
        <f t="shared" si="1"/>
        <v/>
      </c>
      <c r="N41" s="1605"/>
      <c r="O41" s="1605"/>
      <c r="P41" s="1603"/>
      <c r="Q41" s="1604"/>
      <c r="T41" s="1588" t="s">
        <v>905</v>
      </c>
      <c r="U41" s="1588"/>
      <c r="V41" s="305" t="e">
        <f t="shared" si="2"/>
        <v>#VALUE!</v>
      </c>
      <c r="X41" s="1522"/>
      <c r="Y41" s="1522"/>
      <c r="AD41" s="1603"/>
      <c r="AE41" s="1604"/>
    </row>
    <row r="42" spans="1:31" s="22" customFormat="1" ht="12.6">
      <c r="B42" s="467">
        <v>15</v>
      </c>
      <c r="C42" s="1265">
        <v>0.08</v>
      </c>
      <c r="D42" s="1615">
        <f>PMT(C42/12,B42*12,-1)</f>
        <v>9.5565208433035145E-3</v>
      </c>
      <c r="E42" s="1615"/>
      <c r="F42" s="1259">
        <f>D42*F35</f>
        <v>27481.245260007563</v>
      </c>
      <c r="G42" s="1611">
        <f>F42/0.33</f>
        <v>83276.500787901707</v>
      </c>
      <c r="H42" s="1612"/>
      <c r="I42" s="1613"/>
      <c r="K42" s="1588">
        <f t="shared" si="0"/>
        <v>0</v>
      </c>
      <c r="L42" s="1588"/>
      <c r="M42" s="302" t="str">
        <f t="shared" si="1"/>
        <v/>
      </c>
      <c r="N42" s="1607"/>
      <c r="O42" s="1607"/>
      <c r="P42" s="1603"/>
      <c r="Q42" s="1604"/>
      <c r="T42" s="1588" t="s">
        <v>907</v>
      </c>
      <c r="U42" s="1588"/>
      <c r="V42" s="305" t="e">
        <f t="shared" si="2"/>
        <v>#VALUE!</v>
      </c>
      <c r="X42" s="1522"/>
      <c r="Y42" s="1522"/>
      <c r="AD42" s="1603"/>
      <c r="AE42" s="1604"/>
    </row>
    <row r="43" spans="1:31" s="22" customFormat="1" ht="12.6">
      <c r="B43" s="467">
        <v>20</v>
      </c>
      <c r="C43" s="1265">
        <v>0.08</v>
      </c>
      <c r="D43" s="1610">
        <f>PMT(C43/12,B43*12,-1)</f>
        <v>8.3644006899346278E-3</v>
      </c>
      <c r="E43" s="1610"/>
      <c r="F43" s="1259">
        <f>D43*F35</f>
        <v>24053.120438087186</v>
      </c>
      <c r="G43" s="1611">
        <f>F43/0.33</f>
        <v>72888.243751779344</v>
      </c>
      <c r="H43" s="1612"/>
      <c r="I43" s="1613"/>
      <c r="K43" s="1588">
        <f t="shared" si="0"/>
        <v>0</v>
      </c>
      <c r="L43" s="1588"/>
      <c r="M43" s="302" t="str">
        <f t="shared" si="1"/>
        <v/>
      </c>
      <c r="N43" s="1607"/>
      <c r="O43" s="1607"/>
      <c r="P43" s="1603"/>
      <c r="Q43" s="1604"/>
      <c r="T43" s="1588" t="s">
        <v>908</v>
      </c>
      <c r="U43" s="1588"/>
      <c r="V43" s="305" t="e">
        <f t="shared" si="2"/>
        <v>#VALUE!</v>
      </c>
      <c r="X43" s="1522"/>
      <c r="Y43" s="1522"/>
      <c r="AD43" s="1603"/>
      <c r="AE43" s="1604"/>
    </row>
    <row r="44" spans="1:31" s="22" customFormat="1" ht="12">
      <c r="B44" s="309" t="s">
        <v>1022</v>
      </c>
      <c r="G44" s="24"/>
      <c r="K44" s="1588">
        <f t="shared" si="0"/>
        <v>0</v>
      </c>
      <c r="L44" s="1588"/>
      <c r="M44" s="302" t="str">
        <f t="shared" si="1"/>
        <v/>
      </c>
      <c r="N44" s="1607"/>
      <c r="O44" s="1607"/>
      <c r="P44" s="1603"/>
      <c r="Q44" s="1604"/>
      <c r="T44" s="1588" t="s">
        <v>910</v>
      </c>
      <c r="U44" s="1588"/>
      <c r="V44" s="305" t="e">
        <f t="shared" si="2"/>
        <v>#VALUE!</v>
      </c>
      <c r="X44" s="1522"/>
      <c r="Y44" s="1522"/>
      <c r="AD44" s="1603"/>
      <c r="AE44" s="1604"/>
    </row>
    <row r="45" spans="1:31" s="22" customFormat="1" ht="12">
      <c r="B45" s="309" t="s">
        <v>1023</v>
      </c>
      <c r="C45" s="310"/>
      <c r="D45" s="434"/>
      <c r="K45" s="1588">
        <f t="shared" si="0"/>
        <v>0</v>
      </c>
      <c r="L45" s="1588"/>
      <c r="M45" s="302" t="str">
        <f t="shared" si="1"/>
        <v/>
      </c>
      <c r="N45" s="1607"/>
      <c r="O45" s="1607"/>
      <c r="P45" s="1603"/>
      <c r="Q45" s="1604"/>
      <c r="T45" s="1588" t="s">
        <v>911</v>
      </c>
      <c r="U45" s="1588"/>
      <c r="V45" s="305" t="e">
        <f t="shared" si="2"/>
        <v>#VALUE!</v>
      </c>
      <c r="X45" s="1522"/>
      <c r="Y45" s="1522"/>
      <c r="AD45" s="1603"/>
      <c r="AE45" s="1604"/>
    </row>
    <row r="46" spans="1:31" s="22" customFormat="1" ht="12">
      <c r="B46" s="311" t="s">
        <v>904</v>
      </c>
      <c r="D46" s="434"/>
      <c r="K46" s="1588">
        <f t="shared" si="0"/>
        <v>0</v>
      </c>
      <c r="L46" s="1588"/>
      <c r="M46" s="302" t="str">
        <f t="shared" si="1"/>
        <v/>
      </c>
      <c r="N46" s="1607"/>
      <c r="O46" s="1607"/>
      <c r="P46" s="1603"/>
      <c r="Q46" s="1604"/>
      <c r="T46" s="1588" t="s">
        <v>913</v>
      </c>
      <c r="U46" s="1588"/>
      <c r="V46" s="305" t="e">
        <f t="shared" si="2"/>
        <v>#VALUE!</v>
      </c>
      <c r="X46" s="1522"/>
      <c r="Y46" s="1522"/>
      <c r="AD46" s="1603"/>
      <c r="AE46" s="1604"/>
    </row>
    <row r="47" spans="1:31" s="22" customFormat="1" ht="12">
      <c r="B47" s="311" t="s">
        <v>906</v>
      </c>
      <c r="C47" s="310"/>
      <c r="D47" s="434"/>
      <c r="K47" s="1588">
        <f t="shared" si="0"/>
        <v>0</v>
      </c>
      <c r="L47" s="1588"/>
      <c r="M47" s="302" t="str">
        <f t="shared" si="1"/>
        <v/>
      </c>
      <c r="N47" s="1607"/>
      <c r="O47" s="1607"/>
      <c r="P47" s="1603"/>
      <c r="Q47" s="1604"/>
      <c r="T47" s="1588" t="s">
        <v>914</v>
      </c>
      <c r="U47" s="1588"/>
      <c r="V47" s="305" t="e">
        <f t="shared" si="2"/>
        <v>#VALUE!</v>
      </c>
      <c r="X47" s="1522"/>
      <c r="Y47" s="1522"/>
      <c r="AD47" s="1603"/>
      <c r="AE47" s="1604"/>
    </row>
    <row r="48" spans="1:31" s="22" customFormat="1" ht="12">
      <c r="D48" s="434"/>
      <c r="K48" s="1588">
        <f t="shared" si="0"/>
        <v>0</v>
      </c>
      <c r="L48" s="1588"/>
      <c r="M48" s="302" t="str">
        <f t="shared" si="1"/>
        <v/>
      </c>
      <c r="N48" s="1607"/>
      <c r="O48" s="1607"/>
      <c r="P48" s="1603"/>
      <c r="Q48" s="1604"/>
      <c r="T48" s="1588" t="s">
        <v>915</v>
      </c>
      <c r="U48" s="1588"/>
      <c r="V48" s="305" t="e">
        <f t="shared" si="2"/>
        <v>#VALUE!</v>
      </c>
      <c r="X48" s="1522"/>
      <c r="Y48" s="1522"/>
      <c r="AD48" s="1603"/>
      <c r="AE48" s="1604"/>
    </row>
    <row r="49" spans="1:25" s="22" customFormat="1" ht="12.6">
      <c r="A49" s="1189"/>
      <c r="B49" s="294" t="s">
        <v>924</v>
      </c>
      <c r="C49" s="312"/>
      <c r="D49" s="299"/>
      <c r="E49" s="299"/>
      <c r="F49" s="299"/>
      <c r="G49" s="299"/>
      <c r="H49" s="299"/>
      <c r="I49" s="299"/>
      <c r="K49" s="1588">
        <f t="shared" si="0"/>
        <v>0</v>
      </c>
      <c r="L49" s="1588"/>
      <c r="M49" s="302" t="str">
        <f t="shared" si="1"/>
        <v/>
      </c>
      <c r="N49" s="1607"/>
      <c r="O49" s="1607"/>
      <c r="P49" s="1603"/>
      <c r="Q49" s="1604"/>
      <c r="T49" s="1588" t="s">
        <v>916</v>
      </c>
      <c r="U49" s="1588"/>
      <c r="V49" s="305" t="e">
        <f t="shared" si="2"/>
        <v>#VALUE!</v>
      </c>
      <c r="X49" s="1606"/>
      <c r="Y49" s="1606"/>
    </row>
    <row r="50" spans="1:25">
      <c r="A50" s="22"/>
      <c r="B50" s="299"/>
      <c r="C50" s="299"/>
      <c r="D50" s="299"/>
      <c r="E50" s="299"/>
      <c r="F50" s="299"/>
      <c r="G50" s="299"/>
      <c r="H50" s="299"/>
      <c r="I50" s="299"/>
      <c r="K50" s="1588">
        <f t="shared" si="0"/>
        <v>0</v>
      </c>
      <c r="L50" s="1588"/>
      <c r="M50" s="302" t="str">
        <f t="shared" si="1"/>
        <v/>
      </c>
      <c r="N50" s="1607"/>
      <c r="O50" s="1607"/>
      <c r="P50" s="1603"/>
      <c r="Q50" s="1604"/>
      <c r="T50" s="1588" t="s">
        <v>917</v>
      </c>
      <c r="U50" s="1588"/>
      <c r="V50" s="305" t="e">
        <f t="shared" si="2"/>
        <v>#VALUE!</v>
      </c>
    </row>
    <row r="51" spans="1:25" s="22" customFormat="1" ht="12.6">
      <c r="B51" s="1549" t="s">
        <v>814</v>
      </c>
      <c r="C51" s="1549"/>
      <c r="D51" s="1549" t="s">
        <v>815</v>
      </c>
      <c r="E51" s="1549"/>
      <c r="F51" s="1549"/>
      <c r="G51" s="1549" t="s">
        <v>928</v>
      </c>
      <c r="H51" s="1549"/>
      <c r="I51" s="1549"/>
      <c r="K51" s="1588">
        <f t="shared" si="0"/>
        <v>0</v>
      </c>
      <c r="L51" s="1588"/>
      <c r="M51" s="302" t="str">
        <f t="shared" si="1"/>
        <v/>
      </c>
      <c r="N51" s="1607"/>
      <c r="O51" s="1607"/>
      <c r="P51" s="1603"/>
      <c r="Q51" s="1604"/>
      <c r="T51" s="1588" t="s">
        <v>918</v>
      </c>
      <c r="U51" s="1588"/>
      <c r="V51" s="305" t="e">
        <f t="shared" si="2"/>
        <v>#VALUE!</v>
      </c>
      <c r="X51" s="76"/>
      <c r="Y51" s="76"/>
    </row>
    <row r="52" spans="1:25" s="22" customFormat="1" ht="11.45">
      <c r="B52" s="1508">
        <f>FORM!O19</f>
        <v>0</v>
      </c>
      <c r="C52" s="1509"/>
      <c r="D52" s="1508">
        <f>FORM!S19</f>
        <v>0</v>
      </c>
      <c r="E52" s="1512"/>
      <c r="F52" s="1509"/>
      <c r="G52" s="1514">
        <f>FORM!V19</f>
        <v>0</v>
      </c>
      <c r="H52" s="1515"/>
      <c r="I52" s="1516"/>
      <c r="K52" s="1588">
        <f t="shared" si="0"/>
        <v>0</v>
      </c>
      <c r="L52" s="1588"/>
      <c r="M52" s="302" t="str">
        <f t="shared" si="1"/>
        <v/>
      </c>
      <c r="N52" s="1607"/>
      <c r="O52" s="1607"/>
      <c r="P52" s="1603"/>
      <c r="Q52" s="1604"/>
      <c r="T52" s="1588" t="s">
        <v>919</v>
      </c>
      <c r="U52" s="1588"/>
      <c r="V52" s="305" t="e">
        <f t="shared" si="2"/>
        <v>#VALUE!</v>
      </c>
      <c r="X52" s="76"/>
      <c r="Y52" s="76"/>
    </row>
    <row r="53" spans="1:25" s="22" customFormat="1" ht="11.45">
      <c r="B53" s="1510"/>
      <c r="C53" s="1511"/>
      <c r="D53" s="1510"/>
      <c r="E53" s="1513"/>
      <c r="F53" s="1511"/>
      <c r="G53" s="1517"/>
      <c r="H53" s="1518"/>
      <c r="I53" s="1519"/>
      <c r="K53" s="1588">
        <f t="shared" si="0"/>
        <v>0</v>
      </c>
      <c r="L53" s="1588"/>
      <c r="M53" s="302" t="str">
        <f t="shared" si="1"/>
        <v/>
      </c>
      <c r="N53" s="1607"/>
      <c r="O53" s="1607"/>
      <c r="P53" s="1603"/>
      <c r="Q53" s="1604"/>
      <c r="T53" s="1588" t="s">
        <v>921</v>
      </c>
      <c r="U53" s="1588"/>
      <c r="V53" s="305" t="e">
        <f t="shared" si="2"/>
        <v>#VALUE!</v>
      </c>
      <c r="X53" s="76"/>
      <c r="Y53" s="76"/>
    </row>
    <row r="54" spans="1:25" s="22" customFormat="1" ht="11.45">
      <c r="B54" s="1508">
        <f>FORM!O21</f>
        <v>0</v>
      </c>
      <c r="C54" s="1509"/>
      <c r="D54" s="1508">
        <f>FORM!S21</f>
        <v>0</v>
      </c>
      <c r="E54" s="1512"/>
      <c r="F54" s="1509"/>
      <c r="G54" s="1514">
        <f>FORM!V21</f>
        <v>0</v>
      </c>
      <c r="H54" s="1515"/>
      <c r="I54" s="1516"/>
      <c r="K54" s="1588">
        <f t="shared" si="0"/>
        <v>0</v>
      </c>
      <c r="L54" s="1588"/>
      <c r="M54" s="302" t="str">
        <f t="shared" si="1"/>
        <v/>
      </c>
      <c r="N54" s="1607"/>
      <c r="O54" s="1607"/>
      <c r="P54" s="1603"/>
      <c r="Q54" s="1604"/>
      <c r="T54" s="1588" t="s">
        <v>922</v>
      </c>
      <c r="U54" s="1588"/>
      <c r="V54" s="305" t="e">
        <f t="shared" si="2"/>
        <v>#VALUE!</v>
      </c>
      <c r="X54" s="76"/>
      <c r="Y54" s="76"/>
    </row>
    <row r="55" spans="1:25" s="22" customFormat="1" ht="12.6">
      <c r="B55" s="1510"/>
      <c r="C55" s="1511"/>
      <c r="D55" s="1510"/>
      <c r="E55" s="1513"/>
      <c r="F55" s="1511"/>
      <c r="G55" s="1517"/>
      <c r="H55" s="1518"/>
      <c r="I55" s="1519"/>
      <c r="K55" s="1527">
        <f t="shared" si="0"/>
        <v>0</v>
      </c>
      <c r="L55" s="1527"/>
      <c r="M55" s="313" t="str">
        <f t="shared" si="1"/>
        <v/>
      </c>
      <c r="N55" s="1608"/>
      <c r="O55" s="1609"/>
      <c r="P55" s="1603"/>
      <c r="Q55" s="1604"/>
      <c r="T55" s="1588" t="s">
        <v>923</v>
      </c>
      <c r="U55" s="1588"/>
      <c r="V55" s="305" t="e">
        <f t="shared" si="2"/>
        <v>#VALUE!</v>
      </c>
      <c r="X55" s="76"/>
      <c r="Y55" s="76"/>
    </row>
    <row r="56" spans="1:25" s="22" customFormat="1" ht="12.6">
      <c r="B56" s="1508">
        <f>FORM!O25</f>
        <v>0</v>
      </c>
      <c r="C56" s="1509"/>
      <c r="D56" s="1508">
        <f>FORM!S25</f>
        <v>0</v>
      </c>
      <c r="E56" s="1512"/>
      <c r="F56" s="1509"/>
      <c r="G56" s="1514">
        <f>FORM!V25</f>
        <v>0</v>
      </c>
      <c r="H56" s="1515"/>
      <c r="I56" s="1516"/>
      <c r="K56" s="1527">
        <f t="shared" si="0"/>
        <v>0</v>
      </c>
      <c r="L56" s="1527"/>
      <c r="M56" s="313" t="str">
        <f t="shared" si="1"/>
        <v/>
      </c>
      <c r="N56" s="1608"/>
      <c r="O56" s="1609"/>
      <c r="P56" s="1603"/>
      <c r="Q56" s="1604"/>
      <c r="T56" s="1588" t="s">
        <v>925</v>
      </c>
      <c r="U56" s="1588"/>
      <c r="V56" s="305" t="e">
        <f t="shared" si="2"/>
        <v>#VALUE!</v>
      </c>
      <c r="X56" s="76"/>
      <c r="Y56" s="76"/>
    </row>
    <row r="57" spans="1:25" s="22" customFormat="1" ht="12.6">
      <c r="B57" s="1510"/>
      <c r="C57" s="1511"/>
      <c r="D57" s="1510"/>
      <c r="E57" s="1513"/>
      <c r="F57" s="1511"/>
      <c r="G57" s="1517"/>
      <c r="H57" s="1518"/>
      <c r="I57" s="1519"/>
      <c r="J57" s="22" t="s">
        <v>819</v>
      </c>
      <c r="K57" s="1527">
        <f t="shared" si="0"/>
        <v>0</v>
      </c>
      <c r="L57" s="1527"/>
      <c r="M57" s="313" t="str">
        <f t="shared" si="1"/>
        <v/>
      </c>
      <c r="N57" s="1605"/>
      <c r="O57" s="1605"/>
      <c r="P57" s="1603"/>
      <c r="Q57" s="1604"/>
      <c r="T57" s="1588" t="s">
        <v>926</v>
      </c>
      <c r="U57" s="1588"/>
      <c r="V57" s="305" t="e">
        <f t="shared" si="2"/>
        <v>#VALUE!</v>
      </c>
      <c r="X57" s="76"/>
      <c r="Y57" s="76"/>
    </row>
    <row r="58" spans="1:25" s="22" customFormat="1" ht="12.6">
      <c r="B58" s="1589">
        <f>FORM!O27</f>
        <v>0</v>
      </c>
      <c r="C58" s="1590"/>
      <c r="D58" s="1589">
        <f>FORM!S27</f>
        <v>0</v>
      </c>
      <c r="E58" s="1593"/>
      <c r="F58" s="1590"/>
      <c r="G58" s="1595">
        <f>FORM!V27</f>
        <v>0</v>
      </c>
      <c r="H58" s="1596"/>
      <c r="I58" s="1597"/>
      <c r="K58" s="1527">
        <f t="shared" si="0"/>
        <v>0</v>
      </c>
      <c r="L58" s="1527"/>
      <c r="M58" s="313" t="str">
        <f t="shared" si="1"/>
        <v/>
      </c>
      <c r="N58" s="1605"/>
      <c r="O58" s="1605"/>
      <c r="P58" s="1603"/>
      <c r="Q58" s="1604"/>
      <c r="T58" s="1588" t="s">
        <v>929</v>
      </c>
      <c r="U58" s="1588"/>
      <c r="V58" s="305" t="e">
        <f t="shared" si="2"/>
        <v>#VALUE!</v>
      </c>
      <c r="X58" s="76"/>
      <c r="Y58" s="76"/>
    </row>
    <row r="59" spans="1:25" s="22" customFormat="1" ht="12.6">
      <c r="B59" s="1591"/>
      <c r="C59" s="1592"/>
      <c r="D59" s="1591"/>
      <c r="E59" s="1594"/>
      <c r="F59" s="1592"/>
      <c r="G59" s="1598"/>
      <c r="H59" s="1599"/>
      <c r="I59" s="1600"/>
      <c r="K59" s="1527" t="s">
        <v>935</v>
      </c>
      <c r="L59" s="1527"/>
      <c r="M59" s="313" t="e">
        <f>IF(DAY(M17)=31,X20,Z20)</f>
        <v>#VALUE!</v>
      </c>
      <c r="N59" s="1602">
        <f>F35</f>
        <v>2875653.7772074589</v>
      </c>
      <c r="O59" s="1602"/>
      <c r="P59" s="1603"/>
      <c r="Q59" s="1604"/>
      <c r="T59" s="1588" t="s">
        <v>930</v>
      </c>
      <c r="U59" s="1588"/>
      <c r="V59" s="305" t="e">
        <f t="shared" si="2"/>
        <v>#VALUE!</v>
      </c>
      <c r="X59" s="76"/>
      <c r="Y59" s="76"/>
    </row>
    <row r="60" spans="1:25" s="22" customFormat="1" ht="11.45">
      <c r="B60" s="1589">
        <f>FORM!O31</f>
        <v>0</v>
      </c>
      <c r="C60" s="1590"/>
      <c r="D60" s="1589">
        <f>FORM!S31</f>
        <v>0</v>
      </c>
      <c r="E60" s="1593"/>
      <c r="F60" s="1590"/>
      <c r="G60" s="1595">
        <f>FORM!V31</f>
        <v>0</v>
      </c>
      <c r="H60" s="1596"/>
      <c r="I60" s="1597"/>
      <c r="K60" s="314"/>
      <c r="M60" s="315"/>
      <c r="O60" s="691">
        <f>F22-SUM(N17:O59)</f>
        <v>202661.96044946881</v>
      </c>
      <c r="V60" s="316"/>
      <c r="X60" s="76"/>
      <c r="Y60" s="76"/>
    </row>
    <row r="61" spans="1:25" s="22" customFormat="1" ht="12.6">
      <c r="B61" s="1591"/>
      <c r="C61" s="1592"/>
      <c r="D61" s="1591"/>
      <c r="E61" s="1594"/>
      <c r="F61" s="1592"/>
      <c r="G61" s="1598"/>
      <c r="H61" s="1599"/>
      <c r="I61" s="1600"/>
      <c r="K61" s="469"/>
      <c r="L61" s="1189"/>
      <c r="M61" s="1248"/>
      <c r="N61" s="1189"/>
      <c r="O61" s="1189"/>
      <c r="P61" s="1189"/>
      <c r="Q61" s="1189"/>
      <c r="V61" s="301"/>
      <c r="X61" s="76"/>
      <c r="Y61" s="76"/>
    </row>
    <row r="62" spans="1:25" s="22" customFormat="1" ht="12.6">
      <c r="B62" s="1589">
        <f>FORM!O33</f>
        <v>0</v>
      </c>
      <c r="C62" s="1590"/>
      <c r="D62" s="1589">
        <f>FORM!S33</f>
        <v>0</v>
      </c>
      <c r="E62" s="1593"/>
      <c r="F62" s="1590"/>
      <c r="G62" s="1595">
        <f>FORM!V33</f>
        <v>0</v>
      </c>
      <c r="H62" s="1596"/>
      <c r="I62" s="1597"/>
      <c r="K62" s="1189"/>
      <c r="L62" s="1189"/>
      <c r="M62" s="1248"/>
      <c r="N62" s="1189"/>
      <c r="O62" s="1189"/>
      <c r="P62" s="1189"/>
      <c r="Q62" s="1189"/>
      <c r="V62" s="301"/>
      <c r="X62" s="76"/>
      <c r="Y62" s="76"/>
    </row>
    <row r="63" spans="1:25" s="22" customFormat="1" ht="12.6">
      <c r="B63" s="1591"/>
      <c r="C63" s="1592"/>
      <c r="D63" s="1591"/>
      <c r="E63" s="1594"/>
      <c r="F63" s="1592"/>
      <c r="G63" s="1598"/>
      <c r="H63" s="1599"/>
      <c r="I63" s="1600"/>
      <c r="K63" s="3" t="s">
        <v>936</v>
      </c>
      <c r="L63" s="3"/>
      <c r="M63" s="3"/>
      <c r="N63" s="3"/>
      <c r="O63" s="1189"/>
      <c r="P63" s="3" t="s">
        <v>937</v>
      </c>
      <c r="Q63" s="3"/>
      <c r="V63" s="301"/>
      <c r="X63" s="76"/>
      <c r="Y63" s="76"/>
    </row>
    <row r="64" spans="1:25" s="22" customFormat="1">
      <c r="A64" s="2"/>
      <c r="B64" s="1189"/>
      <c r="C64" s="1189"/>
      <c r="D64" s="1225"/>
      <c r="E64" s="1189"/>
      <c r="F64" s="1189"/>
      <c r="G64" s="1189"/>
      <c r="H64" s="1189"/>
      <c r="I64" s="1189"/>
      <c r="K64" s="1189"/>
      <c r="L64" s="1189"/>
      <c r="M64" s="1225"/>
      <c r="N64" s="1189"/>
      <c r="O64" s="1189"/>
      <c r="P64" s="1189"/>
      <c r="Q64" s="1189"/>
      <c r="V64" s="301"/>
      <c r="X64" s="76"/>
      <c r="Y64" s="76"/>
    </row>
    <row r="65" spans="2:17">
      <c r="B65" s="250"/>
      <c r="C65" s="161" t="s">
        <v>950</v>
      </c>
      <c r="D65" s="1601"/>
      <c r="E65" s="1601"/>
      <c r="F65" s="1601"/>
      <c r="G65" s="1189"/>
      <c r="H65" s="1189"/>
      <c r="I65" s="1189"/>
      <c r="K65" s="1189"/>
      <c r="L65" s="1189"/>
      <c r="M65" s="1225"/>
      <c r="N65" s="1189"/>
      <c r="O65" s="1189"/>
      <c r="P65" s="1189"/>
      <c r="Q65" s="1189"/>
    </row>
    <row r="66" spans="2:17">
      <c r="B66" s="470"/>
      <c r="C66" s="1123"/>
      <c r="D66" s="1123"/>
      <c r="E66" s="1123"/>
      <c r="F66" s="100"/>
      <c r="G66" s="1189"/>
      <c r="H66" s="1189"/>
      <c r="I66" s="1189"/>
      <c r="K66" s="1587" t="str">
        <f>B69</f>
        <v xml:space="preserve">agent </v>
      </c>
      <c r="L66" s="1587"/>
      <c r="M66" s="1587"/>
      <c r="N66" s="1189"/>
      <c r="O66" s="1189"/>
      <c r="P66" s="1587" t="str">
        <f>F69</f>
        <v>cnc</v>
      </c>
      <c r="Q66" s="1587"/>
    </row>
    <row r="67" spans="2:17">
      <c r="B67" s="3" t="s">
        <v>936</v>
      </c>
      <c r="C67" s="3"/>
      <c r="D67" s="3"/>
      <c r="E67" s="3"/>
      <c r="F67" s="3" t="s">
        <v>937</v>
      </c>
      <c r="G67" s="3"/>
      <c r="H67" s="3"/>
      <c r="I67" s="1189"/>
      <c r="K67" s="1260" t="s">
        <v>939</v>
      </c>
      <c r="L67" s="1260"/>
      <c r="M67" s="1261"/>
      <c r="N67" s="1189"/>
      <c r="O67" s="1189"/>
      <c r="P67" s="1260" t="s">
        <v>939</v>
      </c>
      <c r="Q67" s="1260"/>
    </row>
    <row r="68" spans="2:17">
      <c r="B68" s="1189"/>
      <c r="C68" s="1189"/>
      <c r="D68" s="1225"/>
      <c r="E68" s="1189"/>
      <c r="F68" s="1189"/>
      <c r="G68" s="1189"/>
      <c r="H68" s="1189"/>
      <c r="I68" s="1189"/>
      <c r="M68" s="2"/>
    </row>
    <row r="69" spans="2:17">
      <c r="B69" s="1587" t="str">
        <f>'STANDARD_NON RFO UNITS'!B81:D81</f>
        <v xml:space="preserve">agent </v>
      </c>
      <c r="C69" s="1587"/>
      <c r="D69" s="1262"/>
      <c r="E69" s="1189"/>
      <c r="F69" s="1587" t="str">
        <f>'STANDARD_NON RFO UNITS'!F81:I81</f>
        <v>cnc</v>
      </c>
      <c r="G69" s="1587"/>
      <c r="H69" s="1189"/>
      <c r="I69" s="1189"/>
      <c r="M69" s="2"/>
    </row>
    <row r="70" spans="2:17">
      <c r="B70" s="1260" t="s">
        <v>939</v>
      </c>
      <c r="C70" s="1260"/>
      <c r="D70" s="1225"/>
      <c r="E70" s="1189"/>
      <c r="F70" s="1260" t="s">
        <v>939</v>
      </c>
      <c r="G70" s="1260"/>
      <c r="H70" s="1189"/>
      <c r="I70" s="1189"/>
    </row>
    <row r="71" spans="2:17">
      <c r="B71" s="1189"/>
      <c r="C71" s="1189"/>
      <c r="D71" s="1225"/>
      <c r="E71" s="1189"/>
      <c r="F71" s="1189"/>
      <c r="G71" s="1189"/>
      <c r="H71" s="1189"/>
      <c r="I71" s="1189"/>
    </row>
    <row r="72" spans="2:17">
      <c r="B72" s="1189"/>
      <c r="C72" s="1189"/>
      <c r="D72" s="1225"/>
      <c r="E72" s="1189"/>
      <c r="F72" s="1189"/>
      <c r="G72" s="1189"/>
      <c r="H72" s="1189"/>
      <c r="I72" s="1189"/>
    </row>
    <row r="114" spans="1:1">
      <c r="A114" s="317">
        <f>F17*12%</f>
        <v>383420.50362766115</v>
      </c>
    </row>
  </sheetData>
  <sheetProtection algorithmName="SHA-512" hashValue="ssUZ/zBO42AWIqKCmNbnin7Z6Zq7rJ3qaQpIti+ArVqIyQ2mBQD2HnYa+9Oxs4D65RgGC23kJegoWfnir9eQTQ==" saltValue="3VGiay8f3xoQOw1SdQLZ3g==" spinCount="100000" sheet="1" formatCells="0" formatColumns="0" formatRows="0"/>
  <mergeCells count="322">
    <mergeCell ref="D65:F65"/>
    <mergeCell ref="K66:M66"/>
    <mergeCell ref="P66:Q66"/>
    <mergeCell ref="B69:C69"/>
    <mergeCell ref="F69:G69"/>
    <mergeCell ref="T59:U59"/>
    <mergeCell ref="B60:C61"/>
    <mergeCell ref="D60:F61"/>
    <mergeCell ref="G60:I61"/>
    <mergeCell ref="B62:C63"/>
    <mergeCell ref="D62:F63"/>
    <mergeCell ref="G62:I63"/>
    <mergeCell ref="K58:L58"/>
    <mergeCell ref="N58:O58"/>
    <mergeCell ref="P58:Q58"/>
    <mergeCell ref="T58:U58"/>
    <mergeCell ref="B58:C59"/>
    <mergeCell ref="D58:F59"/>
    <mergeCell ref="G58:I59"/>
    <mergeCell ref="K59:L59"/>
    <mergeCell ref="N59:O59"/>
    <mergeCell ref="P59:Q59"/>
    <mergeCell ref="N56:O56"/>
    <mergeCell ref="P56:Q56"/>
    <mergeCell ref="T56:U56"/>
    <mergeCell ref="B56:C57"/>
    <mergeCell ref="D56:F57"/>
    <mergeCell ref="G56:I57"/>
    <mergeCell ref="K57:L57"/>
    <mergeCell ref="N57:O57"/>
    <mergeCell ref="P57:Q57"/>
    <mergeCell ref="T57:U57"/>
    <mergeCell ref="K56:L56"/>
    <mergeCell ref="K54:L54"/>
    <mergeCell ref="N54:O54"/>
    <mergeCell ref="P54:Q54"/>
    <mergeCell ref="T54:U54"/>
    <mergeCell ref="B54:C55"/>
    <mergeCell ref="D54:F55"/>
    <mergeCell ref="G54:I55"/>
    <mergeCell ref="K55:L55"/>
    <mergeCell ref="N55:O55"/>
    <mergeCell ref="P55:Q55"/>
    <mergeCell ref="T55:U55"/>
    <mergeCell ref="K51:L51"/>
    <mergeCell ref="N51:O51"/>
    <mergeCell ref="P51:Q51"/>
    <mergeCell ref="T51:U51"/>
    <mergeCell ref="B51:C51"/>
    <mergeCell ref="D51:F51"/>
    <mergeCell ref="G51:I51"/>
    <mergeCell ref="K52:L52"/>
    <mergeCell ref="N52:O52"/>
    <mergeCell ref="P52:Q52"/>
    <mergeCell ref="T52:U52"/>
    <mergeCell ref="B52:C53"/>
    <mergeCell ref="D52:F53"/>
    <mergeCell ref="G52:I53"/>
    <mergeCell ref="K53:L53"/>
    <mergeCell ref="N53:O53"/>
    <mergeCell ref="P53:Q53"/>
    <mergeCell ref="T53:U53"/>
    <mergeCell ref="K49:L49"/>
    <mergeCell ref="N49:O49"/>
    <mergeCell ref="P49:Q49"/>
    <mergeCell ref="T49:U49"/>
    <mergeCell ref="X49:Y49"/>
    <mergeCell ref="K50:L50"/>
    <mergeCell ref="N50:O50"/>
    <mergeCell ref="P50:Q50"/>
    <mergeCell ref="T50:U50"/>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X44:Y44"/>
    <mergeCell ref="AD44:AE44"/>
    <mergeCell ref="K45:L45"/>
    <mergeCell ref="N45:O45"/>
    <mergeCell ref="P45:Q45"/>
    <mergeCell ref="T45:U45"/>
    <mergeCell ref="X45:Y45"/>
    <mergeCell ref="AD45:AE45"/>
    <mergeCell ref="D43:E43"/>
    <mergeCell ref="G43:I43"/>
    <mergeCell ref="K44:L44"/>
    <mergeCell ref="N44:O44"/>
    <mergeCell ref="P44:Q44"/>
    <mergeCell ref="T44:U44"/>
    <mergeCell ref="X42:Y42"/>
    <mergeCell ref="AD42:AE42"/>
    <mergeCell ref="D42:E42"/>
    <mergeCell ref="G42:I42"/>
    <mergeCell ref="K43:L43"/>
    <mergeCell ref="N43:O43"/>
    <mergeCell ref="P43:Q43"/>
    <mergeCell ref="T43:U43"/>
    <mergeCell ref="X43:Y43"/>
    <mergeCell ref="AD43:AE43"/>
    <mergeCell ref="D41:E41"/>
    <mergeCell ref="G41:I41"/>
    <mergeCell ref="K42:L42"/>
    <mergeCell ref="N42:O42"/>
    <mergeCell ref="P42:Q42"/>
    <mergeCell ref="T42:U42"/>
    <mergeCell ref="X40:Y40"/>
    <mergeCell ref="AD40:AE40"/>
    <mergeCell ref="D40:E40"/>
    <mergeCell ref="G40:I40"/>
    <mergeCell ref="K41:L41"/>
    <mergeCell ref="N41:O41"/>
    <mergeCell ref="P41:Q41"/>
    <mergeCell ref="T41:U41"/>
    <mergeCell ref="X41:Y41"/>
    <mergeCell ref="AD41:AE41"/>
    <mergeCell ref="D39:E39"/>
    <mergeCell ref="G39:I39"/>
    <mergeCell ref="K40:L40"/>
    <mergeCell ref="N40:O40"/>
    <mergeCell ref="P40:Q40"/>
    <mergeCell ref="T40:U40"/>
    <mergeCell ref="K39:L39"/>
    <mergeCell ref="N39:O39"/>
    <mergeCell ref="P39:Q39"/>
    <mergeCell ref="T39:U39"/>
    <mergeCell ref="X39:Y39"/>
    <mergeCell ref="AD39:AE39"/>
    <mergeCell ref="K38:L38"/>
    <mergeCell ref="N38:O38"/>
    <mergeCell ref="P38:Q38"/>
    <mergeCell ref="T38:U38"/>
    <mergeCell ref="X38:Y38"/>
    <mergeCell ref="AD38:AE38"/>
    <mergeCell ref="AD36:AE36"/>
    <mergeCell ref="K37:L37"/>
    <mergeCell ref="N37:O37"/>
    <mergeCell ref="P37:Q37"/>
    <mergeCell ref="T37:U37"/>
    <mergeCell ref="X37:Y37"/>
    <mergeCell ref="AD37:AE37"/>
    <mergeCell ref="F35:I35"/>
    <mergeCell ref="K36:L36"/>
    <mergeCell ref="N36:O36"/>
    <mergeCell ref="P36:Q36"/>
    <mergeCell ref="T36:U36"/>
    <mergeCell ref="X36:Y36"/>
    <mergeCell ref="AD34:AE34"/>
    <mergeCell ref="K35:L35"/>
    <mergeCell ref="N35:O35"/>
    <mergeCell ref="P35:Q35"/>
    <mergeCell ref="T35:U35"/>
    <mergeCell ref="X35:Y35"/>
    <mergeCell ref="AD35:AE35"/>
    <mergeCell ref="G32:I32"/>
    <mergeCell ref="K34:L34"/>
    <mergeCell ref="N34:O34"/>
    <mergeCell ref="P34:Q34"/>
    <mergeCell ref="T34:U34"/>
    <mergeCell ref="X34:Y34"/>
    <mergeCell ref="X32:Y32"/>
    <mergeCell ref="AD32:AE32"/>
    <mergeCell ref="B31:C31"/>
    <mergeCell ref="G31:I31"/>
    <mergeCell ref="K33:L33"/>
    <mergeCell ref="N33:O33"/>
    <mergeCell ref="P33:Q33"/>
    <mergeCell ref="T33:U33"/>
    <mergeCell ref="X33:Y33"/>
    <mergeCell ref="AD33:AE33"/>
    <mergeCell ref="K32:L32"/>
    <mergeCell ref="N32:O32"/>
    <mergeCell ref="P32:Q32"/>
    <mergeCell ref="T32:U32"/>
    <mergeCell ref="X30:Y30"/>
    <mergeCell ref="AD30:AE30"/>
    <mergeCell ref="B30:C30"/>
    <mergeCell ref="G30:I30"/>
    <mergeCell ref="K31:L31"/>
    <mergeCell ref="N31:O31"/>
    <mergeCell ref="P31:Q31"/>
    <mergeCell ref="T31:U31"/>
    <mergeCell ref="X31:Y31"/>
    <mergeCell ref="AD31:AE31"/>
    <mergeCell ref="K30:L30"/>
    <mergeCell ref="N30:O30"/>
    <mergeCell ref="P30:Q30"/>
    <mergeCell ref="T30:U30"/>
    <mergeCell ref="X28:Y28"/>
    <mergeCell ref="AD28:AE28"/>
    <mergeCell ref="B29:C29"/>
    <mergeCell ref="G29:I29"/>
    <mergeCell ref="K29:L29"/>
    <mergeCell ref="N29:O29"/>
    <mergeCell ref="P29:Q29"/>
    <mergeCell ref="T29:U29"/>
    <mergeCell ref="X29:Y29"/>
    <mergeCell ref="AD29:AE29"/>
    <mergeCell ref="B28:C28"/>
    <mergeCell ref="G28:I28"/>
    <mergeCell ref="K28:L28"/>
    <mergeCell ref="N28:O28"/>
    <mergeCell ref="P28:Q28"/>
    <mergeCell ref="T28:U28"/>
    <mergeCell ref="AD26:AE26"/>
    <mergeCell ref="AG26:AJ26"/>
    <mergeCell ref="K27:L27"/>
    <mergeCell ref="N27:O27"/>
    <mergeCell ref="P27:Q27"/>
    <mergeCell ref="T27:U27"/>
    <mergeCell ref="X27:Y27"/>
    <mergeCell ref="AD27:AE27"/>
    <mergeCell ref="F26:I26"/>
    <mergeCell ref="K26:L26"/>
    <mergeCell ref="N26:O26"/>
    <mergeCell ref="P26:Q26"/>
    <mergeCell ref="T26:U26"/>
    <mergeCell ref="X26:Y26"/>
    <mergeCell ref="AD24:AE24"/>
    <mergeCell ref="AG24:AJ24"/>
    <mergeCell ref="F25:I25"/>
    <mergeCell ref="K25:L25"/>
    <mergeCell ref="N25:O25"/>
    <mergeCell ref="P25:Q25"/>
    <mergeCell ref="T25:U25"/>
    <mergeCell ref="X25:Y25"/>
    <mergeCell ref="AD25:AE25"/>
    <mergeCell ref="AG25:AJ25"/>
    <mergeCell ref="F24:I24"/>
    <mergeCell ref="K24:L24"/>
    <mergeCell ref="N24:O24"/>
    <mergeCell ref="P24:Q24"/>
    <mergeCell ref="T24:U24"/>
    <mergeCell ref="X24:Y24"/>
    <mergeCell ref="AD22:AE22"/>
    <mergeCell ref="AG22:AJ22"/>
    <mergeCell ref="K23:L23"/>
    <mergeCell ref="N23:O23"/>
    <mergeCell ref="P23:Q23"/>
    <mergeCell ref="T23:U23"/>
    <mergeCell ref="X23:Y23"/>
    <mergeCell ref="AD23:AE23"/>
    <mergeCell ref="AG23:AJ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E7:F7"/>
    <mergeCell ref="N7:Q7"/>
    <mergeCell ref="E11:F11"/>
    <mergeCell ref="G11:I11"/>
    <mergeCell ref="N11:O11"/>
    <mergeCell ref="P11:Q11"/>
  </mergeCells>
  <pageMargins left="0.59055118110236227" right="0.59055118110236227" top="0.78740157480314965" bottom="0.74803149606299213" header="0.31496062992125984" footer="0.31496062992125984"/>
  <pageSetup paperSize="14" scale="65"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0">
    <tabColor rgb="FF0070C0"/>
  </sheetPr>
  <dimension ref="A1:BA114"/>
  <sheetViews>
    <sheetView showGridLines="0" showZeros="0" view="pageLayout" topLeftCell="A13" zoomScale="85" zoomScaleNormal="90" zoomScaleSheetLayoutView="80" zoomScalePageLayoutView="85" workbookViewId="0">
      <selection activeCell="E15" sqref="E15"/>
    </sheetView>
  </sheetViews>
  <sheetFormatPr defaultColWidth="9.140625" defaultRowHeight="13.5"/>
  <cols>
    <col min="1" max="1" width="1.140625" style="2" customWidth="1"/>
    <col min="2" max="2" width="12" style="2" customWidth="1"/>
    <col min="3" max="3" width="27.85546875" style="2" customWidth="1"/>
    <col min="4" max="4" width="21"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86" customFormat="1" ht="12.6">
      <c r="B1" s="160" t="s">
        <v>847</v>
      </c>
      <c r="C1" s="1191" t="str">
        <f>FORM!I20</f>
        <v>September 1,2025</v>
      </c>
      <c r="D1" s="1192"/>
      <c r="F1" s="132" t="s">
        <v>942</v>
      </c>
      <c r="G1" s="1528" t="s">
        <v>849</v>
      </c>
      <c r="H1" s="1528"/>
      <c r="I1" s="1528"/>
      <c r="J1" s="88"/>
      <c r="K1" s="160" t="s">
        <v>847</v>
      </c>
      <c r="L1" s="1191" t="str">
        <f>C1</f>
        <v>September 1,2025</v>
      </c>
      <c r="M1" s="1250"/>
      <c r="O1" s="471"/>
      <c r="P1" s="132" t="s">
        <v>943</v>
      </c>
      <c r="Q1" s="1193" t="s">
        <v>851</v>
      </c>
      <c r="V1" s="284"/>
    </row>
    <row r="2" spans="1:53" s="86" customFormat="1" ht="7.5" customHeight="1">
      <c r="C2" s="87"/>
      <c r="D2" s="87"/>
      <c r="K2" s="137"/>
      <c r="L2" s="137"/>
      <c r="M2" s="137"/>
      <c r="N2" s="137"/>
      <c r="O2" s="137"/>
      <c r="P2" s="137"/>
      <c r="Q2" s="137"/>
      <c r="V2" s="284"/>
    </row>
    <row r="3" spans="1:53" s="86" customFormat="1" ht="14.25" customHeight="1">
      <c r="B3" s="1638" t="s">
        <v>1024</v>
      </c>
      <c r="C3" s="1638"/>
      <c r="D3" s="1638"/>
      <c r="E3" s="1638"/>
      <c r="F3" s="1638"/>
      <c r="G3" s="1638"/>
      <c r="H3" s="1638"/>
      <c r="I3" s="1638"/>
      <c r="J3" s="285"/>
      <c r="K3" s="1638" t="s">
        <v>853</v>
      </c>
      <c r="L3" s="1638"/>
      <c r="M3" s="1638"/>
      <c r="N3" s="1638"/>
      <c r="O3" s="1638"/>
      <c r="P3" s="1638"/>
      <c r="Q3" s="1638"/>
      <c r="V3" s="284"/>
    </row>
    <row r="4" spans="1:53" s="86" customFormat="1" ht="12.75" customHeight="1">
      <c r="B4" s="1638"/>
      <c r="C4" s="1638"/>
      <c r="D4" s="1638"/>
      <c r="E4" s="1638"/>
      <c r="F4" s="1638"/>
      <c r="G4" s="1638"/>
      <c r="H4" s="1638"/>
      <c r="I4" s="1638"/>
      <c r="J4" s="285"/>
      <c r="K4" s="1638"/>
      <c r="L4" s="1638"/>
      <c r="M4" s="1638"/>
      <c r="N4" s="1638"/>
      <c r="O4" s="1638"/>
      <c r="P4" s="1638"/>
      <c r="Q4" s="1638"/>
      <c r="V4" s="284"/>
    </row>
    <row r="5" spans="1:53" s="86" customFormat="1" ht="12.75" customHeight="1">
      <c r="B5" s="174"/>
      <c r="C5" s="174"/>
      <c r="D5" s="207"/>
      <c r="E5" s="97"/>
      <c r="F5" s="97"/>
      <c r="G5" s="706" t="str">
        <f>IF(OR(FORM!I16="5th FLOOR",FORM!I16="6th FLOOR",FORM!I16="7th FLOOR",FORM!I16="8th FLOOR"),FORM!I18,"")</f>
        <v/>
      </c>
      <c r="H5" s="97"/>
      <c r="I5" s="97"/>
      <c r="J5" s="174"/>
      <c r="K5" s="286"/>
      <c r="L5" s="287"/>
      <c r="M5" s="288"/>
      <c r="N5" s="287"/>
      <c r="O5" s="287"/>
      <c r="P5" s="287"/>
      <c r="Q5" s="288"/>
      <c r="V5" s="284"/>
    </row>
    <row r="6" spans="1:53">
      <c r="A6" s="1123"/>
      <c r="B6" s="225" t="s">
        <v>854</v>
      </c>
      <c r="C6" s="226"/>
      <c r="D6" s="171" t="s">
        <v>802</v>
      </c>
      <c r="E6" s="1529" t="str">
        <f>'STANDARD_NON RFO UNITS'!E6:I6</f>
        <v>cnc</v>
      </c>
      <c r="F6" s="1530"/>
      <c r="G6" s="1530"/>
      <c r="H6" s="1530"/>
      <c r="I6" s="1531"/>
      <c r="J6" s="142"/>
      <c r="K6" s="225" t="s">
        <v>854</v>
      </c>
      <c r="L6" s="228"/>
      <c r="M6" s="705" t="s">
        <v>802</v>
      </c>
      <c r="N6" s="1527" t="str">
        <f>E6</f>
        <v>cnc</v>
      </c>
      <c r="O6" s="1527"/>
      <c r="P6" s="1527"/>
      <c r="Q6" s="1527"/>
      <c r="AM6" s="291"/>
      <c r="AZ6" s="292"/>
      <c r="BA6" s="293"/>
    </row>
    <row r="7" spans="1:53">
      <c r="A7" s="1123"/>
      <c r="B7" s="144" t="s">
        <v>801</v>
      </c>
      <c r="C7" s="227"/>
      <c r="D7" s="171" t="s">
        <v>802</v>
      </c>
      <c r="E7" s="1543" t="str">
        <f>'STANDARD_NON RFO UNITS'!E7:I7</f>
        <v>The Southprime Flats</v>
      </c>
      <c r="F7" s="1544"/>
      <c r="G7" s="1200" t="str">
        <f>FORM!I14</f>
        <v>B1</v>
      </c>
      <c r="H7" s="1200"/>
      <c r="I7" s="1201"/>
      <c r="J7" s="142"/>
      <c r="K7" s="144" t="s">
        <v>801</v>
      </c>
      <c r="L7" s="148"/>
      <c r="M7" s="705" t="s">
        <v>802</v>
      </c>
      <c r="N7" s="1527" t="str">
        <f>E7</f>
        <v>The Southprime Flats</v>
      </c>
      <c r="O7" s="1527"/>
      <c r="P7" s="1527"/>
      <c r="Q7" s="1527"/>
      <c r="AM7" s="291"/>
      <c r="AZ7" s="292"/>
      <c r="BA7" s="293"/>
    </row>
    <row r="8" spans="1:53">
      <c r="A8" s="1123"/>
      <c r="B8" s="144" t="s">
        <v>855</v>
      </c>
      <c r="C8" s="227"/>
      <c r="D8" s="171" t="s">
        <v>802</v>
      </c>
      <c r="E8" s="1529" t="str">
        <f>IF(FORM!I17="UNSOLD",G5,"UNABLE TO PROCESS, PLEASE PICK ANOTHER UNIT")</f>
        <v/>
      </c>
      <c r="F8" s="1530"/>
      <c r="G8" s="1530"/>
      <c r="H8" s="1530"/>
      <c r="I8" s="1531"/>
      <c r="J8" s="142"/>
      <c r="K8" s="144" t="s">
        <v>855</v>
      </c>
      <c r="L8" s="148"/>
      <c r="M8" s="705" t="s">
        <v>802</v>
      </c>
      <c r="N8" s="1527" t="str">
        <f>E8</f>
        <v/>
      </c>
      <c r="O8" s="1527"/>
      <c r="P8" s="1527"/>
      <c r="Q8" s="1527"/>
      <c r="AM8" s="291"/>
      <c r="AZ8" s="292"/>
      <c r="BA8" s="293"/>
    </row>
    <row r="9" spans="1:53" hidden="1">
      <c r="A9" s="1123"/>
      <c r="B9" s="144" t="s">
        <v>856</v>
      </c>
      <c r="C9" s="227"/>
      <c r="D9" s="171" t="s">
        <v>802</v>
      </c>
      <c r="E9" s="1529" t="e">
        <f>'STANDARD_NON RFO UNITS'!E9:I9</f>
        <v>#REF!</v>
      </c>
      <c r="F9" s="1530"/>
      <c r="G9" s="1530"/>
      <c r="H9" s="1530"/>
      <c r="I9" s="1531"/>
      <c r="J9" s="142"/>
      <c r="K9" s="144" t="s">
        <v>856</v>
      </c>
      <c r="L9" s="148"/>
      <c r="M9" s="705" t="s">
        <v>802</v>
      </c>
      <c r="N9" s="1527" t="str">
        <f>[5]FORM!I14</f>
        <v>TOWER 1</v>
      </c>
      <c r="O9" s="1527"/>
      <c r="P9" s="1527"/>
      <c r="Q9" s="1527"/>
      <c r="AM9" s="291"/>
      <c r="AZ9" s="292"/>
      <c r="BA9" s="293"/>
    </row>
    <row r="10" spans="1:53">
      <c r="A10" s="1123"/>
      <c r="B10" s="144" t="s">
        <v>857</v>
      </c>
      <c r="C10" s="227"/>
      <c r="D10" s="171" t="s">
        <v>802</v>
      </c>
      <c r="E10" s="1529" t="str">
        <f>'STANDARD_NON RFO UNITS'!E10:I10</f>
        <v>Studio Unit</v>
      </c>
      <c r="F10" s="1530"/>
      <c r="G10" s="1530"/>
      <c r="H10" s="1530"/>
      <c r="I10" s="1531"/>
      <c r="J10" s="142"/>
      <c r="K10" s="144" t="s">
        <v>857</v>
      </c>
      <c r="L10" s="148"/>
      <c r="M10" s="705" t="s">
        <v>802</v>
      </c>
      <c r="N10" s="1527" t="str">
        <f>E10</f>
        <v>Studio Unit</v>
      </c>
      <c r="O10" s="1527"/>
      <c r="P10" s="1527"/>
      <c r="Q10" s="1527"/>
      <c r="AM10" s="291"/>
      <c r="AZ10" s="292"/>
      <c r="BA10" s="293"/>
    </row>
    <row r="11" spans="1:53">
      <c r="A11" s="1123"/>
      <c r="B11" s="144" t="s">
        <v>858</v>
      </c>
      <c r="C11" s="227"/>
      <c r="D11" s="171" t="s">
        <v>802</v>
      </c>
      <c r="E11" s="1539">
        <f>'STANDARD_NON RFO UNITS'!E11:F11</f>
        <v>22</v>
      </c>
      <c r="F11" s="1540"/>
      <c r="G11" s="1541" t="s">
        <v>859</v>
      </c>
      <c r="H11" s="1541"/>
      <c r="I11" s="1542"/>
      <c r="J11" s="142"/>
      <c r="K11" s="144" t="s">
        <v>858</v>
      </c>
      <c r="L11" s="148"/>
      <c r="M11" s="705" t="s">
        <v>802</v>
      </c>
      <c r="N11" s="1639">
        <f>E11</f>
        <v>22</v>
      </c>
      <c r="O11" s="1640"/>
      <c r="P11" s="1636" t="s">
        <v>859</v>
      </c>
      <c r="Q11" s="1637"/>
      <c r="AM11" s="291"/>
      <c r="AZ11" s="292"/>
      <c r="BA11" s="293"/>
    </row>
    <row r="12" spans="1:53">
      <c r="A12" s="1123"/>
      <c r="B12" s="148" t="s">
        <v>860</v>
      </c>
      <c r="C12" s="227"/>
      <c r="D12" s="171" t="s">
        <v>802</v>
      </c>
      <c r="E12" s="1539">
        <f>'STANDARD_NON RFO UNITS'!E12:F12</f>
        <v>0</v>
      </c>
      <c r="F12" s="1540"/>
      <c r="G12" s="1541" t="s">
        <v>859</v>
      </c>
      <c r="H12" s="1541"/>
      <c r="I12" s="1542"/>
      <c r="J12" s="142"/>
      <c r="K12" s="148" t="s">
        <v>860</v>
      </c>
      <c r="L12" s="148"/>
      <c r="M12" s="705" t="s">
        <v>802</v>
      </c>
      <c r="N12" s="1634">
        <f>E12</f>
        <v>0</v>
      </c>
      <c r="O12" s="1635"/>
      <c r="P12" s="1636" t="s">
        <v>859</v>
      </c>
      <c r="Q12" s="1637"/>
      <c r="AM12" s="291"/>
      <c r="AZ12" s="292"/>
      <c r="BA12" s="293"/>
    </row>
    <row r="13" spans="1:53">
      <c r="A13" s="1123"/>
      <c r="B13" s="238" t="s">
        <v>861</v>
      </c>
      <c r="C13" s="101"/>
      <c r="D13" s="171" t="s">
        <v>802</v>
      </c>
      <c r="E13" s="1539">
        <f>'STANDARD_NON RFO UNITS'!E13:F13</f>
        <v>22</v>
      </c>
      <c r="F13" s="1540"/>
      <c r="G13" s="1541" t="s">
        <v>859</v>
      </c>
      <c r="H13" s="1541"/>
      <c r="I13" s="1542"/>
      <c r="J13" s="142"/>
      <c r="K13" s="238" t="s">
        <v>861</v>
      </c>
      <c r="L13" s="126"/>
      <c r="M13" s="705" t="s">
        <v>802</v>
      </c>
      <c r="N13" s="1634">
        <f>E13</f>
        <v>22</v>
      </c>
      <c r="O13" s="1635"/>
      <c r="P13" s="1636" t="s">
        <v>859</v>
      </c>
      <c r="Q13" s="1637"/>
      <c r="AM13" s="291"/>
      <c r="AZ13" s="292"/>
      <c r="BA13" s="293"/>
    </row>
    <row r="14" spans="1:53">
      <c r="A14" s="1189"/>
      <c r="B14" s="1123"/>
      <c r="C14" s="1123"/>
      <c r="D14" s="171"/>
      <c r="E14" s="1123"/>
      <c r="F14" s="1123"/>
      <c r="G14" s="1123"/>
      <c r="H14" s="1123"/>
      <c r="I14" s="1123"/>
    </row>
    <row r="15" spans="1:53" ht="14.1">
      <c r="A15" s="1189"/>
      <c r="B15" s="141" t="s">
        <v>862</v>
      </c>
      <c r="C15" s="226"/>
      <c r="D15" s="295" t="s">
        <v>802</v>
      </c>
      <c r="E15" s="460"/>
      <c r="F15" s="1623" t="e">
        <f>VLOOKUP(E8,'Pricelist Link'!A6:X142,8,FALSE)</f>
        <v>#N/A</v>
      </c>
      <c r="G15" s="1623"/>
      <c r="H15" s="1623"/>
      <c r="I15" s="1624"/>
      <c r="J15" s="296"/>
      <c r="K15" s="1549" t="s">
        <v>863</v>
      </c>
      <c r="L15" s="1549"/>
      <c r="M15" s="1550" t="s">
        <v>773</v>
      </c>
      <c r="N15" s="1549" t="s">
        <v>776</v>
      </c>
      <c r="O15" s="1549"/>
      <c r="P15" s="1553" t="s">
        <v>214</v>
      </c>
      <c r="Q15" s="1554"/>
    </row>
    <row r="16" spans="1:53" s="296" customFormat="1" ht="14.1">
      <c r="A16" s="3"/>
      <c r="B16" s="144" t="s">
        <v>864</v>
      </c>
      <c r="C16" s="148"/>
      <c r="D16" s="171" t="s">
        <v>802</v>
      </c>
      <c r="E16" s="461"/>
      <c r="F16" s="1623" t="e">
        <f>VLOOKUP(E8,'Pricelist Link'!A6:X142,9,FALSE)</f>
        <v>#N/A</v>
      </c>
      <c r="G16" s="1623"/>
      <c r="H16" s="1623"/>
      <c r="I16" s="1624"/>
      <c r="J16" s="2"/>
      <c r="K16" s="1549"/>
      <c r="L16" s="1549"/>
      <c r="M16" s="1550"/>
      <c r="N16" s="1549"/>
      <c r="O16" s="1549"/>
      <c r="P16" s="1555"/>
      <c r="Q16" s="1556"/>
      <c r="V16" s="297"/>
      <c r="W16" s="296">
        <f>SUM(F30:F32)</f>
        <v>17</v>
      </c>
      <c r="X16" s="298"/>
      <c r="Y16" s="298"/>
    </row>
    <row r="17" spans="1:36" s="22" customFormat="1" ht="12.6">
      <c r="B17" s="129" t="s">
        <v>865</v>
      </c>
      <c r="C17" s="101"/>
      <c r="D17" s="295" t="s">
        <v>802</v>
      </c>
      <c r="E17" s="462"/>
      <c r="F17" s="1622" t="e">
        <f>F15-F16</f>
        <v>#N/A</v>
      </c>
      <c r="G17" s="1623"/>
      <c r="H17" s="1623"/>
      <c r="I17" s="1624"/>
      <c r="J17" s="299"/>
      <c r="K17" s="1527" t="s">
        <v>820</v>
      </c>
      <c r="L17" s="1527"/>
      <c r="M17" s="1207" t="str">
        <f>C1</f>
        <v>September 1,2025</v>
      </c>
      <c r="N17" s="1551">
        <f>F25</f>
        <v>30000</v>
      </c>
      <c r="O17" s="1551"/>
      <c r="P17" s="1603"/>
      <c r="Q17" s="1604"/>
      <c r="T17" s="1632" t="s">
        <v>944</v>
      </c>
      <c r="U17" s="1633"/>
      <c r="V17" s="300" t="str">
        <f>C1</f>
        <v>September 1,2025</v>
      </c>
      <c r="W17" s="301" t="e">
        <f>EDATE(V17,W16)</f>
        <v>#VALUE!</v>
      </c>
      <c r="X17" s="76"/>
      <c r="Y17" s="76"/>
    </row>
    <row r="18" spans="1:36" s="299" customFormat="1" ht="12.6">
      <c r="B18" s="147"/>
      <c r="C18" s="1123"/>
      <c r="D18" s="171"/>
      <c r="E18" s="1200"/>
      <c r="F18" s="1252"/>
      <c r="G18" s="1252"/>
      <c r="H18" s="1252"/>
      <c r="I18" s="1253"/>
      <c r="J18" s="22"/>
      <c r="K18" s="1527" t="e">
        <f t="shared" ref="K18:K58" si="0">IF(N18&gt;1,T18,0)</f>
        <v>#N/A</v>
      </c>
      <c r="L18" s="1527"/>
      <c r="M18" s="313" t="e">
        <f t="shared" ref="M18:M58" si="1">IF(N18&gt;1,V18,"")</f>
        <v>#N/A</v>
      </c>
      <c r="N18" s="1614" t="e">
        <f>G30</f>
        <v>#N/A</v>
      </c>
      <c r="O18" s="1614"/>
      <c r="P18" s="1603"/>
      <c r="Q18" s="1604"/>
      <c r="T18" s="1588" t="s">
        <v>945</v>
      </c>
      <c r="U18" s="1588"/>
      <c r="V18" s="303" t="e">
        <f>IF(DAY(V17)=31,X21,Z21)</f>
        <v>#VALUE!</v>
      </c>
      <c r="X18" s="304"/>
      <c r="Y18" s="304"/>
    </row>
    <row r="19" spans="1:36" s="22" customFormat="1" ht="12.6">
      <c r="B19" s="148" t="s">
        <v>868</v>
      </c>
      <c r="C19" s="148"/>
      <c r="D19" s="171" t="s">
        <v>802</v>
      </c>
      <c r="E19" s="1213">
        <v>0.12</v>
      </c>
      <c r="F19" s="1627">
        <f>'STANDARD_NON RFO UNITS'!F19:I19</f>
        <v>0</v>
      </c>
      <c r="G19" s="1628"/>
      <c r="H19" s="1628"/>
      <c r="I19" s="1629"/>
      <c r="K19" s="1527" t="e">
        <f t="shared" si="0"/>
        <v>#N/A</v>
      </c>
      <c r="L19" s="1527"/>
      <c r="M19" s="313" t="e">
        <f t="shared" si="1"/>
        <v>#N/A</v>
      </c>
      <c r="N19" s="1614" t="e">
        <f>N18</f>
        <v>#N/A</v>
      </c>
      <c r="O19" s="1614"/>
      <c r="P19" s="1603"/>
      <c r="Q19" s="1604"/>
      <c r="T19" s="1603" t="s">
        <v>869</v>
      </c>
      <c r="U19" s="1604"/>
      <c r="V19" s="305" t="e">
        <f t="shared" ref="V19:V59" si="2">IF(AND(DAY(V18)&gt;=6,DAY(V18)&lt;=20),DATE(YEAR(V18),MONTH(V18)+1,DAY(20)),IF(AND(DAY(V18)&gt;=21,DAY(V18)&lt;=30),DATE(YEAR(V18),MONTH(V18)+1,IF(DAY(EOMONTH(V18,1))&lt;30,DAY(EOMONTH(V18,1)),DAY(30))),DATE(YEAR(V18),MONTH(V18)+1,DAY(5))))</f>
        <v>#VALUE!</v>
      </c>
      <c r="X19" s="1522" t="s">
        <v>867</v>
      </c>
      <c r="Y19" s="1522"/>
      <c r="AD19" s="1603"/>
      <c r="AE19" s="1604"/>
    </row>
    <row r="20" spans="1:36" s="22" customFormat="1" ht="12.6">
      <c r="B20" s="238" t="s">
        <v>870</v>
      </c>
      <c r="C20" s="126"/>
      <c r="D20" s="171" t="s">
        <v>802</v>
      </c>
      <c r="E20" s="1254"/>
      <c r="F20" s="1630" t="e">
        <f>VLOOKUP(E8,'Pricelist Link'!A6:X142,11,FALSE)</f>
        <v>#N/A</v>
      </c>
      <c r="G20" s="1630"/>
      <c r="H20" s="1630"/>
      <c r="I20" s="1631"/>
      <c r="K20" s="1527" t="e">
        <f t="shared" si="0"/>
        <v>#N/A</v>
      </c>
      <c r="L20" s="1527"/>
      <c r="M20" s="313" t="e">
        <f t="shared" si="1"/>
        <v>#N/A</v>
      </c>
      <c r="N20" s="1614" t="e">
        <f>N19</f>
        <v>#N/A</v>
      </c>
      <c r="O20" s="1614"/>
      <c r="P20" s="1603"/>
      <c r="Q20" s="1604"/>
      <c r="T20" s="1588" t="s">
        <v>871</v>
      </c>
      <c r="U20" s="1588"/>
      <c r="V20" s="305" t="e">
        <f t="shared" si="2"/>
        <v>#VALUE!</v>
      </c>
      <c r="W20" s="58" t="s">
        <v>38</v>
      </c>
      <c r="X20" s="1523" t="e">
        <f>IF(DAY(V17)=31,DATE(YEAR(W17),MONTH(W17)+2,DAY(5)))</f>
        <v>#VALUE!</v>
      </c>
      <c r="Y20" s="1524"/>
      <c r="Z20" s="306" t="e">
        <f>IF(AND(DAY(W17)&gt;=6,DAY(W17)&lt;=20),DATE(YEAR(W17),MONTH(W17)+1,DAY(20)),IF(AND(DAY(W17)&gt;=21,DAY(W17)&lt;=31),DATE(YEAR(W17),MONTH(W17)+1,IF(DAY(EOMONTH(W17,1))&lt;30,DAY(EOMONTH(W17,1)),DAY(30))),DATE(YEAR(W17),MONTH(W17)+1,DAY(5))))</f>
        <v>#VALUE!</v>
      </c>
      <c r="AD20" s="1603"/>
      <c r="AE20" s="1604"/>
    </row>
    <row r="21" spans="1:36" s="22" customFormat="1" ht="12.6">
      <c r="B21" s="147"/>
      <c r="C21" s="1123"/>
      <c r="D21" s="171"/>
      <c r="E21" s="1255"/>
      <c r="F21" s="1256"/>
      <c r="G21" s="1214"/>
      <c r="H21" s="1214"/>
      <c r="I21" s="1201"/>
      <c r="K21" s="1527" t="e">
        <f t="shared" si="0"/>
        <v>#N/A</v>
      </c>
      <c r="L21" s="1527"/>
      <c r="M21" s="313" t="e">
        <f t="shared" si="1"/>
        <v>#N/A</v>
      </c>
      <c r="N21" s="1614" t="e">
        <f>N20</f>
        <v>#N/A</v>
      </c>
      <c r="O21" s="1614"/>
      <c r="P21" s="1603"/>
      <c r="Q21" s="1604"/>
      <c r="T21" s="1588" t="s">
        <v>873</v>
      </c>
      <c r="U21" s="1588"/>
      <c r="V21" s="305" t="e">
        <f t="shared" si="2"/>
        <v>#VALUE!</v>
      </c>
      <c r="W21" s="58" t="s">
        <v>872</v>
      </c>
      <c r="X21" s="1523" t="e">
        <f>IF(DAY(V17)=31,DATE(YEAR(V17),MONTH(V17)+2,DAY(5)))</f>
        <v>#VALUE!</v>
      </c>
      <c r="Y21" s="1524"/>
      <c r="Z21" s="306" t="e">
        <f>IF(AND(DAY(V17)&gt;=6,DAY(V17)&lt;=20),DATE(YEAR(V17),MONTH(V17)+1,DAY(20)),IF(AND(DAY(V17)&gt;=21,DAY(V17)&lt;=30),DATE(YEAR(V17),MONTH(V17)+1,IF(DAY(EOMONTH(V17,1))&lt;31,DAY(EOMONTH(V17,1)),DAY(30))),DATE(YEAR(V17),MONTH(V17)+1,DAY(5))))</f>
        <v>#VALUE!</v>
      </c>
      <c r="AD21" s="1603"/>
      <c r="AE21" s="1604"/>
    </row>
    <row r="22" spans="1:36" s="22" customFormat="1" ht="12.6">
      <c r="B22" s="129" t="s">
        <v>874</v>
      </c>
      <c r="C22" s="101"/>
      <c r="D22" s="295" t="s">
        <v>802</v>
      </c>
      <c r="E22" s="273"/>
      <c r="F22" s="1558" t="e">
        <f>SUM(F19:I20,F17)</f>
        <v>#N/A</v>
      </c>
      <c r="G22" s="1559"/>
      <c r="H22" s="1559"/>
      <c r="I22" s="1560"/>
      <c r="K22" s="1527" t="e">
        <f t="shared" si="0"/>
        <v>#N/A</v>
      </c>
      <c r="L22" s="1527"/>
      <c r="M22" s="313" t="e">
        <f t="shared" si="1"/>
        <v>#N/A</v>
      </c>
      <c r="N22" s="1614" t="e">
        <f>N21</f>
        <v>#N/A</v>
      </c>
      <c r="O22" s="1614"/>
      <c r="P22" s="1603"/>
      <c r="Q22" s="1604"/>
      <c r="T22" s="1588" t="s">
        <v>875</v>
      </c>
      <c r="U22" s="1588"/>
      <c r="V22" s="305" t="e">
        <f t="shared" si="2"/>
        <v>#VALUE!</v>
      </c>
      <c r="X22" s="1522"/>
      <c r="Y22" s="1522"/>
      <c r="AD22" s="1603"/>
      <c r="AE22" s="1604"/>
      <c r="AF22" s="271">
        <f>'STANDARD_NON RFO UNITS'!AF22</f>
        <v>0</v>
      </c>
      <c r="AG22" s="1622">
        <f>AG20*AF22</f>
        <v>0</v>
      </c>
      <c r="AH22" s="1623"/>
      <c r="AI22" s="1623"/>
      <c r="AJ22" s="1624"/>
    </row>
    <row r="23" spans="1:36" s="22" customFormat="1" ht="12.6">
      <c r="A23" s="299"/>
      <c r="B23" s="147"/>
      <c r="C23" s="1123"/>
      <c r="D23" s="171"/>
      <c r="E23" s="705"/>
      <c r="F23" s="1257"/>
      <c r="G23" s="1257"/>
      <c r="H23" s="1257"/>
      <c r="I23" s="1123"/>
      <c r="J23" s="299"/>
      <c r="K23" s="1527" t="s">
        <v>1018</v>
      </c>
      <c r="L23" s="1527"/>
      <c r="M23" s="313" t="e">
        <f t="shared" si="1"/>
        <v>#N/A</v>
      </c>
      <c r="N23" s="1614" t="e">
        <f>G31+G33</f>
        <v>#N/A</v>
      </c>
      <c r="O23" s="1614"/>
      <c r="P23" s="1603"/>
      <c r="Q23" s="1604"/>
      <c r="T23" s="1588" t="s">
        <v>876</v>
      </c>
      <c r="U23" s="1588"/>
      <c r="V23" s="305" t="e">
        <f t="shared" si="2"/>
        <v>#VALUE!</v>
      </c>
      <c r="X23" s="1522"/>
      <c r="Y23" s="1522"/>
      <c r="AD23" s="1603"/>
      <c r="AE23" s="1604"/>
      <c r="AF23" s="1198"/>
      <c r="AG23" s="1627">
        <f>'STANDARD_NON RFO UNITS'!AG23</f>
        <v>0</v>
      </c>
      <c r="AH23" s="1628"/>
      <c r="AI23" s="1628"/>
      <c r="AJ23" s="1629"/>
    </row>
    <row r="24" spans="1:36" s="299" customFormat="1" ht="12.6">
      <c r="A24" s="22"/>
      <c r="B24" s="129" t="s">
        <v>877</v>
      </c>
      <c r="C24" s="226"/>
      <c r="D24" s="295" t="s">
        <v>802</v>
      </c>
      <c r="E24" s="271">
        <v>0.15</v>
      </c>
      <c r="F24" s="1622" t="e">
        <f>F22*E24</f>
        <v>#N/A</v>
      </c>
      <c r="G24" s="1623"/>
      <c r="H24" s="1623"/>
      <c r="I24" s="1624"/>
      <c r="J24" s="22"/>
      <c r="K24" s="1527" t="e">
        <f t="shared" si="0"/>
        <v>#N/A</v>
      </c>
      <c r="L24" s="1527"/>
      <c r="M24" s="313" t="e">
        <f t="shared" si="1"/>
        <v>#N/A</v>
      </c>
      <c r="N24" s="1614" t="e">
        <f>G31</f>
        <v>#N/A</v>
      </c>
      <c r="O24" s="1614"/>
      <c r="P24" s="1603"/>
      <c r="Q24" s="1604"/>
      <c r="T24" s="1588" t="s">
        <v>878</v>
      </c>
      <c r="U24" s="1588"/>
      <c r="V24" s="305" t="e">
        <f t="shared" si="2"/>
        <v>#VALUE!</v>
      </c>
      <c r="X24" s="1522"/>
      <c r="Y24" s="1522"/>
      <c r="AD24" s="1603"/>
      <c r="AE24" s="1604"/>
      <c r="AF24" s="1198"/>
      <c r="AG24" s="1622">
        <f>AG22-AG23</f>
        <v>0</v>
      </c>
      <c r="AH24" s="1623"/>
      <c r="AI24" s="1623"/>
      <c r="AJ24" s="1624"/>
    </row>
    <row r="25" spans="1:36" s="22" customFormat="1" ht="12.6">
      <c r="B25" s="144" t="s">
        <v>879</v>
      </c>
      <c r="C25" s="148"/>
      <c r="D25" s="171" t="s">
        <v>802</v>
      </c>
      <c r="E25" s="1198"/>
      <c r="F25" s="1627">
        <f>'STANDARD_NON RFO UNITS'!F25</f>
        <v>30000</v>
      </c>
      <c r="G25" s="1628"/>
      <c r="H25" s="1628"/>
      <c r="I25" s="1629"/>
      <c r="K25" s="1527" t="e">
        <f t="shared" si="0"/>
        <v>#N/A</v>
      </c>
      <c r="L25" s="1527"/>
      <c r="M25" s="313" t="e">
        <f t="shared" si="1"/>
        <v>#N/A</v>
      </c>
      <c r="N25" s="1614" t="e">
        <f>N24</f>
        <v>#N/A</v>
      </c>
      <c r="O25" s="1614"/>
      <c r="P25" s="1603"/>
      <c r="Q25" s="1604"/>
      <c r="T25" s="1588" t="s">
        <v>880</v>
      </c>
      <c r="U25" s="1588"/>
      <c r="V25" s="305" t="e">
        <f t="shared" si="2"/>
        <v>#VALUE!</v>
      </c>
      <c r="X25" s="1522"/>
      <c r="Y25" s="1522"/>
      <c r="AD25" s="1603"/>
      <c r="AE25" s="1604"/>
      <c r="AF25" s="1263">
        <v>0.7</v>
      </c>
      <c r="AG25" s="1622">
        <f>AG24*AF25</f>
        <v>0</v>
      </c>
      <c r="AH25" s="1623"/>
      <c r="AI25" s="1623"/>
      <c r="AJ25" s="1624"/>
    </row>
    <row r="26" spans="1:36" s="22" customFormat="1" ht="12.6">
      <c r="A26" s="299"/>
      <c r="B26" s="144" t="s">
        <v>1025</v>
      </c>
      <c r="C26" s="148"/>
      <c r="D26" s="171"/>
      <c r="E26" s="1266">
        <v>2.5000000000000001E-2</v>
      </c>
      <c r="F26" s="477" t="e">
        <f>F22*E26</f>
        <v>#N/A</v>
      </c>
      <c r="G26" s="478"/>
      <c r="H26" s="478"/>
      <c r="I26" s="479"/>
      <c r="J26" s="299"/>
      <c r="K26" s="1527" t="e">
        <f t="shared" si="0"/>
        <v>#N/A</v>
      </c>
      <c r="L26" s="1527"/>
      <c r="M26" s="313" t="e">
        <f t="shared" si="1"/>
        <v>#N/A</v>
      </c>
      <c r="N26" s="1614" t="e">
        <f t="shared" ref="N26:N28" si="3">N25</f>
        <v>#N/A</v>
      </c>
      <c r="O26" s="1614"/>
      <c r="P26" s="1603"/>
      <c r="Q26" s="1604"/>
      <c r="T26" s="1588" t="s">
        <v>882</v>
      </c>
      <c r="U26" s="1588"/>
      <c r="V26" s="305" t="e">
        <f t="shared" si="2"/>
        <v>#VALUE!</v>
      </c>
      <c r="X26" s="1522"/>
      <c r="Y26" s="1522"/>
      <c r="AD26" s="1603"/>
      <c r="AE26" s="1604"/>
      <c r="AF26" s="1263">
        <v>0.3</v>
      </c>
      <c r="AG26" s="1622">
        <f>AG24*AF26</f>
        <v>0</v>
      </c>
      <c r="AH26" s="1623"/>
      <c r="AI26" s="1623"/>
      <c r="AJ26" s="1624"/>
    </row>
    <row r="27" spans="1:36" s="299" customFormat="1" ht="12.6">
      <c r="B27" s="129" t="s">
        <v>946</v>
      </c>
      <c r="C27" s="101"/>
      <c r="D27" s="295" t="s">
        <v>802</v>
      </c>
      <c r="E27" s="1198"/>
      <c r="F27" s="1622" t="e">
        <f>F24-F25-F26</f>
        <v>#N/A</v>
      </c>
      <c r="G27" s="1623"/>
      <c r="H27" s="1623"/>
      <c r="I27" s="1624"/>
      <c r="J27" s="307"/>
      <c r="K27" s="1527" t="e">
        <f t="shared" si="0"/>
        <v>#N/A</v>
      </c>
      <c r="L27" s="1527"/>
      <c r="M27" s="313" t="e">
        <f t="shared" si="1"/>
        <v>#N/A</v>
      </c>
      <c r="N27" s="1614" t="e">
        <f t="shared" si="3"/>
        <v>#N/A</v>
      </c>
      <c r="O27" s="1614"/>
      <c r="P27" s="1603"/>
      <c r="Q27" s="1604"/>
      <c r="R27" s="299" t="s">
        <v>819</v>
      </c>
      <c r="T27" s="1588" t="s">
        <v>883</v>
      </c>
      <c r="U27" s="1588"/>
      <c r="V27" s="305" t="e">
        <f t="shared" si="2"/>
        <v>#VALUE!</v>
      </c>
      <c r="X27" s="1522"/>
      <c r="Y27" s="1522"/>
      <c r="AD27" s="1603"/>
      <c r="AE27" s="1604"/>
    </row>
    <row r="28" spans="1:36" s="299" customFormat="1" ht="12.6">
      <c r="B28" s="147"/>
      <c r="C28" s="1123"/>
      <c r="D28" s="171"/>
      <c r="E28" s="1264"/>
      <c r="F28" s="499" t="e">
        <f>F26/3</f>
        <v>#N/A</v>
      </c>
      <c r="G28" s="1257"/>
      <c r="H28" s="1257"/>
      <c r="I28" s="100"/>
      <c r="K28" s="1527" t="e">
        <f t="shared" si="0"/>
        <v>#N/A</v>
      </c>
      <c r="L28" s="1527"/>
      <c r="M28" s="313" t="e">
        <f t="shared" si="1"/>
        <v>#N/A</v>
      </c>
      <c r="N28" s="1614" t="e">
        <f t="shared" si="3"/>
        <v>#N/A</v>
      </c>
      <c r="O28" s="1614"/>
      <c r="P28" s="1603"/>
      <c r="Q28" s="1604"/>
      <c r="T28" s="1588" t="s">
        <v>885</v>
      </c>
      <c r="U28" s="1588"/>
      <c r="V28" s="305" t="e">
        <f t="shared" si="2"/>
        <v>#VALUE!</v>
      </c>
      <c r="X28" s="1522"/>
      <c r="Y28" s="1522"/>
      <c r="AD28" s="1603"/>
      <c r="AE28" s="1604"/>
    </row>
    <row r="29" spans="1:36" s="299" customFormat="1" ht="12.6">
      <c r="A29" s="22"/>
      <c r="B29" s="1625" t="s">
        <v>947</v>
      </c>
      <c r="C29" s="1625"/>
      <c r="D29" s="295"/>
      <c r="E29" s="463" t="s">
        <v>835</v>
      </c>
      <c r="F29" s="464" t="s">
        <v>834</v>
      </c>
      <c r="G29" s="1626" t="s">
        <v>948</v>
      </c>
      <c r="H29" s="1626"/>
      <c r="I29" s="1626"/>
      <c r="J29" s="22"/>
      <c r="K29" s="1527" t="s">
        <v>1019</v>
      </c>
      <c r="L29" s="1527"/>
      <c r="M29" s="313" t="e">
        <f t="shared" si="1"/>
        <v>#N/A</v>
      </c>
      <c r="N29" s="1614" t="e">
        <f>G32+G33</f>
        <v>#N/A</v>
      </c>
      <c r="O29" s="1614"/>
      <c r="P29" s="1603"/>
      <c r="Q29" s="1604"/>
      <c r="T29" s="1588" t="s">
        <v>886</v>
      </c>
      <c r="U29" s="1588"/>
      <c r="V29" s="305" t="e">
        <f t="shared" si="2"/>
        <v>#VALUE!</v>
      </c>
      <c r="X29" s="1522"/>
      <c r="Y29" s="1522"/>
      <c r="AD29" s="1603"/>
      <c r="AE29" s="1604"/>
    </row>
    <row r="30" spans="1:36" s="22" customFormat="1" ht="12.6">
      <c r="A30" s="299"/>
      <c r="B30" s="1620" t="str">
        <f>'INTERNAL PRICELIST(OLD)'!AH31</f>
        <v>1st to 5th month</v>
      </c>
      <c r="C30" s="1620"/>
      <c r="D30" s="295" t="s">
        <v>802</v>
      </c>
      <c r="E30" s="1258">
        <f>FORM!T39</f>
        <v>0</v>
      </c>
      <c r="F30" s="465">
        <f>'INTERNAL PRICELIST(OLD)'!AG31</f>
        <v>5</v>
      </c>
      <c r="G30" s="1621" t="e">
        <f>((F$27*E30)/'INTERNAL PRICELIST(OLD)'!AG31)</f>
        <v>#N/A</v>
      </c>
      <c r="H30" s="1621"/>
      <c r="I30" s="1621"/>
      <c r="J30" s="299"/>
      <c r="K30" s="1527" t="e">
        <f t="shared" si="0"/>
        <v>#N/A</v>
      </c>
      <c r="L30" s="1527"/>
      <c r="M30" s="313" t="e">
        <f t="shared" si="1"/>
        <v>#N/A</v>
      </c>
      <c r="N30" s="1614" t="e">
        <f>G32</f>
        <v>#N/A</v>
      </c>
      <c r="O30" s="1614"/>
      <c r="P30" s="1603"/>
      <c r="Q30" s="1604"/>
      <c r="R30" s="299"/>
      <c r="S30" s="299"/>
      <c r="T30" s="1588" t="s">
        <v>888</v>
      </c>
      <c r="U30" s="1588"/>
      <c r="V30" s="305" t="e">
        <f t="shared" si="2"/>
        <v>#VALUE!</v>
      </c>
      <c r="X30" s="1522"/>
      <c r="Y30" s="1522"/>
      <c r="AD30" s="1603"/>
      <c r="AE30" s="1604"/>
    </row>
    <row r="31" spans="1:36" s="299" customFormat="1" ht="12.6">
      <c r="A31" s="22"/>
      <c r="B31" s="1620" t="str">
        <f>'INTERNAL PRICELIST(OLD)'!AH32</f>
        <v>6th to 11th month</v>
      </c>
      <c r="C31" s="1620"/>
      <c r="D31" s="295" t="s">
        <v>802</v>
      </c>
      <c r="E31" s="1258">
        <f>FORM!T40</f>
        <v>0</v>
      </c>
      <c r="F31" s="465">
        <f>'INTERNAL PRICELIST(OLD)'!AG32</f>
        <v>6</v>
      </c>
      <c r="G31" s="1621" t="e">
        <f>((F$27*E31)/'INTERNAL PRICELIST(OLD)'!AG32)</f>
        <v>#N/A</v>
      </c>
      <c r="H31" s="1621"/>
      <c r="I31" s="1621"/>
      <c r="J31" s="22"/>
      <c r="K31" s="1527" t="e">
        <f t="shared" si="0"/>
        <v>#N/A</v>
      </c>
      <c r="L31" s="1527"/>
      <c r="M31" s="313" t="e">
        <f t="shared" si="1"/>
        <v>#N/A</v>
      </c>
      <c r="N31" s="1614" t="e">
        <f>N30</f>
        <v>#N/A</v>
      </c>
      <c r="O31" s="1614"/>
      <c r="P31" s="1603"/>
      <c r="Q31" s="1604"/>
      <c r="T31" s="1588" t="s">
        <v>889</v>
      </c>
      <c r="U31" s="1588"/>
      <c r="V31" s="305" t="e">
        <f t="shared" si="2"/>
        <v>#VALUE!</v>
      </c>
      <c r="X31" s="1522"/>
      <c r="Y31" s="1522"/>
      <c r="AD31" s="1603"/>
      <c r="AE31" s="1604"/>
    </row>
    <row r="32" spans="1:36" s="22" customFormat="1" ht="12.6">
      <c r="A32" s="299"/>
      <c r="B32" s="1620" t="str">
        <f>'INTERNAL PRICELIST(OLD)'!AH33</f>
        <v>12th to 17th month</v>
      </c>
      <c r="C32" s="1620"/>
      <c r="D32" s="295" t="s">
        <v>802</v>
      </c>
      <c r="E32" s="1258">
        <f>FORM!T41</f>
        <v>0</v>
      </c>
      <c r="F32" s="465">
        <f>'INTERNAL PRICELIST(OLD)'!AG33</f>
        <v>6</v>
      </c>
      <c r="G32" s="1621" t="e">
        <f>((F$27*E32)/'INTERNAL PRICELIST(OLD)'!AG33)</f>
        <v>#N/A</v>
      </c>
      <c r="H32" s="1621"/>
      <c r="I32" s="1621"/>
      <c r="J32" s="299"/>
      <c r="K32" s="1527" t="e">
        <f t="shared" si="0"/>
        <v>#N/A</v>
      </c>
      <c r="L32" s="1527"/>
      <c r="M32" s="313" t="e">
        <f t="shared" si="1"/>
        <v>#N/A</v>
      </c>
      <c r="N32" s="1614" t="e">
        <f t="shared" ref="N32:N33" si="4">N31</f>
        <v>#N/A</v>
      </c>
      <c r="O32" s="1614"/>
      <c r="P32" s="1603"/>
      <c r="Q32" s="1604"/>
      <c r="R32" s="299"/>
      <c r="S32" s="299"/>
      <c r="T32" s="1588" t="s">
        <v>891</v>
      </c>
      <c r="U32" s="1588"/>
      <c r="V32" s="305" t="e">
        <f t="shared" si="2"/>
        <v>#VALUE!</v>
      </c>
      <c r="X32" s="1522"/>
      <c r="Y32" s="1522"/>
      <c r="AD32" s="1603"/>
      <c r="AE32" s="1604"/>
    </row>
    <row r="33" spans="1:31" s="299" customFormat="1" ht="12.6">
      <c r="A33" s="22"/>
      <c r="B33" s="693" t="str">
        <f>'INTERNAL PRICELIST(OLD)'!AH35</f>
        <v>Lumpsum payment of the 6th, 12th, &amp; 17th month</v>
      </c>
      <c r="C33" s="693"/>
      <c r="D33" s="295"/>
      <c r="E33" s="1258"/>
      <c r="F33" s="465">
        <v>3</v>
      </c>
      <c r="G33" s="1621" t="e">
        <f>F28</f>
        <v>#N/A</v>
      </c>
      <c r="H33" s="1621"/>
      <c r="I33" s="1621"/>
      <c r="J33" s="22"/>
      <c r="K33" s="1527" t="e">
        <f t="shared" si="0"/>
        <v>#N/A</v>
      </c>
      <c r="L33" s="1527"/>
      <c r="M33" s="313" t="e">
        <f t="shared" si="1"/>
        <v>#N/A</v>
      </c>
      <c r="N33" s="1614" t="e">
        <f t="shared" si="4"/>
        <v>#N/A</v>
      </c>
      <c r="O33" s="1614"/>
      <c r="P33" s="1603"/>
      <c r="Q33" s="1604"/>
      <c r="T33" s="1588" t="s">
        <v>892</v>
      </c>
      <c r="U33" s="1588"/>
      <c r="V33" s="305" t="e">
        <f t="shared" si="2"/>
        <v>#VALUE!</v>
      </c>
      <c r="X33" s="1522"/>
      <c r="Y33" s="1522"/>
      <c r="AD33" s="1603"/>
      <c r="AE33" s="1604"/>
    </row>
    <row r="34" spans="1:31" s="22" customFormat="1" ht="12.95">
      <c r="B34" s="175" t="s">
        <v>1020</v>
      </c>
      <c r="C34" s="175"/>
      <c r="D34" s="171"/>
      <c r="E34" s="705"/>
      <c r="F34" s="466">
        <f>SUM(F30:F32)</f>
        <v>17</v>
      </c>
      <c r="G34" s="1125"/>
      <c r="H34" s="1125"/>
      <c r="I34" s="1123"/>
      <c r="K34" s="1527" t="s">
        <v>1021</v>
      </c>
      <c r="L34" s="1527"/>
      <c r="M34" s="313" t="e">
        <f t="shared" si="1"/>
        <v>#N/A</v>
      </c>
      <c r="N34" s="1614" t="e">
        <f>G32+G33</f>
        <v>#N/A</v>
      </c>
      <c r="O34" s="1614"/>
      <c r="P34" s="1603"/>
      <c r="Q34" s="1604"/>
      <c r="T34" s="1588" t="s">
        <v>895</v>
      </c>
      <c r="U34" s="1588"/>
      <c r="V34" s="305" t="e">
        <f t="shared" si="2"/>
        <v>#VALUE!</v>
      </c>
      <c r="X34" s="1522"/>
      <c r="Y34" s="1522"/>
      <c r="AD34" s="1603"/>
      <c r="AE34" s="1604"/>
    </row>
    <row r="35" spans="1:31" s="22" customFormat="1" ht="12.95">
      <c r="A35" s="299"/>
      <c r="B35" s="175" t="s">
        <v>1020</v>
      </c>
      <c r="C35" s="175"/>
      <c r="D35" s="171"/>
      <c r="E35" s="705"/>
      <c r="F35" s="466"/>
      <c r="G35" s="1125"/>
      <c r="H35" s="1125"/>
      <c r="I35" s="1123"/>
      <c r="J35" s="299"/>
      <c r="K35" s="1527"/>
      <c r="L35" s="1527"/>
      <c r="M35" s="313" t="str">
        <f t="shared" si="1"/>
        <v/>
      </c>
      <c r="N35" s="1690"/>
      <c r="O35" s="1690"/>
      <c r="P35" s="1603"/>
      <c r="Q35" s="1604"/>
      <c r="T35" s="1588" t="s">
        <v>896</v>
      </c>
      <c r="U35" s="1588"/>
      <c r="V35" s="305" t="e">
        <f t="shared" si="2"/>
        <v>#VALUE!</v>
      </c>
      <c r="X35" s="1522"/>
      <c r="Y35" s="1522"/>
      <c r="AD35" s="1603"/>
      <c r="AE35" s="1604"/>
    </row>
    <row r="36" spans="1:31" s="299" customFormat="1" ht="12.6">
      <c r="A36" s="22"/>
      <c r="B36" s="129" t="s">
        <v>887</v>
      </c>
      <c r="C36" s="101"/>
      <c r="D36" s="295" t="s">
        <v>802</v>
      </c>
      <c r="E36" s="271">
        <f>100%-E24</f>
        <v>0.85</v>
      </c>
      <c r="F36" s="1622" t="e">
        <f>F22*E36</f>
        <v>#N/A</v>
      </c>
      <c r="G36" s="1623"/>
      <c r="H36" s="1623"/>
      <c r="I36" s="1624"/>
      <c r="J36" s="22"/>
      <c r="K36" s="1527">
        <f t="shared" si="0"/>
        <v>0</v>
      </c>
      <c r="L36" s="1527"/>
      <c r="M36" s="313" t="str">
        <f t="shared" si="1"/>
        <v/>
      </c>
      <c r="N36" s="1614"/>
      <c r="O36" s="1614"/>
      <c r="P36" s="1603"/>
      <c r="Q36" s="1604"/>
      <c r="T36" s="1588" t="s">
        <v>897</v>
      </c>
      <c r="U36" s="1588"/>
      <c r="V36" s="305" t="e">
        <f t="shared" si="2"/>
        <v>#VALUE!</v>
      </c>
      <c r="X36" s="1522"/>
      <c r="Y36" s="1522"/>
      <c r="AD36" s="1603"/>
      <c r="AE36" s="1604"/>
    </row>
    <row r="37" spans="1:31" s="22" customFormat="1" ht="12.6">
      <c r="B37" s="147"/>
      <c r="C37" s="1123"/>
      <c r="D37" s="171"/>
      <c r="E37" s="98"/>
      <c r="F37" s="98"/>
      <c r="G37" s="98"/>
      <c r="H37" s="98"/>
      <c r="I37" s="98"/>
      <c r="K37" s="1527">
        <f t="shared" si="0"/>
        <v>0</v>
      </c>
      <c r="L37" s="1527"/>
      <c r="M37" s="313" t="str">
        <f t="shared" si="1"/>
        <v/>
      </c>
      <c r="N37" s="1614"/>
      <c r="O37" s="1614"/>
      <c r="P37" s="1603"/>
      <c r="Q37" s="1604"/>
      <c r="T37" s="1588" t="s">
        <v>898</v>
      </c>
      <c r="U37" s="1588"/>
      <c r="V37" s="305" t="e">
        <f t="shared" si="2"/>
        <v>#VALUE!</v>
      </c>
      <c r="X37" s="1522"/>
      <c r="Y37" s="1522"/>
      <c r="AD37" s="1603"/>
      <c r="AE37" s="1604"/>
    </row>
    <row r="38" spans="1:31" s="22" customFormat="1" ht="12.6">
      <c r="B38" s="101" t="s">
        <v>890</v>
      </c>
      <c r="C38" s="101"/>
      <c r="D38" s="308"/>
      <c r="E38" s="308"/>
      <c r="F38" s="308"/>
      <c r="G38" s="308"/>
      <c r="H38" s="308"/>
      <c r="I38" s="308"/>
      <c r="K38" s="1527">
        <f t="shared" si="0"/>
        <v>0</v>
      </c>
      <c r="L38" s="1527"/>
      <c r="M38" s="313" t="str">
        <f t="shared" si="1"/>
        <v/>
      </c>
      <c r="N38" s="1614"/>
      <c r="O38" s="1614"/>
      <c r="P38" s="1603"/>
      <c r="Q38" s="1604"/>
      <c r="T38" s="1588" t="s">
        <v>899</v>
      </c>
      <c r="U38" s="1588"/>
      <c r="V38" s="305" t="e">
        <f t="shared" si="2"/>
        <v>#VALUE!</v>
      </c>
      <c r="X38" s="1522"/>
      <c r="Y38" s="1522"/>
      <c r="AD38" s="1603"/>
      <c r="AE38" s="1604"/>
    </row>
    <row r="39" spans="1:31" s="22" customFormat="1" ht="12.6">
      <c r="B39" s="175"/>
      <c r="C39" s="175"/>
      <c r="D39" s="308"/>
      <c r="E39" s="308"/>
      <c r="F39" s="308"/>
      <c r="G39" s="308"/>
      <c r="H39" s="308"/>
      <c r="I39" s="308"/>
      <c r="K39" s="1527">
        <f t="shared" si="0"/>
        <v>0</v>
      </c>
      <c r="L39" s="1527"/>
      <c r="M39" s="313" t="str">
        <f t="shared" si="1"/>
        <v/>
      </c>
      <c r="N39" s="1614"/>
      <c r="O39" s="1614"/>
      <c r="P39" s="1603"/>
      <c r="Q39" s="1604"/>
      <c r="T39" s="1588" t="s">
        <v>901</v>
      </c>
      <c r="U39" s="1588"/>
      <c r="V39" s="305" t="e">
        <f t="shared" si="2"/>
        <v>#VALUE!</v>
      </c>
      <c r="X39" s="1522"/>
      <c r="Y39" s="1522"/>
      <c r="AD39" s="1603"/>
      <c r="AE39" s="1604"/>
    </row>
    <row r="40" spans="1:31" s="22" customFormat="1" ht="12.6">
      <c r="B40" s="608" t="s">
        <v>56</v>
      </c>
      <c r="C40" s="608" t="s">
        <v>57</v>
      </c>
      <c r="D40" s="1616" t="s">
        <v>58</v>
      </c>
      <c r="E40" s="1616"/>
      <c r="F40" s="608" t="s">
        <v>893</v>
      </c>
      <c r="G40" s="1617" t="s">
        <v>949</v>
      </c>
      <c r="H40" s="1618"/>
      <c r="I40" s="1619"/>
      <c r="K40" s="1527">
        <f t="shared" si="0"/>
        <v>0</v>
      </c>
      <c r="L40" s="1527"/>
      <c r="M40" s="313" t="str">
        <f t="shared" si="1"/>
        <v/>
      </c>
      <c r="N40" s="1614"/>
      <c r="O40" s="1614"/>
      <c r="P40" s="1603"/>
      <c r="Q40" s="1604"/>
      <c r="T40" s="1588" t="s">
        <v>903</v>
      </c>
      <c r="U40" s="1588"/>
      <c r="V40" s="305" t="e">
        <f t="shared" si="2"/>
        <v>#VALUE!</v>
      </c>
      <c r="X40" s="1522"/>
      <c r="Y40" s="1522"/>
      <c r="AD40" s="1603"/>
      <c r="AE40" s="1604"/>
    </row>
    <row r="41" spans="1:31" s="22" customFormat="1" ht="12.6">
      <c r="B41" s="467">
        <v>5</v>
      </c>
      <c r="C41" s="468">
        <v>7.0000000000000007E-2</v>
      </c>
      <c r="D41" s="1615">
        <f>PMT(C41/12,B41*12,-1)</f>
        <v>1.9801198540349535E-2</v>
      </c>
      <c r="E41" s="1615"/>
      <c r="F41" s="1259" t="e">
        <f>D41*F36</f>
        <v>#N/A</v>
      </c>
      <c r="G41" s="1611" t="e">
        <f>F41/0.33</f>
        <v>#N/A</v>
      </c>
      <c r="H41" s="1612"/>
      <c r="I41" s="1613"/>
      <c r="K41" s="1527">
        <f t="shared" si="0"/>
        <v>0</v>
      </c>
      <c r="L41" s="1527"/>
      <c r="M41" s="313" t="str">
        <f t="shared" si="1"/>
        <v/>
      </c>
      <c r="N41" s="1605"/>
      <c r="O41" s="1605"/>
      <c r="P41" s="1603"/>
      <c r="Q41" s="1604"/>
      <c r="T41" s="1588" t="s">
        <v>905</v>
      </c>
      <c r="U41" s="1588"/>
      <c r="V41" s="305" t="e">
        <f t="shared" si="2"/>
        <v>#VALUE!</v>
      </c>
      <c r="X41" s="1522"/>
      <c r="Y41" s="1522"/>
      <c r="AD41" s="1603"/>
      <c r="AE41" s="1604"/>
    </row>
    <row r="42" spans="1:31" s="22" customFormat="1" ht="12.6">
      <c r="B42" s="467">
        <v>10</v>
      </c>
      <c r="C42" s="1265">
        <v>7.0000000000000007E-2</v>
      </c>
      <c r="D42" s="1615">
        <f>PMT(C42/12,B42*12,-1)</f>
        <v>1.1610847921862406E-2</v>
      </c>
      <c r="E42" s="1615"/>
      <c r="F42" s="1259" t="e">
        <f>D42*F36</f>
        <v>#N/A</v>
      </c>
      <c r="G42" s="1611" t="e">
        <f>F42/0.33</f>
        <v>#N/A</v>
      </c>
      <c r="H42" s="1612"/>
      <c r="I42" s="1613"/>
      <c r="K42" s="1588">
        <f t="shared" si="0"/>
        <v>0</v>
      </c>
      <c r="L42" s="1588"/>
      <c r="M42" s="302" t="str">
        <f t="shared" si="1"/>
        <v/>
      </c>
      <c r="N42" s="1607"/>
      <c r="O42" s="1607"/>
      <c r="P42" s="1603"/>
      <c r="Q42" s="1604"/>
      <c r="T42" s="1588" t="s">
        <v>907</v>
      </c>
      <c r="U42" s="1588"/>
      <c r="V42" s="305" t="e">
        <f t="shared" si="2"/>
        <v>#VALUE!</v>
      </c>
      <c r="X42" s="1522"/>
      <c r="Y42" s="1522"/>
      <c r="AD42" s="1603"/>
      <c r="AE42" s="1604"/>
    </row>
    <row r="43" spans="1:31" s="22" customFormat="1" ht="12.6">
      <c r="B43" s="467">
        <v>15</v>
      </c>
      <c r="C43" s="1265">
        <v>7.0000000000000007E-2</v>
      </c>
      <c r="D43" s="1615">
        <f>PMT(C43/12,B43*12,-1)</f>
        <v>8.988282708524269E-3</v>
      </c>
      <c r="E43" s="1615"/>
      <c r="F43" s="1259" t="e">
        <f>D43*F36</f>
        <v>#N/A</v>
      </c>
      <c r="G43" s="1611" t="e">
        <f>F43/0.33</f>
        <v>#N/A</v>
      </c>
      <c r="H43" s="1612"/>
      <c r="I43" s="1613"/>
      <c r="K43" s="1588">
        <f t="shared" si="0"/>
        <v>0</v>
      </c>
      <c r="L43" s="1588"/>
      <c r="M43" s="302" t="str">
        <f t="shared" si="1"/>
        <v/>
      </c>
      <c r="N43" s="1607"/>
      <c r="O43" s="1607"/>
      <c r="P43" s="1603"/>
      <c r="Q43" s="1604"/>
      <c r="T43" s="1588" t="s">
        <v>908</v>
      </c>
      <c r="U43" s="1588"/>
      <c r="V43" s="305" t="e">
        <f t="shared" si="2"/>
        <v>#VALUE!</v>
      </c>
      <c r="X43" s="1522"/>
      <c r="Y43" s="1522"/>
      <c r="AD43" s="1603"/>
      <c r="AE43" s="1604"/>
    </row>
    <row r="44" spans="1:31" s="22" customFormat="1" ht="12.6">
      <c r="B44" s="467">
        <v>20</v>
      </c>
      <c r="C44" s="1265">
        <v>7.0000000000000007E-2</v>
      </c>
      <c r="D44" s="1610">
        <f>PMT(C44/12,B44*12,-1)</f>
        <v>7.7529893561887461E-3</v>
      </c>
      <c r="E44" s="1610"/>
      <c r="F44" s="1259" t="e">
        <f>D44*F36</f>
        <v>#N/A</v>
      </c>
      <c r="G44" s="1611" t="e">
        <f>F44/0.33</f>
        <v>#N/A</v>
      </c>
      <c r="H44" s="1612"/>
      <c r="I44" s="1613"/>
      <c r="K44" s="1588">
        <f t="shared" si="0"/>
        <v>0</v>
      </c>
      <c r="L44" s="1588"/>
      <c r="M44" s="302" t="str">
        <f t="shared" si="1"/>
        <v/>
      </c>
      <c r="N44" s="1607"/>
      <c r="O44" s="1607"/>
      <c r="P44" s="1603"/>
      <c r="Q44" s="1604"/>
      <c r="T44" s="1588" t="s">
        <v>910</v>
      </c>
      <c r="U44" s="1588"/>
      <c r="V44" s="305" t="e">
        <f t="shared" si="2"/>
        <v>#VALUE!</v>
      </c>
      <c r="X44" s="1522"/>
      <c r="Y44" s="1522"/>
      <c r="AD44" s="1603"/>
      <c r="AE44" s="1604"/>
    </row>
    <row r="45" spans="1:31" s="22" customFormat="1" ht="12">
      <c r="B45" s="309" t="s">
        <v>1022</v>
      </c>
      <c r="G45" s="24"/>
      <c r="K45" s="1588">
        <f t="shared" si="0"/>
        <v>0</v>
      </c>
      <c r="L45" s="1588"/>
      <c r="M45" s="302" t="str">
        <f t="shared" si="1"/>
        <v/>
      </c>
      <c r="N45" s="1607"/>
      <c r="O45" s="1607"/>
      <c r="P45" s="1603"/>
      <c r="Q45" s="1604"/>
      <c r="T45" s="1588" t="s">
        <v>911</v>
      </c>
      <c r="U45" s="1588"/>
      <c r="V45" s="305" t="e">
        <f t="shared" si="2"/>
        <v>#VALUE!</v>
      </c>
      <c r="X45" s="1522"/>
      <c r="Y45" s="1522"/>
      <c r="AD45" s="1603"/>
      <c r="AE45" s="1604"/>
    </row>
    <row r="46" spans="1:31" s="22" customFormat="1" ht="12">
      <c r="B46" s="309" t="s">
        <v>1026</v>
      </c>
      <c r="C46" s="310"/>
      <c r="D46" s="434"/>
      <c r="K46" s="1588">
        <f t="shared" si="0"/>
        <v>0</v>
      </c>
      <c r="L46" s="1588"/>
      <c r="M46" s="302" t="str">
        <f t="shared" si="1"/>
        <v/>
      </c>
      <c r="N46" s="1607"/>
      <c r="O46" s="1607"/>
      <c r="P46" s="1603"/>
      <c r="Q46" s="1604"/>
      <c r="T46" s="1588" t="s">
        <v>913</v>
      </c>
      <c r="U46" s="1588"/>
      <c r="V46" s="305" t="e">
        <f t="shared" si="2"/>
        <v>#VALUE!</v>
      </c>
      <c r="X46" s="1522"/>
      <c r="Y46" s="1522"/>
      <c r="AD46" s="1603"/>
      <c r="AE46" s="1604"/>
    </row>
    <row r="47" spans="1:31" s="22" customFormat="1" ht="12">
      <c r="B47" s="311" t="s">
        <v>904</v>
      </c>
      <c r="D47" s="434"/>
      <c r="K47" s="1588">
        <f t="shared" si="0"/>
        <v>0</v>
      </c>
      <c r="L47" s="1588"/>
      <c r="M47" s="302" t="str">
        <f t="shared" si="1"/>
        <v/>
      </c>
      <c r="N47" s="1607"/>
      <c r="O47" s="1607"/>
      <c r="P47" s="1603"/>
      <c r="Q47" s="1604"/>
      <c r="T47" s="1588" t="s">
        <v>914</v>
      </c>
      <c r="U47" s="1588"/>
      <c r="V47" s="305" t="e">
        <f t="shared" si="2"/>
        <v>#VALUE!</v>
      </c>
      <c r="X47" s="1522"/>
      <c r="Y47" s="1522"/>
      <c r="AD47" s="1603"/>
      <c r="AE47" s="1604"/>
    </row>
    <row r="48" spans="1:31" s="22" customFormat="1" ht="12">
      <c r="B48" s="311" t="s">
        <v>906</v>
      </c>
      <c r="C48" s="310"/>
      <c r="D48" s="434"/>
      <c r="K48" s="1588">
        <f t="shared" si="0"/>
        <v>0</v>
      </c>
      <c r="L48" s="1588"/>
      <c r="M48" s="302" t="str">
        <f t="shared" si="1"/>
        <v/>
      </c>
      <c r="N48" s="1607"/>
      <c r="O48" s="1607"/>
      <c r="P48" s="1603"/>
      <c r="Q48" s="1604"/>
      <c r="T48" s="1588" t="s">
        <v>915</v>
      </c>
      <c r="U48" s="1588"/>
      <c r="V48" s="305" t="e">
        <f t="shared" si="2"/>
        <v>#VALUE!</v>
      </c>
      <c r="X48" s="1522"/>
      <c r="Y48" s="1522"/>
      <c r="AD48" s="1603"/>
      <c r="AE48" s="1604"/>
    </row>
    <row r="49" spans="1:25" s="22" customFormat="1" ht="12.6">
      <c r="A49" s="1189"/>
      <c r="D49" s="434"/>
      <c r="K49" s="1588">
        <f t="shared" si="0"/>
        <v>0</v>
      </c>
      <c r="L49" s="1588"/>
      <c r="M49" s="302" t="str">
        <f t="shared" si="1"/>
        <v/>
      </c>
      <c r="N49" s="1607"/>
      <c r="O49" s="1607"/>
      <c r="P49" s="1603"/>
      <c r="Q49" s="1604"/>
      <c r="T49" s="1588" t="s">
        <v>916</v>
      </c>
      <c r="U49" s="1588"/>
      <c r="V49" s="305" t="e">
        <f t="shared" si="2"/>
        <v>#VALUE!</v>
      </c>
      <c r="X49" s="1606"/>
      <c r="Y49" s="1606"/>
    </row>
    <row r="50" spans="1:25">
      <c r="A50" s="22"/>
      <c r="B50" s="294" t="s">
        <v>924</v>
      </c>
      <c r="C50" s="312"/>
      <c r="D50" s="299"/>
      <c r="E50" s="299"/>
      <c r="F50" s="299"/>
      <c r="G50" s="299"/>
      <c r="H50" s="299"/>
      <c r="I50" s="299"/>
      <c r="K50" s="1588">
        <f t="shared" si="0"/>
        <v>0</v>
      </c>
      <c r="L50" s="1588"/>
      <c r="M50" s="302" t="str">
        <f t="shared" si="1"/>
        <v/>
      </c>
      <c r="N50" s="1607"/>
      <c r="O50" s="1607"/>
      <c r="P50" s="1603"/>
      <c r="Q50" s="1604"/>
      <c r="T50" s="1588" t="s">
        <v>917</v>
      </c>
      <c r="U50" s="1588"/>
      <c r="V50" s="305" t="e">
        <f t="shared" si="2"/>
        <v>#VALUE!</v>
      </c>
    </row>
    <row r="51" spans="1:25" s="22" customFormat="1" ht="11.45">
      <c r="B51" s="299"/>
      <c r="C51" s="299"/>
      <c r="D51" s="299"/>
      <c r="E51" s="299"/>
      <c r="F51" s="299"/>
      <c r="G51" s="299"/>
      <c r="H51" s="299"/>
      <c r="I51" s="299"/>
      <c r="K51" s="1588">
        <f t="shared" si="0"/>
        <v>0</v>
      </c>
      <c r="L51" s="1588"/>
      <c r="M51" s="302" t="str">
        <f t="shared" si="1"/>
        <v/>
      </c>
      <c r="N51" s="1607"/>
      <c r="O51" s="1607"/>
      <c r="P51" s="1603"/>
      <c r="Q51" s="1604"/>
      <c r="T51" s="1588" t="s">
        <v>918</v>
      </c>
      <c r="U51" s="1588"/>
      <c r="V51" s="305" t="e">
        <f t="shared" si="2"/>
        <v>#VALUE!</v>
      </c>
      <c r="X51" s="76"/>
      <c r="Y51" s="76"/>
    </row>
    <row r="52" spans="1:25" s="22" customFormat="1" ht="12.6">
      <c r="B52" s="1549" t="s">
        <v>814</v>
      </c>
      <c r="C52" s="1549"/>
      <c r="D52" s="1549" t="s">
        <v>815</v>
      </c>
      <c r="E52" s="1549"/>
      <c r="F52" s="1549"/>
      <c r="G52" s="1549" t="s">
        <v>928</v>
      </c>
      <c r="H52" s="1549"/>
      <c r="I52" s="1549"/>
      <c r="K52" s="1588">
        <f t="shared" si="0"/>
        <v>0</v>
      </c>
      <c r="L52" s="1588"/>
      <c r="M52" s="302" t="str">
        <f t="shared" si="1"/>
        <v/>
      </c>
      <c r="N52" s="1607"/>
      <c r="O52" s="1607"/>
      <c r="P52" s="1603"/>
      <c r="Q52" s="1604"/>
      <c r="T52" s="1588" t="s">
        <v>919</v>
      </c>
      <c r="U52" s="1588"/>
      <c r="V52" s="305" t="e">
        <f t="shared" si="2"/>
        <v>#VALUE!</v>
      </c>
      <c r="X52" s="76"/>
      <c r="Y52" s="76"/>
    </row>
    <row r="53" spans="1:25" s="22" customFormat="1" ht="11.45">
      <c r="B53" s="1508">
        <f>FORM!O19</f>
        <v>0</v>
      </c>
      <c r="C53" s="1509"/>
      <c r="D53" s="1508">
        <f>FORM!S19</f>
        <v>0</v>
      </c>
      <c r="E53" s="1512"/>
      <c r="F53" s="1509"/>
      <c r="G53" s="1514">
        <f>FORM!V19</f>
        <v>0</v>
      </c>
      <c r="H53" s="1515"/>
      <c r="I53" s="1516"/>
      <c r="K53" s="1588">
        <f t="shared" si="0"/>
        <v>0</v>
      </c>
      <c r="L53" s="1588"/>
      <c r="M53" s="302" t="str">
        <f t="shared" si="1"/>
        <v/>
      </c>
      <c r="N53" s="1607"/>
      <c r="O53" s="1607"/>
      <c r="P53" s="1603"/>
      <c r="Q53" s="1604"/>
      <c r="T53" s="1588" t="s">
        <v>921</v>
      </c>
      <c r="U53" s="1588"/>
      <c r="V53" s="305" t="e">
        <f t="shared" si="2"/>
        <v>#VALUE!</v>
      </c>
      <c r="X53" s="76"/>
      <c r="Y53" s="76"/>
    </row>
    <row r="54" spans="1:25" s="22" customFormat="1" ht="11.45">
      <c r="B54" s="1510"/>
      <c r="C54" s="1511"/>
      <c r="D54" s="1510"/>
      <c r="E54" s="1513"/>
      <c r="F54" s="1511"/>
      <c r="G54" s="1517"/>
      <c r="H54" s="1518"/>
      <c r="I54" s="1519"/>
      <c r="K54" s="1588">
        <f t="shared" si="0"/>
        <v>0</v>
      </c>
      <c r="L54" s="1588"/>
      <c r="M54" s="302" t="str">
        <f t="shared" si="1"/>
        <v/>
      </c>
      <c r="N54" s="1607"/>
      <c r="O54" s="1607"/>
      <c r="P54" s="1603"/>
      <c r="Q54" s="1604"/>
      <c r="T54" s="1588" t="s">
        <v>922</v>
      </c>
      <c r="U54" s="1588"/>
      <c r="V54" s="305" t="e">
        <f t="shared" si="2"/>
        <v>#VALUE!</v>
      </c>
      <c r="X54" s="76"/>
      <c r="Y54" s="76"/>
    </row>
    <row r="55" spans="1:25" s="22" customFormat="1" ht="12.6">
      <c r="B55" s="1508">
        <f>FORM!O21</f>
        <v>0</v>
      </c>
      <c r="C55" s="1509"/>
      <c r="D55" s="1508">
        <f>FORM!S21</f>
        <v>0</v>
      </c>
      <c r="E55" s="1512"/>
      <c r="F55" s="1509"/>
      <c r="G55" s="1514">
        <f>FORM!V21</f>
        <v>0</v>
      </c>
      <c r="H55" s="1515"/>
      <c r="I55" s="1516"/>
      <c r="K55" s="1527">
        <f t="shared" si="0"/>
        <v>0</v>
      </c>
      <c r="L55" s="1527"/>
      <c r="M55" s="313" t="str">
        <f t="shared" si="1"/>
        <v/>
      </c>
      <c r="N55" s="1608"/>
      <c r="O55" s="1609"/>
      <c r="P55" s="1603"/>
      <c r="Q55" s="1604"/>
      <c r="T55" s="1588" t="s">
        <v>923</v>
      </c>
      <c r="U55" s="1588"/>
      <c r="V55" s="305" t="e">
        <f t="shared" si="2"/>
        <v>#VALUE!</v>
      </c>
      <c r="X55" s="76"/>
      <c r="Y55" s="76"/>
    </row>
    <row r="56" spans="1:25" s="22" customFormat="1" ht="12.6">
      <c r="B56" s="1510"/>
      <c r="C56" s="1511"/>
      <c r="D56" s="1510"/>
      <c r="E56" s="1513"/>
      <c r="F56" s="1511"/>
      <c r="G56" s="1517"/>
      <c r="H56" s="1518"/>
      <c r="I56" s="1519"/>
      <c r="K56" s="1527">
        <f t="shared" si="0"/>
        <v>0</v>
      </c>
      <c r="L56" s="1527"/>
      <c r="M56" s="313" t="str">
        <f t="shared" si="1"/>
        <v/>
      </c>
      <c r="N56" s="1608"/>
      <c r="O56" s="1609"/>
      <c r="P56" s="1603"/>
      <c r="Q56" s="1604"/>
      <c r="T56" s="1588" t="s">
        <v>925</v>
      </c>
      <c r="U56" s="1588"/>
      <c r="V56" s="305" t="e">
        <f t="shared" si="2"/>
        <v>#VALUE!</v>
      </c>
      <c r="X56" s="76"/>
      <c r="Y56" s="76"/>
    </row>
    <row r="57" spans="1:25" s="22" customFormat="1" ht="12.6">
      <c r="B57" s="1508">
        <f>FORM!O25</f>
        <v>0</v>
      </c>
      <c r="C57" s="1509"/>
      <c r="D57" s="1508">
        <f>FORM!S25</f>
        <v>0</v>
      </c>
      <c r="E57" s="1512"/>
      <c r="F57" s="1509"/>
      <c r="G57" s="1514">
        <f>FORM!V25</f>
        <v>0</v>
      </c>
      <c r="H57" s="1515"/>
      <c r="I57" s="1516"/>
      <c r="J57" s="22" t="s">
        <v>819</v>
      </c>
      <c r="K57" s="1527">
        <f t="shared" si="0"/>
        <v>0</v>
      </c>
      <c r="L57" s="1527"/>
      <c r="M57" s="313" t="str">
        <f t="shared" si="1"/>
        <v/>
      </c>
      <c r="N57" s="1605"/>
      <c r="O57" s="1605"/>
      <c r="P57" s="1603"/>
      <c r="Q57" s="1604"/>
      <c r="T57" s="1588" t="s">
        <v>926</v>
      </c>
      <c r="U57" s="1588"/>
      <c r="V57" s="305" t="e">
        <f t="shared" si="2"/>
        <v>#VALUE!</v>
      </c>
      <c r="X57" s="76"/>
      <c r="Y57" s="76"/>
    </row>
    <row r="58" spans="1:25" s="22" customFormat="1" ht="12.6">
      <c r="B58" s="1510"/>
      <c r="C58" s="1511"/>
      <c r="D58" s="1510"/>
      <c r="E58" s="1513"/>
      <c r="F58" s="1511"/>
      <c r="G58" s="1517"/>
      <c r="H58" s="1518"/>
      <c r="I58" s="1519"/>
      <c r="K58" s="1527">
        <f t="shared" si="0"/>
        <v>0</v>
      </c>
      <c r="L58" s="1527"/>
      <c r="M58" s="313" t="str">
        <f t="shared" si="1"/>
        <v/>
      </c>
      <c r="N58" s="1605"/>
      <c r="O58" s="1605"/>
      <c r="P58" s="1603"/>
      <c r="Q58" s="1604"/>
      <c r="T58" s="1588" t="s">
        <v>929</v>
      </c>
      <c r="U58" s="1588"/>
      <c r="V58" s="305" t="e">
        <f t="shared" si="2"/>
        <v>#VALUE!</v>
      </c>
      <c r="X58" s="76"/>
      <c r="Y58" s="76"/>
    </row>
    <row r="59" spans="1:25" s="22" customFormat="1" ht="12.6">
      <c r="B59" s="1589">
        <f>FORM!O27</f>
        <v>0</v>
      </c>
      <c r="C59" s="1590"/>
      <c r="D59" s="1589">
        <f>FORM!S27</f>
        <v>0</v>
      </c>
      <c r="E59" s="1593"/>
      <c r="F59" s="1590"/>
      <c r="G59" s="1595">
        <f>FORM!V27</f>
        <v>0</v>
      </c>
      <c r="H59" s="1596"/>
      <c r="I59" s="1597"/>
      <c r="K59" s="1527" t="s">
        <v>935</v>
      </c>
      <c r="L59" s="1527"/>
      <c r="M59" s="313" t="e">
        <f>IF(DAY(M17)=31,X20,Z20)</f>
        <v>#VALUE!</v>
      </c>
      <c r="N59" s="1602" t="e">
        <f>F36</f>
        <v>#N/A</v>
      </c>
      <c r="O59" s="1602"/>
      <c r="P59" s="1603"/>
      <c r="Q59" s="1604"/>
      <c r="T59" s="1588" t="s">
        <v>930</v>
      </c>
      <c r="U59" s="1588"/>
      <c r="V59" s="305" t="e">
        <f t="shared" si="2"/>
        <v>#VALUE!</v>
      </c>
      <c r="X59" s="76"/>
      <c r="Y59" s="76"/>
    </row>
    <row r="60" spans="1:25" s="22" customFormat="1" ht="11.45">
      <c r="B60" s="1591"/>
      <c r="C60" s="1592"/>
      <c r="D60" s="1591"/>
      <c r="E60" s="1594"/>
      <c r="F60" s="1592"/>
      <c r="G60" s="1598"/>
      <c r="H60" s="1599"/>
      <c r="I60" s="1600"/>
      <c r="K60" s="314"/>
      <c r="M60" s="315"/>
      <c r="O60" s="691" t="e">
        <f>F22-SUM(N17:O59)</f>
        <v>#N/A</v>
      </c>
      <c r="V60" s="316"/>
      <c r="X60" s="76"/>
      <c r="Y60" s="76"/>
    </row>
    <row r="61" spans="1:25" s="22" customFormat="1" ht="12.6">
      <c r="B61" s="1589">
        <f>FORM!O31</f>
        <v>0</v>
      </c>
      <c r="C61" s="1590"/>
      <c r="D61" s="1589">
        <f>FORM!S31</f>
        <v>0</v>
      </c>
      <c r="E61" s="1593"/>
      <c r="F61" s="1590"/>
      <c r="G61" s="1595">
        <f>FORM!V31</f>
        <v>0</v>
      </c>
      <c r="H61" s="1596"/>
      <c r="I61" s="1597"/>
      <c r="K61" s="469"/>
      <c r="L61" s="1189"/>
      <c r="M61" s="1248"/>
      <c r="N61" s="1189"/>
      <c r="O61" s="1189"/>
      <c r="P61" s="1189"/>
      <c r="Q61" s="1189"/>
      <c r="V61" s="301"/>
      <c r="X61" s="76"/>
      <c r="Y61" s="76"/>
    </row>
    <row r="62" spans="1:25" s="22" customFormat="1" ht="12.6">
      <c r="B62" s="1591"/>
      <c r="C62" s="1592"/>
      <c r="D62" s="1591"/>
      <c r="E62" s="1594"/>
      <c r="F62" s="1592"/>
      <c r="G62" s="1598"/>
      <c r="H62" s="1599"/>
      <c r="I62" s="1600"/>
      <c r="K62" s="1189"/>
      <c r="L62" s="1189"/>
      <c r="M62" s="1248"/>
      <c r="N62" s="1189"/>
      <c r="O62" s="1189"/>
      <c r="P62" s="1189"/>
      <c r="Q62" s="1189"/>
      <c r="V62" s="301"/>
      <c r="X62" s="76"/>
      <c r="Y62" s="76"/>
    </row>
    <row r="63" spans="1:25" s="22" customFormat="1" ht="12.6">
      <c r="B63" s="1589">
        <f>FORM!O33</f>
        <v>0</v>
      </c>
      <c r="C63" s="1590"/>
      <c r="D63" s="1589">
        <f>FORM!S33</f>
        <v>0</v>
      </c>
      <c r="E63" s="1593"/>
      <c r="F63" s="1590"/>
      <c r="G63" s="1595">
        <f>FORM!V33</f>
        <v>0</v>
      </c>
      <c r="H63" s="1596"/>
      <c r="I63" s="1597"/>
      <c r="K63" s="3" t="s">
        <v>936</v>
      </c>
      <c r="L63" s="3"/>
      <c r="M63" s="3"/>
      <c r="N63" s="3"/>
      <c r="O63" s="1189"/>
      <c r="P63" s="3" t="s">
        <v>937</v>
      </c>
      <c r="Q63" s="3"/>
      <c r="V63" s="301"/>
      <c r="X63" s="76"/>
      <c r="Y63" s="76"/>
    </row>
    <row r="64" spans="1:25" s="22" customFormat="1">
      <c r="A64" s="2"/>
      <c r="B64" s="1591"/>
      <c r="C64" s="1592"/>
      <c r="D64" s="1591"/>
      <c r="E64" s="1594"/>
      <c r="F64" s="1592"/>
      <c r="G64" s="1598"/>
      <c r="H64" s="1599"/>
      <c r="I64" s="1600"/>
      <c r="K64" s="1189"/>
      <c r="L64" s="1189"/>
      <c r="M64" s="1225"/>
      <c r="N64" s="1189"/>
      <c r="O64" s="1189"/>
      <c r="P64" s="1189"/>
      <c r="Q64" s="1189"/>
      <c r="V64" s="301"/>
      <c r="X64" s="76"/>
      <c r="Y64" s="76"/>
    </row>
    <row r="65" spans="2:17">
      <c r="B65" s="1189"/>
      <c r="C65" s="1189"/>
      <c r="D65" s="1225"/>
      <c r="E65" s="1189"/>
      <c r="F65" s="1189"/>
      <c r="G65" s="1189"/>
      <c r="H65" s="1189"/>
      <c r="I65" s="1189"/>
      <c r="K65" s="1189"/>
      <c r="L65" s="1189"/>
      <c r="M65" s="1225"/>
      <c r="N65" s="1189"/>
      <c r="O65" s="1189"/>
      <c r="P65" s="1189"/>
      <c r="Q65" s="1189"/>
    </row>
    <row r="66" spans="2:17">
      <c r="B66" s="250"/>
      <c r="C66" s="161" t="s">
        <v>950</v>
      </c>
      <c r="D66" s="1601"/>
      <c r="E66" s="1601"/>
      <c r="F66" s="1601"/>
      <c r="G66" s="1189"/>
      <c r="H66" s="1189"/>
      <c r="I66" s="1189"/>
      <c r="K66" s="1587" t="str">
        <f>B70</f>
        <v xml:space="preserve">agent </v>
      </c>
      <c r="L66" s="1587"/>
      <c r="M66" s="1587"/>
      <c r="N66" s="1189"/>
      <c r="O66" s="1189"/>
      <c r="P66" s="1587" t="str">
        <f>F70</f>
        <v>cnc</v>
      </c>
      <c r="Q66" s="1587"/>
    </row>
    <row r="67" spans="2:17">
      <c r="B67" s="470"/>
      <c r="C67" s="1123"/>
      <c r="D67" s="1123"/>
      <c r="E67" s="1123"/>
      <c r="F67" s="100"/>
      <c r="G67" s="1189"/>
      <c r="H67" s="1189"/>
      <c r="I67" s="1189"/>
      <c r="K67" s="1260" t="s">
        <v>939</v>
      </c>
      <c r="L67" s="1260"/>
      <c r="M67" s="1261"/>
      <c r="N67" s="1189"/>
      <c r="O67" s="1189"/>
      <c r="P67" s="1260" t="s">
        <v>939</v>
      </c>
      <c r="Q67" s="1260"/>
    </row>
    <row r="68" spans="2:17">
      <c r="B68" s="3" t="s">
        <v>936</v>
      </c>
      <c r="C68" s="3"/>
      <c r="D68" s="3"/>
      <c r="E68" s="3"/>
      <c r="F68" s="3" t="s">
        <v>937</v>
      </c>
      <c r="G68" s="3"/>
      <c r="H68" s="3"/>
      <c r="I68" s="1189"/>
      <c r="M68" s="2"/>
    </row>
    <row r="69" spans="2:17">
      <c r="B69" s="1189"/>
      <c r="C69" s="1189"/>
      <c r="D69" s="1225"/>
      <c r="E69" s="1189"/>
      <c r="F69" s="1189"/>
      <c r="G69" s="1189"/>
      <c r="H69" s="1189"/>
      <c r="I69" s="1189"/>
      <c r="M69" s="2"/>
    </row>
    <row r="70" spans="2:17">
      <c r="B70" s="1587" t="str">
        <f>'STANDARD_NON RFO UNITS'!B81:D81</f>
        <v xml:space="preserve">agent </v>
      </c>
      <c r="C70" s="1587"/>
      <c r="D70" s="1262"/>
      <c r="E70" s="1189"/>
      <c r="F70" s="1587" t="str">
        <f>'STANDARD_NON RFO UNITS'!F81:I81</f>
        <v>cnc</v>
      </c>
      <c r="G70" s="1587"/>
      <c r="H70" s="1189"/>
      <c r="I70" s="1189"/>
    </row>
    <row r="71" spans="2:17">
      <c r="B71" s="1260" t="s">
        <v>939</v>
      </c>
      <c r="C71" s="1260"/>
      <c r="D71" s="1225"/>
      <c r="E71" s="1189"/>
      <c r="F71" s="1260" t="s">
        <v>939</v>
      </c>
      <c r="G71" s="1260"/>
      <c r="H71" s="1189"/>
      <c r="I71" s="1189"/>
    </row>
    <row r="72" spans="2:17">
      <c r="B72" s="1189"/>
      <c r="C72" s="1189"/>
      <c r="D72" s="1225"/>
      <c r="E72" s="1189"/>
      <c r="F72" s="1189"/>
      <c r="G72" s="1189"/>
      <c r="H72" s="1189"/>
      <c r="I72" s="1189"/>
    </row>
    <row r="73" spans="2:17">
      <c r="B73" s="1189"/>
      <c r="C73" s="1189"/>
      <c r="D73" s="1225"/>
      <c r="E73" s="1189"/>
      <c r="F73" s="1189"/>
      <c r="G73" s="1189"/>
      <c r="H73" s="1189"/>
      <c r="I73" s="1189"/>
    </row>
    <row r="114" spans="1:1">
      <c r="A114" s="317" t="e">
        <f>F17*12%</f>
        <v>#N/A</v>
      </c>
    </row>
  </sheetData>
  <sheetProtection formatCells="0" formatColumns="0" formatRows="0"/>
  <mergeCells count="322">
    <mergeCell ref="P66:Q66"/>
    <mergeCell ref="K59:L59"/>
    <mergeCell ref="N59:O59"/>
    <mergeCell ref="P59:Q59"/>
    <mergeCell ref="B61:C62"/>
    <mergeCell ref="D61:F62"/>
    <mergeCell ref="G61:I62"/>
    <mergeCell ref="B59:C60"/>
    <mergeCell ref="D59:F60"/>
    <mergeCell ref="G59:I60"/>
    <mergeCell ref="B55:C56"/>
    <mergeCell ref="D55:F56"/>
    <mergeCell ref="G55:I56"/>
    <mergeCell ref="B57:C58"/>
    <mergeCell ref="D57:F58"/>
    <mergeCell ref="G57:I58"/>
    <mergeCell ref="K57:L57"/>
    <mergeCell ref="K55:L55"/>
    <mergeCell ref="B70:C70"/>
    <mergeCell ref="F70:G70"/>
    <mergeCell ref="B63:C64"/>
    <mergeCell ref="D63:F64"/>
    <mergeCell ref="G63:I64"/>
    <mergeCell ref="D66:F66"/>
    <mergeCell ref="K66:M66"/>
    <mergeCell ref="N55:O55"/>
    <mergeCell ref="P55:Q55"/>
    <mergeCell ref="T55:U55"/>
    <mergeCell ref="K56:L56"/>
    <mergeCell ref="N56:O56"/>
    <mergeCell ref="P56:Q56"/>
    <mergeCell ref="T56:U56"/>
    <mergeCell ref="T59:U59"/>
    <mergeCell ref="N58:O58"/>
    <mergeCell ref="P58:Q58"/>
    <mergeCell ref="N57:O57"/>
    <mergeCell ref="P57:Q57"/>
    <mergeCell ref="T57:U57"/>
    <mergeCell ref="T58:U58"/>
    <mergeCell ref="K58:L58"/>
    <mergeCell ref="T51:U51"/>
    <mergeCell ref="B53:C54"/>
    <mergeCell ref="D53:F54"/>
    <mergeCell ref="G53:I54"/>
    <mergeCell ref="K52:L52"/>
    <mergeCell ref="N52:O52"/>
    <mergeCell ref="P52:Q52"/>
    <mergeCell ref="T52:U52"/>
    <mergeCell ref="K53:L53"/>
    <mergeCell ref="N53:O53"/>
    <mergeCell ref="B52:C52"/>
    <mergeCell ref="D52:F52"/>
    <mergeCell ref="G52:I52"/>
    <mergeCell ref="K51:L51"/>
    <mergeCell ref="N51:O51"/>
    <mergeCell ref="P51:Q51"/>
    <mergeCell ref="P53:Q53"/>
    <mergeCell ref="T53:U53"/>
    <mergeCell ref="K54:L54"/>
    <mergeCell ref="N54:O54"/>
    <mergeCell ref="P54:Q54"/>
    <mergeCell ref="T54:U54"/>
    <mergeCell ref="K49:L49"/>
    <mergeCell ref="N49:O49"/>
    <mergeCell ref="P49:Q49"/>
    <mergeCell ref="T49:U49"/>
    <mergeCell ref="X49:Y49"/>
    <mergeCell ref="K50:L50"/>
    <mergeCell ref="N50:O50"/>
    <mergeCell ref="P50:Q50"/>
    <mergeCell ref="T50:U50"/>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5:L45"/>
    <mergeCell ref="N45:O45"/>
    <mergeCell ref="P45:Q45"/>
    <mergeCell ref="T45:U45"/>
    <mergeCell ref="X45:Y45"/>
    <mergeCell ref="AD45:AE45"/>
    <mergeCell ref="K44:L44"/>
    <mergeCell ref="N44:O44"/>
    <mergeCell ref="P44:Q44"/>
    <mergeCell ref="T44:U44"/>
    <mergeCell ref="X44:Y44"/>
    <mergeCell ref="AD44:AE44"/>
    <mergeCell ref="D44:E44"/>
    <mergeCell ref="G44:I44"/>
    <mergeCell ref="K43:L43"/>
    <mergeCell ref="N43:O43"/>
    <mergeCell ref="P43:Q43"/>
    <mergeCell ref="T43:U43"/>
    <mergeCell ref="D43:E43"/>
    <mergeCell ref="G43:I43"/>
    <mergeCell ref="K42:L42"/>
    <mergeCell ref="N42:O42"/>
    <mergeCell ref="P42:Q42"/>
    <mergeCell ref="T42:U42"/>
    <mergeCell ref="X42:Y42"/>
    <mergeCell ref="AD42:AE42"/>
    <mergeCell ref="D42:E42"/>
    <mergeCell ref="G42:I42"/>
    <mergeCell ref="X43:Y43"/>
    <mergeCell ref="AD43:AE43"/>
    <mergeCell ref="X39:Y39"/>
    <mergeCell ref="AD39:AE39"/>
    <mergeCell ref="D41:E41"/>
    <mergeCell ref="G41:I41"/>
    <mergeCell ref="K40:L40"/>
    <mergeCell ref="N40:O40"/>
    <mergeCell ref="P40:Q40"/>
    <mergeCell ref="T40:U40"/>
    <mergeCell ref="X40:Y40"/>
    <mergeCell ref="AD40:AE40"/>
    <mergeCell ref="D40:E40"/>
    <mergeCell ref="G40:I40"/>
    <mergeCell ref="K39:L39"/>
    <mergeCell ref="N39:O39"/>
    <mergeCell ref="P39:Q39"/>
    <mergeCell ref="T39:U39"/>
    <mergeCell ref="X41:Y41"/>
    <mergeCell ref="AD41:AE41"/>
    <mergeCell ref="K41:L41"/>
    <mergeCell ref="N41:O41"/>
    <mergeCell ref="P41:Q41"/>
    <mergeCell ref="T41:U41"/>
    <mergeCell ref="K38:L38"/>
    <mergeCell ref="N38:O38"/>
    <mergeCell ref="P38:Q38"/>
    <mergeCell ref="T38:U38"/>
    <mergeCell ref="X38:Y38"/>
    <mergeCell ref="AD38:AE38"/>
    <mergeCell ref="K37:L37"/>
    <mergeCell ref="N37:O37"/>
    <mergeCell ref="P37:Q37"/>
    <mergeCell ref="T37:U37"/>
    <mergeCell ref="X37:Y37"/>
    <mergeCell ref="AD37:AE37"/>
    <mergeCell ref="AD35:AE35"/>
    <mergeCell ref="K36:L36"/>
    <mergeCell ref="N36:O36"/>
    <mergeCell ref="P36:Q36"/>
    <mergeCell ref="T36:U36"/>
    <mergeCell ref="X36:Y36"/>
    <mergeCell ref="AD36:AE36"/>
    <mergeCell ref="F36:I36"/>
    <mergeCell ref="K35:L35"/>
    <mergeCell ref="N35:O35"/>
    <mergeCell ref="P35:Q35"/>
    <mergeCell ref="T35:U35"/>
    <mergeCell ref="X35:Y35"/>
    <mergeCell ref="K34:L34"/>
    <mergeCell ref="N34:O34"/>
    <mergeCell ref="P34:Q34"/>
    <mergeCell ref="T34:U34"/>
    <mergeCell ref="X34:Y34"/>
    <mergeCell ref="AD34:AE34"/>
    <mergeCell ref="AD32:AE32"/>
    <mergeCell ref="K33:L33"/>
    <mergeCell ref="N33:O33"/>
    <mergeCell ref="P33:Q33"/>
    <mergeCell ref="T33:U33"/>
    <mergeCell ref="X33:Y33"/>
    <mergeCell ref="AD33:AE33"/>
    <mergeCell ref="G33:I33"/>
    <mergeCell ref="K32:L32"/>
    <mergeCell ref="N32:O32"/>
    <mergeCell ref="P32:Q32"/>
    <mergeCell ref="T32:U32"/>
    <mergeCell ref="X32:Y32"/>
    <mergeCell ref="X30:Y30"/>
    <mergeCell ref="AD30:AE30"/>
    <mergeCell ref="B32:C32"/>
    <mergeCell ref="G32:I32"/>
    <mergeCell ref="K31:L31"/>
    <mergeCell ref="N31:O31"/>
    <mergeCell ref="P31:Q31"/>
    <mergeCell ref="T31:U31"/>
    <mergeCell ref="X31:Y31"/>
    <mergeCell ref="AD31:AE31"/>
    <mergeCell ref="B31:C31"/>
    <mergeCell ref="G31:I31"/>
    <mergeCell ref="K30:L30"/>
    <mergeCell ref="N30:O30"/>
    <mergeCell ref="P30:Q30"/>
    <mergeCell ref="T30:U30"/>
    <mergeCell ref="X28:Y28"/>
    <mergeCell ref="AD28:AE28"/>
    <mergeCell ref="B30:C30"/>
    <mergeCell ref="G30:I30"/>
    <mergeCell ref="K29:L29"/>
    <mergeCell ref="N29:O29"/>
    <mergeCell ref="P29:Q29"/>
    <mergeCell ref="T29:U29"/>
    <mergeCell ref="X29:Y29"/>
    <mergeCell ref="AD29:AE29"/>
    <mergeCell ref="B29:C29"/>
    <mergeCell ref="G29:I29"/>
    <mergeCell ref="K28:L28"/>
    <mergeCell ref="N28:O28"/>
    <mergeCell ref="P28:Q28"/>
    <mergeCell ref="T28:U28"/>
    <mergeCell ref="AD26:AE26"/>
    <mergeCell ref="AG26:AJ26"/>
    <mergeCell ref="K27:L27"/>
    <mergeCell ref="N27:O27"/>
    <mergeCell ref="P27:Q27"/>
    <mergeCell ref="T27:U27"/>
    <mergeCell ref="X27:Y27"/>
    <mergeCell ref="AD27:AE27"/>
    <mergeCell ref="F27:I27"/>
    <mergeCell ref="K26:L26"/>
    <mergeCell ref="N26:O26"/>
    <mergeCell ref="P26:Q26"/>
    <mergeCell ref="T26:U26"/>
    <mergeCell ref="X26:Y26"/>
    <mergeCell ref="AD24:AE24"/>
    <mergeCell ref="AG24:AJ24"/>
    <mergeCell ref="F25:I25"/>
    <mergeCell ref="K25:L25"/>
    <mergeCell ref="N25:O25"/>
    <mergeCell ref="P25:Q25"/>
    <mergeCell ref="T25:U25"/>
    <mergeCell ref="X25:Y25"/>
    <mergeCell ref="AD25:AE25"/>
    <mergeCell ref="AG25:AJ25"/>
    <mergeCell ref="F24:I24"/>
    <mergeCell ref="K24:L24"/>
    <mergeCell ref="N24:O24"/>
    <mergeCell ref="P24:Q24"/>
    <mergeCell ref="T24:U24"/>
    <mergeCell ref="X24:Y24"/>
    <mergeCell ref="AD22:AE22"/>
    <mergeCell ref="AG22:AJ22"/>
    <mergeCell ref="K23:L23"/>
    <mergeCell ref="N23:O23"/>
    <mergeCell ref="P23:Q23"/>
    <mergeCell ref="T23:U23"/>
    <mergeCell ref="X23:Y23"/>
    <mergeCell ref="AD23:AE23"/>
    <mergeCell ref="AG23:AJ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E7:F7"/>
    <mergeCell ref="N7:Q7"/>
    <mergeCell ref="E11:F11"/>
    <mergeCell ref="G11:I11"/>
    <mergeCell ref="N11:O11"/>
    <mergeCell ref="P11:Q11"/>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1">
    <tabColor rgb="FF0070C0"/>
  </sheetPr>
  <dimension ref="A1:BA114"/>
  <sheetViews>
    <sheetView showGridLines="0" showZeros="0" view="pageLayout" topLeftCell="A18" zoomScale="85" zoomScaleNormal="90" zoomScaleSheetLayoutView="80" zoomScalePageLayoutView="85" workbookViewId="0">
      <selection activeCell="B35" sqref="B35"/>
    </sheetView>
  </sheetViews>
  <sheetFormatPr defaultColWidth="9.140625" defaultRowHeight="13.5"/>
  <cols>
    <col min="1" max="1" width="1.140625" style="2" customWidth="1"/>
    <col min="2" max="2" width="12" style="2" customWidth="1"/>
    <col min="3" max="3" width="21.140625" style="2" customWidth="1"/>
    <col min="4" max="4" width="21"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86" customFormat="1" ht="12.6">
      <c r="B1" s="160" t="s">
        <v>847</v>
      </c>
      <c r="C1" s="1191" t="str">
        <f>FORM!I20</f>
        <v>September 1,2025</v>
      </c>
      <c r="D1" s="1192"/>
      <c r="F1" s="132" t="s">
        <v>942</v>
      </c>
      <c r="G1" s="1528" t="s">
        <v>849</v>
      </c>
      <c r="H1" s="1528"/>
      <c r="I1" s="1528"/>
      <c r="J1" s="88"/>
      <c r="K1" s="160" t="s">
        <v>847</v>
      </c>
      <c r="L1" s="1191" t="str">
        <f>C1</f>
        <v>September 1,2025</v>
      </c>
      <c r="M1" s="1250"/>
      <c r="O1" s="471"/>
      <c r="P1" s="132" t="s">
        <v>943</v>
      </c>
      <c r="Q1" s="1193" t="s">
        <v>851</v>
      </c>
      <c r="V1" s="284"/>
    </row>
    <row r="2" spans="1:53" s="86" customFormat="1" ht="7.5" customHeight="1">
      <c r="C2" s="87"/>
      <c r="D2" s="87"/>
      <c r="K2" s="137"/>
      <c r="L2" s="137"/>
      <c r="M2" s="137"/>
      <c r="N2" s="137"/>
      <c r="O2" s="137"/>
      <c r="P2" s="137"/>
      <c r="Q2" s="137"/>
      <c r="V2" s="284"/>
    </row>
    <row r="3" spans="1:53" s="86" customFormat="1" ht="14.25" customHeight="1">
      <c r="B3" s="1638" t="str">
        <f>'INTERNAL PRICELIST(OLD)'!AH24</f>
        <v>7% Step-up plus 3% Lumpsum</v>
      </c>
      <c r="C3" s="1638"/>
      <c r="D3" s="1638"/>
      <c r="E3" s="1638"/>
      <c r="F3" s="1638"/>
      <c r="G3" s="1638"/>
      <c r="H3" s="1638"/>
      <c r="I3" s="1638"/>
      <c r="J3" s="285"/>
      <c r="K3" s="1638" t="s">
        <v>853</v>
      </c>
      <c r="L3" s="1638"/>
      <c r="M3" s="1638"/>
      <c r="N3" s="1638"/>
      <c r="O3" s="1638"/>
      <c r="P3" s="1638"/>
      <c r="Q3" s="1638"/>
      <c r="V3" s="284"/>
    </row>
    <row r="4" spans="1:53" s="86" customFormat="1" ht="12.75" customHeight="1">
      <c r="B4" s="1638"/>
      <c r="C4" s="1638"/>
      <c r="D4" s="1638"/>
      <c r="E4" s="1638"/>
      <c r="F4" s="1638"/>
      <c r="G4" s="1638"/>
      <c r="H4" s="1638"/>
      <c r="I4" s="1638"/>
      <c r="J4" s="285"/>
      <c r="K4" s="1638"/>
      <c r="L4" s="1638"/>
      <c r="M4" s="1638"/>
      <c r="N4" s="1638"/>
      <c r="O4" s="1638"/>
      <c r="P4" s="1638"/>
      <c r="Q4" s="1638"/>
      <c r="V4" s="284"/>
    </row>
    <row r="5" spans="1:53" s="86" customFormat="1" ht="12.75" customHeight="1">
      <c r="B5" s="174"/>
      <c r="C5" s="174"/>
      <c r="D5" s="207"/>
      <c r="E5" s="97"/>
      <c r="F5" s="97"/>
      <c r="G5" s="97"/>
      <c r="H5" s="97"/>
      <c r="I5" s="97"/>
      <c r="J5" s="174"/>
      <c r="K5" s="286"/>
      <c r="L5" s="287"/>
      <c r="M5" s="288"/>
      <c r="N5" s="287"/>
      <c r="O5" s="287"/>
      <c r="P5" s="287"/>
      <c r="Q5" s="288"/>
      <c r="V5" s="284"/>
    </row>
    <row r="6" spans="1:53">
      <c r="A6" s="1123"/>
      <c r="B6" s="225" t="s">
        <v>854</v>
      </c>
      <c r="C6" s="226"/>
      <c r="D6" s="171" t="s">
        <v>802</v>
      </c>
      <c r="E6" s="1529" t="str">
        <f>'STANDARD_NON RFO UNITS'!E6:I6</f>
        <v>cnc</v>
      </c>
      <c r="F6" s="1530"/>
      <c r="G6" s="1530"/>
      <c r="H6" s="1530"/>
      <c r="I6" s="1531"/>
      <c r="J6" s="142"/>
      <c r="K6" s="225" t="s">
        <v>854</v>
      </c>
      <c r="L6" s="228"/>
      <c r="M6" s="705" t="s">
        <v>802</v>
      </c>
      <c r="N6" s="1527" t="str">
        <f>E6</f>
        <v>cnc</v>
      </c>
      <c r="O6" s="1527"/>
      <c r="P6" s="1527"/>
      <c r="Q6" s="1527"/>
      <c r="AM6" s="291"/>
      <c r="AZ6" s="292"/>
      <c r="BA6" s="293"/>
    </row>
    <row r="7" spans="1:53">
      <c r="A7" s="1123"/>
      <c r="B7" s="144" t="s">
        <v>801</v>
      </c>
      <c r="C7" s="227"/>
      <c r="D7" s="171" t="s">
        <v>802</v>
      </c>
      <c r="E7" s="1543" t="str">
        <f>'STANDARD_NON RFO UNITS'!E7:I7</f>
        <v>The Southprime Flats</v>
      </c>
      <c r="F7" s="1544"/>
      <c r="G7" s="1200" t="str">
        <f>FORM!I14</f>
        <v>B1</v>
      </c>
      <c r="H7" s="1200"/>
      <c r="I7" s="1201"/>
      <c r="J7" s="142"/>
      <c r="K7" s="144" t="s">
        <v>801</v>
      </c>
      <c r="L7" s="148"/>
      <c r="M7" s="705" t="s">
        <v>802</v>
      </c>
      <c r="N7" s="1527" t="str">
        <f>E7</f>
        <v>The Southprime Flats</v>
      </c>
      <c r="O7" s="1527"/>
      <c r="P7" s="1527"/>
      <c r="Q7" s="1527"/>
      <c r="AM7" s="291"/>
      <c r="AZ7" s="292"/>
      <c r="BA7" s="293"/>
    </row>
    <row r="8" spans="1:53">
      <c r="A8" s="1123"/>
      <c r="B8" s="144" t="s">
        <v>855</v>
      </c>
      <c r="C8" s="227"/>
      <c r="D8" s="171" t="s">
        <v>802</v>
      </c>
      <c r="E8" s="1529" t="str">
        <f>'STANDARD_NON RFO UNITS'!E8:I8</f>
        <v>2F</v>
      </c>
      <c r="F8" s="1530"/>
      <c r="G8" s="1530"/>
      <c r="H8" s="1530"/>
      <c r="I8" s="1531"/>
      <c r="J8" s="142"/>
      <c r="K8" s="144" t="s">
        <v>855</v>
      </c>
      <c r="L8" s="148"/>
      <c r="M8" s="705" t="s">
        <v>802</v>
      </c>
      <c r="N8" s="1527" t="str">
        <f>E8</f>
        <v>2F</v>
      </c>
      <c r="O8" s="1527"/>
      <c r="P8" s="1527"/>
      <c r="Q8" s="1527"/>
      <c r="AM8" s="291"/>
      <c r="AZ8" s="292"/>
      <c r="BA8" s="293"/>
    </row>
    <row r="9" spans="1:53" hidden="1">
      <c r="A9" s="1123"/>
      <c r="B9" s="144" t="s">
        <v>856</v>
      </c>
      <c r="C9" s="227"/>
      <c r="D9" s="171" t="s">
        <v>802</v>
      </c>
      <c r="E9" s="1529" t="e">
        <f>'STANDARD_NON RFO UNITS'!E9:I9</f>
        <v>#REF!</v>
      </c>
      <c r="F9" s="1530"/>
      <c r="G9" s="1530"/>
      <c r="H9" s="1530"/>
      <c r="I9" s="1531"/>
      <c r="J9" s="142"/>
      <c r="K9" s="144" t="s">
        <v>856</v>
      </c>
      <c r="L9" s="148"/>
      <c r="M9" s="705" t="s">
        <v>802</v>
      </c>
      <c r="N9" s="1527" t="str">
        <f>[5]FORM!I14</f>
        <v>TOWER 1</v>
      </c>
      <c r="O9" s="1527"/>
      <c r="P9" s="1527"/>
      <c r="Q9" s="1527"/>
      <c r="AM9" s="291"/>
      <c r="AZ9" s="292"/>
      <c r="BA9" s="293"/>
    </row>
    <row r="10" spans="1:53">
      <c r="A10" s="1123"/>
      <c r="B10" s="144" t="s">
        <v>857</v>
      </c>
      <c r="C10" s="227"/>
      <c r="D10" s="171" t="s">
        <v>802</v>
      </c>
      <c r="E10" s="1529" t="str">
        <f>'STANDARD_NON RFO UNITS'!E10:I10</f>
        <v>Studio Unit</v>
      </c>
      <c r="F10" s="1530"/>
      <c r="G10" s="1530"/>
      <c r="H10" s="1530"/>
      <c r="I10" s="1531"/>
      <c r="J10" s="142"/>
      <c r="K10" s="144" t="s">
        <v>857</v>
      </c>
      <c r="L10" s="148"/>
      <c r="M10" s="705" t="s">
        <v>802</v>
      </c>
      <c r="N10" s="1527" t="str">
        <f>E10</f>
        <v>Studio Unit</v>
      </c>
      <c r="O10" s="1527"/>
      <c r="P10" s="1527"/>
      <c r="Q10" s="1527"/>
      <c r="AM10" s="291"/>
      <c r="AZ10" s="292"/>
      <c r="BA10" s="293"/>
    </row>
    <row r="11" spans="1:53">
      <c r="A11" s="1123"/>
      <c r="B11" s="144" t="s">
        <v>858</v>
      </c>
      <c r="C11" s="227"/>
      <c r="D11" s="171" t="s">
        <v>802</v>
      </c>
      <c r="E11" s="1539">
        <f>'STANDARD_NON RFO UNITS'!E11:F11</f>
        <v>22</v>
      </c>
      <c r="F11" s="1540"/>
      <c r="G11" s="1541" t="s">
        <v>859</v>
      </c>
      <c r="H11" s="1541"/>
      <c r="I11" s="1542"/>
      <c r="J11" s="142"/>
      <c r="K11" s="144" t="s">
        <v>858</v>
      </c>
      <c r="L11" s="148"/>
      <c r="M11" s="705" t="s">
        <v>802</v>
      </c>
      <c r="N11" s="1639">
        <f>E11</f>
        <v>22</v>
      </c>
      <c r="O11" s="1640"/>
      <c r="P11" s="1636" t="s">
        <v>859</v>
      </c>
      <c r="Q11" s="1637"/>
      <c r="AM11" s="291"/>
      <c r="AZ11" s="292"/>
      <c r="BA11" s="293"/>
    </row>
    <row r="12" spans="1:53">
      <c r="A12" s="1123"/>
      <c r="B12" s="148" t="s">
        <v>860</v>
      </c>
      <c r="C12" s="227"/>
      <c r="D12" s="171" t="s">
        <v>802</v>
      </c>
      <c r="E12" s="1539">
        <f>'STANDARD_NON RFO UNITS'!E12:F12</f>
        <v>0</v>
      </c>
      <c r="F12" s="1540"/>
      <c r="G12" s="1541" t="s">
        <v>859</v>
      </c>
      <c r="H12" s="1541"/>
      <c r="I12" s="1542"/>
      <c r="J12" s="142"/>
      <c r="K12" s="148" t="s">
        <v>860</v>
      </c>
      <c r="L12" s="148"/>
      <c r="M12" s="705" t="s">
        <v>802</v>
      </c>
      <c r="N12" s="1634">
        <f>E12</f>
        <v>0</v>
      </c>
      <c r="O12" s="1635"/>
      <c r="P12" s="1636" t="s">
        <v>859</v>
      </c>
      <c r="Q12" s="1637"/>
      <c r="AM12" s="291"/>
      <c r="AZ12" s="292"/>
      <c r="BA12" s="293"/>
    </row>
    <row r="13" spans="1:53">
      <c r="A13" s="1123"/>
      <c r="B13" s="238" t="s">
        <v>861</v>
      </c>
      <c r="C13" s="101"/>
      <c r="D13" s="171" t="s">
        <v>802</v>
      </c>
      <c r="E13" s="1539">
        <f>'STANDARD_NON RFO UNITS'!E13:F13</f>
        <v>22</v>
      </c>
      <c r="F13" s="1540"/>
      <c r="G13" s="1541" t="s">
        <v>859</v>
      </c>
      <c r="H13" s="1541"/>
      <c r="I13" s="1542"/>
      <c r="J13" s="142"/>
      <c r="K13" s="238" t="s">
        <v>861</v>
      </c>
      <c r="L13" s="126"/>
      <c r="M13" s="705" t="s">
        <v>802</v>
      </c>
      <c r="N13" s="1634">
        <f>E13</f>
        <v>22</v>
      </c>
      <c r="O13" s="1635"/>
      <c r="P13" s="1636" t="s">
        <v>859</v>
      </c>
      <c r="Q13" s="1637"/>
      <c r="AM13" s="291"/>
      <c r="AZ13" s="292"/>
      <c r="BA13" s="293"/>
    </row>
    <row r="14" spans="1:53">
      <c r="A14" s="1189"/>
      <c r="B14" s="1123"/>
      <c r="C14" s="1123"/>
      <c r="D14" s="171"/>
      <c r="E14" s="1123"/>
      <c r="F14" s="1123"/>
      <c r="G14" s="1123"/>
      <c r="H14" s="1123"/>
      <c r="I14" s="1123"/>
    </row>
    <row r="15" spans="1:53" ht="14.1">
      <c r="A15" s="1189"/>
      <c r="B15" s="141" t="s">
        <v>862</v>
      </c>
      <c r="C15" s="226"/>
      <c r="D15" s="295" t="s">
        <v>802</v>
      </c>
      <c r="E15" s="460"/>
      <c r="F15" s="1623">
        <f>'STANDARD_NON RFO UNITS'!F15:I15</f>
        <v>3195170.8635638431</v>
      </c>
      <c r="G15" s="1623"/>
      <c r="H15" s="1623"/>
      <c r="I15" s="1624"/>
      <c r="J15" s="296"/>
      <c r="K15" s="1549" t="s">
        <v>863</v>
      </c>
      <c r="L15" s="1549"/>
      <c r="M15" s="1550" t="s">
        <v>773</v>
      </c>
      <c r="N15" s="1549" t="s">
        <v>776</v>
      </c>
      <c r="O15" s="1549"/>
      <c r="P15" s="1553" t="s">
        <v>214</v>
      </c>
      <c r="Q15" s="1554"/>
    </row>
    <row r="16" spans="1:53" s="296" customFormat="1" ht="14.1">
      <c r="A16" s="3"/>
      <c r="B16" s="144" t="s">
        <v>864</v>
      </c>
      <c r="C16" s="148"/>
      <c r="D16" s="171" t="s">
        <v>802</v>
      </c>
      <c r="E16" s="461"/>
      <c r="F16" s="1623">
        <f>'STANDARD_NON RFO UNITS'!F16:I16</f>
        <v>0</v>
      </c>
      <c r="G16" s="1623"/>
      <c r="H16" s="1623"/>
      <c r="I16" s="1624"/>
      <c r="J16" s="2"/>
      <c r="K16" s="1549"/>
      <c r="L16" s="1549"/>
      <c r="M16" s="1550"/>
      <c r="N16" s="1549"/>
      <c r="O16" s="1549"/>
      <c r="P16" s="1555"/>
      <c r="Q16" s="1556"/>
      <c r="V16" s="297"/>
      <c r="W16" s="296">
        <f>SUM(F29:F33)</f>
        <v>16</v>
      </c>
      <c r="X16" s="298"/>
      <c r="Y16" s="298"/>
    </row>
    <row r="17" spans="1:36" s="22" customFormat="1" ht="12.6">
      <c r="B17" s="129" t="s">
        <v>865</v>
      </c>
      <c r="C17" s="101"/>
      <c r="D17" s="295" t="s">
        <v>802</v>
      </c>
      <c r="E17" s="462"/>
      <c r="F17" s="1622">
        <f>F15-F16</f>
        <v>3195170.8635638431</v>
      </c>
      <c r="G17" s="1623"/>
      <c r="H17" s="1623"/>
      <c r="I17" s="1624"/>
      <c r="J17" s="299"/>
      <c r="K17" s="1527" t="s">
        <v>820</v>
      </c>
      <c r="L17" s="1527"/>
      <c r="M17" s="1207" t="str">
        <f>C1</f>
        <v>September 1,2025</v>
      </c>
      <c r="N17" s="1551">
        <f>F25</f>
        <v>30000</v>
      </c>
      <c r="O17" s="1551"/>
      <c r="P17" s="1603"/>
      <c r="Q17" s="1604"/>
      <c r="T17" s="1632" t="s">
        <v>944</v>
      </c>
      <c r="U17" s="1633"/>
      <c r="V17" s="300" t="str">
        <f>C1</f>
        <v>September 1,2025</v>
      </c>
      <c r="W17" s="301" t="e">
        <f>EDATE(V17,W16)</f>
        <v>#VALUE!</v>
      </c>
      <c r="X17" s="76"/>
      <c r="Y17" s="76"/>
    </row>
    <row r="18" spans="1:36" s="299" customFormat="1" ht="12.6">
      <c r="B18" s="147"/>
      <c r="C18" s="1123"/>
      <c r="D18" s="171"/>
      <c r="E18" s="1200"/>
      <c r="F18" s="1252"/>
      <c r="G18" s="1252"/>
      <c r="H18" s="1252"/>
      <c r="I18" s="1253"/>
      <c r="J18" s="22"/>
      <c r="K18" s="1527">
        <f t="shared" ref="K18:K58" si="0">IF(N18&gt;1,T18,0)</f>
        <v>0</v>
      </c>
      <c r="L18" s="1527"/>
      <c r="M18" s="313" t="str">
        <f t="shared" ref="M18:M58" si="1">IF(N18&gt;1,V18,"")</f>
        <v/>
      </c>
      <c r="N18" s="1614">
        <f>G29</f>
        <v>0</v>
      </c>
      <c r="O18" s="1614"/>
      <c r="P18" s="1603"/>
      <c r="Q18" s="1604"/>
      <c r="T18" s="1588" t="s">
        <v>945</v>
      </c>
      <c r="U18" s="1588"/>
      <c r="V18" s="303" t="e">
        <f>IF(DAY(V17)=31,X21,Z21)</f>
        <v>#VALUE!</v>
      </c>
      <c r="X18" s="304"/>
      <c r="Y18" s="304"/>
    </row>
    <row r="19" spans="1:36" s="22" customFormat="1" ht="12.6">
      <c r="B19" s="148" t="s">
        <v>868</v>
      </c>
      <c r="C19" s="148"/>
      <c r="D19" s="171" t="s">
        <v>802</v>
      </c>
      <c r="E19" s="1213">
        <v>0.12</v>
      </c>
      <c r="F19" s="1627">
        <f>'STANDARD_NON RFO UNITS'!F19:I19</f>
        <v>0</v>
      </c>
      <c r="G19" s="1628"/>
      <c r="H19" s="1628"/>
      <c r="I19" s="1629"/>
      <c r="K19" s="1527">
        <f t="shared" si="0"/>
        <v>0</v>
      </c>
      <c r="L19" s="1527"/>
      <c r="M19" s="313" t="str">
        <f t="shared" si="1"/>
        <v/>
      </c>
      <c r="N19" s="1614">
        <f>N18</f>
        <v>0</v>
      </c>
      <c r="O19" s="1614"/>
      <c r="P19" s="1603"/>
      <c r="Q19" s="1604"/>
      <c r="T19" s="1603" t="s">
        <v>869</v>
      </c>
      <c r="U19" s="1604"/>
      <c r="V19" s="305" t="e">
        <f t="shared" ref="V19:V59" si="2">IF(AND(DAY(V18)&gt;=6,DAY(V18)&lt;=20),DATE(YEAR(V18),MONTH(V18)+1,DAY(20)),IF(AND(DAY(V18)&gt;=21,DAY(V18)&lt;=30),DATE(YEAR(V18),MONTH(V18)+1,IF(DAY(EOMONTH(V18,1))&lt;30,DAY(EOMONTH(V18,1)),DAY(30))),DATE(YEAR(V18),MONTH(V18)+1,DAY(5))))</f>
        <v>#VALUE!</v>
      </c>
      <c r="X19" s="1522" t="s">
        <v>867</v>
      </c>
      <c r="Y19" s="1522"/>
      <c r="AD19" s="1603"/>
      <c r="AE19" s="1604"/>
    </row>
    <row r="20" spans="1:36" s="22" customFormat="1" ht="12.6">
      <c r="B20" s="238" t="s">
        <v>870</v>
      </c>
      <c r="C20" s="126"/>
      <c r="D20" s="171" t="s">
        <v>802</v>
      </c>
      <c r="E20" s="1254"/>
      <c r="F20" s="1630">
        <f>'STANDARD_NON RFO UNITS'!F20:I20</f>
        <v>439335.99374002841</v>
      </c>
      <c r="G20" s="1630"/>
      <c r="H20" s="1630"/>
      <c r="I20" s="1631"/>
      <c r="K20" s="1527">
        <f t="shared" si="0"/>
        <v>0</v>
      </c>
      <c r="L20" s="1527"/>
      <c r="M20" s="313" t="str">
        <f t="shared" si="1"/>
        <v/>
      </c>
      <c r="N20" s="1614">
        <f t="shared" ref="N20:N22" si="3">N19</f>
        <v>0</v>
      </c>
      <c r="O20" s="1614"/>
      <c r="P20" s="1603"/>
      <c r="Q20" s="1604"/>
      <c r="T20" s="1588" t="s">
        <v>871</v>
      </c>
      <c r="U20" s="1588"/>
      <c r="V20" s="305" t="e">
        <f t="shared" si="2"/>
        <v>#VALUE!</v>
      </c>
      <c r="W20" s="58" t="s">
        <v>38</v>
      </c>
      <c r="X20" s="1523" t="e">
        <f>IF(DAY(V17)=31,DATE(YEAR(W17),MONTH(W17)+2,DAY(5)))</f>
        <v>#VALUE!</v>
      </c>
      <c r="Y20" s="1524"/>
      <c r="Z20" s="306" t="e">
        <f>IF(AND(DAY(W17)&gt;=6,DAY(W17)&lt;=20),DATE(YEAR(W17),MONTH(W17)+1,DAY(20)),IF(AND(DAY(W17)&gt;=21,DAY(W17)&lt;=31),DATE(YEAR(W17),MONTH(W17)+1,IF(DAY(EOMONTH(W17,1))&lt;30,DAY(EOMONTH(W17,1)),DAY(30))),DATE(YEAR(W17),MONTH(W17)+1,DAY(5))))</f>
        <v>#VALUE!</v>
      </c>
      <c r="AD20" s="1603"/>
      <c r="AE20" s="1604"/>
    </row>
    <row r="21" spans="1:36" s="22" customFormat="1" ht="12.6">
      <c r="B21" s="147"/>
      <c r="C21" s="1123"/>
      <c r="D21" s="171"/>
      <c r="E21" s="1255"/>
      <c r="F21" s="1256"/>
      <c r="G21" s="1214"/>
      <c r="H21" s="1214"/>
      <c r="I21" s="1201"/>
      <c r="K21" s="1527">
        <f t="shared" si="0"/>
        <v>0</v>
      </c>
      <c r="L21" s="1527"/>
      <c r="M21" s="313" t="str">
        <f t="shared" si="1"/>
        <v/>
      </c>
      <c r="N21" s="1614">
        <f t="shared" si="3"/>
        <v>0</v>
      </c>
      <c r="O21" s="1614"/>
      <c r="P21" s="1603"/>
      <c r="Q21" s="1604"/>
      <c r="T21" s="1588" t="s">
        <v>873</v>
      </c>
      <c r="U21" s="1588"/>
      <c r="V21" s="305" t="e">
        <f t="shared" si="2"/>
        <v>#VALUE!</v>
      </c>
      <c r="W21" s="58" t="s">
        <v>872</v>
      </c>
      <c r="X21" s="1523" t="e">
        <f>IF(DAY(V17)=31,DATE(YEAR(V17),MONTH(V17)+2,DAY(5)))</f>
        <v>#VALUE!</v>
      </c>
      <c r="Y21" s="1524"/>
      <c r="Z21" s="306" t="e">
        <f>IF(AND(DAY(V17)&gt;=6,DAY(V17)&lt;=20),DATE(YEAR(V17),MONTH(V17)+1,DAY(20)),IF(AND(DAY(V17)&gt;=21,DAY(V17)&lt;=30),DATE(YEAR(V17),MONTH(V17)+1,IF(DAY(EOMONTH(V17,1))&lt;31,DAY(EOMONTH(V17,1)),DAY(30))),DATE(YEAR(V17),MONTH(V17)+1,DAY(5))))</f>
        <v>#VALUE!</v>
      </c>
      <c r="AD21" s="1603"/>
      <c r="AE21" s="1604"/>
    </row>
    <row r="22" spans="1:36" s="22" customFormat="1" ht="12.6">
      <c r="B22" s="129" t="s">
        <v>874</v>
      </c>
      <c r="C22" s="101"/>
      <c r="D22" s="295" t="s">
        <v>802</v>
      </c>
      <c r="E22" s="273"/>
      <c r="F22" s="1558">
        <f>SUM(F19:I20,F17)</f>
        <v>3634506.8573038713</v>
      </c>
      <c r="G22" s="1559"/>
      <c r="H22" s="1559"/>
      <c r="I22" s="1560"/>
      <c r="K22" s="1527">
        <f t="shared" si="0"/>
        <v>0</v>
      </c>
      <c r="L22" s="1527"/>
      <c r="M22" s="313" t="str">
        <f t="shared" si="1"/>
        <v/>
      </c>
      <c r="N22" s="1614">
        <f t="shared" si="3"/>
        <v>0</v>
      </c>
      <c r="O22" s="1614"/>
      <c r="P22" s="1603"/>
      <c r="Q22" s="1604"/>
      <c r="T22" s="1588" t="s">
        <v>875</v>
      </c>
      <c r="U22" s="1588"/>
      <c r="V22" s="305" t="e">
        <f t="shared" si="2"/>
        <v>#VALUE!</v>
      </c>
      <c r="X22" s="1522"/>
      <c r="Y22" s="1522"/>
      <c r="AD22" s="1603"/>
      <c r="AE22" s="1604"/>
      <c r="AF22" s="271">
        <f>'STANDARD_NON RFO UNITS'!AF22</f>
        <v>0</v>
      </c>
      <c r="AG22" s="1622">
        <f>AG20*AF22</f>
        <v>0</v>
      </c>
      <c r="AH22" s="1623"/>
      <c r="AI22" s="1623"/>
      <c r="AJ22" s="1624"/>
    </row>
    <row r="23" spans="1:36" s="22" customFormat="1" ht="12.6">
      <c r="A23" s="299"/>
      <c r="B23" s="147"/>
      <c r="C23" s="1123"/>
      <c r="D23" s="171"/>
      <c r="E23" s="705"/>
      <c r="F23" s="1257"/>
      <c r="G23" s="1257"/>
      <c r="H23" s="1257"/>
      <c r="I23" s="1123"/>
      <c r="J23" s="299"/>
      <c r="K23" s="1527" t="str">
        <f t="shared" si="0"/>
        <v>6th EQUITY PAYMENT</v>
      </c>
      <c r="L23" s="1527"/>
      <c r="M23" s="313" t="e">
        <f t="shared" si="1"/>
        <v>#VALUE!</v>
      </c>
      <c r="N23" s="1614">
        <f>G30</f>
        <v>42431.335716298388</v>
      </c>
      <c r="O23" s="1614"/>
      <c r="P23" s="1603"/>
      <c r="Q23" s="1604"/>
      <c r="T23" s="1588" t="s">
        <v>876</v>
      </c>
      <c r="U23" s="1588"/>
      <c r="V23" s="305" t="e">
        <f t="shared" si="2"/>
        <v>#VALUE!</v>
      </c>
      <c r="X23" s="1522"/>
      <c r="Y23" s="1522"/>
      <c r="AD23" s="1603"/>
      <c r="AE23" s="1604"/>
      <c r="AF23" s="1198"/>
      <c r="AG23" s="1627">
        <f>'STANDARD_NON RFO UNITS'!AG23</f>
        <v>0</v>
      </c>
      <c r="AH23" s="1628"/>
      <c r="AI23" s="1628"/>
      <c r="AJ23" s="1629"/>
    </row>
    <row r="24" spans="1:36" s="299" customFormat="1" ht="12.6">
      <c r="A24" s="22"/>
      <c r="B24" s="129" t="s">
        <v>877</v>
      </c>
      <c r="C24" s="226"/>
      <c r="D24" s="295" t="s">
        <v>802</v>
      </c>
      <c r="E24" s="271">
        <f>'STANDARD_NON RFO UNITS'!E24</f>
        <v>0.125</v>
      </c>
      <c r="F24" s="1622">
        <f>F22*E24</f>
        <v>454313.35716298391</v>
      </c>
      <c r="G24" s="1623"/>
      <c r="H24" s="1623"/>
      <c r="I24" s="1624"/>
      <c r="J24" s="22"/>
      <c r="K24" s="1527">
        <f t="shared" si="0"/>
        <v>0</v>
      </c>
      <c r="L24" s="1527"/>
      <c r="M24" s="313" t="str">
        <f t="shared" si="1"/>
        <v/>
      </c>
      <c r="N24" s="1614">
        <f>G31</f>
        <v>0</v>
      </c>
      <c r="O24" s="1614"/>
      <c r="P24" s="1603"/>
      <c r="Q24" s="1604"/>
      <c r="T24" s="1588" t="s">
        <v>878</v>
      </c>
      <c r="U24" s="1588"/>
      <c r="V24" s="305" t="e">
        <f t="shared" si="2"/>
        <v>#VALUE!</v>
      </c>
      <c r="X24" s="1522"/>
      <c r="Y24" s="1522"/>
      <c r="AD24" s="1603"/>
      <c r="AE24" s="1604"/>
      <c r="AF24" s="1198"/>
      <c r="AG24" s="1622">
        <f>AG22-AG23</f>
        <v>0</v>
      </c>
      <c r="AH24" s="1623"/>
      <c r="AI24" s="1623"/>
      <c r="AJ24" s="1624"/>
    </row>
    <row r="25" spans="1:36" s="22" customFormat="1" ht="12.6">
      <c r="B25" s="144" t="s">
        <v>879</v>
      </c>
      <c r="C25" s="148"/>
      <c r="D25" s="171" t="s">
        <v>802</v>
      </c>
      <c r="E25" s="1198"/>
      <c r="F25" s="1627">
        <f>'STANDARD_NON RFO UNITS'!F25</f>
        <v>30000</v>
      </c>
      <c r="G25" s="1628"/>
      <c r="H25" s="1628"/>
      <c r="I25" s="1629"/>
      <c r="K25" s="1527">
        <f t="shared" si="0"/>
        <v>0</v>
      </c>
      <c r="L25" s="1527"/>
      <c r="M25" s="313" t="str">
        <f t="shared" si="1"/>
        <v/>
      </c>
      <c r="N25" s="1614">
        <f>N24</f>
        <v>0</v>
      </c>
      <c r="O25" s="1614"/>
      <c r="P25" s="1603"/>
      <c r="Q25" s="1604"/>
      <c r="T25" s="1588" t="s">
        <v>880</v>
      </c>
      <c r="U25" s="1588"/>
      <c r="V25" s="305" t="e">
        <f t="shared" si="2"/>
        <v>#VALUE!</v>
      </c>
      <c r="X25" s="1522"/>
      <c r="Y25" s="1522"/>
      <c r="AD25" s="1603"/>
      <c r="AE25" s="1604"/>
      <c r="AF25" s="1263">
        <v>0.7</v>
      </c>
      <c r="AG25" s="1622">
        <f>AG24*AF25</f>
        <v>0</v>
      </c>
      <c r="AH25" s="1623"/>
      <c r="AI25" s="1623"/>
      <c r="AJ25" s="1624"/>
    </row>
    <row r="26" spans="1:36" s="22" customFormat="1" ht="12.6">
      <c r="A26" s="299"/>
      <c r="B26" s="129" t="s">
        <v>946</v>
      </c>
      <c r="C26" s="101"/>
      <c r="D26" s="295" t="s">
        <v>802</v>
      </c>
      <c r="E26" s="1198"/>
      <c r="F26" s="1622">
        <f>F24-F25</f>
        <v>424313.35716298391</v>
      </c>
      <c r="G26" s="1623"/>
      <c r="H26" s="1623"/>
      <c r="I26" s="1624"/>
      <c r="J26" s="299"/>
      <c r="K26" s="1527">
        <f t="shared" si="0"/>
        <v>0</v>
      </c>
      <c r="L26" s="1527"/>
      <c r="M26" s="313" t="str">
        <f t="shared" si="1"/>
        <v/>
      </c>
      <c r="N26" s="1614">
        <f t="shared" ref="N26:N28" si="4">N25</f>
        <v>0</v>
      </c>
      <c r="O26" s="1614"/>
      <c r="P26" s="1603"/>
      <c r="Q26" s="1604"/>
      <c r="T26" s="1588" t="s">
        <v>882</v>
      </c>
      <c r="U26" s="1588"/>
      <c r="V26" s="305" t="e">
        <f t="shared" si="2"/>
        <v>#VALUE!</v>
      </c>
      <c r="X26" s="1522"/>
      <c r="Y26" s="1522"/>
      <c r="AD26" s="1603"/>
      <c r="AE26" s="1604"/>
      <c r="AF26" s="1263">
        <v>0.3</v>
      </c>
      <c r="AG26" s="1622">
        <f>AG24*AF26</f>
        <v>0</v>
      </c>
      <c r="AH26" s="1623"/>
      <c r="AI26" s="1623"/>
      <c r="AJ26" s="1624"/>
    </row>
    <row r="27" spans="1:36" s="299" customFormat="1" ht="12.6">
      <c r="B27" s="147"/>
      <c r="C27" s="1123"/>
      <c r="D27" s="171"/>
      <c r="E27" s="705"/>
      <c r="F27" s="499">
        <f>(F26*0.3)/3</f>
        <v>42431.335716298388</v>
      </c>
      <c r="G27" s="1257"/>
      <c r="H27" s="1257"/>
      <c r="I27" s="100"/>
      <c r="J27" s="307"/>
      <c r="K27" s="1527">
        <f t="shared" si="0"/>
        <v>0</v>
      </c>
      <c r="L27" s="1527"/>
      <c r="M27" s="313" t="str">
        <f t="shared" si="1"/>
        <v/>
      </c>
      <c r="N27" s="1614">
        <f t="shared" si="4"/>
        <v>0</v>
      </c>
      <c r="O27" s="1614"/>
      <c r="P27" s="1603"/>
      <c r="Q27" s="1604"/>
      <c r="R27" s="299" t="s">
        <v>819</v>
      </c>
      <c r="T27" s="1588" t="s">
        <v>883</v>
      </c>
      <c r="U27" s="1588"/>
      <c r="V27" s="305" t="e">
        <f t="shared" si="2"/>
        <v>#VALUE!</v>
      </c>
      <c r="X27" s="1522"/>
      <c r="Y27" s="1522"/>
      <c r="AD27" s="1603"/>
      <c r="AE27" s="1604"/>
    </row>
    <row r="28" spans="1:36" s="299" customFormat="1" ht="12.6">
      <c r="B28" s="1625" t="s">
        <v>947</v>
      </c>
      <c r="C28" s="1625"/>
      <c r="D28" s="295"/>
      <c r="E28" s="463" t="s">
        <v>835</v>
      </c>
      <c r="F28" s="464" t="s">
        <v>834</v>
      </c>
      <c r="G28" s="1626" t="s">
        <v>948</v>
      </c>
      <c r="H28" s="1626"/>
      <c r="I28" s="1626"/>
      <c r="K28" s="1527">
        <f t="shared" si="0"/>
        <v>0</v>
      </c>
      <c r="L28" s="1527"/>
      <c r="M28" s="313" t="str">
        <f t="shared" si="1"/>
        <v/>
      </c>
      <c r="N28" s="1614">
        <f t="shared" si="4"/>
        <v>0</v>
      </c>
      <c r="O28" s="1614"/>
      <c r="P28" s="1603"/>
      <c r="Q28" s="1604"/>
      <c r="T28" s="1588" t="s">
        <v>885</v>
      </c>
      <c r="U28" s="1588"/>
      <c r="V28" s="305" t="e">
        <f t="shared" si="2"/>
        <v>#VALUE!</v>
      </c>
      <c r="X28" s="1522"/>
      <c r="Y28" s="1522"/>
      <c r="AD28" s="1603"/>
      <c r="AE28" s="1604"/>
    </row>
    <row r="29" spans="1:36" s="299" customFormat="1" ht="12.6">
      <c r="A29" s="22"/>
      <c r="B29" s="1620" t="s">
        <v>706</v>
      </c>
      <c r="C29" s="1620"/>
      <c r="D29" s="295" t="s">
        <v>802</v>
      </c>
      <c r="E29" s="1258">
        <f>FORM!T39</f>
        <v>0</v>
      </c>
      <c r="F29" s="465">
        <f>'INTERNAL PRICELIST(OLD)'!AG31-1</f>
        <v>4</v>
      </c>
      <c r="G29" s="1621">
        <f>((F$26*70%*E29)/'INTERNAL PRICELIST(OLD)'!AG31)</f>
        <v>0</v>
      </c>
      <c r="H29" s="1621"/>
      <c r="I29" s="1621"/>
      <c r="J29" s="22"/>
      <c r="K29" s="1527" t="str">
        <f t="shared" si="0"/>
        <v>12th EQUITY PAYMENT</v>
      </c>
      <c r="L29" s="1527"/>
      <c r="M29" s="313" t="e">
        <f t="shared" si="1"/>
        <v>#VALUE!</v>
      </c>
      <c r="N29" s="1614">
        <f>G32</f>
        <v>42431.335716298388</v>
      </c>
      <c r="O29" s="1614"/>
      <c r="P29" s="1603"/>
      <c r="Q29" s="1604"/>
      <c r="T29" s="1588" t="s">
        <v>886</v>
      </c>
      <c r="U29" s="1588"/>
      <c r="V29" s="305" t="e">
        <f t="shared" si="2"/>
        <v>#VALUE!</v>
      </c>
      <c r="X29" s="1522"/>
      <c r="Y29" s="1522"/>
      <c r="AD29" s="1603"/>
      <c r="AE29" s="1604"/>
    </row>
    <row r="30" spans="1:36" s="22" customFormat="1" ht="12.6">
      <c r="A30" s="299"/>
      <c r="B30" s="1620" t="s">
        <v>1027</v>
      </c>
      <c r="C30" s="1620"/>
      <c r="D30" s="295"/>
      <c r="E30" s="1258"/>
      <c r="F30" s="465">
        <v>1</v>
      </c>
      <c r="G30" s="1621">
        <f>G29+F27</f>
        <v>42431.335716298388</v>
      </c>
      <c r="H30" s="1621"/>
      <c r="I30" s="1621"/>
      <c r="J30" s="299"/>
      <c r="K30" s="1527">
        <f t="shared" si="0"/>
        <v>0</v>
      </c>
      <c r="L30" s="1527"/>
      <c r="M30" s="313" t="str">
        <f t="shared" si="1"/>
        <v/>
      </c>
      <c r="N30" s="1614">
        <f>G33</f>
        <v>0</v>
      </c>
      <c r="O30" s="1614"/>
      <c r="P30" s="1603"/>
      <c r="Q30" s="1604"/>
      <c r="R30" s="299"/>
      <c r="S30" s="299"/>
      <c r="T30" s="1588" t="s">
        <v>888</v>
      </c>
      <c r="U30" s="1588"/>
      <c r="V30" s="305" t="e">
        <f t="shared" si="2"/>
        <v>#VALUE!</v>
      </c>
      <c r="X30" s="1522"/>
      <c r="Y30" s="1522"/>
      <c r="AD30" s="1603"/>
      <c r="AE30" s="1604"/>
    </row>
    <row r="31" spans="1:36" s="299" customFormat="1" ht="12.6">
      <c r="A31" s="22"/>
      <c r="B31" s="1620" t="s">
        <v>1028</v>
      </c>
      <c r="C31" s="1620"/>
      <c r="D31" s="295" t="s">
        <v>802</v>
      </c>
      <c r="E31" s="1258">
        <f>FORM!T40</f>
        <v>0</v>
      </c>
      <c r="F31" s="465">
        <f>'INTERNAL PRICELIST(OLD)'!AG32-1</f>
        <v>5</v>
      </c>
      <c r="G31" s="1621">
        <f>((F$26*70%*E31)/'INTERNAL PRICELIST(OLD)'!AG32)</f>
        <v>0</v>
      </c>
      <c r="H31" s="1621"/>
      <c r="I31" s="1621"/>
      <c r="J31" s="22"/>
      <c r="K31" s="1527">
        <f t="shared" si="0"/>
        <v>0</v>
      </c>
      <c r="L31" s="1527"/>
      <c r="M31" s="313" t="str">
        <f t="shared" si="1"/>
        <v/>
      </c>
      <c r="N31" s="1614">
        <f>G33</f>
        <v>0</v>
      </c>
      <c r="O31" s="1614"/>
      <c r="P31" s="1603"/>
      <c r="Q31" s="1604"/>
      <c r="T31" s="1588" t="s">
        <v>889</v>
      </c>
      <c r="U31" s="1588"/>
      <c r="V31" s="305" t="e">
        <f t="shared" si="2"/>
        <v>#VALUE!</v>
      </c>
      <c r="X31" s="1522"/>
      <c r="Y31" s="1522"/>
      <c r="AD31" s="1603"/>
      <c r="AE31" s="1604"/>
    </row>
    <row r="32" spans="1:36" s="22" customFormat="1" ht="12.6">
      <c r="A32" s="299"/>
      <c r="B32" s="1620" t="s">
        <v>1029</v>
      </c>
      <c r="C32" s="1620"/>
      <c r="D32" s="295"/>
      <c r="E32" s="1258"/>
      <c r="F32" s="465">
        <v>1</v>
      </c>
      <c r="G32" s="1621">
        <f>G31+F27</f>
        <v>42431.335716298388</v>
      </c>
      <c r="H32" s="1621"/>
      <c r="I32" s="1621"/>
      <c r="J32" s="299"/>
      <c r="K32" s="1527">
        <f t="shared" si="0"/>
        <v>0</v>
      </c>
      <c r="L32" s="1527"/>
      <c r="M32" s="313" t="str">
        <f t="shared" si="1"/>
        <v/>
      </c>
      <c r="N32" s="1614">
        <f>N31</f>
        <v>0</v>
      </c>
      <c r="O32" s="1614"/>
      <c r="P32" s="1603"/>
      <c r="Q32" s="1604"/>
      <c r="R32" s="299"/>
      <c r="S32" s="299"/>
      <c r="T32" s="1588" t="s">
        <v>891</v>
      </c>
      <c r="U32" s="1588"/>
      <c r="V32" s="305" t="e">
        <f t="shared" si="2"/>
        <v>#VALUE!</v>
      </c>
      <c r="X32" s="1522"/>
      <c r="Y32" s="1522"/>
      <c r="AD32" s="1603"/>
      <c r="AE32" s="1604"/>
    </row>
    <row r="33" spans="1:31" s="299" customFormat="1" ht="12.6">
      <c r="A33" s="22"/>
      <c r="B33" s="1620" t="s">
        <v>1030</v>
      </c>
      <c r="C33" s="1620"/>
      <c r="D33" s="295" t="s">
        <v>802</v>
      </c>
      <c r="E33" s="1258">
        <f>FORM!T41</f>
        <v>0</v>
      </c>
      <c r="F33" s="465">
        <f>'INTERNAL PRICELIST(OLD)'!AG33-1</f>
        <v>5</v>
      </c>
      <c r="G33" s="1621">
        <f>((F$26*70%*E33)/'INTERNAL PRICELIST(OLD)'!AG33)</f>
        <v>0</v>
      </c>
      <c r="H33" s="1621"/>
      <c r="I33" s="1621"/>
      <c r="J33" s="22"/>
      <c r="K33" s="1527">
        <f t="shared" si="0"/>
        <v>0</v>
      </c>
      <c r="L33" s="1527"/>
      <c r="M33" s="313" t="str">
        <f t="shared" si="1"/>
        <v/>
      </c>
      <c r="N33" s="1614">
        <f t="shared" ref="N33:N34" si="5">N32</f>
        <v>0</v>
      </c>
      <c r="O33" s="1614"/>
      <c r="P33" s="1603"/>
      <c r="Q33" s="1604"/>
      <c r="T33" s="1588" t="s">
        <v>892</v>
      </c>
      <c r="U33" s="1588"/>
      <c r="V33" s="305" t="e">
        <f t="shared" si="2"/>
        <v>#VALUE!</v>
      </c>
      <c r="X33" s="1522"/>
      <c r="Y33" s="1522"/>
      <c r="AD33" s="1603"/>
      <c r="AE33" s="1604"/>
    </row>
    <row r="34" spans="1:31" s="22" customFormat="1" ht="12.6">
      <c r="B34" s="126" t="s">
        <v>1031</v>
      </c>
      <c r="C34" s="126"/>
      <c r="D34" s="295"/>
      <c r="E34" s="1258"/>
      <c r="F34" s="465">
        <v>1</v>
      </c>
      <c r="G34" s="1621">
        <f>G33+F27</f>
        <v>42431.335716298388</v>
      </c>
      <c r="H34" s="1621"/>
      <c r="I34" s="1621"/>
      <c r="K34" s="1527">
        <f t="shared" si="0"/>
        <v>0</v>
      </c>
      <c r="L34" s="1527"/>
      <c r="M34" s="313" t="str">
        <f t="shared" si="1"/>
        <v/>
      </c>
      <c r="N34" s="1614">
        <f t="shared" si="5"/>
        <v>0</v>
      </c>
      <c r="O34" s="1614"/>
      <c r="P34" s="1603"/>
      <c r="Q34" s="1604"/>
      <c r="T34" s="1588" t="s">
        <v>895</v>
      </c>
      <c r="U34" s="1588"/>
      <c r="V34" s="305" t="e">
        <f t="shared" si="2"/>
        <v>#VALUE!</v>
      </c>
      <c r="X34" s="1522"/>
      <c r="Y34" s="1522"/>
      <c r="AD34" s="1603"/>
      <c r="AE34" s="1604"/>
    </row>
    <row r="35" spans="1:31" s="22" customFormat="1" ht="12.95">
      <c r="A35" s="299"/>
      <c r="B35" s="175" t="s">
        <v>1020</v>
      </c>
      <c r="C35" s="175"/>
      <c r="D35" s="171"/>
      <c r="E35" s="705"/>
      <c r="F35" s="466">
        <f>SUM(F29:F33)</f>
        <v>16</v>
      </c>
      <c r="G35" s="1125"/>
      <c r="H35" s="1125"/>
      <c r="I35" s="1123"/>
      <c r="J35" s="299"/>
      <c r="K35" s="1527" t="str">
        <f t="shared" si="0"/>
        <v>18th EQUITY PAYMENT</v>
      </c>
      <c r="L35" s="1527"/>
      <c r="M35" s="313" t="e">
        <f t="shared" si="1"/>
        <v>#VALUE!</v>
      </c>
      <c r="N35" s="1614">
        <f>G34</f>
        <v>42431.335716298388</v>
      </c>
      <c r="O35" s="1614"/>
      <c r="P35" s="1603"/>
      <c r="Q35" s="1604"/>
      <c r="T35" s="1588" t="s">
        <v>896</v>
      </c>
      <c r="U35" s="1588"/>
      <c r="V35" s="305" t="e">
        <f t="shared" si="2"/>
        <v>#VALUE!</v>
      </c>
      <c r="X35" s="1522"/>
      <c r="Y35" s="1522"/>
      <c r="AD35" s="1603"/>
      <c r="AE35" s="1604"/>
    </row>
    <row r="36" spans="1:31" s="299" customFormat="1" ht="12.6">
      <c r="A36" s="22"/>
      <c r="B36" s="129" t="s">
        <v>887</v>
      </c>
      <c r="C36" s="101"/>
      <c r="D36" s="295" t="s">
        <v>802</v>
      </c>
      <c r="E36" s="271">
        <f>100%-E24</f>
        <v>0.875</v>
      </c>
      <c r="F36" s="1622">
        <f>F22*E36</f>
        <v>3180193.5001408872</v>
      </c>
      <c r="G36" s="1623"/>
      <c r="H36" s="1623"/>
      <c r="I36" s="1624"/>
      <c r="J36" s="22"/>
      <c r="K36" s="1527">
        <f t="shared" si="0"/>
        <v>0</v>
      </c>
      <c r="L36" s="1527"/>
      <c r="M36" s="313" t="str">
        <f t="shared" si="1"/>
        <v/>
      </c>
      <c r="N36" s="1614"/>
      <c r="O36" s="1614"/>
      <c r="P36" s="1603"/>
      <c r="Q36" s="1604"/>
      <c r="T36" s="1588" t="s">
        <v>897</v>
      </c>
      <c r="U36" s="1588"/>
      <c r="V36" s="305" t="e">
        <f t="shared" si="2"/>
        <v>#VALUE!</v>
      </c>
      <c r="X36" s="1522"/>
      <c r="Y36" s="1522"/>
      <c r="AD36" s="1603"/>
      <c r="AE36" s="1604"/>
    </row>
    <row r="37" spans="1:31" s="22" customFormat="1" ht="12.6">
      <c r="B37" s="147"/>
      <c r="C37" s="1123"/>
      <c r="D37" s="171"/>
      <c r="E37" s="98"/>
      <c r="F37" s="98"/>
      <c r="G37" s="98"/>
      <c r="H37" s="98"/>
      <c r="I37" s="98"/>
      <c r="K37" s="1527">
        <f t="shared" si="0"/>
        <v>0</v>
      </c>
      <c r="L37" s="1527"/>
      <c r="M37" s="313" t="str">
        <f t="shared" si="1"/>
        <v/>
      </c>
      <c r="N37" s="1614"/>
      <c r="O37" s="1614"/>
      <c r="P37" s="1603"/>
      <c r="Q37" s="1604"/>
      <c r="T37" s="1588" t="s">
        <v>898</v>
      </c>
      <c r="U37" s="1588"/>
      <c r="V37" s="305" t="e">
        <f t="shared" si="2"/>
        <v>#VALUE!</v>
      </c>
      <c r="X37" s="1522"/>
      <c r="Y37" s="1522"/>
      <c r="AD37" s="1603"/>
      <c r="AE37" s="1604"/>
    </row>
    <row r="38" spans="1:31" s="22" customFormat="1" ht="12.6">
      <c r="B38" s="101" t="s">
        <v>890</v>
      </c>
      <c r="C38" s="101"/>
      <c r="D38" s="308"/>
      <c r="E38" s="308"/>
      <c r="F38" s="308"/>
      <c r="G38" s="308"/>
      <c r="H38" s="308"/>
      <c r="I38" s="308"/>
      <c r="K38" s="1527">
        <f t="shared" si="0"/>
        <v>0</v>
      </c>
      <c r="L38" s="1527"/>
      <c r="M38" s="313" t="str">
        <f t="shared" si="1"/>
        <v/>
      </c>
      <c r="N38" s="1614"/>
      <c r="O38" s="1614"/>
      <c r="P38" s="1603"/>
      <c r="Q38" s="1604"/>
      <c r="T38" s="1588" t="s">
        <v>899</v>
      </c>
      <c r="U38" s="1588"/>
      <c r="V38" s="305" t="e">
        <f t="shared" si="2"/>
        <v>#VALUE!</v>
      </c>
      <c r="X38" s="1522"/>
      <c r="Y38" s="1522"/>
      <c r="AD38" s="1603"/>
      <c r="AE38" s="1604"/>
    </row>
    <row r="39" spans="1:31" s="22" customFormat="1" ht="12.6">
      <c r="B39" s="175"/>
      <c r="C39" s="175"/>
      <c r="D39" s="308"/>
      <c r="E39" s="308"/>
      <c r="F39" s="308"/>
      <c r="G39" s="308"/>
      <c r="H39" s="308"/>
      <c r="I39" s="308"/>
      <c r="K39" s="1527">
        <f t="shared" si="0"/>
        <v>0</v>
      </c>
      <c r="L39" s="1527"/>
      <c r="M39" s="313" t="str">
        <f t="shared" si="1"/>
        <v/>
      </c>
      <c r="N39" s="1614"/>
      <c r="O39" s="1614"/>
      <c r="P39" s="1603"/>
      <c r="Q39" s="1604"/>
      <c r="T39" s="1588" t="s">
        <v>901</v>
      </c>
      <c r="U39" s="1588"/>
      <c r="V39" s="305" t="e">
        <f t="shared" si="2"/>
        <v>#VALUE!</v>
      </c>
      <c r="X39" s="1522"/>
      <c r="Y39" s="1522"/>
      <c r="AD39" s="1603"/>
      <c r="AE39" s="1604"/>
    </row>
    <row r="40" spans="1:31" s="22" customFormat="1" ht="12.6">
      <c r="B40" s="608" t="s">
        <v>56</v>
      </c>
      <c r="C40" s="608" t="s">
        <v>57</v>
      </c>
      <c r="D40" s="1616" t="s">
        <v>58</v>
      </c>
      <c r="E40" s="1616"/>
      <c r="F40" s="608" t="s">
        <v>893</v>
      </c>
      <c r="G40" s="1617" t="s">
        <v>949</v>
      </c>
      <c r="H40" s="1618"/>
      <c r="I40" s="1619"/>
      <c r="K40" s="1527">
        <f t="shared" si="0"/>
        <v>0</v>
      </c>
      <c r="L40" s="1527"/>
      <c r="M40" s="313" t="str">
        <f t="shared" si="1"/>
        <v/>
      </c>
      <c r="N40" s="1614"/>
      <c r="O40" s="1614"/>
      <c r="P40" s="1603"/>
      <c r="Q40" s="1604"/>
      <c r="T40" s="1588" t="s">
        <v>903</v>
      </c>
      <c r="U40" s="1588"/>
      <c r="V40" s="305" t="e">
        <f t="shared" si="2"/>
        <v>#VALUE!</v>
      </c>
      <c r="X40" s="1522"/>
      <c r="Y40" s="1522"/>
      <c r="AD40" s="1603"/>
      <c r="AE40" s="1604"/>
    </row>
    <row r="41" spans="1:31" s="22" customFormat="1" ht="12.6">
      <c r="B41" s="467">
        <v>5</v>
      </c>
      <c r="C41" s="468">
        <v>7.0000000000000007E-2</v>
      </c>
      <c r="D41" s="1615">
        <f>PMT(C41/12,B41*12,-1)</f>
        <v>1.9801198540349535E-2</v>
      </c>
      <c r="E41" s="1615"/>
      <c r="F41" s="1259">
        <f>D41*F36</f>
        <v>62971.642893018812</v>
      </c>
      <c r="G41" s="1611">
        <f>F41/0.33</f>
        <v>190823.16028187517</v>
      </c>
      <c r="H41" s="1612"/>
      <c r="I41" s="1613"/>
      <c r="K41" s="1527">
        <f t="shared" si="0"/>
        <v>0</v>
      </c>
      <c r="L41" s="1527"/>
      <c r="M41" s="313" t="str">
        <f t="shared" si="1"/>
        <v/>
      </c>
      <c r="N41" s="1605"/>
      <c r="O41" s="1605"/>
      <c r="P41" s="1603"/>
      <c r="Q41" s="1604"/>
      <c r="T41" s="1588" t="s">
        <v>905</v>
      </c>
      <c r="U41" s="1588"/>
      <c r="V41" s="305" t="e">
        <f t="shared" si="2"/>
        <v>#VALUE!</v>
      </c>
      <c r="X41" s="1522"/>
      <c r="Y41" s="1522"/>
      <c r="AD41" s="1603"/>
      <c r="AE41" s="1604"/>
    </row>
    <row r="42" spans="1:31" s="22" customFormat="1" ht="12.6">
      <c r="B42" s="467">
        <v>10</v>
      </c>
      <c r="C42" s="1265">
        <v>7.0000000000000007E-2</v>
      </c>
      <c r="D42" s="1615">
        <f>PMT(C42/12,B42*12,-1)</f>
        <v>1.1610847921862406E-2</v>
      </c>
      <c r="E42" s="1615"/>
      <c r="F42" s="1259">
        <f>D42*F36</f>
        <v>36924.743092231154</v>
      </c>
      <c r="G42" s="1611">
        <f>F42/0.33</f>
        <v>111893.16088554895</v>
      </c>
      <c r="H42" s="1612"/>
      <c r="I42" s="1613"/>
      <c r="K42" s="1588">
        <f t="shared" si="0"/>
        <v>0</v>
      </c>
      <c r="L42" s="1588"/>
      <c r="M42" s="302" t="str">
        <f t="shared" si="1"/>
        <v/>
      </c>
      <c r="N42" s="1607"/>
      <c r="O42" s="1607"/>
      <c r="P42" s="1603"/>
      <c r="Q42" s="1604"/>
      <c r="T42" s="1588" t="s">
        <v>907</v>
      </c>
      <c r="U42" s="1588"/>
      <c r="V42" s="305" t="e">
        <f t="shared" si="2"/>
        <v>#VALUE!</v>
      </c>
      <c r="X42" s="1522"/>
      <c r="Y42" s="1522"/>
      <c r="AD42" s="1603"/>
      <c r="AE42" s="1604"/>
    </row>
    <row r="43" spans="1:31" s="22" customFormat="1" ht="12.6">
      <c r="B43" s="467">
        <v>15</v>
      </c>
      <c r="C43" s="1265">
        <v>7.0000000000000007E-2</v>
      </c>
      <c r="D43" s="1615">
        <f>PMT(C43/12,B43*12,-1)</f>
        <v>8.988282708524269E-3</v>
      </c>
      <c r="E43" s="1615"/>
      <c r="F43" s="1259">
        <f>D43*F36</f>
        <v>28584.478247077608</v>
      </c>
      <c r="G43" s="1611">
        <f>F43/0.33</f>
        <v>86619.63105175033</v>
      </c>
      <c r="H43" s="1612"/>
      <c r="I43" s="1613"/>
      <c r="K43" s="1588">
        <f t="shared" si="0"/>
        <v>0</v>
      </c>
      <c r="L43" s="1588"/>
      <c r="M43" s="302" t="str">
        <f t="shared" si="1"/>
        <v/>
      </c>
      <c r="N43" s="1607"/>
      <c r="O43" s="1607"/>
      <c r="P43" s="1603"/>
      <c r="Q43" s="1604"/>
      <c r="T43" s="1588" t="s">
        <v>908</v>
      </c>
      <c r="U43" s="1588"/>
      <c r="V43" s="305" t="e">
        <f t="shared" si="2"/>
        <v>#VALUE!</v>
      </c>
      <c r="X43" s="1522"/>
      <c r="Y43" s="1522"/>
      <c r="AD43" s="1603"/>
      <c r="AE43" s="1604"/>
    </row>
    <row r="44" spans="1:31" s="22" customFormat="1" ht="12.6">
      <c r="B44" s="467">
        <v>20</v>
      </c>
      <c r="C44" s="1265">
        <v>7.0000000000000007E-2</v>
      </c>
      <c r="D44" s="1610">
        <f>PMT(C44/12,B44*12,-1)</f>
        <v>7.7529893561887461E-3</v>
      </c>
      <c r="E44" s="1610"/>
      <c r="F44" s="1259">
        <f>D44*F36</f>
        <v>24656.006357212933</v>
      </c>
      <c r="G44" s="1611">
        <f>F44/0.33</f>
        <v>74715.170779433131</v>
      </c>
      <c r="H44" s="1612"/>
      <c r="I44" s="1613"/>
      <c r="K44" s="1588">
        <f t="shared" si="0"/>
        <v>0</v>
      </c>
      <c r="L44" s="1588"/>
      <c r="M44" s="302" t="str">
        <f t="shared" si="1"/>
        <v/>
      </c>
      <c r="N44" s="1607"/>
      <c r="O44" s="1607"/>
      <c r="P44" s="1603"/>
      <c r="Q44" s="1604"/>
      <c r="T44" s="1588" t="s">
        <v>910</v>
      </c>
      <c r="U44" s="1588"/>
      <c r="V44" s="305" t="e">
        <f t="shared" si="2"/>
        <v>#VALUE!</v>
      </c>
      <c r="X44" s="1522"/>
      <c r="Y44" s="1522"/>
      <c r="AD44" s="1603"/>
      <c r="AE44" s="1604"/>
    </row>
    <row r="45" spans="1:31" s="22" customFormat="1" ht="12">
      <c r="B45" s="309" t="s">
        <v>1022</v>
      </c>
      <c r="G45" s="24"/>
      <c r="K45" s="1588">
        <f t="shared" si="0"/>
        <v>0</v>
      </c>
      <c r="L45" s="1588"/>
      <c r="M45" s="302" t="str">
        <f t="shared" si="1"/>
        <v/>
      </c>
      <c r="N45" s="1607"/>
      <c r="O45" s="1607"/>
      <c r="P45" s="1603"/>
      <c r="Q45" s="1604"/>
      <c r="T45" s="1588" t="s">
        <v>911</v>
      </c>
      <c r="U45" s="1588"/>
      <c r="V45" s="305" t="e">
        <f t="shared" si="2"/>
        <v>#VALUE!</v>
      </c>
      <c r="X45" s="1522"/>
      <c r="Y45" s="1522"/>
      <c r="AD45" s="1603"/>
      <c r="AE45" s="1604"/>
    </row>
    <row r="46" spans="1:31" s="22" customFormat="1" ht="12">
      <c r="B46" s="309" t="s">
        <v>1026</v>
      </c>
      <c r="C46" s="310"/>
      <c r="D46" s="434"/>
      <c r="K46" s="1588">
        <f t="shared" si="0"/>
        <v>0</v>
      </c>
      <c r="L46" s="1588"/>
      <c r="M46" s="302" t="str">
        <f t="shared" si="1"/>
        <v/>
      </c>
      <c r="N46" s="1607"/>
      <c r="O46" s="1607"/>
      <c r="P46" s="1603"/>
      <c r="Q46" s="1604"/>
      <c r="T46" s="1588" t="s">
        <v>913</v>
      </c>
      <c r="U46" s="1588"/>
      <c r="V46" s="305" t="e">
        <f t="shared" si="2"/>
        <v>#VALUE!</v>
      </c>
      <c r="X46" s="1522"/>
      <c r="Y46" s="1522"/>
      <c r="AD46" s="1603"/>
      <c r="AE46" s="1604"/>
    </row>
    <row r="47" spans="1:31" s="22" customFormat="1" ht="12">
      <c r="B47" s="311" t="s">
        <v>904</v>
      </c>
      <c r="D47" s="434"/>
      <c r="K47" s="1588">
        <f t="shared" si="0"/>
        <v>0</v>
      </c>
      <c r="L47" s="1588"/>
      <c r="M47" s="302" t="str">
        <f t="shared" si="1"/>
        <v/>
      </c>
      <c r="N47" s="1607"/>
      <c r="O47" s="1607"/>
      <c r="P47" s="1603"/>
      <c r="Q47" s="1604"/>
      <c r="T47" s="1588" t="s">
        <v>914</v>
      </c>
      <c r="U47" s="1588"/>
      <c r="V47" s="305" t="e">
        <f t="shared" si="2"/>
        <v>#VALUE!</v>
      </c>
      <c r="X47" s="1522"/>
      <c r="Y47" s="1522"/>
      <c r="AD47" s="1603"/>
      <c r="AE47" s="1604"/>
    </row>
    <row r="48" spans="1:31" s="22" customFormat="1" ht="12">
      <c r="B48" s="311" t="s">
        <v>906</v>
      </c>
      <c r="C48" s="310"/>
      <c r="D48" s="434"/>
      <c r="K48" s="1588">
        <f t="shared" si="0"/>
        <v>0</v>
      </c>
      <c r="L48" s="1588"/>
      <c r="M48" s="302" t="str">
        <f t="shared" si="1"/>
        <v/>
      </c>
      <c r="N48" s="1607"/>
      <c r="O48" s="1607"/>
      <c r="P48" s="1603"/>
      <c r="Q48" s="1604"/>
      <c r="T48" s="1588" t="s">
        <v>915</v>
      </c>
      <c r="U48" s="1588"/>
      <c r="V48" s="305" t="e">
        <f t="shared" si="2"/>
        <v>#VALUE!</v>
      </c>
      <c r="X48" s="1522"/>
      <c r="Y48" s="1522"/>
      <c r="AD48" s="1603"/>
      <c r="AE48" s="1604"/>
    </row>
    <row r="49" spans="1:25" s="22" customFormat="1" ht="12.6">
      <c r="A49" s="1189"/>
      <c r="D49" s="434"/>
      <c r="K49" s="1588">
        <f t="shared" si="0"/>
        <v>0</v>
      </c>
      <c r="L49" s="1588"/>
      <c r="M49" s="302" t="str">
        <f t="shared" si="1"/>
        <v/>
      </c>
      <c r="N49" s="1607"/>
      <c r="O49" s="1607"/>
      <c r="P49" s="1603"/>
      <c r="Q49" s="1604"/>
      <c r="T49" s="1588" t="s">
        <v>916</v>
      </c>
      <c r="U49" s="1588"/>
      <c r="V49" s="305" t="e">
        <f t="shared" si="2"/>
        <v>#VALUE!</v>
      </c>
      <c r="X49" s="1606"/>
      <c r="Y49" s="1606"/>
    </row>
    <row r="50" spans="1:25">
      <c r="A50" s="22"/>
      <c r="B50" s="294" t="s">
        <v>924</v>
      </c>
      <c r="C50" s="312"/>
      <c r="D50" s="299"/>
      <c r="E50" s="299"/>
      <c r="F50" s="299"/>
      <c r="G50" s="299"/>
      <c r="H50" s="299"/>
      <c r="I50" s="299"/>
      <c r="K50" s="1588">
        <f t="shared" si="0"/>
        <v>0</v>
      </c>
      <c r="L50" s="1588"/>
      <c r="M50" s="302" t="str">
        <f t="shared" si="1"/>
        <v/>
      </c>
      <c r="N50" s="1607"/>
      <c r="O50" s="1607"/>
      <c r="P50" s="1603"/>
      <c r="Q50" s="1604"/>
      <c r="T50" s="1588" t="s">
        <v>917</v>
      </c>
      <c r="U50" s="1588"/>
      <c r="V50" s="305" t="e">
        <f t="shared" si="2"/>
        <v>#VALUE!</v>
      </c>
    </row>
    <row r="51" spans="1:25" s="22" customFormat="1" ht="11.45">
      <c r="B51" s="299"/>
      <c r="C51" s="299"/>
      <c r="D51" s="299"/>
      <c r="E51" s="299"/>
      <c r="F51" s="299"/>
      <c r="G51" s="299"/>
      <c r="H51" s="299"/>
      <c r="I51" s="299"/>
      <c r="K51" s="1588">
        <f t="shared" si="0"/>
        <v>0</v>
      </c>
      <c r="L51" s="1588"/>
      <c r="M51" s="302" t="str">
        <f t="shared" si="1"/>
        <v/>
      </c>
      <c r="N51" s="1607"/>
      <c r="O51" s="1607"/>
      <c r="P51" s="1603"/>
      <c r="Q51" s="1604"/>
      <c r="T51" s="1588" t="s">
        <v>918</v>
      </c>
      <c r="U51" s="1588"/>
      <c r="V51" s="305" t="e">
        <f t="shared" si="2"/>
        <v>#VALUE!</v>
      </c>
      <c r="X51" s="76"/>
      <c r="Y51" s="76"/>
    </row>
    <row r="52" spans="1:25" s="22" customFormat="1" ht="12.6">
      <c r="B52" s="1549" t="s">
        <v>814</v>
      </c>
      <c r="C52" s="1549"/>
      <c r="D52" s="1549" t="s">
        <v>815</v>
      </c>
      <c r="E52" s="1549"/>
      <c r="F52" s="1549"/>
      <c r="G52" s="1549" t="s">
        <v>928</v>
      </c>
      <c r="H52" s="1549"/>
      <c r="I52" s="1549"/>
      <c r="K52" s="1588">
        <f t="shared" si="0"/>
        <v>0</v>
      </c>
      <c r="L52" s="1588"/>
      <c r="M52" s="302" t="str">
        <f t="shared" si="1"/>
        <v/>
      </c>
      <c r="N52" s="1607"/>
      <c r="O52" s="1607"/>
      <c r="P52" s="1603"/>
      <c r="Q52" s="1604"/>
      <c r="T52" s="1588" t="s">
        <v>919</v>
      </c>
      <c r="U52" s="1588"/>
      <c r="V52" s="305" t="e">
        <f t="shared" si="2"/>
        <v>#VALUE!</v>
      </c>
      <c r="X52" s="76"/>
      <c r="Y52" s="76"/>
    </row>
    <row r="53" spans="1:25" s="22" customFormat="1" ht="11.45">
      <c r="B53" s="1508">
        <f>FORM!O19</f>
        <v>0</v>
      </c>
      <c r="C53" s="1509"/>
      <c r="D53" s="1508">
        <f>FORM!S19</f>
        <v>0</v>
      </c>
      <c r="E53" s="1512"/>
      <c r="F53" s="1509"/>
      <c r="G53" s="1514">
        <f>FORM!V19</f>
        <v>0</v>
      </c>
      <c r="H53" s="1515"/>
      <c r="I53" s="1516"/>
      <c r="K53" s="1588">
        <f t="shared" si="0"/>
        <v>0</v>
      </c>
      <c r="L53" s="1588"/>
      <c r="M53" s="302" t="str">
        <f t="shared" si="1"/>
        <v/>
      </c>
      <c r="N53" s="1607"/>
      <c r="O53" s="1607"/>
      <c r="P53" s="1603"/>
      <c r="Q53" s="1604"/>
      <c r="T53" s="1588" t="s">
        <v>921</v>
      </c>
      <c r="U53" s="1588"/>
      <c r="V53" s="305" t="e">
        <f t="shared" si="2"/>
        <v>#VALUE!</v>
      </c>
      <c r="X53" s="76"/>
      <c r="Y53" s="76"/>
    </row>
    <row r="54" spans="1:25" s="22" customFormat="1" ht="11.45">
      <c r="B54" s="1510"/>
      <c r="C54" s="1511"/>
      <c r="D54" s="1510"/>
      <c r="E54" s="1513"/>
      <c r="F54" s="1511"/>
      <c r="G54" s="1517"/>
      <c r="H54" s="1518"/>
      <c r="I54" s="1519"/>
      <c r="K54" s="1588">
        <f t="shared" si="0"/>
        <v>0</v>
      </c>
      <c r="L54" s="1588"/>
      <c r="M54" s="302" t="str">
        <f t="shared" si="1"/>
        <v/>
      </c>
      <c r="N54" s="1607"/>
      <c r="O54" s="1607"/>
      <c r="P54" s="1603"/>
      <c r="Q54" s="1604"/>
      <c r="T54" s="1588" t="s">
        <v>922</v>
      </c>
      <c r="U54" s="1588"/>
      <c r="V54" s="305" t="e">
        <f t="shared" si="2"/>
        <v>#VALUE!</v>
      </c>
      <c r="X54" s="76"/>
      <c r="Y54" s="76"/>
    </row>
    <row r="55" spans="1:25" s="22" customFormat="1" ht="12.6">
      <c r="B55" s="1508">
        <f>FORM!O21</f>
        <v>0</v>
      </c>
      <c r="C55" s="1509"/>
      <c r="D55" s="1508">
        <f>FORM!S21</f>
        <v>0</v>
      </c>
      <c r="E55" s="1512"/>
      <c r="F55" s="1509"/>
      <c r="G55" s="1514">
        <f>FORM!V21</f>
        <v>0</v>
      </c>
      <c r="H55" s="1515"/>
      <c r="I55" s="1516"/>
      <c r="K55" s="1527">
        <f t="shared" si="0"/>
        <v>0</v>
      </c>
      <c r="L55" s="1527"/>
      <c r="M55" s="313" t="str">
        <f t="shared" si="1"/>
        <v/>
      </c>
      <c r="N55" s="1608"/>
      <c r="O55" s="1609"/>
      <c r="P55" s="1603"/>
      <c r="Q55" s="1604"/>
      <c r="T55" s="1588" t="s">
        <v>923</v>
      </c>
      <c r="U55" s="1588"/>
      <c r="V55" s="305" t="e">
        <f t="shared" si="2"/>
        <v>#VALUE!</v>
      </c>
      <c r="X55" s="76"/>
      <c r="Y55" s="76"/>
    </row>
    <row r="56" spans="1:25" s="22" customFormat="1" ht="12.6">
      <c r="B56" s="1510"/>
      <c r="C56" s="1511"/>
      <c r="D56" s="1510"/>
      <c r="E56" s="1513"/>
      <c r="F56" s="1511"/>
      <c r="G56" s="1517"/>
      <c r="H56" s="1518"/>
      <c r="I56" s="1519"/>
      <c r="K56" s="1527">
        <f t="shared" si="0"/>
        <v>0</v>
      </c>
      <c r="L56" s="1527"/>
      <c r="M56" s="313" t="str">
        <f t="shared" si="1"/>
        <v/>
      </c>
      <c r="N56" s="1608"/>
      <c r="O56" s="1609"/>
      <c r="P56" s="1603"/>
      <c r="Q56" s="1604"/>
      <c r="T56" s="1588" t="s">
        <v>925</v>
      </c>
      <c r="U56" s="1588"/>
      <c r="V56" s="305" t="e">
        <f t="shared" si="2"/>
        <v>#VALUE!</v>
      </c>
      <c r="X56" s="76"/>
      <c r="Y56" s="76"/>
    </row>
    <row r="57" spans="1:25" s="22" customFormat="1" ht="12.6">
      <c r="B57" s="1508">
        <f>FORM!O25</f>
        <v>0</v>
      </c>
      <c r="C57" s="1509"/>
      <c r="D57" s="1508">
        <f>FORM!S25</f>
        <v>0</v>
      </c>
      <c r="E57" s="1512"/>
      <c r="F57" s="1509"/>
      <c r="G57" s="1514">
        <f>FORM!V25</f>
        <v>0</v>
      </c>
      <c r="H57" s="1515"/>
      <c r="I57" s="1516"/>
      <c r="J57" s="22" t="s">
        <v>819</v>
      </c>
      <c r="K57" s="1527">
        <f t="shared" si="0"/>
        <v>0</v>
      </c>
      <c r="L57" s="1527"/>
      <c r="M57" s="313" t="str">
        <f t="shared" si="1"/>
        <v/>
      </c>
      <c r="N57" s="1605"/>
      <c r="O57" s="1605"/>
      <c r="P57" s="1603"/>
      <c r="Q57" s="1604"/>
      <c r="T57" s="1588" t="s">
        <v>926</v>
      </c>
      <c r="U57" s="1588"/>
      <c r="V57" s="305" t="e">
        <f t="shared" si="2"/>
        <v>#VALUE!</v>
      </c>
      <c r="X57" s="76"/>
      <c r="Y57" s="76"/>
    </row>
    <row r="58" spans="1:25" s="22" customFormat="1" ht="12.6">
      <c r="B58" s="1510"/>
      <c r="C58" s="1511"/>
      <c r="D58" s="1510"/>
      <c r="E58" s="1513"/>
      <c r="F58" s="1511"/>
      <c r="G58" s="1517"/>
      <c r="H58" s="1518"/>
      <c r="I58" s="1519"/>
      <c r="K58" s="1527">
        <f t="shared" si="0"/>
        <v>0</v>
      </c>
      <c r="L58" s="1527"/>
      <c r="M58" s="313" t="str">
        <f t="shared" si="1"/>
        <v/>
      </c>
      <c r="N58" s="1605"/>
      <c r="O58" s="1605"/>
      <c r="P58" s="1603"/>
      <c r="Q58" s="1604"/>
      <c r="T58" s="1588" t="s">
        <v>929</v>
      </c>
      <c r="U58" s="1588"/>
      <c r="V58" s="305" t="e">
        <f t="shared" si="2"/>
        <v>#VALUE!</v>
      </c>
      <c r="X58" s="76"/>
      <c r="Y58" s="76"/>
    </row>
    <row r="59" spans="1:25" s="22" customFormat="1" ht="12.6">
      <c r="B59" s="1589">
        <f>FORM!O27</f>
        <v>0</v>
      </c>
      <c r="C59" s="1590"/>
      <c r="D59" s="1589">
        <f>FORM!S27</f>
        <v>0</v>
      </c>
      <c r="E59" s="1593"/>
      <c r="F59" s="1590"/>
      <c r="G59" s="1595">
        <f>FORM!V27</f>
        <v>0</v>
      </c>
      <c r="H59" s="1596"/>
      <c r="I59" s="1597"/>
      <c r="K59" s="1527" t="s">
        <v>935</v>
      </c>
      <c r="L59" s="1527"/>
      <c r="M59" s="313" t="e">
        <f>IF(DAY(M17)=31,X20,Z20)</f>
        <v>#VALUE!</v>
      </c>
      <c r="N59" s="1602">
        <f>F36</f>
        <v>3180193.5001408872</v>
      </c>
      <c r="O59" s="1602"/>
      <c r="P59" s="1603"/>
      <c r="Q59" s="1604"/>
      <c r="T59" s="1588" t="s">
        <v>930</v>
      </c>
      <c r="U59" s="1588"/>
      <c r="V59" s="305" t="e">
        <f t="shared" si="2"/>
        <v>#VALUE!</v>
      </c>
      <c r="X59" s="76"/>
      <c r="Y59" s="76"/>
    </row>
    <row r="60" spans="1:25" s="22" customFormat="1" ht="11.45">
      <c r="B60" s="1591"/>
      <c r="C60" s="1592"/>
      <c r="D60" s="1591"/>
      <c r="E60" s="1594"/>
      <c r="F60" s="1592"/>
      <c r="G60" s="1598"/>
      <c r="H60" s="1599"/>
      <c r="I60" s="1600"/>
      <c r="K60" s="314"/>
      <c r="M60" s="315"/>
      <c r="O60" s="691">
        <f>F22-SUM(N17:O59)</f>
        <v>297019.35001408914</v>
      </c>
      <c r="V60" s="316"/>
      <c r="X60" s="76"/>
      <c r="Y60" s="76"/>
    </row>
    <row r="61" spans="1:25" s="22" customFormat="1" ht="12.6">
      <c r="B61" s="1589">
        <f>FORM!O31</f>
        <v>0</v>
      </c>
      <c r="C61" s="1590"/>
      <c r="D61" s="1589">
        <f>FORM!S31</f>
        <v>0</v>
      </c>
      <c r="E61" s="1593"/>
      <c r="F61" s="1590"/>
      <c r="G61" s="1595">
        <f>FORM!V31</f>
        <v>0</v>
      </c>
      <c r="H61" s="1596"/>
      <c r="I61" s="1597"/>
      <c r="K61" s="469"/>
      <c r="L61" s="1189"/>
      <c r="M61" s="1248"/>
      <c r="N61" s="1189"/>
      <c r="O61" s="1189"/>
      <c r="P61" s="1189"/>
      <c r="Q61" s="1189"/>
      <c r="V61" s="301"/>
      <c r="X61" s="76"/>
      <c r="Y61" s="76"/>
    </row>
    <row r="62" spans="1:25" s="22" customFormat="1" ht="12.6">
      <c r="B62" s="1591"/>
      <c r="C62" s="1592"/>
      <c r="D62" s="1591"/>
      <c r="E62" s="1594"/>
      <c r="F62" s="1592"/>
      <c r="G62" s="1598"/>
      <c r="H62" s="1599"/>
      <c r="I62" s="1600"/>
      <c r="K62" s="1189"/>
      <c r="L62" s="1189"/>
      <c r="M62" s="1248"/>
      <c r="N62" s="1189"/>
      <c r="O62" s="1189"/>
      <c r="P62" s="1189"/>
      <c r="Q62" s="1189"/>
      <c r="V62" s="301"/>
      <c r="X62" s="76"/>
      <c r="Y62" s="76"/>
    </row>
    <row r="63" spans="1:25" s="22" customFormat="1" ht="12.6">
      <c r="B63" s="1589">
        <f>FORM!O33</f>
        <v>0</v>
      </c>
      <c r="C63" s="1590"/>
      <c r="D63" s="1589">
        <f>FORM!S33</f>
        <v>0</v>
      </c>
      <c r="E63" s="1593"/>
      <c r="F63" s="1590"/>
      <c r="G63" s="1595">
        <f>FORM!V33</f>
        <v>0</v>
      </c>
      <c r="H63" s="1596"/>
      <c r="I63" s="1597"/>
      <c r="K63" s="3" t="s">
        <v>936</v>
      </c>
      <c r="L63" s="3"/>
      <c r="M63" s="3"/>
      <c r="N63" s="3"/>
      <c r="O63" s="1189"/>
      <c r="P63" s="3" t="s">
        <v>937</v>
      </c>
      <c r="Q63" s="3"/>
      <c r="V63" s="301"/>
      <c r="X63" s="76"/>
      <c r="Y63" s="76"/>
    </row>
    <row r="64" spans="1:25" s="22" customFormat="1">
      <c r="A64" s="2"/>
      <c r="B64" s="1591"/>
      <c r="C64" s="1592"/>
      <c r="D64" s="1591"/>
      <c r="E64" s="1594"/>
      <c r="F64" s="1592"/>
      <c r="G64" s="1598"/>
      <c r="H64" s="1599"/>
      <c r="I64" s="1600"/>
      <c r="K64" s="1189"/>
      <c r="L64" s="1189"/>
      <c r="M64" s="1225"/>
      <c r="N64" s="1189"/>
      <c r="O64" s="1189"/>
      <c r="P64" s="1189"/>
      <c r="Q64" s="1189"/>
      <c r="V64" s="301"/>
      <c r="X64" s="76"/>
      <c r="Y64" s="76"/>
    </row>
    <row r="65" spans="2:17">
      <c r="B65" s="1189"/>
      <c r="C65" s="1189"/>
      <c r="D65" s="1225"/>
      <c r="E65" s="1189"/>
      <c r="F65" s="1189"/>
      <c r="G65" s="1189"/>
      <c r="H65" s="1189"/>
      <c r="I65" s="1189"/>
      <c r="K65" s="1189"/>
      <c r="L65" s="1189"/>
      <c r="M65" s="1225"/>
      <c r="N65" s="1189"/>
      <c r="O65" s="1189"/>
      <c r="P65" s="1189"/>
      <c r="Q65" s="1189"/>
    </row>
    <row r="66" spans="2:17">
      <c r="B66" s="250"/>
      <c r="C66" s="161" t="s">
        <v>950</v>
      </c>
      <c r="D66" s="1601"/>
      <c r="E66" s="1601"/>
      <c r="F66" s="1601"/>
      <c r="G66" s="1189"/>
      <c r="H66" s="1189"/>
      <c r="I66" s="1189"/>
      <c r="K66" s="1587" t="str">
        <f>B70</f>
        <v xml:space="preserve">agent </v>
      </c>
      <c r="L66" s="1587"/>
      <c r="M66" s="1587"/>
      <c r="N66" s="1189"/>
      <c r="O66" s="1189"/>
      <c r="P66" s="1587" t="str">
        <f>F70</f>
        <v>cnc</v>
      </c>
      <c r="Q66" s="1587"/>
    </row>
    <row r="67" spans="2:17">
      <c r="B67" s="470"/>
      <c r="C67" s="1123"/>
      <c r="D67" s="1123"/>
      <c r="E67" s="1123"/>
      <c r="F67" s="100"/>
      <c r="G67" s="1189"/>
      <c r="H67" s="1189"/>
      <c r="I67" s="1189"/>
      <c r="K67" s="1260" t="s">
        <v>939</v>
      </c>
      <c r="L67" s="1260"/>
      <c r="M67" s="1261"/>
      <c r="N67" s="1189"/>
      <c r="O67" s="1189"/>
      <c r="P67" s="1260" t="s">
        <v>939</v>
      </c>
      <c r="Q67" s="1260"/>
    </row>
    <row r="68" spans="2:17">
      <c r="B68" s="3" t="s">
        <v>936</v>
      </c>
      <c r="C68" s="3"/>
      <c r="D68" s="3"/>
      <c r="E68" s="3"/>
      <c r="F68" s="3" t="s">
        <v>937</v>
      </c>
      <c r="G68" s="3"/>
      <c r="H68" s="3"/>
      <c r="I68" s="1189"/>
      <c r="M68" s="2"/>
    </row>
    <row r="69" spans="2:17">
      <c r="B69" s="1189"/>
      <c r="C69" s="1189"/>
      <c r="D69" s="1225"/>
      <c r="E69" s="1189"/>
      <c r="F69" s="1189"/>
      <c r="G69" s="1189"/>
      <c r="H69" s="1189"/>
      <c r="I69" s="1189"/>
      <c r="M69" s="2"/>
    </row>
    <row r="70" spans="2:17">
      <c r="B70" s="1587" t="str">
        <f>'STANDARD_NON RFO UNITS'!B81:D81</f>
        <v xml:space="preserve">agent </v>
      </c>
      <c r="C70" s="1587"/>
      <c r="D70" s="1262"/>
      <c r="E70" s="1189"/>
      <c r="F70" s="1587" t="str">
        <f>'STANDARD_NON RFO UNITS'!F81:I81</f>
        <v>cnc</v>
      </c>
      <c r="G70" s="1587"/>
      <c r="H70" s="1189"/>
      <c r="I70" s="1189"/>
    </row>
    <row r="71" spans="2:17">
      <c r="B71" s="1260" t="s">
        <v>939</v>
      </c>
      <c r="C71" s="1260"/>
      <c r="D71" s="1225"/>
      <c r="E71" s="1189"/>
      <c r="F71" s="1260" t="s">
        <v>939</v>
      </c>
      <c r="G71" s="1260"/>
      <c r="H71" s="1189"/>
      <c r="I71" s="1189"/>
    </row>
    <row r="72" spans="2:17">
      <c r="B72" s="1189"/>
      <c r="C72" s="1189"/>
      <c r="D72" s="1225"/>
      <c r="E72" s="1189"/>
      <c r="F72" s="1189"/>
      <c r="G72" s="1189"/>
      <c r="H72" s="1189"/>
      <c r="I72" s="1189"/>
    </row>
    <row r="73" spans="2:17">
      <c r="B73" s="1189"/>
      <c r="C73" s="1189"/>
      <c r="D73" s="1225"/>
      <c r="E73" s="1189"/>
      <c r="F73" s="1189"/>
      <c r="G73" s="1189"/>
      <c r="H73" s="1189"/>
      <c r="I73" s="1189"/>
    </row>
    <row r="114" spans="1:1">
      <c r="A114" s="317">
        <f>F17*12%</f>
        <v>383420.50362766115</v>
      </c>
    </row>
  </sheetData>
  <sheetProtection formatCells="0" formatColumns="0" formatRows="0"/>
  <mergeCells count="326">
    <mergeCell ref="G1:I1"/>
    <mergeCell ref="B3:I4"/>
    <mergeCell ref="K3:Q4"/>
    <mergeCell ref="E6:I6"/>
    <mergeCell ref="N6:Q6"/>
    <mergeCell ref="E7:F7"/>
    <mergeCell ref="N7:Q7"/>
    <mergeCell ref="G30:I30"/>
    <mergeCell ref="G32:I32"/>
    <mergeCell ref="B30:C30"/>
    <mergeCell ref="B32:C32"/>
    <mergeCell ref="E11:F11"/>
    <mergeCell ref="G11:I11"/>
    <mergeCell ref="N11:O11"/>
    <mergeCell ref="P11:Q11"/>
    <mergeCell ref="E12:F12"/>
    <mergeCell ref="G12:I12"/>
    <mergeCell ref="N12:O12"/>
    <mergeCell ref="P12:Q12"/>
    <mergeCell ref="E8:I8"/>
    <mergeCell ref="N8:Q8"/>
    <mergeCell ref="E9:I9"/>
    <mergeCell ref="N9:Q9"/>
    <mergeCell ref="E10:I10"/>
    <mergeCell ref="N10:Q10"/>
    <mergeCell ref="E13:F13"/>
    <mergeCell ref="G13:I13"/>
    <mergeCell ref="N13:O13"/>
    <mergeCell ref="P13:Q13"/>
    <mergeCell ref="F15:I15"/>
    <mergeCell ref="K15:L16"/>
    <mergeCell ref="M15:M16"/>
    <mergeCell ref="N15:O16"/>
    <mergeCell ref="P15:Q16"/>
    <mergeCell ref="F16:I16"/>
    <mergeCell ref="F17:I17"/>
    <mergeCell ref="K17:L17"/>
    <mergeCell ref="N17:O17"/>
    <mergeCell ref="P17:Q17"/>
    <mergeCell ref="T17:U17"/>
    <mergeCell ref="K18:L18"/>
    <mergeCell ref="N18:O18"/>
    <mergeCell ref="P18:Q18"/>
    <mergeCell ref="T18:U18"/>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22:I22"/>
    <mergeCell ref="K22:L22"/>
    <mergeCell ref="N22:O22"/>
    <mergeCell ref="P22:Q22"/>
    <mergeCell ref="T22:U22"/>
    <mergeCell ref="X22:Y22"/>
    <mergeCell ref="K21:L21"/>
    <mergeCell ref="N21:O21"/>
    <mergeCell ref="P21:Q21"/>
    <mergeCell ref="T21:U21"/>
    <mergeCell ref="X21:Y21"/>
    <mergeCell ref="AD22:AE22"/>
    <mergeCell ref="AG22:AJ22"/>
    <mergeCell ref="K23:L23"/>
    <mergeCell ref="N23:O23"/>
    <mergeCell ref="P23:Q23"/>
    <mergeCell ref="T23:U23"/>
    <mergeCell ref="X23:Y23"/>
    <mergeCell ref="AD23:AE23"/>
    <mergeCell ref="AG23:AJ23"/>
    <mergeCell ref="AD24:AE24"/>
    <mergeCell ref="AG24:AJ24"/>
    <mergeCell ref="F25:I25"/>
    <mergeCell ref="K25:L25"/>
    <mergeCell ref="N25:O25"/>
    <mergeCell ref="P25:Q25"/>
    <mergeCell ref="T25:U25"/>
    <mergeCell ref="X25:Y25"/>
    <mergeCell ref="AD25:AE25"/>
    <mergeCell ref="AG25:AJ25"/>
    <mergeCell ref="F24:I24"/>
    <mergeCell ref="K24:L24"/>
    <mergeCell ref="N24:O24"/>
    <mergeCell ref="P24:Q24"/>
    <mergeCell ref="T24:U24"/>
    <mergeCell ref="X24:Y24"/>
    <mergeCell ref="AD26:AE26"/>
    <mergeCell ref="AG26:AJ26"/>
    <mergeCell ref="K27:L27"/>
    <mergeCell ref="N27:O27"/>
    <mergeCell ref="P27:Q27"/>
    <mergeCell ref="T27:U27"/>
    <mergeCell ref="X27:Y27"/>
    <mergeCell ref="AD27:AE27"/>
    <mergeCell ref="F26:I26"/>
    <mergeCell ref="K26:L26"/>
    <mergeCell ref="N26:O26"/>
    <mergeCell ref="P26:Q26"/>
    <mergeCell ref="T26:U26"/>
    <mergeCell ref="X26:Y26"/>
    <mergeCell ref="B28:C28"/>
    <mergeCell ref="G28:I28"/>
    <mergeCell ref="K30:L30"/>
    <mergeCell ref="N30:O30"/>
    <mergeCell ref="P30:Q30"/>
    <mergeCell ref="T30:U30"/>
    <mergeCell ref="AD28:AE28"/>
    <mergeCell ref="K29:L29"/>
    <mergeCell ref="N29:O29"/>
    <mergeCell ref="P29:Q29"/>
    <mergeCell ref="T29:U29"/>
    <mergeCell ref="X29:Y29"/>
    <mergeCell ref="AD29:AE29"/>
    <mergeCell ref="K28:L28"/>
    <mergeCell ref="N28:O28"/>
    <mergeCell ref="P28:Q28"/>
    <mergeCell ref="T28:U28"/>
    <mergeCell ref="X28:Y28"/>
    <mergeCell ref="B31:C31"/>
    <mergeCell ref="G31:I31"/>
    <mergeCell ref="K32:L32"/>
    <mergeCell ref="N32:O32"/>
    <mergeCell ref="P32:Q32"/>
    <mergeCell ref="T32:U32"/>
    <mergeCell ref="X30:Y30"/>
    <mergeCell ref="AD30:AE30"/>
    <mergeCell ref="B29:C29"/>
    <mergeCell ref="G29:I29"/>
    <mergeCell ref="K31:L31"/>
    <mergeCell ref="N31:O31"/>
    <mergeCell ref="P31:Q31"/>
    <mergeCell ref="T31:U31"/>
    <mergeCell ref="X31:Y31"/>
    <mergeCell ref="AD31:AE31"/>
    <mergeCell ref="AD34:AE34"/>
    <mergeCell ref="X32:Y32"/>
    <mergeCell ref="AD32:AE32"/>
    <mergeCell ref="B33:C33"/>
    <mergeCell ref="G33:I33"/>
    <mergeCell ref="K33:L33"/>
    <mergeCell ref="N33:O33"/>
    <mergeCell ref="P33:Q33"/>
    <mergeCell ref="T33:U33"/>
    <mergeCell ref="X33:Y33"/>
    <mergeCell ref="AD33:AE33"/>
    <mergeCell ref="G34:I34"/>
    <mergeCell ref="F36:I36"/>
    <mergeCell ref="K35:L35"/>
    <mergeCell ref="N35:O35"/>
    <mergeCell ref="P35:Q35"/>
    <mergeCell ref="T35:U35"/>
    <mergeCell ref="X35:Y35"/>
    <mergeCell ref="K34:L34"/>
    <mergeCell ref="N34:O34"/>
    <mergeCell ref="P34:Q34"/>
    <mergeCell ref="T34:U34"/>
    <mergeCell ref="X34:Y34"/>
    <mergeCell ref="X37:Y37"/>
    <mergeCell ref="AD37:AE37"/>
    <mergeCell ref="AD35:AE35"/>
    <mergeCell ref="K36:L36"/>
    <mergeCell ref="N36:O36"/>
    <mergeCell ref="P36:Q36"/>
    <mergeCell ref="T36:U36"/>
    <mergeCell ref="X36:Y36"/>
    <mergeCell ref="AD36:AE36"/>
    <mergeCell ref="K37:L37"/>
    <mergeCell ref="N37:O37"/>
    <mergeCell ref="P37:Q37"/>
    <mergeCell ref="T37:U37"/>
    <mergeCell ref="D40:E40"/>
    <mergeCell ref="G40:I40"/>
    <mergeCell ref="K39:L39"/>
    <mergeCell ref="N39:O39"/>
    <mergeCell ref="P39:Q39"/>
    <mergeCell ref="T39:U39"/>
    <mergeCell ref="K38:L38"/>
    <mergeCell ref="N38:O38"/>
    <mergeCell ref="P38:Q38"/>
    <mergeCell ref="T38:U38"/>
    <mergeCell ref="D44:E44"/>
    <mergeCell ref="G44:I44"/>
    <mergeCell ref="K43:L43"/>
    <mergeCell ref="N43:O43"/>
    <mergeCell ref="P43:Q43"/>
    <mergeCell ref="T43:U43"/>
    <mergeCell ref="X41:Y41"/>
    <mergeCell ref="AD41:AE41"/>
    <mergeCell ref="D43:E43"/>
    <mergeCell ref="G43:I43"/>
    <mergeCell ref="K42:L42"/>
    <mergeCell ref="N42:O42"/>
    <mergeCell ref="P42:Q42"/>
    <mergeCell ref="T42:U42"/>
    <mergeCell ref="X42:Y42"/>
    <mergeCell ref="AD42:AE42"/>
    <mergeCell ref="D42:E42"/>
    <mergeCell ref="G42:I42"/>
    <mergeCell ref="K41:L41"/>
    <mergeCell ref="N41:O41"/>
    <mergeCell ref="P41:Q41"/>
    <mergeCell ref="T41:U41"/>
    <mergeCell ref="D41:E41"/>
    <mergeCell ref="G41:I41"/>
    <mergeCell ref="X43:Y43"/>
    <mergeCell ref="AD43:AE43"/>
    <mergeCell ref="K44:L44"/>
    <mergeCell ref="N44:O44"/>
    <mergeCell ref="P44:Q44"/>
    <mergeCell ref="T44:U44"/>
    <mergeCell ref="X44:Y44"/>
    <mergeCell ref="AD44:AE44"/>
    <mergeCell ref="X38:Y38"/>
    <mergeCell ref="AD38:AE38"/>
    <mergeCell ref="X39:Y39"/>
    <mergeCell ref="AD39:AE39"/>
    <mergeCell ref="K40:L40"/>
    <mergeCell ref="N40:O40"/>
    <mergeCell ref="P40:Q40"/>
    <mergeCell ref="T40:U40"/>
    <mergeCell ref="X40:Y40"/>
    <mergeCell ref="AD40:AE40"/>
    <mergeCell ref="K46:L46"/>
    <mergeCell ref="N46:O46"/>
    <mergeCell ref="P46:Q46"/>
    <mergeCell ref="T46:U46"/>
    <mergeCell ref="X46:Y46"/>
    <mergeCell ref="AD46:AE46"/>
    <mergeCell ref="K45:L45"/>
    <mergeCell ref="N45:O45"/>
    <mergeCell ref="P45:Q45"/>
    <mergeCell ref="T45:U45"/>
    <mergeCell ref="X45:Y45"/>
    <mergeCell ref="AD45:AE45"/>
    <mergeCell ref="K48:L48"/>
    <mergeCell ref="N48:O48"/>
    <mergeCell ref="P48:Q48"/>
    <mergeCell ref="T48:U48"/>
    <mergeCell ref="X48:Y48"/>
    <mergeCell ref="AD48:AE48"/>
    <mergeCell ref="K47:L47"/>
    <mergeCell ref="N47:O47"/>
    <mergeCell ref="P47:Q47"/>
    <mergeCell ref="T47:U47"/>
    <mergeCell ref="X47:Y47"/>
    <mergeCell ref="AD47:AE47"/>
    <mergeCell ref="K49:L49"/>
    <mergeCell ref="N49:O49"/>
    <mergeCell ref="P49:Q49"/>
    <mergeCell ref="T49:U49"/>
    <mergeCell ref="X49:Y49"/>
    <mergeCell ref="K50:L50"/>
    <mergeCell ref="N50:O50"/>
    <mergeCell ref="P50:Q50"/>
    <mergeCell ref="T50:U50"/>
    <mergeCell ref="T51:U51"/>
    <mergeCell ref="B53:C54"/>
    <mergeCell ref="D53:F54"/>
    <mergeCell ref="G53:I54"/>
    <mergeCell ref="K52:L52"/>
    <mergeCell ref="N52:O52"/>
    <mergeCell ref="P52:Q52"/>
    <mergeCell ref="T52:U52"/>
    <mergeCell ref="K53:L53"/>
    <mergeCell ref="N53:O53"/>
    <mergeCell ref="P53:Q53"/>
    <mergeCell ref="T53:U53"/>
    <mergeCell ref="B52:C52"/>
    <mergeCell ref="D52:F52"/>
    <mergeCell ref="G52:I52"/>
    <mergeCell ref="K51:L51"/>
    <mergeCell ref="N51:O51"/>
    <mergeCell ref="P51:Q51"/>
    <mergeCell ref="B55:C56"/>
    <mergeCell ref="D55:F56"/>
    <mergeCell ref="G55:I56"/>
    <mergeCell ref="K54:L54"/>
    <mergeCell ref="N54:O54"/>
    <mergeCell ref="P54:Q54"/>
    <mergeCell ref="T54:U54"/>
    <mergeCell ref="N55:O55"/>
    <mergeCell ref="P55:Q55"/>
    <mergeCell ref="T55:U55"/>
    <mergeCell ref="K56:L56"/>
    <mergeCell ref="N56:O56"/>
    <mergeCell ref="P56:Q56"/>
    <mergeCell ref="T56:U56"/>
    <mergeCell ref="K55:L55"/>
    <mergeCell ref="T59:U59"/>
    <mergeCell ref="B61:C62"/>
    <mergeCell ref="D61:F62"/>
    <mergeCell ref="G61:I62"/>
    <mergeCell ref="B59:C60"/>
    <mergeCell ref="D59:F60"/>
    <mergeCell ref="G59:I60"/>
    <mergeCell ref="K58:L58"/>
    <mergeCell ref="N58:O58"/>
    <mergeCell ref="P58:Q58"/>
    <mergeCell ref="B57:C58"/>
    <mergeCell ref="D57:F58"/>
    <mergeCell ref="G57:I58"/>
    <mergeCell ref="T58:U58"/>
    <mergeCell ref="K57:L57"/>
    <mergeCell ref="N57:O57"/>
    <mergeCell ref="P57:Q57"/>
    <mergeCell ref="T57:U57"/>
    <mergeCell ref="B70:C70"/>
    <mergeCell ref="F70:G70"/>
    <mergeCell ref="B63:C64"/>
    <mergeCell ref="D63:F64"/>
    <mergeCell ref="G63:I64"/>
    <mergeCell ref="D66:F66"/>
    <mergeCell ref="K66:M66"/>
    <mergeCell ref="P66:Q66"/>
    <mergeCell ref="K59:L59"/>
    <mergeCell ref="N59:O59"/>
    <mergeCell ref="P59:Q59"/>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00B050"/>
  </sheetPr>
  <dimension ref="A1:BA114"/>
  <sheetViews>
    <sheetView showGridLines="0" showZeros="0" view="pageBreakPreview" topLeftCell="A11" zoomScale="80" zoomScaleNormal="90" zoomScaleSheetLayoutView="80" zoomScalePageLayoutView="85" workbookViewId="0">
      <selection activeCell="C26" sqref="C26"/>
    </sheetView>
  </sheetViews>
  <sheetFormatPr defaultColWidth="9.140625" defaultRowHeight="13.5"/>
  <cols>
    <col min="1" max="1" width="1.140625" style="2" customWidth="1"/>
    <col min="2" max="2" width="12" style="2" customWidth="1"/>
    <col min="3" max="3" width="24.140625" style="2" customWidth="1"/>
    <col min="4" max="4" width="18.140625"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0" style="2" hidden="1" customWidth="1"/>
    <col min="29" max="29" width="9.140625" style="2"/>
    <col min="30" max="31" width="0" style="2" hidden="1" customWidth="1"/>
    <col min="32" max="16384" width="9.140625" style="2"/>
  </cols>
  <sheetData>
    <row r="1" spans="1:53" s="86" customFormat="1" ht="12.6">
      <c r="B1" s="160" t="s">
        <v>847</v>
      </c>
      <c r="C1" s="1191" t="str">
        <f>FORM!I20</f>
        <v>September 1,2025</v>
      </c>
      <c r="D1" s="1192"/>
      <c r="F1" s="132" t="s">
        <v>942</v>
      </c>
      <c r="G1" s="1528" t="s">
        <v>849</v>
      </c>
      <c r="H1" s="1528"/>
      <c r="I1" s="1528"/>
      <c r="J1" s="88"/>
      <c r="K1" s="160" t="s">
        <v>847</v>
      </c>
      <c r="L1" s="1191" t="str">
        <f>C1</f>
        <v>September 1,2025</v>
      </c>
      <c r="M1" s="1250"/>
      <c r="O1" s="471"/>
      <c r="P1" s="132" t="s">
        <v>943</v>
      </c>
      <c r="Q1" s="1193" t="s">
        <v>851</v>
      </c>
      <c r="V1" s="284"/>
    </row>
    <row r="2" spans="1:53" s="86" customFormat="1" ht="7.5" customHeight="1">
      <c r="C2" s="87"/>
      <c r="D2" s="87"/>
      <c r="K2" s="137"/>
      <c r="L2" s="137"/>
      <c r="M2" s="137"/>
      <c r="N2" s="137"/>
      <c r="O2" s="137"/>
      <c r="P2" s="137"/>
      <c r="Q2" s="137"/>
      <c r="V2" s="284"/>
    </row>
    <row r="3" spans="1:53" s="86" customFormat="1" ht="14.25" customHeight="1">
      <c r="B3" s="1638" t="str">
        <f>'INTERNAL PRICELIST(OLD)'!AH25</f>
        <v>12.5% Equity Step-up, 2.5% Lumpsum</v>
      </c>
      <c r="C3" s="1638"/>
      <c r="D3" s="1638"/>
      <c r="E3" s="1638"/>
      <c r="F3" s="1638"/>
      <c r="G3" s="1638"/>
      <c r="H3" s="1638"/>
      <c r="I3" s="1638"/>
      <c r="J3" s="285"/>
      <c r="K3" s="1638" t="s">
        <v>853</v>
      </c>
      <c r="L3" s="1638"/>
      <c r="M3" s="1638"/>
      <c r="N3" s="1638"/>
      <c r="O3" s="1638"/>
      <c r="P3" s="1638"/>
      <c r="Q3" s="1638"/>
      <c r="V3" s="284"/>
    </row>
    <row r="4" spans="1:53" s="86" customFormat="1" ht="12.75" customHeight="1">
      <c r="B4" s="1638"/>
      <c r="C4" s="1638"/>
      <c r="D4" s="1638"/>
      <c r="E4" s="1638"/>
      <c r="F4" s="1638"/>
      <c r="G4" s="1638"/>
      <c r="H4" s="1638"/>
      <c r="I4" s="1638"/>
      <c r="J4" s="285"/>
      <c r="K4" s="1638"/>
      <c r="L4" s="1638"/>
      <c r="M4" s="1638"/>
      <c r="N4" s="1638"/>
      <c r="O4" s="1638"/>
      <c r="P4" s="1638"/>
      <c r="Q4" s="1638"/>
      <c r="V4" s="284"/>
    </row>
    <row r="5" spans="1:53" s="86" customFormat="1" ht="12.75" customHeight="1">
      <c r="B5" s="88"/>
      <c r="C5" s="88"/>
      <c r="D5" s="92"/>
      <c r="E5" s="88"/>
      <c r="F5" s="88"/>
      <c r="G5" s="94" t="str">
        <f>IF(OR(FORM!I16="5th FLOOR",FORM!I16="6th FLOOR",FORM!I16="7th FLOOR",FORM!I16="8th FLOOR"),FORM!I18,"")</f>
        <v/>
      </c>
      <c r="H5" s="88"/>
      <c r="I5" s="88"/>
      <c r="J5" s="88"/>
      <c r="K5" s="255"/>
      <c r="L5" s="185"/>
      <c r="M5" s="472"/>
      <c r="N5" s="185"/>
      <c r="O5" s="185"/>
      <c r="P5" s="185"/>
      <c r="Q5" s="472"/>
      <c r="V5" s="284"/>
    </row>
    <row r="6" spans="1:53" s="99" customFormat="1" ht="12.6">
      <c r="A6" s="1123"/>
      <c r="B6" s="225" t="s">
        <v>854</v>
      </c>
      <c r="C6" s="226"/>
      <c r="D6" s="705" t="s">
        <v>802</v>
      </c>
      <c r="E6" s="1529" t="str">
        <f>'STANDARD_NON RFO UNITS'!E6:I6</f>
        <v>cnc</v>
      </c>
      <c r="F6" s="1530"/>
      <c r="G6" s="1530"/>
      <c r="H6" s="1530"/>
      <c r="I6" s="1531"/>
      <c r="J6" s="142"/>
      <c r="K6" s="225" t="s">
        <v>854</v>
      </c>
      <c r="L6" s="228"/>
      <c r="M6" s="705" t="s">
        <v>802</v>
      </c>
      <c r="N6" s="1527" t="str">
        <f>E6</f>
        <v>cnc</v>
      </c>
      <c r="O6" s="1527"/>
      <c r="P6" s="1527"/>
      <c r="Q6" s="1527"/>
      <c r="R6" s="1189"/>
      <c r="S6" s="1189"/>
      <c r="T6" s="1189"/>
      <c r="U6" s="1189"/>
      <c r="V6" s="1267"/>
      <c r="W6" s="1189"/>
      <c r="X6" s="86"/>
      <c r="Y6" s="86"/>
      <c r="Z6" s="1189"/>
      <c r="AA6" s="1189"/>
      <c r="AB6" s="1189"/>
      <c r="AC6" s="1189"/>
      <c r="AD6" s="1189"/>
      <c r="AE6" s="1189"/>
      <c r="AF6" s="1189"/>
      <c r="AG6" s="1189"/>
      <c r="AH6" s="1189"/>
      <c r="AI6" s="1189"/>
      <c r="AJ6" s="1189"/>
      <c r="AK6" s="1189"/>
      <c r="AL6" s="1189"/>
      <c r="AM6" s="1210"/>
      <c r="AN6" s="1189"/>
      <c r="AO6" s="1189"/>
      <c r="AP6" s="1189"/>
      <c r="AQ6" s="1189"/>
      <c r="AR6" s="1189"/>
      <c r="AS6" s="1189"/>
      <c r="AT6" s="1189"/>
      <c r="AU6" s="1189"/>
      <c r="AV6" s="1189"/>
      <c r="AW6" s="1189"/>
      <c r="AX6" s="1189"/>
      <c r="AY6" s="1189"/>
      <c r="AZ6" s="1211"/>
      <c r="BA6" s="1212"/>
    </row>
    <row r="7" spans="1:53" s="99" customFormat="1" ht="12.6">
      <c r="A7" s="1123"/>
      <c r="B7" s="144" t="s">
        <v>801</v>
      </c>
      <c r="C7" s="227"/>
      <c r="D7" s="705" t="s">
        <v>802</v>
      </c>
      <c r="E7" s="1543" t="str">
        <f>'STANDARD_NON RFO UNITS'!E7:I7</f>
        <v>The Southprime Flats</v>
      </c>
      <c r="F7" s="1544"/>
      <c r="G7" s="1227" t="str">
        <f>FORM!I14</f>
        <v>B1</v>
      </c>
      <c r="H7" s="1200"/>
      <c r="I7" s="1201"/>
      <c r="J7" s="142"/>
      <c r="K7" s="144" t="s">
        <v>801</v>
      </c>
      <c r="L7" s="148"/>
      <c r="M7" s="705" t="s">
        <v>802</v>
      </c>
      <c r="N7" s="1527" t="str">
        <f>E7</f>
        <v>The Southprime Flats</v>
      </c>
      <c r="O7" s="1527"/>
      <c r="P7" s="1527"/>
      <c r="Q7" s="1527"/>
      <c r="R7" s="1189"/>
      <c r="S7" s="1189"/>
      <c r="T7" s="1189"/>
      <c r="U7" s="1189"/>
      <c r="V7" s="1267"/>
      <c r="W7" s="1189"/>
      <c r="X7" s="86"/>
      <c r="Y7" s="86"/>
      <c r="Z7" s="1189"/>
      <c r="AA7" s="1189"/>
      <c r="AB7" s="1189"/>
      <c r="AC7" s="1189"/>
      <c r="AD7" s="1189"/>
      <c r="AE7" s="1189"/>
      <c r="AF7" s="1189"/>
      <c r="AG7" s="1189"/>
      <c r="AH7" s="1189"/>
      <c r="AI7" s="1189"/>
      <c r="AJ7" s="1189"/>
      <c r="AK7" s="1189"/>
      <c r="AL7" s="1189"/>
      <c r="AM7" s="1210"/>
      <c r="AN7" s="1189"/>
      <c r="AO7" s="1189"/>
      <c r="AP7" s="1189"/>
      <c r="AQ7" s="1189"/>
      <c r="AR7" s="1189"/>
      <c r="AS7" s="1189"/>
      <c r="AT7" s="1189"/>
      <c r="AU7" s="1189"/>
      <c r="AV7" s="1189"/>
      <c r="AW7" s="1189"/>
      <c r="AX7" s="1189"/>
      <c r="AY7" s="1189"/>
      <c r="AZ7" s="1211"/>
      <c r="BA7" s="1212"/>
    </row>
    <row r="8" spans="1:53" s="99" customFormat="1" ht="12.6">
      <c r="A8" s="1123"/>
      <c r="B8" s="144" t="s">
        <v>855</v>
      </c>
      <c r="C8" s="227"/>
      <c r="D8" s="705" t="s">
        <v>802</v>
      </c>
      <c r="E8" s="1529" t="str">
        <f>'STANDARD_NON RFO UNITS'!E8:I8</f>
        <v>2F</v>
      </c>
      <c r="F8" s="1530"/>
      <c r="G8" s="1530"/>
      <c r="H8" s="1530"/>
      <c r="I8" s="1531"/>
      <c r="J8" s="142"/>
      <c r="K8" s="144" t="s">
        <v>855</v>
      </c>
      <c r="L8" s="148"/>
      <c r="M8" s="705" t="s">
        <v>802</v>
      </c>
      <c r="N8" s="1527" t="str">
        <f>E8</f>
        <v>2F</v>
      </c>
      <c r="O8" s="1527"/>
      <c r="P8" s="1527"/>
      <c r="Q8" s="1527"/>
      <c r="R8" s="1189"/>
      <c r="S8" s="1189"/>
      <c r="T8" s="1189"/>
      <c r="U8" s="1189"/>
      <c r="V8" s="1267"/>
      <c r="W8" s="1189"/>
      <c r="X8" s="86"/>
      <c r="Y8" s="86"/>
      <c r="Z8" s="1189"/>
      <c r="AA8" s="1189"/>
      <c r="AB8" s="1189"/>
      <c r="AC8" s="1189"/>
      <c r="AD8" s="1189"/>
      <c r="AE8" s="1189"/>
      <c r="AF8" s="1189"/>
      <c r="AG8" s="1189"/>
      <c r="AH8" s="1189"/>
      <c r="AI8" s="1189"/>
      <c r="AJ8" s="1189"/>
      <c r="AK8" s="1189"/>
      <c r="AL8" s="1189"/>
      <c r="AM8" s="1210"/>
      <c r="AN8" s="1189"/>
      <c r="AO8" s="1189"/>
      <c r="AP8" s="1189"/>
      <c r="AQ8" s="1189"/>
      <c r="AR8" s="1189"/>
      <c r="AS8" s="1189"/>
      <c r="AT8" s="1189"/>
      <c r="AU8" s="1189"/>
      <c r="AV8" s="1189"/>
      <c r="AW8" s="1189"/>
      <c r="AX8" s="1189"/>
      <c r="AY8" s="1189"/>
      <c r="AZ8" s="1211"/>
      <c r="BA8" s="1212"/>
    </row>
    <row r="9" spans="1:53" s="99" customFormat="1" ht="12.6" hidden="1">
      <c r="A9" s="1123"/>
      <c r="B9" s="144" t="s">
        <v>856</v>
      </c>
      <c r="C9" s="227"/>
      <c r="D9" s="705" t="s">
        <v>802</v>
      </c>
      <c r="E9" s="1529" t="e">
        <f>'STANDARD_NON RFO UNITS'!E9:I9</f>
        <v>#REF!</v>
      </c>
      <c r="F9" s="1530"/>
      <c r="G9" s="1530"/>
      <c r="H9" s="1530"/>
      <c r="I9" s="1531"/>
      <c r="J9" s="142"/>
      <c r="K9" s="144" t="s">
        <v>856</v>
      </c>
      <c r="L9" s="148"/>
      <c r="M9" s="705" t="s">
        <v>802</v>
      </c>
      <c r="N9" s="1527" t="str">
        <f>[5]FORM!I14</f>
        <v>TOWER 1</v>
      </c>
      <c r="O9" s="1527"/>
      <c r="P9" s="1527"/>
      <c r="Q9" s="1527"/>
      <c r="R9" s="1189"/>
      <c r="S9" s="1189"/>
      <c r="T9" s="1189"/>
      <c r="U9" s="1189"/>
      <c r="V9" s="1267"/>
      <c r="W9" s="1189"/>
      <c r="X9" s="86"/>
      <c r="Y9" s="86"/>
      <c r="Z9" s="1189"/>
      <c r="AA9" s="1189"/>
      <c r="AB9" s="1189"/>
      <c r="AC9" s="1189"/>
      <c r="AD9" s="1189"/>
      <c r="AE9" s="1189"/>
      <c r="AF9" s="1189"/>
      <c r="AG9" s="1189"/>
      <c r="AH9" s="1189"/>
      <c r="AI9" s="1189"/>
      <c r="AJ9" s="1189"/>
      <c r="AK9" s="1189"/>
      <c r="AL9" s="1189"/>
      <c r="AM9" s="1210"/>
      <c r="AN9" s="1189"/>
      <c r="AO9" s="1189"/>
      <c r="AP9" s="1189"/>
      <c r="AQ9" s="1189"/>
      <c r="AR9" s="1189"/>
      <c r="AS9" s="1189"/>
      <c r="AT9" s="1189"/>
      <c r="AU9" s="1189"/>
      <c r="AV9" s="1189"/>
      <c r="AW9" s="1189"/>
      <c r="AX9" s="1189"/>
      <c r="AY9" s="1189"/>
      <c r="AZ9" s="1211"/>
      <c r="BA9" s="1212"/>
    </row>
    <row r="10" spans="1:53" s="99" customFormat="1" ht="12.6">
      <c r="A10" s="1123"/>
      <c r="B10" s="144" t="s">
        <v>857</v>
      </c>
      <c r="C10" s="227"/>
      <c r="D10" s="705" t="s">
        <v>802</v>
      </c>
      <c r="E10" s="1529" t="str">
        <f>'STANDARD_NON RFO UNITS'!E10:I10</f>
        <v>Studio Unit</v>
      </c>
      <c r="F10" s="1530"/>
      <c r="G10" s="1530"/>
      <c r="H10" s="1530"/>
      <c r="I10" s="1531"/>
      <c r="J10" s="142"/>
      <c r="K10" s="144" t="s">
        <v>857</v>
      </c>
      <c r="L10" s="148"/>
      <c r="M10" s="705" t="s">
        <v>802</v>
      </c>
      <c r="N10" s="1527" t="str">
        <f>E10</f>
        <v>Studio Unit</v>
      </c>
      <c r="O10" s="1527"/>
      <c r="P10" s="1527"/>
      <c r="Q10" s="1527"/>
      <c r="R10" s="1189"/>
      <c r="S10" s="1189"/>
      <c r="T10" s="1189"/>
      <c r="U10" s="1189"/>
      <c r="V10" s="1267"/>
      <c r="W10" s="1189"/>
      <c r="X10" s="86"/>
      <c r="Y10" s="86"/>
      <c r="Z10" s="1189"/>
      <c r="AA10" s="1189"/>
      <c r="AB10" s="1189"/>
      <c r="AC10" s="1189"/>
      <c r="AD10" s="1189"/>
      <c r="AE10" s="1189"/>
      <c r="AF10" s="1189"/>
      <c r="AG10" s="1189"/>
      <c r="AH10" s="1189"/>
      <c r="AI10" s="1189"/>
      <c r="AJ10" s="1189"/>
      <c r="AK10" s="1189"/>
      <c r="AL10" s="1189"/>
      <c r="AM10" s="1210"/>
      <c r="AN10" s="1189"/>
      <c r="AO10" s="1189"/>
      <c r="AP10" s="1189"/>
      <c r="AQ10" s="1189"/>
      <c r="AR10" s="1189"/>
      <c r="AS10" s="1189"/>
      <c r="AT10" s="1189"/>
      <c r="AU10" s="1189"/>
      <c r="AV10" s="1189"/>
      <c r="AW10" s="1189"/>
      <c r="AX10" s="1189"/>
      <c r="AY10" s="1189"/>
      <c r="AZ10" s="1211"/>
      <c r="BA10" s="1212"/>
    </row>
    <row r="11" spans="1:53" s="99" customFormat="1" ht="12.6">
      <c r="A11" s="1123"/>
      <c r="B11" s="144" t="s">
        <v>858</v>
      </c>
      <c r="C11" s="227"/>
      <c r="D11" s="705" t="s">
        <v>802</v>
      </c>
      <c r="E11" s="1539">
        <f>'STANDARD_NON RFO UNITS'!E11:F11</f>
        <v>22</v>
      </c>
      <c r="F11" s="1540"/>
      <c r="G11" s="1541" t="s">
        <v>859</v>
      </c>
      <c r="H11" s="1541"/>
      <c r="I11" s="1542"/>
      <c r="J11" s="142"/>
      <c r="K11" s="144" t="s">
        <v>858</v>
      </c>
      <c r="L11" s="148"/>
      <c r="M11" s="705" t="s">
        <v>802</v>
      </c>
      <c r="N11" s="1639">
        <f>E11</f>
        <v>22</v>
      </c>
      <c r="O11" s="1640"/>
      <c r="P11" s="1636" t="s">
        <v>859</v>
      </c>
      <c r="Q11" s="1637"/>
      <c r="R11" s="1189"/>
      <c r="S11" s="1189"/>
      <c r="T11" s="1189"/>
      <c r="U11" s="1189"/>
      <c r="V11" s="1267"/>
      <c r="W11" s="1189"/>
      <c r="X11" s="86"/>
      <c r="Y11" s="86"/>
      <c r="Z11" s="1189"/>
      <c r="AA11" s="1189"/>
      <c r="AB11" s="1189"/>
      <c r="AC11" s="1189"/>
      <c r="AD11" s="1189"/>
      <c r="AE11" s="1189"/>
      <c r="AF11" s="1189"/>
      <c r="AG11" s="1189"/>
      <c r="AH11" s="1189"/>
      <c r="AI11" s="1189"/>
      <c r="AJ11" s="1189"/>
      <c r="AK11" s="1189"/>
      <c r="AL11" s="1189"/>
      <c r="AM11" s="1210"/>
      <c r="AN11" s="1189"/>
      <c r="AO11" s="1189"/>
      <c r="AP11" s="1189"/>
      <c r="AQ11" s="1189"/>
      <c r="AR11" s="1189"/>
      <c r="AS11" s="1189"/>
      <c r="AT11" s="1189"/>
      <c r="AU11" s="1189"/>
      <c r="AV11" s="1189"/>
      <c r="AW11" s="1189"/>
      <c r="AX11" s="1189"/>
      <c r="AY11" s="1189"/>
      <c r="AZ11" s="1211"/>
      <c r="BA11" s="1212"/>
    </row>
    <row r="12" spans="1:53" s="99" customFormat="1" ht="12.6">
      <c r="A12" s="1123"/>
      <c r="B12" s="148" t="s">
        <v>860</v>
      </c>
      <c r="C12" s="227"/>
      <c r="D12" s="705" t="s">
        <v>802</v>
      </c>
      <c r="E12" s="1539">
        <f>'STANDARD_NON RFO UNITS'!E12:F12</f>
        <v>0</v>
      </c>
      <c r="F12" s="1540"/>
      <c r="G12" s="1541" t="s">
        <v>859</v>
      </c>
      <c r="H12" s="1541"/>
      <c r="I12" s="1542"/>
      <c r="J12" s="142"/>
      <c r="K12" s="148" t="s">
        <v>860</v>
      </c>
      <c r="L12" s="148"/>
      <c r="M12" s="705" t="s">
        <v>802</v>
      </c>
      <c r="N12" s="1634">
        <f>E12</f>
        <v>0</v>
      </c>
      <c r="O12" s="1635"/>
      <c r="P12" s="1636" t="s">
        <v>859</v>
      </c>
      <c r="Q12" s="1637"/>
      <c r="R12" s="1189"/>
      <c r="S12" s="1189"/>
      <c r="T12" s="1189"/>
      <c r="U12" s="1189"/>
      <c r="V12" s="1267"/>
      <c r="W12" s="1189"/>
      <c r="X12" s="86"/>
      <c r="Y12" s="86"/>
      <c r="Z12" s="1189"/>
      <c r="AA12" s="1189"/>
      <c r="AB12" s="1189"/>
      <c r="AC12" s="1189"/>
      <c r="AD12" s="1189"/>
      <c r="AE12" s="1189"/>
      <c r="AF12" s="1189"/>
      <c r="AG12" s="1189"/>
      <c r="AH12" s="1189"/>
      <c r="AI12" s="1189"/>
      <c r="AJ12" s="1189"/>
      <c r="AK12" s="1189"/>
      <c r="AL12" s="1189"/>
      <c r="AM12" s="1210"/>
      <c r="AN12" s="1189"/>
      <c r="AO12" s="1189"/>
      <c r="AP12" s="1189"/>
      <c r="AQ12" s="1189"/>
      <c r="AR12" s="1189"/>
      <c r="AS12" s="1189"/>
      <c r="AT12" s="1189"/>
      <c r="AU12" s="1189"/>
      <c r="AV12" s="1189"/>
      <c r="AW12" s="1189"/>
      <c r="AX12" s="1189"/>
      <c r="AY12" s="1189"/>
      <c r="AZ12" s="1211"/>
      <c r="BA12" s="1212"/>
    </row>
    <row r="13" spans="1:53" s="99" customFormat="1" ht="12.6">
      <c r="A13" s="1123"/>
      <c r="B13" s="238" t="s">
        <v>861</v>
      </c>
      <c r="C13" s="101"/>
      <c r="D13" s="705" t="s">
        <v>802</v>
      </c>
      <c r="E13" s="1539">
        <f>'STANDARD_NON RFO UNITS'!E13:F13</f>
        <v>22</v>
      </c>
      <c r="F13" s="1540"/>
      <c r="G13" s="1541" t="s">
        <v>859</v>
      </c>
      <c r="H13" s="1541"/>
      <c r="I13" s="1542"/>
      <c r="J13" s="142"/>
      <c r="K13" s="238" t="s">
        <v>861</v>
      </c>
      <c r="L13" s="126"/>
      <c r="M13" s="705" t="s">
        <v>802</v>
      </c>
      <c r="N13" s="1634">
        <f>E13</f>
        <v>22</v>
      </c>
      <c r="O13" s="1635"/>
      <c r="P13" s="1636" t="s">
        <v>859</v>
      </c>
      <c r="Q13" s="1637"/>
      <c r="R13" s="1189"/>
      <c r="S13" s="1189"/>
      <c r="T13" s="1189"/>
      <c r="U13" s="1189"/>
      <c r="V13" s="1267"/>
      <c r="W13" s="1189"/>
      <c r="X13" s="86"/>
      <c r="Y13" s="86"/>
      <c r="Z13" s="1189"/>
      <c r="AA13" s="1189"/>
      <c r="AB13" s="1189"/>
      <c r="AC13" s="1189"/>
      <c r="AD13" s="1189"/>
      <c r="AE13" s="1189"/>
      <c r="AF13" s="1189"/>
      <c r="AG13" s="1189"/>
      <c r="AH13" s="1189"/>
      <c r="AI13" s="1189"/>
      <c r="AJ13" s="1189"/>
      <c r="AK13" s="1189"/>
      <c r="AL13" s="1189"/>
      <c r="AM13" s="1210"/>
      <c r="AN13" s="1189"/>
      <c r="AO13" s="1189"/>
      <c r="AP13" s="1189"/>
      <c r="AQ13" s="1189"/>
      <c r="AR13" s="1189"/>
      <c r="AS13" s="1189"/>
      <c r="AT13" s="1189"/>
      <c r="AU13" s="1189"/>
      <c r="AV13" s="1189"/>
      <c r="AW13" s="1189"/>
      <c r="AX13" s="1189"/>
      <c r="AY13" s="1189"/>
      <c r="AZ13" s="1211"/>
      <c r="BA13" s="1212"/>
    </row>
    <row r="14" spans="1:53" s="99" customFormat="1" ht="12.6">
      <c r="A14" s="1189"/>
      <c r="B14" s="1123"/>
      <c r="C14" s="1123"/>
      <c r="D14" s="705"/>
      <c r="E14" s="1123"/>
      <c r="F14" s="1123"/>
      <c r="G14" s="1123"/>
      <c r="H14" s="1123"/>
      <c r="I14" s="1123"/>
      <c r="J14" s="1189"/>
      <c r="K14" s="1189"/>
      <c r="L14" s="1189"/>
      <c r="M14" s="1248"/>
      <c r="N14" s="1189"/>
      <c r="O14" s="1189"/>
      <c r="P14" s="1189"/>
      <c r="Q14" s="1189"/>
      <c r="R14" s="1189"/>
      <c r="S14" s="1189"/>
      <c r="T14" s="1189"/>
      <c r="U14" s="1189"/>
      <c r="V14" s="1267"/>
      <c r="W14" s="1189"/>
      <c r="X14" s="86"/>
      <c r="Y14" s="86"/>
      <c r="Z14" s="1189"/>
      <c r="AA14" s="1189"/>
      <c r="AB14" s="1189"/>
      <c r="AC14" s="1189"/>
      <c r="AD14" s="1189"/>
      <c r="AE14" s="1189"/>
      <c r="AF14" s="1189"/>
      <c r="AG14" s="1189"/>
      <c r="AH14" s="1189"/>
      <c r="AI14" s="1189"/>
      <c r="AJ14" s="1189"/>
      <c r="AK14" s="1189"/>
      <c r="AL14" s="1189"/>
      <c r="AM14" s="1189"/>
      <c r="AN14" s="1189"/>
      <c r="AO14" s="1189"/>
      <c r="AP14" s="1189"/>
      <c r="AQ14" s="1189"/>
      <c r="AR14" s="1189"/>
      <c r="AS14" s="1189"/>
      <c r="AT14" s="1189"/>
      <c r="AU14" s="1189"/>
      <c r="AV14" s="1189"/>
      <c r="AW14" s="1189"/>
      <c r="AX14" s="1189"/>
      <c r="AY14" s="1189"/>
      <c r="AZ14" s="1189"/>
      <c r="BA14" s="1189"/>
    </row>
    <row r="15" spans="1:53" s="99" customFormat="1" ht="12.6">
      <c r="A15" s="1189"/>
      <c r="B15" s="141" t="s">
        <v>862</v>
      </c>
      <c r="C15" s="226"/>
      <c r="D15" s="142" t="s">
        <v>802</v>
      </c>
      <c r="E15" s="460"/>
      <c r="F15" s="1623">
        <f>'STANDARD_NON RFO UNITS'!F15:I15</f>
        <v>3195170.8635638431</v>
      </c>
      <c r="G15" s="1623"/>
      <c r="H15" s="1623"/>
      <c r="I15" s="1624"/>
      <c r="J15" s="3"/>
      <c r="K15" s="1549" t="s">
        <v>863</v>
      </c>
      <c r="L15" s="1549"/>
      <c r="M15" s="1550" t="s">
        <v>773</v>
      </c>
      <c r="N15" s="1549" t="s">
        <v>776</v>
      </c>
      <c r="O15" s="1549"/>
      <c r="P15" s="1553" t="s">
        <v>214</v>
      </c>
      <c r="Q15" s="1554"/>
      <c r="R15" s="1189"/>
      <c r="S15" s="1189"/>
      <c r="T15" s="1189"/>
      <c r="U15" s="1189"/>
      <c r="V15" s="1267"/>
      <c r="W15" s="1189"/>
      <c r="X15" s="86"/>
      <c r="Y15" s="86"/>
      <c r="Z15" s="1189"/>
      <c r="AA15" s="1189"/>
      <c r="AB15" s="1189"/>
      <c r="AC15" s="1189"/>
      <c r="AD15" s="1189"/>
      <c r="AE15" s="1189"/>
      <c r="AF15" s="1189"/>
      <c r="AG15" s="1189"/>
      <c r="AH15" s="1189"/>
      <c r="AI15" s="1189"/>
      <c r="AJ15" s="1189"/>
      <c r="AK15" s="1189"/>
      <c r="AL15" s="1189"/>
      <c r="AM15" s="1189"/>
      <c r="AN15" s="1189"/>
      <c r="AO15" s="1189"/>
      <c r="AP15" s="1189"/>
      <c r="AQ15" s="1189"/>
      <c r="AR15" s="1189"/>
      <c r="AS15" s="1189"/>
      <c r="AT15" s="1189"/>
      <c r="AU15" s="1189"/>
      <c r="AV15" s="1189"/>
      <c r="AW15" s="1189"/>
      <c r="AX15" s="1189"/>
      <c r="AY15" s="1189"/>
      <c r="AZ15" s="1189"/>
      <c r="BA15" s="1189"/>
    </row>
    <row r="16" spans="1:53" s="3" customFormat="1" ht="12.6">
      <c r="B16" s="144" t="s">
        <v>864</v>
      </c>
      <c r="C16" s="148"/>
      <c r="D16" s="705" t="s">
        <v>802</v>
      </c>
      <c r="E16" s="461"/>
      <c r="F16" s="1623">
        <f>'STANDARD_NON RFO UNITS'!F16:I16</f>
        <v>0</v>
      </c>
      <c r="G16" s="1623"/>
      <c r="H16" s="1623"/>
      <c r="I16" s="1624"/>
      <c r="J16" s="1189"/>
      <c r="K16" s="1549"/>
      <c r="L16" s="1549"/>
      <c r="M16" s="1550"/>
      <c r="N16" s="1549"/>
      <c r="O16" s="1549"/>
      <c r="P16" s="1555"/>
      <c r="Q16" s="1556"/>
      <c r="V16" s="473"/>
      <c r="W16" s="3">
        <f>SUM(F30:F32)</f>
        <v>0</v>
      </c>
      <c r="X16" s="474"/>
      <c r="Y16" s="474"/>
    </row>
    <row r="17" spans="1:31" s="99" customFormat="1" ht="12.6">
      <c r="A17" s="1189"/>
      <c r="B17" s="129" t="s">
        <v>865</v>
      </c>
      <c r="C17" s="101"/>
      <c r="D17" s="142" t="s">
        <v>802</v>
      </c>
      <c r="E17" s="462"/>
      <c r="F17" s="1622">
        <f>'STANDARD_NON RFO UNITS'!F17:I17</f>
        <v>3195170.8635638431</v>
      </c>
      <c r="G17" s="1623"/>
      <c r="H17" s="1623"/>
      <c r="I17" s="1624"/>
      <c r="J17" s="3"/>
      <c r="K17" s="1527" t="s">
        <v>820</v>
      </c>
      <c r="L17" s="1527"/>
      <c r="M17" s="1207" t="str">
        <f>C1</f>
        <v>September 1,2025</v>
      </c>
      <c r="N17" s="1551">
        <f>F25</f>
        <v>30000</v>
      </c>
      <c r="O17" s="1551"/>
      <c r="P17" s="1525"/>
      <c r="Q17" s="1526"/>
      <c r="R17" s="1189"/>
      <c r="S17" s="1189"/>
      <c r="T17" s="1697" t="s">
        <v>944</v>
      </c>
      <c r="U17" s="1698"/>
      <c r="V17" s="1268" t="str">
        <f>C1</f>
        <v>September 1,2025</v>
      </c>
      <c r="W17" s="1267" t="e">
        <f>EDATE(V17,W16)</f>
        <v>#VALUE!</v>
      </c>
      <c r="X17" s="86"/>
      <c r="Y17" s="86"/>
      <c r="Z17" s="1189"/>
      <c r="AA17" s="1189"/>
      <c r="AB17" s="1189"/>
      <c r="AC17" s="1189"/>
      <c r="AD17" s="1189"/>
      <c r="AE17" s="1189"/>
    </row>
    <row r="18" spans="1:31" s="3" customFormat="1" ht="12.6">
      <c r="B18" s="147"/>
      <c r="C18" s="1123"/>
      <c r="D18" s="705"/>
      <c r="E18" s="1200"/>
      <c r="F18" s="1252"/>
      <c r="G18" s="1252"/>
      <c r="H18" s="1252"/>
      <c r="I18" s="1253"/>
      <c r="J18" s="1189"/>
      <c r="K18" s="1527">
        <f t="shared" ref="K18:K57" si="0">IF(N18&gt;1,T18,0)</f>
        <v>0</v>
      </c>
      <c r="L18" s="1527"/>
      <c r="M18" s="313" t="str">
        <f t="shared" ref="M18:M57" si="1">IF(N18&gt;1,V18,"")</f>
        <v/>
      </c>
      <c r="N18" s="1614"/>
      <c r="O18" s="1614"/>
      <c r="P18" s="1525"/>
      <c r="Q18" s="1526"/>
      <c r="T18" s="1527" t="s">
        <v>945</v>
      </c>
      <c r="U18" s="1527"/>
      <c r="V18" s="475" t="e">
        <f>IF(DAY(V17)=31,X21,Z21)</f>
        <v>#VALUE!</v>
      </c>
      <c r="X18" s="1"/>
      <c r="Y18" s="1"/>
    </row>
    <row r="19" spans="1:31" s="99" customFormat="1" ht="12.95">
      <c r="A19" s="1189"/>
      <c r="B19" s="148" t="s">
        <v>868</v>
      </c>
      <c r="C19" s="148"/>
      <c r="D19" s="705" t="s">
        <v>802</v>
      </c>
      <c r="E19" s="1213">
        <v>0.12</v>
      </c>
      <c r="F19" s="1627">
        <f>'STANDARD_NON RFO UNITS'!F19:I19</f>
        <v>0</v>
      </c>
      <c r="G19" s="1628"/>
      <c r="H19" s="1628"/>
      <c r="I19" s="1629"/>
      <c r="J19" s="1189"/>
      <c r="K19" s="1527">
        <f t="shared" si="0"/>
        <v>0</v>
      </c>
      <c r="L19" s="1527"/>
      <c r="M19" s="313" t="str">
        <f t="shared" si="1"/>
        <v/>
      </c>
      <c r="N19" s="1693"/>
      <c r="O19" s="1694"/>
      <c r="P19" s="1525"/>
      <c r="Q19" s="1526"/>
      <c r="R19" s="1189"/>
      <c r="S19" s="1189"/>
      <c r="T19" s="1525" t="s">
        <v>869</v>
      </c>
      <c r="U19" s="1526"/>
      <c r="V19" s="1269" t="e">
        <f t="shared" ref="V19:V59" si="2">IF(AND(DAY(V18)&gt;=6,DAY(V18)&lt;=20),DATE(YEAR(V18),MONTH(V18)+1,DAY(20)),IF(AND(DAY(V18)&gt;=21,DAY(V18)&lt;=30),DATE(YEAR(V18),MONTH(V18)+1,IF(DAY(EOMONTH(V18,1))&lt;30,DAY(EOMONTH(V18,1)),DAY(30))),DATE(YEAR(V18),MONTH(V18)+1,DAY(5))))</f>
        <v>#VALUE!</v>
      </c>
      <c r="W19" s="1189"/>
      <c r="X19" s="1692" t="s">
        <v>867</v>
      </c>
      <c r="Y19" s="1692"/>
      <c r="Z19" s="1189"/>
      <c r="AA19" s="1189"/>
      <c r="AB19" s="1189"/>
      <c r="AC19" s="1189"/>
      <c r="AD19" s="1525"/>
      <c r="AE19" s="1526"/>
    </row>
    <row r="20" spans="1:31" s="99" customFormat="1" ht="12.6">
      <c r="A20" s="1189"/>
      <c r="B20" s="238" t="s">
        <v>870</v>
      </c>
      <c r="C20" s="126"/>
      <c r="D20" s="705" t="s">
        <v>802</v>
      </c>
      <c r="E20" s="1254"/>
      <c r="F20" s="1630">
        <f>'STANDARD_NON RFO UNITS'!F20:I20</f>
        <v>439335.99374002841</v>
      </c>
      <c r="G20" s="1630"/>
      <c r="H20" s="1630"/>
      <c r="I20" s="1631"/>
      <c r="J20" s="1189"/>
      <c r="K20" s="1527">
        <f t="shared" si="0"/>
        <v>0</v>
      </c>
      <c r="L20" s="1527"/>
      <c r="M20" s="313" t="str">
        <f t="shared" si="1"/>
        <v/>
      </c>
      <c r="N20" s="1693"/>
      <c r="O20" s="1694"/>
      <c r="P20" s="1525"/>
      <c r="Q20" s="1526"/>
      <c r="R20" s="1189"/>
      <c r="S20" s="1189"/>
      <c r="T20" s="1527" t="s">
        <v>871</v>
      </c>
      <c r="U20" s="1527"/>
      <c r="V20" s="1269" t="e">
        <f t="shared" si="2"/>
        <v>#VALUE!</v>
      </c>
      <c r="W20" s="1270" t="s">
        <v>38</v>
      </c>
      <c r="X20" s="1695" t="e">
        <f>IF(DAY(V17)=31,DATE(YEAR(W17),MONTH(W17)+2,DAY(5)))</f>
        <v>#VALUE!</v>
      </c>
      <c r="Y20" s="1696"/>
      <c r="Z20" s="1271" t="e">
        <f>IF(AND(DAY(W17)&gt;=6,DAY(W17)&lt;=20),DATE(YEAR(W17),MONTH(W17)+1,DAY(20)),IF(AND(DAY(W17)&gt;=21,DAY(W17)&lt;=31),DATE(YEAR(W17),MONTH(W17)+1,IF(DAY(EOMONTH(W17,1))&lt;30,DAY(EOMONTH(W17,1)),DAY(30))),DATE(YEAR(W17),MONTH(W17)+1,DAY(5))))</f>
        <v>#VALUE!</v>
      </c>
      <c r="AA20" s="1189"/>
      <c r="AB20" s="1189"/>
      <c r="AC20" s="1189"/>
      <c r="AD20" s="1525"/>
      <c r="AE20" s="1526"/>
    </row>
    <row r="21" spans="1:31" s="99" customFormat="1" ht="12.6">
      <c r="A21" s="1189"/>
      <c r="B21" s="147"/>
      <c r="C21" s="1123"/>
      <c r="D21" s="705"/>
      <c r="E21" s="1255"/>
      <c r="F21" s="1256"/>
      <c r="G21" s="1214"/>
      <c r="H21" s="1214"/>
      <c r="I21" s="1201"/>
      <c r="J21" s="1189"/>
      <c r="K21" s="1527">
        <f t="shared" si="0"/>
        <v>0</v>
      </c>
      <c r="L21" s="1527"/>
      <c r="M21" s="313" t="str">
        <f t="shared" si="1"/>
        <v/>
      </c>
      <c r="N21" s="1693"/>
      <c r="O21" s="1694"/>
      <c r="P21" s="1525"/>
      <c r="Q21" s="1526"/>
      <c r="R21" s="1189"/>
      <c r="S21" s="1189"/>
      <c r="T21" s="1527" t="s">
        <v>873</v>
      </c>
      <c r="U21" s="1527"/>
      <c r="V21" s="1269" t="e">
        <f t="shared" si="2"/>
        <v>#VALUE!</v>
      </c>
      <c r="W21" s="1270" t="s">
        <v>872</v>
      </c>
      <c r="X21" s="1695" t="e">
        <f>IF(DAY(V17)=31,DATE(YEAR(V17),MONTH(V17)+2,DAY(5)))</f>
        <v>#VALUE!</v>
      </c>
      <c r="Y21" s="1696"/>
      <c r="Z21" s="1271" t="e">
        <f>IF(AND(DAY(V17)&gt;=6,DAY(V17)&lt;=20),DATE(YEAR(V17),MONTH(V17)+1,DAY(20)),IF(AND(DAY(V17)&gt;=21,DAY(V17)&lt;=30),DATE(YEAR(V17),MONTH(V17)+1,IF(DAY(EOMONTH(V17,1))&lt;31,DAY(EOMONTH(V17,1)),DAY(30))),DATE(YEAR(V17),MONTH(V17)+1,DAY(5))))</f>
        <v>#VALUE!</v>
      </c>
      <c r="AA21" s="1189"/>
      <c r="AB21" s="1189"/>
      <c r="AC21" s="1189"/>
      <c r="AD21" s="1525"/>
      <c r="AE21" s="1526"/>
    </row>
    <row r="22" spans="1:31" s="99" customFormat="1" ht="12.95">
      <c r="A22" s="1189"/>
      <c r="B22" s="129" t="s">
        <v>874</v>
      </c>
      <c r="C22" s="101"/>
      <c r="D22" s="142" t="s">
        <v>802</v>
      </c>
      <c r="E22" s="273"/>
      <c r="F22" s="1558">
        <f>SUM(F19:I20,F17)</f>
        <v>3634506.8573038713</v>
      </c>
      <c r="G22" s="1559"/>
      <c r="H22" s="1559"/>
      <c r="I22" s="1560"/>
      <c r="J22" s="1189"/>
      <c r="K22" s="1527">
        <f t="shared" si="0"/>
        <v>0</v>
      </c>
      <c r="L22" s="1527"/>
      <c r="M22" s="313" t="str">
        <f t="shared" si="1"/>
        <v/>
      </c>
      <c r="N22" s="1693"/>
      <c r="O22" s="1694"/>
      <c r="P22" s="1525"/>
      <c r="Q22" s="1526"/>
      <c r="R22" s="1189"/>
      <c r="S22" s="1189"/>
      <c r="T22" s="1527" t="s">
        <v>875</v>
      </c>
      <c r="U22" s="1527"/>
      <c r="V22" s="1269" t="e">
        <f t="shared" si="2"/>
        <v>#VALUE!</v>
      </c>
      <c r="W22" s="1189"/>
      <c r="X22" s="1692"/>
      <c r="Y22" s="1692"/>
      <c r="Z22" s="1189"/>
      <c r="AA22" s="1189"/>
      <c r="AB22" s="1189"/>
      <c r="AC22" s="1189"/>
      <c r="AD22" s="1525"/>
      <c r="AE22" s="1526"/>
    </row>
    <row r="23" spans="1:31" s="99" customFormat="1" ht="12.95">
      <c r="A23" s="3"/>
      <c r="B23" s="147"/>
      <c r="C23" s="1123"/>
      <c r="D23" s="705"/>
      <c r="E23" s="705"/>
      <c r="F23" s="1257"/>
      <c r="G23" s="1257"/>
      <c r="H23" s="1257"/>
      <c r="I23" s="1123"/>
      <c r="J23" s="3"/>
      <c r="K23" s="1527">
        <f t="shared" si="0"/>
        <v>0</v>
      </c>
      <c r="L23" s="1527"/>
      <c r="M23" s="313" t="str">
        <f t="shared" si="1"/>
        <v/>
      </c>
      <c r="N23" s="1693"/>
      <c r="O23" s="1694"/>
      <c r="P23" s="1525"/>
      <c r="Q23" s="1526"/>
      <c r="R23" s="1189"/>
      <c r="S23" s="1189"/>
      <c r="T23" s="1527" t="s">
        <v>876</v>
      </c>
      <c r="U23" s="1527"/>
      <c r="V23" s="1269" t="e">
        <f t="shared" si="2"/>
        <v>#VALUE!</v>
      </c>
      <c r="W23" s="1189"/>
      <c r="X23" s="1692"/>
      <c r="Y23" s="1692"/>
      <c r="Z23" s="1189"/>
      <c r="AA23" s="1189"/>
      <c r="AB23" s="1189"/>
      <c r="AC23" s="1189"/>
      <c r="AD23" s="1525"/>
      <c r="AE23" s="1526"/>
    </row>
    <row r="24" spans="1:31" s="3" customFormat="1" ht="12.95">
      <c r="A24" s="1189"/>
      <c r="B24" s="129" t="s">
        <v>877</v>
      </c>
      <c r="C24" s="226"/>
      <c r="D24" s="142" t="s">
        <v>802</v>
      </c>
      <c r="E24" s="271">
        <f>'STANDARD_NON RFO UNITS'!E24</f>
        <v>0.125</v>
      </c>
      <c r="F24" s="1622">
        <f>F22*E24</f>
        <v>454313.35716298391</v>
      </c>
      <c r="G24" s="1623"/>
      <c r="H24" s="1623"/>
      <c r="I24" s="1624"/>
      <c r="J24" s="1189"/>
      <c r="K24" s="1527">
        <f t="shared" si="0"/>
        <v>0</v>
      </c>
      <c r="L24" s="1527"/>
      <c r="M24" s="313" t="str">
        <f t="shared" si="1"/>
        <v/>
      </c>
      <c r="N24" s="1693"/>
      <c r="O24" s="1694"/>
      <c r="P24" s="1525"/>
      <c r="Q24" s="1526"/>
      <c r="T24" s="1527" t="s">
        <v>878</v>
      </c>
      <c r="U24" s="1527"/>
      <c r="V24" s="1269" t="e">
        <f t="shared" si="2"/>
        <v>#VALUE!</v>
      </c>
      <c r="X24" s="1692"/>
      <c r="Y24" s="1692"/>
      <c r="AD24" s="1525"/>
      <c r="AE24" s="1526"/>
    </row>
    <row r="25" spans="1:31" s="99" customFormat="1" ht="12.95">
      <c r="A25" s="1189"/>
      <c r="B25" s="144" t="s">
        <v>879</v>
      </c>
      <c r="C25" s="148"/>
      <c r="D25" s="705" t="s">
        <v>802</v>
      </c>
      <c r="E25" s="1198"/>
      <c r="F25" s="1627">
        <f>'STANDARD_NON RFO UNITS'!F25</f>
        <v>30000</v>
      </c>
      <c r="G25" s="1628"/>
      <c r="H25" s="1628"/>
      <c r="I25" s="1629"/>
      <c r="J25" s="1189"/>
      <c r="K25" s="1527">
        <f t="shared" si="0"/>
        <v>0</v>
      </c>
      <c r="L25" s="1527"/>
      <c r="M25" s="313" t="str">
        <f t="shared" si="1"/>
        <v/>
      </c>
      <c r="N25" s="1693"/>
      <c r="O25" s="1694"/>
      <c r="P25" s="1525"/>
      <c r="Q25" s="1526"/>
      <c r="R25" s="1189"/>
      <c r="S25" s="1189"/>
      <c r="T25" s="1527" t="s">
        <v>880</v>
      </c>
      <c r="U25" s="1527"/>
      <c r="V25" s="1269" t="e">
        <f t="shared" si="2"/>
        <v>#VALUE!</v>
      </c>
      <c r="W25" s="1189"/>
      <c r="X25" s="1692"/>
      <c r="Y25" s="1692"/>
      <c r="Z25" s="1189"/>
      <c r="AA25" s="1189"/>
      <c r="AB25" s="1189"/>
      <c r="AC25" s="1189"/>
      <c r="AD25" s="1525"/>
      <c r="AE25" s="1526"/>
    </row>
    <row r="26" spans="1:31" s="99" customFormat="1" ht="12.95">
      <c r="A26" s="3"/>
      <c r="B26" s="198">
        <f>'Corrected and Updated TSF 1'!EK22</f>
        <v>0</v>
      </c>
      <c r="C26" s="476"/>
      <c r="D26" s="705"/>
      <c r="E26" s="1272">
        <v>2.5000000000000001E-2</v>
      </c>
      <c r="F26" s="477">
        <f>E26*F22</f>
        <v>90862.671432596791</v>
      </c>
      <c r="G26" s="478"/>
      <c r="H26" s="478"/>
      <c r="I26" s="479"/>
      <c r="J26" s="3"/>
      <c r="K26" s="1527">
        <f t="shared" si="0"/>
        <v>0</v>
      </c>
      <c r="L26" s="1527"/>
      <c r="M26" s="313" t="str">
        <f t="shared" si="1"/>
        <v/>
      </c>
      <c r="N26" s="1693"/>
      <c r="O26" s="1694"/>
      <c r="P26" s="1525"/>
      <c r="Q26" s="1526"/>
      <c r="R26" s="1189"/>
      <c r="S26" s="1189"/>
      <c r="T26" s="1527" t="s">
        <v>882</v>
      </c>
      <c r="U26" s="1527"/>
      <c r="V26" s="1269" t="e">
        <f t="shared" si="2"/>
        <v>#VALUE!</v>
      </c>
      <c r="W26" s="1189"/>
      <c r="X26" s="1692"/>
      <c r="Y26" s="1692"/>
      <c r="Z26" s="1189"/>
      <c r="AA26" s="1189"/>
      <c r="AB26" s="1189"/>
      <c r="AC26" s="1189"/>
      <c r="AD26" s="1525"/>
      <c r="AE26" s="1526"/>
    </row>
    <row r="27" spans="1:31" s="3" customFormat="1" ht="12.95">
      <c r="B27" s="129" t="s">
        <v>946</v>
      </c>
      <c r="C27" s="101"/>
      <c r="D27" s="142" t="s">
        <v>802</v>
      </c>
      <c r="E27" s="239"/>
      <c r="F27" s="1622">
        <f>F24-F25-F26</f>
        <v>333450.68573038711</v>
      </c>
      <c r="G27" s="1623"/>
      <c r="H27" s="1623"/>
      <c r="I27" s="1624"/>
      <c r="J27" s="480"/>
      <c r="K27" s="1527">
        <f t="shared" si="0"/>
        <v>0</v>
      </c>
      <c r="L27" s="1527"/>
      <c r="M27" s="313" t="str">
        <f t="shared" si="1"/>
        <v/>
      </c>
      <c r="N27" s="1693"/>
      <c r="O27" s="1694"/>
      <c r="P27" s="1525"/>
      <c r="Q27" s="1526"/>
      <c r="R27" s="3" t="s">
        <v>819</v>
      </c>
      <c r="T27" s="1527" t="s">
        <v>883</v>
      </c>
      <c r="U27" s="1527"/>
      <c r="V27" s="1269" t="e">
        <f t="shared" si="2"/>
        <v>#VALUE!</v>
      </c>
      <c r="X27" s="1692"/>
      <c r="Y27" s="1692"/>
      <c r="AD27" s="1525"/>
      <c r="AE27" s="1526"/>
    </row>
    <row r="28" spans="1:31" s="3" customFormat="1" ht="12.95">
      <c r="B28" s="147"/>
      <c r="C28" s="1123"/>
      <c r="D28" s="705"/>
      <c r="E28" s="705"/>
      <c r="F28" s="1257"/>
      <c r="G28" s="1257"/>
      <c r="H28" s="1257"/>
      <c r="I28" s="100"/>
      <c r="K28" s="1527">
        <f t="shared" si="0"/>
        <v>0</v>
      </c>
      <c r="L28" s="1527"/>
      <c r="M28" s="313" t="str">
        <f t="shared" si="1"/>
        <v/>
      </c>
      <c r="N28" s="1614"/>
      <c r="O28" s="1614"/>
      <c r="P28" s="1525"/>
      <c r="Q28" s="1526"/>
      <c r="T28" s="1527" t="s">
        <v>885</v>
      </c>
      <c r="U28" s="1527"/>
      <c r="V28" s="1269" t="e">
        <f t="shared" si="2"/>
        <v>#VALUE!</v>
      </c>
      <c r="X28" s="1692"/>
      <c r="Y28" s="1692"/>
      <c r="AD28" s="1525"/>
      <c r="AE28" s="1526"/>
    </row>
    <row r="29" spans="1:31" s="3" customFormat="1" ht="12.95">
      <c r="A29" s="1189"/>
      <c r="B29" s="1625" t="s">
        <v>947</v>
      </c>
      <c r="C29" s="1625"/>
      <c r="D29" s="142"/>
      <c r="E29" s="463" t="s">
        <v>835</v>
      </c>
      <c r="F29" s="464" t="s">
        <v>834</v>
      </c>
      <c r="G29" s="1626" t="s">
        <v>948</v>
      </c>
      <c r="H29" s="1626"/>
      <c r="I29" s="1626"/>
      <c r="J29" s="1189"/>
      <c r="K29" s="1527">
        <f t="shared" si="0"/>
        <v>0</v>
      </c>
      <c r="L29" s="1527"/>
      <c r="M29" s="313" t="str">
        <f t="shared" si="1"/>
        <v/>
      </c>
      <c r="N29" s="1614"/>
      <c r="O29" s="1614"/>
      <c r="P29" s="1525"/>
      <c r="Q29" s="1526"/>
      <c r="T29" s="1527" t="s">
        <v>886</v>
      </c>
      <c r="U29" s="1527"/>
      <c r="V29" s="1269" t="e">
        <f t="shared" si="2"/>
        <v>#VALUE!</v>
      </c>
      <c r="X29" s="1692"/>
      <c r="Y29" s="1692"/>
      <c r="AD29" s="1525"/>
      <c r="AE29" s="1526"/>
    </row>
    <row r="30" spans="1:31" s="99" customFormat="1" ht="12.95">
      <c r="A30" s="3"/>
      <c r="B30" s="1620">
        <f>FORM!K39</f>
        <v>0</v>
      </c>
      <c r="C30" s="1620"/>
      <c r="D30" s="142" t="s">
        <v>802</v>
      </c>
      <c r="E30" s="1258">
        <f>FORM!T39</f>
        <v>0</v>
      </c>
      <c r="F30" s="465">
        <f>FORM!P39</f>
        <v>0</v>
      </c>
      <c r="G30" s="1621" t="e">
        <f>F27*E30/F30</f>
        <v>#DIV/0!</v>
      </c>
      <c r="H30" s="1621"/>
      <c r="I30" s="1621"/>
      <c r="J30" s="3"/>
      <c r="K30" s="1527">
        <f t="shared" si="0"/>
        <v>0</v>
      </c>
      <c r="L30" s="1527"/>
      <c r="M30" s="313" t="str">
        <f t="shared" si="1"/>
        <v/>
      </c>
      <c r="N30" s="1614"/>
      <c r="O30" s="1614"/>
      <c r="P30" s="1525"/>
      <c r="Q30" s="1526"/>
      <c r="R30" s="3"/>
      <c r="S30" s="3"/>
      <c r="T30" s="1527" t="s">
        <v>888</v>
      </c>
      <c r="U30" s="1527"/>
      <c r="V30" s="1269" t="e">
        <f t="shared" si="2"/>
        <v>#VALUE!</v>
      </c>
      <c r="W30" s="1189"/>
      <c r="X30" s="1692"/>
      <c r="Y30" s="1692"/>
      <c r="Z30" s="1189"/>
      <c r="AA30" s="1189"/>
      <c r="AB30" s="1189"/>
      <c r="AC30" s="1189"/>
      <c r="AD30" s="1525"/>
      <c r="AE30" s="1526"/>
    </row>
    <row r="31" spans="1:31" s="3" customFormat="1" ht="12.95">
      <c r="A31" s="1189"/>
      <c r="B31" s="1620">
        <f>FORM!K40</f>
        <v>0</v>
      </c>
      <c r="C31" s="1620"/>
      <c r="D31" s="142" t="s">
        <v>802</v>
      </c>
      <c r="E31" s="1258">
        <f>FORM!T40</f>
        <v>0</v>
      </c>
      <c r="F31" s="465">
        <f>FORM!P40</f>
        <v>0</v>
      </c>
      <c r="G31" s="1621" t="e">
        <f>F27*E31/F31</f>
        <v>#DIV/0!</v>
      </c>
      <c r="H31" s="1621"/>
      <c r="I31" s="1621"/>
      <c r="J31" s="1189"/>
      <c r="K31" s="1527">
        <f t="shared" si="0"/>
        <v>0</v>
      </c>
      <c r="L31" s="1527"/>
      <c r="M31" s="313" t="str">
        <f t="shared" si="1"/>
        <v/>
      </c>
      <c r="N31" s="1614"/>
      <c r="O31" s="1614"/>
      <c r="P31" s="1525"/>
      <c r="Q31" s="1526"/>
      <c r="T31" s="1527" t="s">
        <v>889</v>
      </c>
      <c r="U31" s="1527"/>
      <c r="V31" s="1269" t="e">
        <f t="shared" si="2"/>
        <v>#VALUE!</v>
      </c>
      <c r="X31" s="1692"/>
      <c r="Y31" s="1692"/>
      <c r="AD31" s="1525"/>
      <c r="AE31" s="1526"/>
    </row>
    <row r="32" spans="1:31" s="99" customFormat="1" ht="12.95">
      <c r="A32" s="3"/>
      <c r="B32" s="1620">
        <f>FORM!K41</f>
        <v>0</v>
      </c>
      <c r="C32" s="1620"/>
      <c r="D32" s="142" t="s">
        <v>802</v>
      </c>
      <c r="E32" s="1258">
        <f>FORM!T41</f>
        <v>0</v>
      </c>
      <c r="F32" s="465">
        <f>FORM!P41</f>
        <v>0</v>
      </c>
      <c r="G32" s="1621" t="e">
        <f>F27*E32/F32</f>
        <v>#DIV/0!</v>
      </c>
      <c r="H32" s="1621"/>
      <c r="I32" s="1621"/>
      <c r="J32" s="3"/>
      <c r="K32" s="1527">
        <f t="shared" si="0"/>
        <v>0</v>
      </c>
      <c r="L32" s="1527"/>
      <c r="M32" s="313" t="str">
        <f t="shared" si="1"/>
        <v/>
      </c>
      <c r="N32" s="1614"/>
      <c r="O32" s="1614"/>
      <c r="P32" s="1525"/>
      <c r="Q32" s="1526"/>
      <c r="R32" s="3"/>
      <c r="S32" s="3"/>
      <c r="T32" s="1527" t="s">
        <v>891</v>
      </c>
      <c r="U32" s="1527"/>
      <c r="V32" s="1269" t="e">
        <f t="shared" si="2"/>
        <v>#VALUE!</v>
      </c>
      <c r="W32" s="1189"/>
      <c r="X32" s="1692"/>
      <c r="Y32" s="1692"/>
      <c r="Z32" s="1189"/>
      <c r="AA32" s="1189"/>
      <c r="AB32" s="1189"/>
      <c r="AC32" s="1189"/>
      <c r="AD32" s="1525"/>
      <c r="AE32" s="1526"/>
    </row>
    <row r="33" spans="1:31" s="3" customFormat="1" ht="12.95">
      <c r="A33" s="1189"/>
      <c r="B33" s="175"/>
      <c r="C33" s="175"/>
      <c r="D33" s="705"/>
      <c r="E33" s="705"/>
      <c r="F33" s="466">
        <f>SUM(F30:F32)</f>
        <v>0</v>
      </c>
      <c r="G33" s="1125"/>
      <c r="H33" s="1125"/>
      <c r="I33" s="1123"/>
      <c r="J33" s="1189"/>
      <c r="K33" s="1527">
        <f t="shared" si="0"/>
        <v>0</v>
      </c>
      <c r="L33" s="1527"/>
      <c r="M33" s="313" t="str">
        <f t="shared" si="1"/>
        <v/>
      </c>
      <c r="N33" s="1614"/>
      <c r="O33" s="1614"/>
      <c r="P33" s="1525"/>
      <c r="Q33" s="1526"/>
      <c r="T33" s="1527" t="s">
        <v>892</v>
      </c>
      <c r="U33" s="1527"/>
      <c r="V33" s="1269" t="e">
        <f t="shared" si="2"/>
        <v>#VALUE!</v>
      </c>
      <c r="X33" s="1692"/>
      <c r="Y33" s="1692"/>
      <c r="AD33" s="1525"/>
      <c r="AE33" s="1526"/>
    </row>
    <row r="34" spans="1:31" s="99" customFormat="1" ht="12.95">
      <c r="A34" s="1189"/>
      <c r="B34" s="129" t="s">
        <v>887</v>
      </c>
      <c r="C34" s="101"/>
      <c r="D34" s="142" t="s">
        <v>802</v>
      </c>
      <c r="E34" s="271">
        <f>100%-E24</f>
        <v>0.875</v>
      </c>
      <c r="F34" s="1622">
        <f>F22*E34</f>
        <v>3180193.5001408872</v>
      </c>
      <c r="G34" s="1623"/>
      <c r="H34" s="1623"/>
      <c r="I34" s="1624"/>
      <c r="J34" s="1189"/>
      <c r="K34" s="1527">
        <f t="shared" si="0"/>
        <v>0</v>
      </c>
      <c r="L34" s="1527"/>
      <c r="M34" s="313" t="str">
        <f t="shared" si="1"/>
        <v/>
      </c>
      <c r="N34" s="1614"/>
      <c r="O34" s="1614"/>
      <c r="P34" s="1525"/>
      <c r="Q34" s="1526"/>
      <c r="R34" s="1189"/>
      <c r="S34" s="1189"/>
      <c r="T34" s="1527" t="s">
        <v>895</v>
      </c>
      <c r="U34" s="1527"/>
      <c r="V34" s="1269" t="e">
        <f t="shared" si="2"/>
        <v>#VALUE!</v>
      </c>
      <c r="W34" s="1189"/>
      <c r="X34" s="1692"/>
      <c r="Y34" s="1692"/>
      <c r="Z34" s="1189"/>
      <c r="AA34" s="1189"/>
      <c r="AB34" s="1189"/>
      <c r="AC34" s="1189"/>
      <c r="AD34" s="1525"/>
      <c r="AE34" s="1526"/>
    </row>
    <row r="35" spans="1:31" s="99" customFormat="1" ht="12.95">
      <c r="A35" s="3"/>
      <c r="B35" s="147"/>
      <c r="C35" s="1123"/>
      <c r="D35" s="705"/>
      <c r="E35" s="1123"/>
      <c r="F35" s="1123"/>
      <c r="G35" s="1123"/>
      <c r="H35" s="1123"/>
      <c r="I35" s="1123"/>
      <c r="J35" s="3"/>
      <c r="K35" s="1527"/>
      <c r="L35" s="1527"/>
      <c r="M35" s="313" t="str">
        <f t="shared" si="1"/>
        <v/>
      </c>
      <c r="N35" s="1614"/>
      <c r="O35" s="1614"/>
      <c r="P35" s="1525"/>
      <c r="Q35" s="1526"/>
      <c r="R35" s="1189"/>
      <c r="S35" s="1189"/>
      <c r="T35" s="1527" t="s">
        <v>896</v>
      </c>
      <c r="U35" s="1527"/>
      <c r="V35" s="1269" t="e">
        <f t="shared" si="2"/>
        <v>#VALUE!</v>
      </c>
      <c r="W35" s="1189"/>
      <c r="X35" s="1692"/>
      <c r="Y35" s="1692"/>
      <c r="Z35" s="1189"/>
      <c r="AA35" s="1189"/>
      <c r="AB35" s="1189"/>
      <c r="AC35" s="1189"/>
      <c r="AD35" s="1525"/>
      <c r="AE35" s="1526"/>
    </row>
    <row r="36" spans="1:31" s="3" customFormat="1" ht="12.95">
      <c r="A36" s="1189"/>
      <c r="B36" s="101" t="s">
        <v>890</v>
      </c>
      <c r="C36" s="101"/>
      <c r="D36" s="175"/>
      <c r="E36" s="175"/>
      <c r="F36" s="175"/>
      <c r="G36" s="175"/>
      <c r="H36" s="175"/>
      <c r="I36" s="175"/>
      <c r="J36" s="1189"/>
      <c r="K36" s="1527"/>
      <c r="L36" s="1527"/>
      <c r="M36" s="313" t="str">
        <f t="shared" si="1"/>
        <v/>
      </c>
      <c r="N36" s="1614"/>
      <c r="O36" s="1614"/>
      <c r="P36" s="1525"/>
      <c r="Q36" s="1526"/>
      <c r="T36" s="1527" t="s">
        <v>897</v>
      </c>
      <c r="U36" s="1527"/>
      <c r="V36" s="1269" t="e">
        <f t="shared" si="2"/>
        <v>#VALUE!</v>
      </c>
      <c r="X36" s="1692"/>
      <c r="Y36" s="1692"/>
      <c r="AD36" s="1525"/>
      <c r="AE36" s="1526"/>
    </row>
    <row r="37" spans="1:31" s="99" customFormat="1" ht="12.95">
      <c r="A37" s="1189"/>
      <c r="B37" s="609"/>
      <c r="C37" s="609"/>
      <c r="D37" s="175"/>
      <c r="E37" s="175"/>
      <c r="F37" s="175"/>
      <c r="G37" s="175"/>
      <c r="H37" s="175"/>
      <c r="I37" s="175"/>
      <c r="J37" s="1189"/>
      <c r="K37" s="1527">
        <f t="shared" si="0"/>
        <v>0</v>
      </c>
      <c r="L37" s="1527"/>
      <c r="M37" s="313" t="str">
        <f t="shared" si="1"/>
        <v/>
      </c>
      <c r="N37" s="1614"/>
      <c r="O37" s="1614"/>
      <c r="P37" s="1525"/>
      <c r="Q37" s="1526"/>
      <c r="R37" s="1189"/>
      <c r="S37" s="1189"/>
      <c r="T37" s="1527" t="s">
        <v>898</v>
      </c>
      <c r="U37" s="1527"/>
      <c r="V37" s="1269" t="e">
        <f t="shared" si="2"/>
        <v>#VALUE!</v>
      </c>
      <c r="W37" s="1189"/>
      <c r="X37" s="1692"/>
      <c r="Y37" s="1692"/>
      <c r="Z37" s="1189"/>
      <c r="AA37" s="1189"/>
      <c r="AB37" s="1189"/>
      <c r="AC37" s="1189"/>
      <c r="AD37" s="1525"/>
      <c r="AE37" s="1526"/>
    </row>
    <row r="38" spans="1:31" s="99" customFormat="1" ht="12.95">
      <c r="A38" s="1189"/>
      <c r="B38" s="608" t="s">
        <v>56</v>
      </c>
      <c r="C38" s="608" t="s">
        <v>57</v>
      </c>
      <c r="D38" s="1616" t="s">
        <v>58</v>
      </c>
      <c r="E38" s="1616"/>
      <c r="F38" s="608" t="s">
        <v>893</v>
      </c>
      <c r="G38" s="1617" t="s">
        <v>949</v>
      </c>
      <c r="H38" s="1618"/>
      <c r="I38" s="1619"/>
      <c r="J38" s="1189"/>
      <c r="K38" s="1527">
        <f t="shared" si="0"/>
        <v>0</v>
      </c>
      <c r="L38" s="1527"/>
      <c r="M38" s="313" t="str">
        <f t="shared" si="1"/>
        <v/>
      </c>
      <c r="N38" s="1614"/>
      <c r="O38" s="1614"/>
      <c r="P38" s="1525"/>
      <c r="Q38" s="1526"/>
      <c r="R38" s="1189"/>
      <c r="S38" s="1189"/>
      <c r="T38" s="1527" t="s">
        <v>899</v>
      </c>
      <c r="U38" s="1527"/>
      <c r="V38" s="1269" t="e">
        <f t="shared" si="2"/>
        <v>#VALUE!</v>
      </c>
      <c r="W38" s="1189"/>
      <c r="X38" s="1692"/>
      <c r="Y38" s="1692"/>
      <c r="Z38" s="1189"/>
      <c r="AA38" s="1189"/>
      <c r="AB38" s="1189"/>
      <c r="AC38" s="1189"/>
      <c r="AD38" s="1525"/>
      <c r="AE38" s="1526"/>
    </row>
    <row r="39" spans="1:31" s="99" customFormat="1" ht="12.95">
      <c r="A39" s="1189"/>
      <c r="B39" s="467">
        <v>5</v>
      </c>
      <c r="C39" s="247">
        <f>'STANDARD_NON RFO UNITS'!C35</f>
        <v>7.0000000000000007E-2</v>
      </c>
      <c r="D39" s="1615">
        <f>PMT(C39/12,B39*12,-1)</f>
        <v>1.9801198540349535E-2</v>
      </c>
      <c r="E39" s="1615"/>
      <c r="F39" s="1259">
        <f>D39*F34</f>
        <v>62971.642893018812</v>
      </c>
      <c r="G39" s="1611">
        <f>F39/0.33</f>
        <v>190823.16028187517</v>
      </c>
      <c r="H39" s="1612"/>
      <c r="I39" s="1613"/>
      <c r="J39" s="1189"/>
      <c r="K39" s="1527">
        <f t="shared" si="0"/>
        <v>0</v>
      </c>
      <c r="L39" s="1527"/>
      <c r="M39" s="313" t="str">
        <f t="shared" si="1"/>
        <v/>
      </c>
      <c r="N39" s="1614"/>
      <c r="O39" s="1614"/>
      <c r="P39" s="1525"/>
      <c r="Q39" s="1526"/>
      <c r="R39" s="1189"/>
      <c r="S39" s="1189"/>
      <c r="T39" s="1527" t="s">
        <v>901</v>
      </c>
      <c r="U39" s="1527"/>
      <c r="V39" s="1269" t="e">
        <f t="shared" si="2"/>
        <v>#VALUE!</v>
      </c>
      <c r="W39" s="1189"/>
      <c r="X39" s="1692"/>
      <c r="Y39" s="1692"/>
      <c r="Z39" s="1189"/>
      <c r="AA39" s="1189"/>
      <c r="AB39" s="1189"/>
      <c r="AC39" s="1189"/>
      <c r="AD39" s="1525"/>
      <c r="AE39" s="1526"/>
    </row>
    <row r="40" spans="1:31" s="99" customFormat="1" ht="12.95">
      <c r="A40" s="1189"/>
      <c r="B40" s="467">
        <v>10</v>
      </c>
      <c r="C40" s="247">
        <f>'STANDARD_NON RFO UNITS'!C36</f>
        <v>7.0000000000000007E-2</v>
      </c>
      <c r="D40" s="1615">
        <f>PMT(C40/12,B40*12,-1)</f>
        <v>1.1610847921862406E-2</v>
      </c>
      <c r="E40" s="1615"/>
      <c r="F40" s="1259">
        <f>D40*F34</f>
        <v>36924.743092231154</v>
      </c>
      <c r="G40" s="1611">
        <f>F40/0.33</f>
        <v>111893.16088554895</v>
      </c>
      <c r="H40" s="1612"/>
      <c r="I40" s="1613"/>
      <c r="J40" s="1189"/>
      <c r="K40" s="1527">
        <f t="shared" si="0"/>
        <v>0</v>
      </c>
      <c r="L40" s="1527"/>
      <c r="M40" s="313" t="str">
        <f t="shared" si="1"/>
        <v/>
      </c>
      <c r="N40" s="1614"/>
      <c r="O40" s="1614"/>
      <c r="P40" s="1525"/>
      <c r="Q40" s="1526"/>
      <c r="R40" s="1189"/>
      <c r="S40" s="1189"/>
      <c r="T40" s="1527" t="s">
        <v>903</v>
      </c>
      <c r="U40" s="1527"/>
      <c r="V40" s="1269" t="e">
        <f t="shared" si="2"/>
        <v>#VALUE!</v>
      </c>
      <c r="W40" s="1189"/>
      <c r="X40" s="1692"/>
      <c r="Y40" s="1692"/>
      <c r="Z40" s="1189"/>
      <c r="AA40" s="1189"/>
      <c r="AB40" s="1189"/>
      <c r="AC40" s="1189"/>
      <c r="AD40" s="1525"/>
      <c r="AE40" s="1526"/>
    </row>
    <row r="41" spans="1:31" s="99" customFormat="1" ht="12.95">
      <c r="A41" s="1189"/>
      <c r="B41" s="467">
        <v>15</v>
      </c>
      <c r="C41" s="247">
        <f>'STANDARD_NON RFO UNITS'!C37</f>
        <v>7.0000000000000007E-2</v>
      </c>
      <c r="D41" s="1615">
        <f>PMT(C41/12,B41*12,-1)</f>
        <v>8.988282708524269E-3</v>
      </c>
      <c r="E41" s="1615"/>
      <c r="F41" s="1259">
        <f>D41*F34</f>
        <v>28584.478247077608</v>
      </c>
      <c r="G41" s="1611">
        <f>F41/0.33</f>
        <v>86619.63105175033</v>
      </c>
      <c r="H41" s="1612"/>
      <c r="I41" s="1613"/>
      <c r="J41" s="1189"/>
      <c r="K41" s="1527">
        <f t="shared" si="0"/>
        <v>0</v>
      </c>
      <c r="L41" s="1527"/>
      <c r="M41" s="313" t="str">
        <f t="shared" si="1"/>
        <v/>
      </c>
      <c r="N41" s="1605"/>
      <c r="O41" s="1605"/>
      <c r="P41" s="1525"/>
      <c r="Q41" s="1526"/>
      <c r="R41" s="1189"/>
      <c r="S41" s="1189"/>
      <c r="T41" s="1527" t="s">
        <v>905</v>
      </c>
      <c r="U41" s="1527"/>
      <c r="V41" s="1269" t="e">
        <f t="shared" si="2"/>
        <v>#VALUE!</v>
      </c>
      <c r="W41" s="1189"/>
      <c r="X41" s="1692"/>
      <c r="Y41" s="1692"/>
      <c r="Z41" s="1189"/>
      <c r="AA41" s="1189"/>
      <c r="AB41" s="1189"/>
      <c r="AC41" s="1189"/>
      <c r="AD41" s="1525"/>
      <c r="AE41" s="1526"/>
    </row>
    <row r="42" spans="1:31" s="99" customFormat="1" ht="12.95">
      <c r="A42" s="1189"/>
      <c r="B42" s="467">
        <v>20</v>
      </c>
      <c r="C42" s="247">
        <f>'STANDARD_NON RFO UNITS'!C38</f>
        <v>7.0000000000000007E-2</v>
      </c>
      <c r="D42" s="1610">
        <f>PMT(C42/12,B42*12,-1)</f>
        <v>7.7529893561887461E-3</v>
      </c>
      <c r="E42" s="1610"/>
      <c r="F42" s="1259">
        <f>D42*F34</f>
        <v>24656.006357212933</v>
      </c>
      <c r="G42" s="1611">
        <f>F42/0.33</f>
        <v>74715.170779433131</v>
      </c>
      <c r="H42" s="1612"/>
      <c r="I42" s="1613"/>
      <c r="J42" s="1189"/>
      <c r="K42" s="1527">
        <f t="shared" si="0"/>
        <v>0</v>
      </c>
      <c r="L42" s="1527"/>
      <c r="M42" s="313" t="str">
        <f t="shared" si="1"/>
        <v/>
      </c>
      <c r="N42" s="1605"/>
      <c r="O42" s="1605"/>
      <c r="P42" s="1525"/>
      <c r="Q42" s="1526"/>
      <c r="R42" s="1189"/>
      <c r="S42" s="1189"/>
      <c r="T42" s="1527" t="s">
        <v>907</v>
      </c>
      <c r="U42" s="1527"/>
      <c r="V42" s="1269" t="e">
        <f t="shared" si="2"/>
        <v>#VALUE!</v>
      </c>
      <c r="W42" s="1189"/>
      <c r="X42" s="1692"/>
      <c r="Y42" s="1692"/>
      <c r="Z42" s="1189"/>
      <c r="AA42" s="1189"/>
      <c r="AB42" s="1189"/>
      <c r="AC42" s="1189"/>
      <c r="AD42" s="1525"/>
      <c r="AE42" s="1526"/>
    </row>
    <row r="43" spans="1:31" s="99" customFormat="1" ht="12.95">
      <c r="A43" s="1189"/>
      <c r="B43" s="309" t="str">
        <f>'STANDARD_NON RFO UNITS'!B39</f>
        <v>Fixed for three (3) years</v>
      </c>
      <c r="C43" s="1189"/>
      <c r="D43" s="1189"/>
      <c r="E43" s="1189"/>
      <c r="F43" s="1189"/>
      <c r="G43" s="1273"/>
      <c r="H43" s="1189"/>
      <c r="I43" s="1189"/>
      <c r="J43" s="1189"/>
      <c r="K43" s="1527">
        <f t="shared" si="0"/>
        <v>0</v>
      </c>
      <c r="L43" s="1527"/>
      <c r="M43" s="313" t="str">
        <f t="shared" si="1"/>
        <v/>
      </c>
      <c r="N43" s="1605"/>
      <c r="O43" s="1605"/>
      <c r="P43" s="1525"/>
      <c r="Q43" s="1526"/>
      <c r="R43" s="1189"/>
      <c r="S43" s="1189"/>
      <c r="T43" s="1527" t="s">
        <v>908</v>
      </c>
      <c r="U43" s="1527"/>
      <c r="V43" s="1269" t="e">
        <f t="shared" si="2"/>
        <v>#VALUE!</v>
      </c>
      <c r="W43" s="1189"/>
      <c r="X43" s="1692"/>
      <c r="Y43" s="1692"/>
      <c r="Z43" s="1189"/>
      <c r="AA43" s="1189"/>
      <c r="AB43" s="1189"/>
      <c r="AC43" s="1189"/>
      <c r="AD43" s="1525"/>
      <c r="AE43" s="1526"/>
    </row>
    <row r="44" spans="1:31" s="99" customFormat="1" ht="12.95">
      <c r="A44" s="1189"/>
      <c r="B44" s="309" t="str">
        <f>'STANDARD_NON RFO UNITS'!B40</f>
        <v>Sample Computation for Interest rate is at 7% fixed for three (3) years only</v>
      </c>
      <c r="C44" s="481"/>
      <c r="D44" s="1225"/>
      <c r="E44" s="1189"/>
      <c r="F44" s="1189"/>
      <c r="G44" s="1189"/>
      <c r="H44" s="1189"/>
      <c r="I44" s="1189"/>
      <c r="J44" s="1189"/>
      <c r="K44" s="1527">
        <f t="shared" si="0"/>
        <v>0</v>
      </c>
      <c r="L44" s="1527"/>
      <c r="M44" s="313" t="str">
        <f t="shared" si="1"/>
        <v/>
      </c>
      <c r="N44" s="1605"/>
      <c r="O44" s="1605"/>
      <c r="P44" s="1525"/>
      <c r="Q44" s="1526"/>
      <c r="R44" s="1189"/>
      <c r="S44" s="1189"/>
      <c r="T44" s="1527" t="s">
        <v>910</v>
      </c>
      <c r="U44" s="1527"/>
      <c r="V44" s="1269" t="e">
        <f t="shared" si="2"/>
        <v>#VALUE!</v>
      </c>
      <c r="W44" s="1189"/>
      <c r="X44" s="1692"/>
      <c r="Y44" s="1692"/>
      <c r="Z44" s="1189"/>
      <c r="AA44" s="1189"/>
      <c r="AB44" s="1189"/>
      <c r="AC44" s="1189"/>
      <c r="AD44" s="1525"/>
      <c r="AE44" s="1526"/>
    </row>
    <row r="45" spans="1:31" s="99" customFormat="1" ht="12.95">
      <c r="A45" s="1189"/>
      <c r="B45" s="311" t="s">
        <v>904</v>
      </c>
      <c r="C45" s="1189"/>
      <c r="D45" s="1225"/>
      <c r="E45" s="1189"/>
      <c r="F45" s="1189"/>
      <c r="G45" s="1189"/>
      <c r="H45" s="1189"/>
      <c r="I45" s="1189"/>
      <c r="J45" s="1189"/>
      <c r="K45" s="1527">
        <f t="shared" si="0"/>
        <v>0</v>
      </c>
      <c r="L45" s="1527"/>
      <c r="M45" s="313" t="str">
        <f t="shared" si="1"/>
        <v/>
      </c>
      <c r="N45" s="1605"/>
      <c r="O45" s="1605"/>
      <c r="P45" s="1525"/>
      <c r="Q45" s="1526"/>
      <c r="R45" s="1189"/>
      <c r="S45" s="1189"/>
      <c r="T45" s="1527" t="s">
        <v>911</v>
      </c>
      <c r="U45" s="1527"/>
      <c r="V45" s="1269" t="e">
        <f t="shared" si="2"/>
        <v>#VALUE!</v>
      </c>
      <c r="W45" s="1189"/>
      <c r="X45" s="1692"/>
      <c r="Y45" s="1692"/>
      <c r="Z45" s="1189"/>
      <c r="AA45" s="1189"/>
      <c r="AB45" s="1189"/>
      <c r="AC45" s="1189"/>
      <c r="AD45" s="1525"/>
      <c r="AE45" s="1526"/>
    </row>
    <row r="46" spans="1:31" s="99" customFormat="1" ht="12.95">
      <c r="A46" s="1189"/>
      <c r="B46" s="311" t="s">
        <v>906</v>
      </c>
      <c r="C46" s="481"/>
      <c r="D46" s="1225"/>
      <c r="E46" s="1189"/>
      <c r="F46" s="1189"/>
      <c r="G46" s="1189"/>
      <c r="H46" s="1189"/>
      <c r="I46" s="1189"/>
      <c r="J46" s="1189"/>
      <c r="K46" s="1527">
        <f t="shared" si="0"/>
        <v>0</v>
      </c>
      <c r="L46" s="1527"/>
      <c r="M46" s="313" t="str">
        <f t="shared" si="1"/>
        <v/>
      </c>
      <c r="N46" s="1605"/>
      <c r="O46" s="1605"/>
      <c r="P46" s="1525"/>
      <c r="Q46" s="1526"/>
      <c r="R46" s="1189"/>
      <c r="S46" s="1189"/>
      <c r="T46" s="1527" t="s">
        <v>913</v>
      </c>
      <c r="U46" s="1527"/>
      <c r="V46" s="1269" t="e">
        <f t="shared" si="2"/>
        <v>#VALUE!</v>
      </c>
      <c r="W46" s="1189"/>
      <c r="X46" s="1692"/>
      <c r="Y46" s="1692"/>
      <c r="Z46" s="1189"/>
      <c r="AA46" s="1189"/>
      <c r="AB46" s="1189"/>
      <c r="AC46" s="1189"/>
      <c r="AD46" s="1525"/>
      <c r="AE46" s="1526"/>
    </row>
    <row r="47" spans="1:31" s="99" customFormat="1" ht="12.95">
      <c r="A47" s="1189"/>
      <c r="B47" s="311"/>
      <c r="C47" s="310"/>
      <c r="D47" s="434"/>
      <c r="E47" s="22"/>
      <c r="F47" s="22"/>
      <c r="G47" s="22"/>
      <c r="H47" s="22"/>
      <c r="I47" s="22"/>
      <c r="J47" s="1189"/>
      <c r="K47" s="1527">
        <f t="shared" si="0"/>
        <v>0</v>
      </c>
      <c r="L47" s="1527"/>
      <c r="M47" s="313" t="str">
        <f t="shared" si="1"/>
        <v/>
      </c>
      <c r="N47" s="1605"/>
      <c r="O47" s="1605"/>
      <c r="P47" s="1525"/>
      <c r="Q47" s="1526"/>
      <c r="R47" s="1189"/>
      <c r="S47" s="1189"/>
      <c r="T47" s="1527" t="s">
        <v>914</v>
      </c>
      <c r="U47" s="1527"/>
      <c r="V47" s="1269" t="e">
        <f t="shared" si="2"/>
        <v>#VALUE!</v>
      </c>
      <c r="W47" s="1189"/>
      <c r="X47" s="1692"/>
      <c r="Y47" s="1692"/>
      <c r="Z47" s="1189"/>
      <c r="AA47" s="1189"/>
      <c r="AB47" s="1189"/>
      <c r="AC47" s="1189"/>
      <c r="AD47" s="1525"/>
      <c r="AE47" s="1526"/>
    </row>
    <row r="48" spans="1:31" s="99" customFormat="1" ht="12.95">
      <c r="A48" s="1189"/>
      <c r="B48" s="101" t="s">
        <v>909</v>
      </c>
      <c r="C48" s="238"/>
      <c r="D48" s="245"/>
      <c r="E48" s="1120"/>
      <c r="F48" s="924"/>
      <c r="G48" s="167"/>
      <c r="H48" s="167"/>
      <c r="I48" s="167"/>
      <c r="J48" s="1189"/>
      <c r="K48" s="1527">
        <f t="shared" si="0"/>
        <v>0</v>
      </c>
      <c r="L48" s="1527"/>
      <c r="M48" s="313" t="str">
        <f t="shared" si="1"/>
        <v/>
      </c>
      <c r="N48" s="1605"/>
      <c r="O48" s="1605"/>
      <c r="P48" s="1525"/>
      <c r="Q48" s="1526"/>
      <c r="R48" s="1189"/>
      <c r="S48" s="1189"/>
      <c r="T48" s="1527" t="s">
        <v>915</v>
      </c>
      <c r="U48" s="1527"/>
      <c r="V48" s="1269" t="e">
        <f t="shared" si="2"/>
        <v>#VALUE!</v>
      </c>
      <c r="W48" s="1189"/>
      <c r="X48" s="1692"/>
      <c r="Y48" s="1692"/>
      <c r="Z48" s="1189"/>
      <c r="AA48" s="1189"/>
      <c r="AB48" s="1189"/>
      <c r="AC48" s="1189"/>
      <c r="AD48" s="1525"/>
      <c r="AE48" s="1526"/>
    </row>
    <row r="49" spans="2:25" s="99" customFormat="1" ht="12.95">
      <c r="B49" s="175"/>
      <c r="C49" s="245"/>
      <c r="D49" s="245"/>
      <c r="E49" s="1121"/>
      <c r="F49" s="1122"/>
      <c r="G49" s="496"/>
      <c r="H49" s="496"/>
      <c r="I49" s="496"/>
      <c r="J49" s="1189"/>
      <c r="K49" s="1527">
        <f t="shared" si="0"/>
        <v>0</v>
      </c>
      <c r="L49" s="1527"/>
      <c r="M49" s="313" t="str">
        <f t="shared" si="1"/>
        <v/>
      </c>
      <c r="N49" s="1605"/>
      <c r="O49" s="1605"/>
      <c r="P49" s="1525"/>
      <c r="Q49" s="1526"/>
      <c r="R49" s="1189"/>
      <c r="S49" s="1189"/>
      <c r="T49" s="1527" t="s">
        <v>916</v>
      </c>
      <c r="U49" s="1527"/>
      <c r="V49" s="1269" t="e">
        <f t="shared" si="2"/>
        <v>#VALUE!</v>
      </c>
      <c r="W49" s="1189"/>
      <c r="X49" s="1691"/>
      <c r="Y49" s="1691"/>
    </row>
    <row r="50" spans="2:25" s="99" customFormat="1" ht="12.6">
      <c r="B50" s="129" t="s">
        <v>912</v>
      </c>
      <c r="C50" s="129"/>
      <c r="D50" s="142" t="s">
        <v>802</v>
      </c>
      <c r="E50" s="241">
        <f>IF(E10="COMMERCIAL",60%,80%)</f>
        <v>0.8</v>
      </c>
      <c r="F50" s="1558">
        <f>E50*F22</f>
        <v>2907605.4858430973</v>
      </c>
      <c r="G50" s="1559"/>
      <c r="H50" s="1559"/>
      <c r="I50" s="1560"/>
      <c r="J50" s="1189"/>
      <c r="K50" s="1527">
        <f t="shared" si="0"/>
        <v>0</v>
      </c>
      <c r="L50" s="1527"/>
      <c r="M50" s="313" t="str">
        <f t="shared" si="1"/>
        <v/>
      </c>
      <c r="N50" s="1605"/>
      <c r="O50" s="1605"/>
      <c r="P50" s="1525"/>
      <c r="Q50" s="1526"/>
      <c r="R50" s="1189"/>
      <c r="S50" s="1189"/>
      <c r="T50" s="1527" t="s">
        <v>917</v>
      </c>
      <c r="U50" s="1527"/>
      <c r="V50" s="1269" t="e">
        <f t="shared" si="2"/>
        <v>#VALUE!</v>
      </c>
      <c r="W50" s="1189"/>
      <c r="X50" s="86"/>
      <c r="Y50" s="86"/>
    </row>
    <row r="51" spans="2:25" s="99" customFormat="1" ht="12.6">
      <c r="B51" s="1123"/>
      <c r="C51" s="178"/>
      <c r="D51" s="178"/>
      <c r="E51" s="1124"/>
      <c r="F51" s="1125"/>
      <c r="G51" s="1125"/>
      <c r="H51" s="1125"/>
      <c r="I51" s="1125"/>
      <c r="J51" s="1189"/>
      <c r="K51" s="1527">
        <f t="shared" si="0"/>
        <v>0</v>
      </c>
      <c r="L51" s="1527"/>
      <c r="M51" s="313" t="str">
        <f t="shared" si="1"/>
        <v/>
      </c>
      <c r="N51" s="1605"/>
      <c r="O51" s="1605"/>
      <c r="P51" s="1525"/>
      <c r="Q51" s="1526"/>
      <c r="R51" s="1189"/>
      <c r="S51" s="1189"/>
      <c r="T51" s="1527" t="s">
        <v>918</v>
      </c>
      <c r="U51" s="1527"/>
      <c r="V51" s="1269" t="e">
        <f t="shared" si="2"/>
        <v>#VALUE!</v>
      </c>
      <c r="W51" s="1189"/>
      <c r="X51" s="86"/>
      <c r="Y51" s="86"/>
    </row>
    <row r="52" spans="2:25" s="99" customFormat="1" ht="12.6">
      <c r="B52" s="208" t="s">
        <v>56</v>
      </c>
      <c r="C52" s="208" t="s">
        <v>57</v>
      </c>
      <c r="D52" s="208" t="s">
        <v>58</v>
      </c>
      <c r="E52" s="208" t="s">
        <v>893</v>
      </c>
      <c r="F52" s="1549" t="s">
        <v>894</v>
      </c>
      <c r="G52" s="1549"/>
      <c r="H52" s="1549"/>
      <c r="I52" s="1549"/>
      <c r="J52" s="1189"/>
      <c r="K52" s="1527">
        <f t="shared" si="0"/>
        <v>0</v>
      </c>
      <c r="L52" s="1527"/>
      <c r="M52" s="313" t="str">
        <f t="shared" si="1"/>
        <v/>
      </c>
      <c r="N52" s="1605"/>
      <c r="O52" s="1605"/>
      <c r="P52" s="1525"/>
      <c r="Q52" s="1526"/>
      <c r="R52" s="1189"/>
      <c r="S52" s="1189"/>
      <c r="T52" s="1527" t="s">
        <v>919</v>
      </c>
      <c r="U52" s="1527"/>
      <c r="V52" s="1269" t="e">
        <f t="shared" si="2"/>
        <v>#VALUE!</v>
      </c>
      <c r="W52" s="1189"/>
      <c r="X52" s="86"/>
      <c r="Y52" s="86"/>
    </row>
    <row r="53" spans="2:25" s="99" customFormat="1" ht="12.6">
      <c r="B53" s="246">
        <v>1</v>
      </c>
      <c r="C53" s="1126">
        <v>0.12</v>
      </c>
      <c r="D53" s="248">
        <f>PMT(C53/12,B53*12,-1)</f>
        <v>8.88487886783417E-2</v>
      </c>
      <c r="E53" s="1127">
        <f>$F$50*D53</f>
        <v>258337.2253716604</v>
      </c>
      <c r="F53" s="1551">
        <f>E53/0.33</f>
        <v>782840.07688381942</v>
      </c>
      <c r="G53" s="1551"/>
      <c r="H53" s="1551"/>
      <c r="I53" s="1551"/>
      <c r="J53" s="1189"/>
      <c r="K53" s="1527">
        <f t="shared" si="0"/>
        <v>0</v>
      </c>
      <c r="L53" s="1527"/>
      <c r="M53" s="313" t="str">
        <f t="shared" si="1"/>
        <v/>
      </c>
      <c r="N53" s="1605"/>
      <c r="O53" s="1605"/>
      <c r="P53" s="1525"/>
      <c r="Q53" s="1526"/>
      <c r="R53" s="1189"/>
      <c r="S53" s="1189"/>
      <c r="T53" s="1527" t="s">
        <v>921</v>
      </c>
      <c r="U53" s="1527"/>
      <c r="V53" s="1269" t="e">
        <f t="shared" si="2"/>
        <v>#VALUE!</v>
      </c>
      <c r="W53" s="1189"/>
      <c r="X53" s="86"/>
      <c r="Y53" s="86"/>
    </row>
    <row r="54" spans="2:25" s="99" customFormat="1" ht="12.6">
      <c r="B54" s="246">
        <v>3</v>
      </c>
      <c r="C54" s="1126">
        <v>0.16</v>
      </c>
      <c r="D54" s="248">
        <f>PMT(C54/12,B54*12,-1)</f>
        <v>3.5157033036350094E-2</v>
      </c>
      <c r="E54" s="1127">
        <f>$F$50*D54</f>
        <v>102222.78212245854</v>
      </c>
      <c r="F54" s="1551">
        <f>E54/0.33</f>
        <v>309766.00643169251</v>
      </c>
      <c r="G54" s="1551"/>
      <c r="H54" s="1551"/>
      <c r="I54" s="1551"/>
      <c r="J54" s="1189"/>
      <c r="K54" s="1527">
        <f t="shared" si="0"/>
        <v>0</v>
      </c>
      <c r="L54" s="1527"/>
      <c r="M54" s="313" t="str">
        <f t="shared" si="1"/>
        <v/>
      </c>
      <c r="N54" s="1605"/>
      <c r="O54" s="1605"/>
      <c r="P54" s="1525"/>
      <c r="Q54" s="1526"/>
      <c r="R54" s="1189"/>
      <c r="S54" s="1189"/>
      <c r="T54" s="1527" t="s">
        <v>922</v>
      </c>
      <c r="U54" s="1527"/>
      <c r="V54" s="1269" t="e">
        <f t="shared" si="2"/>
        <v>#VALUE!</v>
      </c>
      <c r="W54" s="1189"/>
      <c r="X54" s="86"/>
      <c r="Y54" s="86"/>
    </row>
    <row r="55" spans="2:25" s="99" customFormat="1" ht="12.6">
      <c r="B55" s="246">
        <v>5</v>
      </c>
      <c r="C55" s="1126">
        <v>0.18</v>
      </c>
      <c r="D55" s="248">
        <f>PMT(C55/12,B55*12,-1)</f>
        <v>2.5393427427109084E-2</v>
      </c>
      <c r="E55" s="1127">
        <f>$F$50*D55</f>
        <v>73834.068891420946</v>
      </c>
      <c r="F55" s="1551">
        <f>E55/0.33</f>
        <v>223739.60270127558</v>
      </c>
      <c r="G55" s="1551"/>
      <c r="H55" s="1551"/>
      <c r="I55" s="1551"/>
      <c r="J55" s="1189"/>
      <c r="K55" s="1527">
        <f t="shared" si="0"/>
        <v>0</v>
      </c>
      <c r="L55" s="1527"/>
      <c r="M55" s="313" t="str">
        <f t="shared" si="1"/>
        <v/>
      </c>
      <c r="N55" s="1608"/>
      <c r="O55" s="1609"/>
      <c r="P55" s="1525"/>
      <c r="Q55" s="1526"/>
      <c r="R55" s="1189"/>
      <c r="S55" s="1189"/>
      <c r="T55" s="1527" t="s">
        <v>923</v>
      </c>
      <c r="U55" s="1527"/>
      <c r="V55" s="1269" t="e">
        <f t="shared" si="2"/>
        <v>#VALUE!</v>
      </c>
      <c r="W55" s="1189"/>
      <c r="X55" s="86"/>
      <c r="Y55" s="86"/>
    </row>
    <row r="56" spans="2:25" s="99" customFormat="1" ht="12.6">
      <c r="B56" s="246">
        <v>10</v>
      </c>
      <c r="C56" s="1126">
        <v>0.2</v>
      </c>
      <c r="D56" s="248">
        <f>PMT(C56/12,B56*12,-1)</f>
        <v>1.9325567219932577E-2</v>
      </c>
      <c r="E56" s="1127">
        <f>$F$50*D56</f>
        <v>56191.125265705501</v>
      </c>
      <c r="F56" s="1551">
        <f>E56/0.33</f>
        <v>170276.13716880453</v>
      </c>
      <c r="G56" s="1551"/>
      <c r="H56" s="1551"/>
      <c r="I56" s="1551"/>
      <c r="J56" s="1189"/>
      <c r="K56" s="1527">
        <f t="shared" si="0"/>
        <v>0</v>
      </c>
      <c r="L56" s="1527"/>
      <c r="M56" s="313" t="str">
        <f t="shared" si="1"/>
        <v/>
      </c>
      <c r="N56" s="1608"/>
      <c r="O56" s="1609"/>
      <c r="P56" s="1525"/>
      <c r="Q56" s="1526"/>
      <c r="R56" s="1189"/>
      <c r="S56" s="1189"/>
      <c r="T56" s="1527" t="s">
        <v>925</v>
      </c>
      <c r="U56" s="1527"/>
      <c r="V56" s="1269" t="e">
        <f t="shared" si="2"/>
        <v>#VALUE!</v>
      </c>
      <c r="W56" s="1189"/>
      <c r="X56" s="86"/>
      <c r="Y56" s="86"/>
    </row>
    <row r="57" spans="2:25" s="99" customFormat="1" ht="12.95" thickBot="1">
      <c r="B57" s="1167" t="s">
        <v>920</v>
      </c>
      <c r="C57" s="1128"/>
      <c r="D57" s="1128"/>
      <c r="E57" s="1128"/>
      <c r="F57" s="1128"/>
      <c r="G57" s="1128"/>
      <c r="H57" s="1128"/>
      <c r="I57" s="1128"/>
      <c r="J57" s="1189" t="s">
        <v>819</v>
      </c>
      <c r="K57" s="1527">
        <f t="shared" si="0"/>
        <v>0</v>
      </c>
      <c r="L57" s="1527"/>
      <c r="M57" s="313" t="str">
        <f t="shared" si="1"/>
        <v/>
      </c>
      <c r="N57" s="1605"/>
      <c r="O57" s="1605"/>
      <c r="P57" s="1525"/>
      <c r="Q57" s="1526"/>
      <c r="R57" s="1189"/>
      <c r="S57" s="1189"/>
      <c r="T57" s="1527" t="s">
        <v>926</v>
      </c>
      <c r="U57" s="1527"/>
      <c r="V57" s="1269" t="e">
        <f t="shared" si="2"/>
        <v>#VALUE!</v>
      </c>
      <c r="W57" s="1189"/>
      <c r="X57" s="86"/>
      <c r="Y57" s="86"/>
    </row>
    <row r="58" spans="2:25" s="99" customFormat="1" ht="12.6">
      <c r="B58" s="311"/>
      <c r="C58" s="481"/>
      <c r="D58" s="1225"/>
      <c r="E58" s="1189"/>
      <c r="F58" s="1189"/>
      <c r="G58" s="1189"/>
      <c r="H58" s="1189"/>
      <c r="I58" s="1189"/>
      <c r="J58" s="1189"/>
      <c r="K58" s="1527" t="s">
        <v>1032</v>
      </c>
      <c r="L58" s="1527"/>
      <c r="M58" s="313" t="e">
        <f>M59</f>
        <v>#VALUE!</v>
      </c>
      <c r="N58" s="1605">
        <f>F26</f>
        <v>90862.671432596791</v>
      </c>
      <c r="O58" s="1605"/>
      <c r="P58" s="1525"/>
      <c r="Q58" s="1526"/>
      <c r="R58" s="1189"/>
      <c r="S58" s="1189"/>
      <c r="T58" s="1527" t="s">
        <v>929</v>
      </c>
      <c r="U58" s="1527"/>
      <c r="V58" s="1269" t="e">
        <f t="shared" si="2"/>
        <v>#VALUE!</v>
      </c>
      <c r="W58" s="1189"/>
      <c r="X58" s="86"/>
      <c r="Y58" s="86"/>
    </row>
    <row r="59" spans="2:25" s="99" customFormat="1" ht="12.6">
      <c r="B59" s="311"/>
      <c r="C59" s="481"/>
      <c r="D59" s="1225"/>
      <c r="E59" s="1189"/>
      <c r="F59" s="1189"/>
      <c r="G59" s="1189"/>
      <c r="H59" s="1189"/>
      <c r="I59" s="1189"/>
      <c r="J59" s="1189"/>
      <c r="K59" s="1527" t="s">
        <v>935</v>
      </c>
      <c r="L59" s="1527"/>
      <c r="M59" s="313" t="e">
        <f>IF(DAY(M17)=31,X20,Z20)</f>
        <v>#VALUE!</v>
      </c>
      <c r="N59" s="1602">
        <f>F34</f>
        <v>3180193.5001408872</v>
      </c>
      <c r="O59" s="1602"/>
      <c r="P59" s="1525"/>
      <c r="Q59" s="1526"/>
      <c r="R59" s="1189"/>
      <c r="S59" s="1189"/>
      <c r="T59" s="1527" t="s">
        <v>930</v>
      </c>
      <c r="U59" s="1527"/>
      <c r="V59" s="1269" t="e">
        <f t="shared" si="2"/>
        <v>#VALUE!</v>
      </c>
      <c r="W59" s="1189"/>
      <c r="X59" s="86"/>
      <c r="Y59" s="86"/>
    </row>
    <row r="60" spans="2:25" s="99" customFormat="1" ht="12.6">
      <c r="B60" s="311"/>
      <c r="C60" s="481"/>
      <c r="D60" s="1225"/>
      <c r="E60" s="1189"/>
      <c r="F60" s="1189"/>
      <c r="G60" s="1189"/>
      <c r="H60" s="1189"/>
      <c r="I60" s="1189"/>
      <c r="J60" s="1189"/>
      <c r="K60" s="469"/>
      <c r="L60" s="1189"/>
      <c r="M60" s="1248"/>
      <c r="N60" s="1189"/>
      <c r="O60" s="1189"/>
      <c r="P60" s="1189"/>
      <c r="Q60" s="1189"/>
      <c r="R60" s="1189"/>
      <c r="S60" s="1189"/>
      <c r="T60" s="1189"/>
      <c r="U60" s="1189"/>
      <c r="V60" s="1274"/>
      <c r="W60" s="1189"/>
      <c r="X60" s="86"/>
      <c r="Y60" s="86"/>
    </row>
    <row r="61" spans="2:25" s="99" customFormat="1" ht="12.6">
      <c r="B61" s="1189"/>
      <c r="C61" s="1189"/>
      <c r="D61" s="1225"/>
      <c r="E61" s="1189"/>
      <c r="F61" s="1189"/>
      <c r="G61" s="1189"/>
      <c r="H61" s="1189"/>
      <c r="I61" s="1189"/>
      <c r="J61" s="1189"/>
      <c r="K61" s="469"/>
      <c r="L61" s="1189"/>
      <c r="M61" s="1248"/>
      <c r="N61" s="1189"/>
      <c r="O61" s="1189"/>
      <c r="P61" s="1189"/>
      <c r="Q61" s="1189"/>
      <c r="R61" s="1189"/>
      <c r="S61" s="1189"/>
      <c r="T61" s="1189"/>
      <c r="U61" s="1189"/>
      <c r="V61" s="1267"/>
      <c r="W61" s="1189"/>
      <c r="X61" s="86"/>
      <c r="Y61" s="86"/>
    </row>
    <row r="62" spans="2:25" s="99" customFormat="1" ht="12.6">
      <c r="B62" s="101" t="s">
        <v>924</v>
      </c>
      <c r="C62" s="163"/>
      <c r="D62" s="3"/>
      <c r="E62" s="3"/>
      <c r="F62" s="3"/>
      <c r="G62" s="3"/>
      <c r="H62" s="3"/>
      <c r="I62" s="3"/>
      <c r="J62" s="1189"/>
      <c r="K62" s="1189"/>
      <c r="L62" s="1189"/>
      <c r="M62" s="1248"/>
      <c r="N62" s="1189"/>
      <c r="O62" s="1189"/>
      <c r="P62" s="1189"/>
      <c r="Q62" s="1189"/>
      <c r="R62" s="1189"/>
      <c r="S62" s="1189"/>
      <c r="T62" s="1189"/>
      <c r="U62" s="1189"/>
      <c r="V62" s="1267"/>
      <c r="W62" s="1189"/>
      <c r="X62" s="86"/>
      <c r="Y62" s="86"/>
    </row>
    <row r="63" spans="2:25" s="99" customFormat="1" ht="12.6">
      <c r="B63" s="3"/>
      <c r="C63" s="3"/>
      <c r="D63" s="3"/>
      <c r="E63" s="3"/>
      <c r="F63" s="3"/>
      <c r="G63" s="3"/>
      <c r="H63" s="3"/>
      <c r="I63" s="3"/>
      <c r="J63" s="1189"/>
      <c r="K63" s="3" t="s">
        <v>936</v>
      </c>
      <c r="L63" s="3"/>
      <c r="M63" s="3"/>
      <c r="N63" s="3"/>
      <c r="O63" s="1189"/>
      <c r="P63" s="3" t="s">
        <v>937</v>
      </c>
      <c r="Q63" s="3"/>
      <c r="R63" s="1189"/>
      <c r="S63" s="1189"/>
      <c r="T63" s="1189"/>
      <c r="U63" s="1189"/>
      <c r="V63" s="1267"/>
      <c r="W63" s="1189"/>
      <c r="X63" s="86"/>
      <c r="Y63" s="86"/>
    </row>
    <row r="64" spans="2:25" s="99" customFormat="1" ht="12.6">
      <c r="B64" s="1549" t="s">
        <v>814</v>
      </c>
      <c r="C64" s="1549"/>
      <c r="D64" s="1549" t="s">
        <v>815</v>
      </c>
      <c r="E64" s="1549"/>
      <c r="F64" s="1549"/>
      <c r="G64" s="1549" t="s">
        <v>928</v>
      </c>
      <c r="H64" s="1549"/>
      <c r="I64" s="1549"/>
      <c r="J64" s="1189"/>
      <c r="K64" s="1189"/>
      <c r="L64" s="1189"/>
      <c r="M64" s="1225"/>
      <c r="N64" s="1189"/>
      <c r="O64" s="1189"/>
      <c r="P64" s="1189"/>
      <c r="Q64" s="1189"/>
      <c r="R64" s="1189"/>
      <c r="S64" s="1189"/>
      <c r="T64" s="1189"/>
      <c r="U64" s="1189"/>
      <c r="V64" s="1267"/>
      <c r="W64" s="1189"/>
      <c r="X64" s="86"/>
      <c r="Y64" s="86"/>
    </row>
    <row r="65" spans="2:25" s="99" customFormat="1" ht="12.6">
      <c r="B65" s="1589">
        <f>FORM!O19</f>
        <v>0</v>
      </c>
      <c r="C65" s="1590"/>
      <c r="D65" s="1589">
        <f>FORM!S19</f>
        <v>0</v>
      </c>
      <c r="E65" s="1593"/>
      <c r="F65" s="1590"/>
      <c r="G65" s="1595">
        <f>FORM!V19</f>
        <v>0</v>
      </c>
      <c r="H65" s="1596"/>
      <c r="I65" s="1597"/>
      <c r="J65" s="1189"/>
      <c r="K65" s="1189"/>
      <c r="L65" s="1189"/>
      <c r="M65" s="1225"/>
      <c r="N65" s="1189"/>
      <c r="O65" s="1189"/>
      <c r="P65" s="1189"/>
      <c r="Q65" s="1189"/>
      <c r="R65" s="1189"/>
      <c r="S65" s="1189"/>
      <c r="T65" s="1189"/>
      <c r="U65" s="1189"/>
      <c r="V65" s="1267"/>
      <c r="W65" s="1189"/>
      <c r="X65" s="86"/>
      <c r="Y65" s="86"/>
    </row>
    <row r="66" spans="2:25" s="99" customFormat="1" ht="12.6">
      <c r="B66" s="1591"/>
      <c r="C66" s="1592"/>
      <c r="D66" s="1591"/>
      <c r="E66" s="1594"/>
      <c r="F66" s="1592"/>
      <c r="G66" s="1598"/>
      <c r="H66" s="1599"/>
      <c r="I66" s="1600"/>
      <c r="J66" s="1189"/>
      <c r="K66" s="1587" t="str">
        <f>B82</f>
        <v xml:space="preserve">agent </v>
      </c>
      <c r="L66" s="1587"/>
      <c r="M66" s="1587"/>
      <c r="N66" s="1189"/>
      <c r="O66" s="1189"/>
      <c r="P66" s="1587" t="str">
        <f>F82</f>
        <v>cnc</v>
      </c>
      <c r="Q66" s="1587"/>
      <c r="R66" s="1189"/>
      <c r="S66" s="1189"/>
      <c r="T66" s="1189"/>
      <c r="U66" s="1189"/>
      <c r="V66" s="1267"/>
      <c r="W66" s="1189"/>
      <c r="X66" s="86"/>
      <c r="Y66" s="86"/>
    </row>
    <row r="67" spans="2:25" s="99" customFormat="1" ht="12.6">
      <c r="B67" s="1589">
        <f>FORM!O21</f>
        <v>0</v>
      </c>
      <c r="C67" s="1590"/>
      <c r="D67" s="1589">
        <f>FORM!S21</f>
        <v>0</v>
      </c>
      <c r="E67" s="1593"/>
      <c r="F67" s="1590"/>
      <c r="G67" s="1595">
        <f>FORM!V21</f>
        <v>0</v>
      </c>
      <c r="H67" s="1596"/>
      <c r="I67" s="1597"/>
      <c r="J67" s="1189"/>
      <c r="K67" s="1260" t="s">
        <v>939</v>
      </c>
      <c r="L67" s="1260"/>
      <c r="M67" s="1261"/>
      <c r="N67" s="1189"/>
      <c r="O67" s="1189"/>
      <c r="P67" s="1260" t="s">
        <v>939</v>
      </c>
      <c r="Q67" s="1260"/>
      <c r="R67" s="1189"/>
      <c r="S67" s="1189"/>
      <c r="T67" s="1189"/>
      <c r="U67" s="1189"/>
      <c r="V67" s="1267"/>
      <c r="W67" s="1189"/>
      <c r="X67" s="86"/>
      <c r="Y67" s="86"/>
    </row>
    <row r="68" spans="2:25" s="99" customFormat="1" ht="12.6">
      <c r="B68" s="1591"/>
      <c r="C68" s="1592"/>
      <c r="D68" s="1591"/>
      <c r="E68" s="1594"/>
      <c r="F68" s="1592"/>
      <c r="G68" s="1598"/>
      <c r="H68" s="1599"/>
      <c r="I68" s="1600"/>
      <c r="J68" s="1189"/>
      <c r="K68" s="1189"/>
      <c r="L68" s="1189"/>
      <c r="M68" s="1189"/>
      <c r="N68" s="1189"/>
      <c r="O68" s="1189"/>
      <c r="P68" s="1189"/>
      <c r="Q68" s="1189"/>
      <c r="R68" s="1189"/>
      <c r="S68" s="1189"/>
      <c r="T68" s="1189"/>
      <c r="U68" s="1189"/>
      <c r="V68" s="1267"/>
      <c r="W68" s="1189"/>
      <c r="X68" s="86"/>
      <c r="Y68" s="86"/>
    </row>
    <row r="69" spans="2:25" s="99" customFormat="1" ht="12.6">
      <c r="B69" s="1589">
        <f>FORM!O25</f>
        <v>0</v>
      </c>
      <c r="C69" s="1590"/>
      <c r="D69" s="1589">
        <f>FORM!S25</f>
        <v>0</v>
      </c>
      <c r="E69" s="1593"/>
      <c r="F69" s="1590"/>
      <c r="G69" s="1595">
        <f>FORM!V25</f>
        <v>0</v>
      </c>
      <c r="H69" s="1596"/>
      <c r="I69" s="1597"/>
      <c r="J69" s="1189"/>
      <c r="K69" s="1189"/>
      <c r="L69" s="1189"/>
      <c r="M69" s="1189"/>
      <c r="N69" s="1189"/>
      <c r="O69" s="1189"/>
      <c r="P69" s="1189"/>
      <c r="Q69" s="1189"/>
      <c r="R69" s="1189"/>
      <c r="S69" s="1189"/>
      <c r="T69" s="1189"/>
      <c r="U69" s="1189"/>
      <c r="V69" s="1267"/>
      <c r="W69" s="1189"/>
      <c r="X69" s="86"/>
      <c r="Y69" s="86"/>
    </row>
    <row r="70" spans="2:25" s="99" customFormat="1" ht="12.6">
      <c r="B70" s="1591"/>
      <c r="C70" s="1592"/>
      <c r="D70" s="1591"/>
      <c r="E70" s="1594"/>
      <c r="F70" s="1592"/>
      <c r="G70" s="1598"/>
      <c r="H70" s="1599"/>
      <c r="I70" s="1600"/>
      <c r="J70" s="1189"/>
      <c r="K70" s="1189"/>
      <c r="L70" s="1189"/>
      <c r="M70" s="1248"/>
      <c r="N70" s="1189"/>
      <c r="O70" s="1189"/>
      <c r="P70" s="1189"/>
      <c r="Q70" s="1189"/>
      <c r="R70" s="1189"/>
      <c r="S70" s="1189"/>
      <c r="T70" s="1189"/>
      <c r="U70" s="1189"/>
      <c r="V70" s="1267"/>
      <c r="W70" s="1189"/>
      <c r="X70" s="86"/>
      <c r="Y70" s="86"/>
    </row>
    <row r="71" spans="2:25">
      <c r="B71" s="1589">
        <f>FORM!O27</f>
        <v>0</v>
      </c>
      <c r="C71" s="1590"/>
      <c r="D71" s="1589">
        <f>FORM!S27</f>
        <v>0</v>
      </c>
      <c r="E71" s="1593"/>
      <c r="F71" s="1590"/>
      <c r="G71" s="1595">
        <f>FORM!V27</f>
        <v>0</v>
      </c>
      <c r="H71" s="1596"/>
      <c r="I71" s="1597"/>
    </row>
    <row r="72" spans="2:25">
      <c r="B72" s="1591"/>
      <c r="C72" s="1592"/>
      <c r="D72" s="1591"/>
      <c r="E72" s="1594"/>
      <c r="F72" s="1592"/>
      <c r="G72" s="1598"/>
      <c r="H72" s="1599"/>
      <c r="I72" s="1600"/>
    </row>
    <row r="73" spans="2:25">
      <c r="B73" s="1589">
        <f>FORM!O31</f>
        <v>0</v>
      </c>
      <c r="C73" s="1590"/>
      <c r="D73" s="1589">
        <f>FORM!S31</f>
        <v>0</v>
      </c>
      <c r="E73" s="1593"/>
      <c r="F73" s="1590"/>
      <c r="G73" s="1595">
        <f>FORM!V31</f>
        <v>0</v>
      </c>
      <c r="H73" s="1596"/>
      <c r="I73" s="1597"/>
    </row>
    <row r="74" spans="2:25">
      <c r="B74" s="1591"/>
      <c r="C74" s="1592"/>
      <c r="D74" s="1591"/>
      <c r="E74" s="1594"/>
      <c r="F74" s="1592"/>
      <c r="G74" s="1598"/>
      <c r="H74" s="1599"/>
      <c r="I74" s="1600"/>
    </row>
    <row r="75" spans="2:25">
      <c r="B75" s="1589">
        <f>FORM!O33</f>
        <v>0</v>
      </c>
      <c r="C75" s="1590"/>
      <c r="D75" s="1589">
        <f>FORM!S33</f>
        <v>0</v>
      </c>
      <c r="E75" s="1593"/>
      <c r="F75" s="1590"/>
      <c r="G75" s="1595">
        <f>FORM!V33</f>
        <v>0</v>
      </c>
      <c r="H75" s="1596"/>
      <c r="I75" s="1597"/>
    </row>
    <row r="76" spans="2:25">
      <c r="B76" s="1591"/>
      <c r="C76" s="1592"/>
      <c r="D76" s="1591"/>
      <c r="E76" s="1594"/>
      <c r="F76" s="1592"/>
      <c r="G76" s="1598"/>
      <c r="H76" s="1599"/>
      <c r="I76" s="1600"/>
    </row>
    <row r="77" spans="2:25">
      <c r="B77" s="1189"/>
      <c r="C77" s="1189"/>
      <c r="D77" s="1225"/>
      <c r="E77" s="1189"/>
      <c r="F77" s="1189"/>
      <c r="G77" s="1189"/>
      <c r="H77" s="1189"/>
      <c r="I77" s="1189"/>
    </row>
    <row r="78" spans="2:25">
      <c r="B78" s="250"/>
      <c r="C78" s="161" t="s">
        <v>950</v>
      </c>
      <c r="D78" s="1601"/>
      <c r="E78" s="1601"/>
      <c r="F78" s="1601"/>
      <c r="G78" s="1189"/>
      <c r="H78" s="1189"/>
      <c r="I78" s="1189"/>
    </row>
    <row r="79" spans="2:25">
      <c r="B79" s="470"/>
      <c r="C79" s="1123"/>
      <c r="D79" s="1123"/>
      <c r="E79" s="1123"/>
      <c r="F79" s="100"/>
      <c r="G79" s="1189"/>
      <c r="H79" s="1189"/>
      <c r="I79" s="1189"/>
    </row>
    <row r="80" spans="2:25">
      <c r="B80" s="3" t="s">
        <v>936</v>
      </c>
      <c r="C80" s="3"/>
      <c r="D80" s="3"/>
      <c r="E80" s="3"/>
      <c r="F80" s="3" t="s">
        <v>937</v>
      </c>
      <c r="G80" s="3"/>
      <c r="H80" s="3"/>
      <c r="I80" s="1189"/>
    </row>
    <row r="81" spans="2:9">
      <c r="B81" s="1189"/>
      <c r="C81" s="1189"/>
      <c r="D81" s="1225"/>
      <c r="E81" s="1189"/>
      <c r="F81" s="1189"/>
      <c r="G81" s="1189"/>
      <c r="H81" s="1189"/>
      <c r="I81" s="1189"/>
    </row>
    <row r="82" spans="2:9">
      <c r="B82" s="1587" t="str">
        <f>'STANDARD_NON RFO UNITS'!B81:D81</f>
        <v xml:space="preserve">agent </v>
      </c>
      <c r="C82" s="1587"/>
      <c r="D82" s="1262"/>
      <c r="E82" s="1189"/>
      <c r="F82" s="1587" t="str">
        <f>'STANDARD_NON RFO UNITS'!F81:I81</f>
        <v>cnc</v>
      </c>
      <c r="G82" s="1587"/>
      <c r="H82" s="1189"/>
      <c r="I82" s="1189"/>
    </row>
    <row r="83" spans="2:9">
      <c r="B83" s="1260" t="s">
        <v>939</v>
      </c>
      <c r="C83" s="1260"/>
      <c r="D83" s="1225"/>
      <c r="E83" s="1189"/>
      <c r="F83" s="1260" t="s">
        <v>939</v>
      </c>
      <c r="G83" s="1260"/>
      <c r="H83" s="1189"/>
      <c r="I83" s="1189"/>
    </row>
    <row r="84" spans="2:9">
      <c r="B84" s="1189"/>
      <c r="C84" s="1189"/>
      <c r="D84" s="1225"/>
      <c r="E84" s="1189"/>
      <c r="F84" s="1189"/>
      <c r="G84" s="1189"/>
      <c r="H84" s="1189"/>
      <c r="I84" s="1189"/>
    </row>
    <row r="85" spans="2:9">
      <c r="B85" s="1189"/>
      <c r="C85" s="1189"/>
      <c r="D85" s="1225"/>
      <c r="E85" s="1189"/>
      <c r="F85" s="1189"/>
      <c r="G85" s="1189"/>
      <c r="H85" s="1189"/>
      <c r="I85" s="1189"/>
    </row>
    <row r="114" spans="1:1">
      <c r="A114" s="317">
        <f>F17*12%</f>
        <v>383420.50362766115</v>
      </c>
    </row>
  </sheetData>
  <sheetProtection password="CC2E" sheet="1" formatCells="0" formatColumns="0" formatRows="0"/>
  <mergeCells count="322">
    <mergeCell ref="G1:I1"/>
    <mergeCell ref="B3:I4"/>
    <mergeCell ref="K3:Q4"/>
    <mergeCell ref="E6:I6"/>
    <mergeCell ref="N6:Q6"/>
    <mergeCell ref="N7:Q7"/>
    <mergeCell ref="E11:F11"/>
    <mergeCell ref="G11:I11"/>
    <mergeCell ref="N11:O11"/>
    <mergeCell ref="P11:Q11"/>
    <mergeCell ref="E7:F7"/>
    <mergeCell ref="E12:F12"/>
    <mergeCell ref="G12:I12"/>
    <mergeCell ref="N12:O12"/>
    <mergeCell ref="P12:Q12"/>
    <mergeCell ref="E8:I8"/>
    <mergeCell ref="N8:Q8"/>
    <mergeCell ref="E9:I9"/>
    <mergeCell ref="N9:Q9"/>
    <mergeCell ref="E10:I10"/>
    <mergeCell ref="N10:Q10"/>
    <mergeCell ref="E13:F13"/>
    <mergeCell ref="G13:I13"/>
    <mergeCell ref="N13:O13"/>
    <mergeCell ref="P13:Q13"/>
    <mergeCell ref="F15:I15"/>
    <mergeCell ref="K15:L16"/>
    <mergeCell ref="M15:M16"/>
    <mergeCell ref="N15:O16"/>
    <mergeCell ref="P15:Q16"/>
    <mergeCell ref="F16:I16"/>
    <mergeCell ref="F17:I17"/>
    <mergeCell ref="K17:L17"/>
    <mergeCell ref="N17:O17"/>
    <mergeCell ref="P17:Q17"/>
    <mergeCell ref="T17:U17"/>
    <mergeCell ref="K18:L18"/>
    <mergeCell ref="N18:O18"/>
    <mergeCell ref="P18:Q18"/>
    <mergeCell ref="T18:U18"/>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AD22:AE22"/>
    <mergeCell ref="K23:L23"/>
    <mergeCell ref="N23:O23"/>
    <mergeCell ref="P23:Q23"/>
    <mergeCell ref="T23:U23"/>
    <mergeCell ref="X23:Y23"/>
    <mergeCell ref="AD23:AE23"/>
    <mergeCell ref="F22:I22"/>
    <mergeCell ref="K22:L22"/>
    <mergeCell ref="N22:O22"/>
    <mergeCell ref="P22:Q22"/>
    <mergeCell ref="T22:U22"/>
    <mergeCell ref="X22:Y22"/>
    <mergeCell ref="F25:I25"/>
    <mergeCell ref="K26:L26"/>
    <mergeCell ref="N26:O26"/>
    <mergeCell ref="P26:Q26"/>
    <mergeCell ref="T26:U26"/>
    <mergeCell ref="X26:Y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K28:L28"/>
    <mergeCell ref="N28:O28"/>
    <mergeCell ref="P28:Q28"/>
    <mergeCell ref="T28:U28"/>
    <mergeCell ref="X28:Y28"/>
    <mergeCell ref="AD28:AE28"/>
    <mergeCell ref="AD26:AE26"/>
    <mergeCell ref="F27:I27"/>
    <mergeCell ref="K27:L27"/>
    <mergeCell ref="N27:O27"/>
    <mergeCell ref="P27:Q27"/>
    <mergeCell ref="T27:U27"/>
    <mergeCell ref="X27:Y27"/>
    <mergeCell ref="AD27:AE27"/>
    <mergeCell ref="X29:Y29"/>
    <mergeCell ref="AD29:AE29"/>
    <mergeCell ref="B30:C30"/>
    <mergeCell ref="G30:I30"/>
    <mergeCell ref="K30:L30"/>
    <mergeCell ref="N30:O30"/>
    <mergeCell ref="P30:Q30"/>
    <mergeCell ref="T30:U30"/>
    <mergeCell ref="X30:Y30"/>
    <mergeCell ref="AD30:AE30"/>
    <mergeCell ref="B29:C29"/>
    <mergeCell ref="G29:I29"/>
    <mergeCell ref="K29:L29"/>
    <mergeCell ref="N29:O29"/>
    <mergeCell ref="P29:Q29"/>
    <mergeCell ref="T29:U29"/>
    <mergeCell ref="AD33:AE33"/>
    <mergeCell ref="X31:Y31"/>
    <mergeCell ref="AD31:AE31"/>
    <mergeCell ref="B32:C32"/>
    <mergeCell ref="G32:I32"/>
    <mergeCell ref="K32:L32"/>
    <mergeCell ref="N32:O32"/>
    <mergeCell ref="P32:Q32"/>
    <mergeCell ref="T32:U32"/>
    <mergeCell ref="X32:Y32"/>
    <mergeCell ref="AD32:AE32"/>
    <mergeCell ref="B31:C31"/>
    <mergeCell ref="G31:I31"/>
    <mergeCell ref="K31:L31"/>
    <mergeCell ref="N31:O31"/>
    <mergeCell ref="P31:Q31"/>
    <mergeCell ref="T31:U31"/>
    <mergeCell ref="F34:I34"/>
    <mergeCell ref="K34:L34"/>
    <mergeCell ref="N34:O34"/>
    <mergeCell ref="P34:Q34"/>
    <mergeCell ref="T34:U34"/>
    <mergeCell ref="X34:Y34"/>
    <mergeCell ref="K33:L33"/>
    <mergeCell ref="N33:O33"/>
    <mergeCell ref="P33:Q33"/>
    <mergeCell ref="T33:U33"/>
    <mergeCell ref="X33:Y33"/>
    <mergeCell ref="K36:L36"/>
    <mergeCell ref="N36:O36"/>
    <mergeCell ref="P36:Q36"/>
    <mergeCell ref="T36:U36"/>
    <mergeCell ref="X36:Y36"/>
    <mergeCell ref="AD36:AE36"/>
    <mergeCell ref="AD34:AE34"/>
    <mergeCell ref="K35:L35"/>
    <mergeCell ref="N35:O35"/>
    <mergeCell ref="P35:Q35"/>
    <mergeCell ref="T35:U35"/>
    <mergeCell ref="X35:Y35"/>
    <mergeCell ref="AD35:AE35"/>
    <mergeCell ref="X37:Y37"/>
    <mergeCell ref="AD37:AE37"/>
    <mergeCell ref="D39:E39"/>
    <mergeCell ref="G39:I39"/>
    <mergeCell ref="K38:L38"/>
    <mergeCell ref="N38:O38"/>
    <mergeCell ref="P38:Q38"/>
    <mergeCell ref="T38:U38"/>
    <mergeCell ref="X38:Y38"/>
    <mergeCell ref="AD38:AE38"/>
    <mergeCell ref="D38:E38"/>
    <mergeCell ref="G38:I38"/>
    <mergeCell ref="K37:L37"/>
    <mergeCell ref="N37:O37"/>
    <mergeCell ref="P37:Q37"/>
    <mergeCell ref="T37:U37"/>
    <mergeCell ref="K40:L40"/>
    <mergeCell ref="N40:O40"/>
    <mergeCell ref="P40:Q40"/>
    <mergeCell ref="T40:U40"/>
    <mergeCell ref="X40:Y40"/>
    <mergeCell ref="AD40:AE40"/>
    <mergeCell ref="D40:E40"/>
    <mergeCell ref="G40:I40"/>
    <mergeCell ref="X39:Y39"/>
    <mergeCell ref="AD39:AE39"/>
    <mergeCell ref="K39:L39"/>
    <mergeCell ref="N39:O39"/>
    <mergeCell ref="P39:Q39"/>
    <mergeCell ref="T39:U39"/>
    <mergeCell ref="K42:L42"/>
    <mergeCell ref="N42:O42"/>
    <mergeCell ref="P42:Q42"/>
    <mergeCell ref="T42:U42"/>
    <mergeCell ref="X42:Y42"/>
    <mergeCell ref="AD42:AE42"/>
    <mergeCell ref="D42:E42"/>
    <mergeCell ref="G42:I42"/>
    <mergeCell ref="K41:L41"/>
    <mergeCell ref="N41:O41"/>
    <mergeCell ref="P41:Q41"/>
    <mergeCell ref="T41:U41"/>
    <mergeCell ref="X41:Y41"/>
    <mergeCell ref="AD41:AE41"/>
    <mergeCell ref="D41:E41"/>
    <mergeCell ref="G41:I41"/>
    <mergeCell ref="K44:L44"/>
    <mergeCell ref="N44:O44"/>
    <mergeCell ref="P44:Q44"/>
    <mergeCell ref="T44:U44"/>
    <mergeCell ref="X44:Y44"/>
    <mergeCell ref="AD44:AE44"/>
    <mergeCell ref="K43:L43"/>
    <mergeCell ref="N43:O43"/>
    <mergeCell ref="P43:Q43"/>
    <mergeCell ref="T43:U43"/>
    <mergeCell ref="X43:Y43"/>
    <mergeCell ref="AD43:AE43"/>
    <mergeCell ref="K46:L46"/>
    <mergeCell ref="N46:O46"/>
    <mergeCell ref="P46:Q46"/>
    <mergeCell ref="T46:U46"/>
    <mergeCell ref="X46:Y46"/>
    <mergeCell ref="AD46:AE46"/>
    <mergeCell ref="K45:L45"/>
    <mergeCell ref="N45:O45"/>
    <mergeCell ref="P45:Q45"/>
    <mergeCell ref="T45:U45"/>
    <mergeCell ref="X45:Y45"/>
    <mergeCell ref="AD45:AE45"/>
    <mergeCell ref="K48:L48"/>
    <mergeCell ref="N48:O48"/>
    <mergeCell ref="P48:Q48"/>
    <mergeCell ref="T48:U48"/>
    <mergeCell ref="X48:Y48"/>
    <mergeCell ref="AD48:AE48"/>
    <mergeCell ref="K47:L47"/>
    <mergeCell ref="N47:O47"/>
    <mergeCell ref="P47:Q47"/>
    <mergeCell ref="T47:U47"/>
    <mergeCell ref="X47:Y47"/>
    <mergeCell ref="AD47:AE47"/>
    <mergeCell ref="T49:U49"/>
    <mergeCell ref="X49:Y49"/>
    <mergeCell ref="B65:C66"/>
    <mergeCell ref="D65:F66"/>
    <mergeCell ref="G65:I66"/>
    <mergeCell ref="K50:L50"/>
    <mergeCell ref="N50:O50"/>
    <mergeCell ref="P50:Q50"/>
    <mergeCell ref="T50:U50"/>
    <mergeCell ref="K51:L51"/>
    <mergeCell ref="B64:C64"/>
    <mergeCell ref="D64:F64"/>
    <mergeCell ref="G64:I64"/>
    <mergeCell ref="K49:L49"/>
    <mergeCell ref="N49:O49"/>
    <mergeCell ref="P49:Q49"/>
    <mergeCell ref="N51:O51"/>
    <mergeCell ref="P51:Q51"/>
    <mergeCell ref="T51:U51"/>
    <mergeCell ref="F50:I50"/>
    <mergeCell ref="F52:I52"/>
    <mergeCell ref="F53:I53"/>
    <mergeCell ref="F54:I54"/>
    <mergeCell ref="F55:I55"/>
    <mergeCell ref="P54:Q54"/>
    <mergeCell ref="P56:Q56"/>
    <mergeCell ref="T56:U56"/>
    <mergeCell ref="T54:U54"/>
    <mergeCell ref="K55:L55"/>
    <mergeCell ref="N55:O55"/>
    <mergeCell ref="P55:Q55"/>
    <mergeCell ref="T55:U55"/>
    <mergeCell ref="B67:C68"/>
    <mergeCell ref="D67:F68"/>
    <mergeCell ref="K52:L52"/>
    <mergeCell ref="N52:O52"/>
    <mergeCell ref="P52:Q52"/>
    <mergeCell ref="T52:U52"/>
    <mergeCell ref="F56:I56"/>
    <mergeCell ref="D78:F78"/>
    <mergeCell ref="K66:M66"/>
    <mergeCell ref="P66:Q66"/>
    <mergeCell ref="K57:L57"/>
    <mergeCell ref="N57:O57"/>
    <mergeCell ref="P57:Q57"/>
    <mergeCell ref="T57:U57"/>
    <mergeCell ref="D71:F72"/>
    <mergeCell ref="G71:I72"/>
    <mergeCell ref="K56:L56"/>
    <mergeCell ref="N56:O56"/>
    <mergeCell ref="K53:L53"/>
    <mergeCell ref="N53:O53"/>
    <mergeCell ref="P53:Q53"/>
    <mergeCell ref="T53:U53"/>
    <mergeCell ref="D69:F70"/>
    <mergeCell ref="G69:I70"/>
    <mergeCell ref="K54:L54"/>
    <mergeCell ref="N54:O54"/>
    <mergeCell ref="B82:C82"/>
    <mergeCell ref="F82:G82"/>
    <mergeCell ref="T58:U58"/>
    <mergeCell ref="K59:L59"/>
    <mergeCell ref="N59:O59"/>
    <mergeCell ref="P59:Q59"/>
    <mergeCell ref="T59:U59"/>
    <mergeCell ref="B75:C76"/>
    <mergeCell ref="D75:F76"/>
    <mergeCell ref="G75:I76"/>
    <mergeCell ref="B73:C74"/>
    <mergeCell ref="D73:F74"/>
    <mergeCell ref="G73:I74"/>
    <mergeCell ref="K58:L58"/>
    <mergeCell ref="N58:O58"/>
    <mergeCell ref="P58:Q58"/>
    <mergeCell ref="G67:I68"/>
    <mergeCell ref="B71:C72"/>
    <mergeCell ref="B69:C70"/>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B050"/>
  </sheetPr>
  <dimension ref="A1:BA858"/>
  <sheetViews>
    <sheetView showGridLines="0" showZeros="0" view="pageBreakPreview" topLeftCell="A16" zoomScale="90" zoomScaleNormal="100" zoomScaleSheetLayoutView="90" zoomScalePageLayoutView="85" workbookViewId="0">
      <selection activeCell="E20" sqref="E20"/>
    </sheetView>
  </sheetViews>
  <sheetFormatPr defaultColWidth="8.85546875" defaultRowHeight="15.75" customHeight="1"/>
  <cols>
    <col min="1" max="1" width="1" style="99" customWidth="1"/>
    <col min="2" max="2" width="12.5703125" style="99" customWidth="1"/>
    <col min="3" max="3" width="26.140625" style="99" customWidth="1"/>
    <col min="4" max="4" width="17.85546875" style="99" customWidth="1"/>
    <col min="5" max="5" width="23.42578125" style="99" customWidth="1"/>
    <col min="6" max="6" width="15.140625" style="99" customWidth="1"/>
    <col min="7" max="7" width="8.140625" style="99" customWidth="1"/>
    <col min="8" max="8" width="4.42578125" style="99" customWidth="1"/>
    <col min="9" max="9" width="17.85546875" style="99" customWidth="1"/>
    <col min="10" max="10" width="2.140625" style="99" customWidth="1"/>
    <col min="11" max="11" width="9.140625" style="99" customWidth="1"/>
    <col min="12" max="12" width="20.140625" style="131" customWidth="1"/>
    <col min="13" max="13" width="18.140625" style="99" customWidth="1"/>
    <col min="14" max="14" width="21.85546875" style="99" customWidth="1"/>
    <col min="15" max="15" width="12.140625" style="99" customWidth="1"/>
    <col min="16" max="16" width="16.85546875" style="99" customWidth="1"/>
    <col min="17" max="17" width="21.42578125" style="99" customWidth="1"/>
    <col min="18" max="18" width="4.85546875" style="99" customWidth="1"/>
    <col min="19" max="19" width="8.85546875" style="99"/>
    <col min="20" max="20" width="19" style="218" customWidth="1"/>
    <col min="21" max="21" width="8.85546875" style="218" customWidth="1"/>
    <col min="22" max="22" width="8.85546875" style="99" customWidth="1"/>
    <col min="23" max="24" width="11.42578125" style="99" customWidth="1"/>
    <col min="25" max="26" width="8.85546875" style="99" customWidth="1"/>
    <col min="27" max="27" width="11.140625" style="99" customWidth="1"/>
    <col min="28" max="28" width="8.85546875" style="99"/>
    <col min="29" max="29" width="13.140625" style="99" customWidth="1"/>
    <col min="30" max="30" width="14.5703125" style="99" customWidth="1"/>
    <col min="31" max="31" width="8.85546875" style="99"/>
    <col min="32" max="32" width="9.140625" style="99" bestFit="1" customWidth="1"/>
    <col min="33" max="33" width="17.140625" style="99" customWidth="1"/>
    <col min="34" max="34" width="17.85546875" style="99" customWidth="1"/>
    <col min="35" max="35" width="9.85546875" style="99" customWidth="1"/>
    <col min="36" max="36" width="10.85546875" style="219" customWidth="1"/>
    <col min="37" max="37" width="13.42578125" style="99" customWidth="1"/>
    <col min="38" max="38" width="12.85546875" style="99" customWidth="1"/>
    <col min="39" max="41" width="13.140625" style="99" customWidth="1"/>
    <col min="42" max="42" width="11.140625" style="99" customWidth="1"/>
    <col min="43" max="43" width="14.85546875" style="99" customWidth="1"/>
    <col min="44" max="44" width="5.85546875" style="99" customWidth="1"/>
    <col min="45" max="45" width="11.85546875" style="99" customWidth="1"/>
    <col min="46" max="46" width="12.85546875" style="99" customWidth="1"/>
    <col min="47" max="47" width="11.85546875" style="99" customWidth="1"/>
    <col min="48" max="48" width="12.85546875" style="99" customWidth="1"/>
    <col min="49" max="49" width="12.85546875" style="220" customWidth="1"/>
    <col min="50" max="50" width="14.5703125" style="221" customWidth="1"/>
    <col min="51" max="55" width="12.85546875" style="99" customWidth="1"/>
    <col min="56" max="16384" width="8.85546875" style="99"/>
  </cols>
  <sheetData>
    <row r="1" spans="1:17" ht="4.5" customHeight="1">
      <c r="A1" s="1189"/>
      <c r="B1" s="212"/>
      <c r="C1" s="213" t="e">
        <f>(F15-(F16+#REF!))*12%</f>
        <v>#REF!</v>
      </c>
      <c r="D1" s="186" t="e">
        <f>FORM!#REF!</f>
        <v>#REF!</v>
      </c>
      <c r="E1" s="214"/>
      <c r="F1" s="3"/>
      <c r="G1" s="215"/>
      <c r="H1" s="215"/>
      <c r="I1" s="1189"/>
      <c r="J1" s="216">
        <v>0.01</v>
      </c>
      <c r="K1" s="214"/>
      <c r="L1" s="217"/>
      <c r="M1" s="217"/>
      <c r="N1" s="1190"/>
      <c r="O1" s="1189"/>
      <c r="P1" s="1189"/>
      <c r="Q1" s="1189"/>
    </row>
    <row r="2" spans="1:17" ht="12.6">
      <c r="A2" s="1189"/>
      <c r="B2" s="160" t="s">
        <v>847</v>
      </c>
      <c r="C2" s="1191" t="str">
        <f>FORM!I20</f>
        <v>September 1,2025</v>
      </c>
      <c r="D2" s="1192"/>
      <c r="E2" s="1189"/>
      <c r="F2" s="132" t="s">
        <v>848</v>
      </c>
      <c r="G2" s="1528" t="s">
        <v>849</v>
      </c>
      <c r="H2" s="1528"/>
      <c r="I2" s="1528"/>
      <c r="J2" s="142"/>
      <c r="K2" s="132" t="s">
        <v>847</v>
      </c>
      <c r="L2" s="1191" t="str">
        <f>C2</f>
        <v>September 1,2025</v>
      </c>
      <c r="M2" s="1123"/>
      <c r="N2" s="1189"/>
      <c r="O2" s="175"/>
      <c r="P2" s="160" t="s">
        <v>850</v>
      </c>
      <c r="Q2" s="1194" t="s">
        <v>851</v>
      </c>
    </row>
    <row r="3" spans="1:17" ht="12.6">
      <c r="A3" s="1189"/>
      <c r="B3" s="1189"/>
      <c r="C3" s="3"/>
      <c r="D3" s="3"/>
      <c r="E3" s="142"/>
      <c r="F3" s="142"/>
      <c r="G3" s="142"/>
      <c r="H3" s="142"/>
      <c r="I3" s="142"/>
      <c r="J3" s="142"/>
      <c r="K3" s="222"/>
      <c r="L3" s="223"/>
      <c r="M3" s="224"/>
      <c r="N3" s="1195"/>
      <c r="O3" s="1195"/>
      <c r="P3" s="1195"/>
      <c r="Q3" s="1195"/>
    </row>
    <row r="4" spans="1:17" ht="18.75" customHeight="1">
      <c r="A4" s="1123"/>
      <c r="B4" s="1534" t="str">
        <f>'INTERNAL PRICELIST(OLD)'!AH26</f>
        <v>12.5% Equity spread, 2.5% Lumpsum</v>
      </c>
      <c r="C4" s="1534"/>
      <c r="D4" s="1534"/>
      <c r="E4" s="1534"/>
      <c r="F4" s="1534"/>
      <c r="G4" s="1534"/>
      <c r="H4" s="1534"/>
      <c r="I4" s="1535"/>
      <c r="J4" s="142"/>
      <c r="K4" s="1536" t="s">
        <v>853</v>
      </c>
      <c r="L4" s="1536"/>
      <c r="M4" s="1536"/>
      <c r="N4" s="1536"/>
      <c r="O4" s="1536"/>
      <c r="P4" s="1536"/>
      <c r="Q4" s="1536"/>
    </row>
    <row r="5" spans="1:17" ht="12" customHeight="1">
      <c r="A5" s="1123"/>
      <c r="B5" s="1123"/>
      <c r="C5" s="100"/>
      <c r="D5" s="100"/>
      <c r="E5" s="1123"/>
      <c r="F5" s="100"/>
      <c r="G5" s="175" t="str">
        <f>IF(OR(FORM!I16="5th FLOOR",FORM!I16="6th FLOOR",FORM!I16="7th FLOOR",FORM!I16="8th FLOOR"),FORM!I18,"")</f>
        <v/>
      </c>
      <c r="H5" s="100"/>
      <c r="I5" s="176"/>
      <c r="J5" s="142"/>
      <c r="K5" s="142"/>
      <c r="L5" s="142"/>
      <c r="M5" s="177"/>
      <c r="N5" s="1123"/>
      <c r="O5" s="1123"/>
      <c r="P5" s="1123"/>
      <c r="Q5" s="1123"/>
    </row>
    <row r="6" spans="1:17" ht="12.6">
      <c r="A6" s="1123"/>
      <c r="B6" s="225" t="s">
        <v>854</v>
      </c>
      <c r="C6" s="226"/>
      <c r="D6" s="705" t="s">
        <v>802</v>
      </c>
      <c r="E6" s="1529" t="str">
        <f>FORM!I26</f>
        <v>cnc</v>
      </c>
      <c r="F6" s="1530"/>
      <c r="G6" s="1530"/>
      <c r="H6" s="1530"/>
      <c r="I6" s="1531"/>
      <c r="J6" s="142"/>
      <c r="K6" s="1533" t="s">
        <v>854</v>
      </c>
      <c r="L6" s="1533"/>
      <c r="M6" s="705" t="s">
        <v>802</v>
      </c>
      <c r="N6" s="1532" t="str">
        <f t="shared" ref="N6:N13" si="0">E6</f>
        <v>cnc</v>
      </c>
      <c r="O6" s="1532"/>
      <c r="P6" s="1532"/>
      <c r="Q6" s="1532"/>
    </row>
    <row r="7" spans="1:17" ht="12.95" thickBot="1">
      <c r="A7" s="1123"/>
      <c r="B7" s="144" t="s">
        <v>801</v>
      </c>
      <c r="C7" s="227"/>
      <c r="D7" s="705" t="s">
        <v>802</v>
      </c>
      <c r="E7" s="1543" t="str">
        <f>FORM!$I$11</f>
        <v>The Southprime Flats</v>
      </c>
      <c r="F7" s="1544"/>
      <c r="G7" s="1200" t="str">
        <f>FORM!I14</f>
        <v>B1</v>
      </c>
      <c r="H7" s="1200"/>
      <c r="I7" s="1201"/>
      <c r="J7" s="142"/>
      <c r="K7" s="1533" t="s">
        <v>801</v>
      </c>
      <c r="L7" s="1533"/>
      <c r="M7" s="1202" t="s">
        <v>802</v>
      </c>
      <c r="N7" s="1532" t="str">
        <f t="shared" si="0"/>
        <v>The Southprime Flats</v>
      </c>
      <c r="O7" s="1532"/>
      <c r="P7" s="1532"/>
      <c r="Q7" s="1532"/>
    </row>
    <row r="8" spans="1:17" ht="12.6">
      <c r="A8" s="1203"/>
      <c r="B8" s="225" t="s">
        <v>855</v>
      </c>
      <c r="C8" s="226"/>
      <c r="D8" s="705" t="s">
        <v>802</v>
      </c>
      <c r="E8" s="1529" t="str">
        <f>'STANDARD_NON RFO UNITS'!E8:I8</f>
        <v>2F</v>
      </c>
      <c r="F8" s="1530"/>
      <c r="G8" s="1530"/>
      <c r="H8" s="1530"/>
      <c r="I8" s="1531"/>
      <c r="J8" s="142"/>
      <c r="K8" s="1533" t="s">
        <v>855</v>
      </c>
      <c r="L8" s="1533"/>
      <c r="M8" s="705" t="s">
        <v>802</v>
      </c>
      <c r="N8" s="1532" t="str">
        <f>E8</f>
        <v>2F</v>
      </c>
      <c r="O8" s="1532"/>
      <c r="P8" s="1532"/>
      <c r="Q8" s="1532"/>
    </row>
    <row r="9" spans="1:17" ht="12.6" hidden="1">
      <c r="A9" s="1123"/>
      <c r="B9" s="144" t="s">
        <v>856</v>
      </c>
      <c r="C9" s="227"/>
      <c r="D9" s="705" t="s">
        <v>802</v>
      </c>
      <c r="E9" s="1529" t="e">
        <f>FORM!#REF!</f>
        <v>#REF!</v>
      </c>
      <c r="F9" s="1530"/>
      <c r="G9" s="1530"/>
      <c r="H9" s="1530"/>
      <c r="I9" s="1531"/>
      <c r="J9" s="142"/>
      <c r="K9" s="1533" t="s">
        <v>856</v>
      </c>
      <c r="L9" s="1533"/>
      <c r="M9" s="705" t="s">
        <v>802</v>
      </c>
      <c r="N9" s="1532" t="e">
        <f t="shared" si="0"/>
        <v>#REF!</v>
      </c>
      <c r="O9" s="1532"/>
      <c r="P9" s="1532"/>
      <c r="Q9" s="1532"/>
    </row>
    <row r="10" spans="1:17" ht="12.95" thickBot="1">
      <c r="A10" s="1123"/>
      <c r="B10" s="144" t="s">
        <v>857</v>
      </c>
      <c r="C10" s="227"/>
      <c r="D10" s="705" t="s">
        <v>802</v>
      </c>
      <c r="E10" s="1529" t="str">
        <f>VLOOKUP(E8,'Pricelist Link'!A6:AG358,6,FALSE)</f>
        <v>Studio Unit</v>
      </c>
      <c r="F10" s="1530"/>
      <c r="G10" s="1530"/>
      <c r="H10" s="1530"/>
      <c r="I10" s="1531"/>
      <c r="J10" s="142"/>
      <c r="K10" s="1533" t="s">
        <v>857</v>
      </c>
      <c r="L10" s="1533"/>
      <c r="M10" s="1202" t="s">
        <v>802</v>
      </c>
      <c r="N10" s="1532" t="str">
        <f t="shared" si="0"/>
        <v>Studio Unit</v>
      </c>
      <c r="O10" s="1532"/>
      <c r="P10" s="1532"/>
      <c r="Q10" s="1532"/>
    </row>
    <row r="11" spans="1:17" ht="12.6">
      <c r="A11" s="1123"/>
      <c r="B11" s="144" t="s">
        <v>858</v>
      </c>
      <c r="C11" s="227"/>
      <c r="D11" s="705" t="s">
        <v>802</v>
      </c>
      <c r="E11" s="1537">
        <f>VLOOKUP(E8,'Pricelist Link'!A6:AG358,7,FALSE)</f>
        <v>22</v>
      </c>
      <c r="F11" s="1538"/>
      <c r="G11" s="1200" t="s">
        <v>859</v>
      </c>
      <c r="H11" s="1530"/>
      <c r="I11" s="1531"/>
      <c r="J11" s="142"/>
      <c r="K11" s="1533" t="s">
        <v>858</v>
      </c>
      <c r="L11" s="1533"/>
      <c r="M11" s="705" t="s">
        <v>802</v>
      </c>
      <c r="N11" s="1539">
        <f t="shared" si="0"/>
        <v>22</v>
      </c>
      <c r="O11" s="1540"/>
      <c r="P11" s="1541" t="s">
        <v>859</v>
      </c>
      <c r="Q11" s="1542"/>
    </row>
    <row r="12" spans="1:17" ht="12.6">
      <c r="A12" s="1203"/>
      <c r="B12" s="228" t="s">
        <v>860</v>
      </c>
      <c r="C12" s="226"/>
      <c r="D12" s="705" t="s">
        <v>802</v>
      </c>
      <c r="E12" s="1537"/>
      <c r="F12" s="1538"/>
      <c r="G12" s="1200" t="s">
        <v>859</v>
      </c>
      <c r="H12" s="1541"/>
      <c r="I12" s="1542"/>
      <c r="J12" s="142"/>
      <c r="K12" s="1533" t="s">
        <v>860</v>
      </c>
      <c r="L12" s="1533"/>
      <c r="M12" s="705" t="s">
        <v>802</v>
      </c>
      <c r="N12" s="1545">
        <f t="shared" si="0"/>
        <v>0</v>
      </c>
      <c r="O12" s="1546"/>
      <c r="P12" s="1541" t="s">
        <v>859</v>
      </c>
      <c r="Q12" s="1542"/>
    </row>
    <row r="13" spans="1:17" ht="12.6">
      <c r="A13" s="1204"/>
      <c r="B13" s="144" t="s">
        <v>861</v>
      </c>
      <c r="C13" s="227"/>
      <c r="D13" s="705" t="s">
        <v>802</v>
      </c>
      <c r="E13" s="1547">
        <f>VLOOKUP(E8,'Pricelist Link'!A6:AG358,7,FALSE)</f>
        <v>22</v>
      </c>
      <c r="F13" s="1548"/>
      <c r="G13" s="1200" t="s">
        <v>859</v>
      </c>
      <c r="H13" s="1541"/>
      <c r="I13" s="1542"/>
      <c r="J13" s="142"/>
      <c r="K13" s="1533" t="s">
        <v>861</v>
      </c>
      <c r="L13" s="1533"/>
      <c r="M13" s="705" t="s">
        <v>802</v>
      </c>
      <c r="N13" s="1545">
        <f t="shared" si="0"/>
        <v>22</v>
      </c>
      <c r="O13" s="1546"/>
      <c r="P13" s="1541" t="s">
        <v>859</v>
      </c>
      <c r="Q13" s="1542"/>
    </row>
    <row r="14" spans="1:17" ht="12.6">
      <c r="A14" s="1123"/>
      <c r="B14" s="1123"/>
      <c r="C14" s="178"/>
      <c r="D14" s="705"/>
      <c r="E14" s="142"/>
      <c r="F14" s="229"/>
      <c r="G14" s="229"/>
      <c r="H14" s="230"/>
      <c r="I14" s="231"/>
      <c r="J14" s="142"/>
      <c r="K14" s="1123"/>
      <c r="L14" s="1123"/>
      <c r="M14" s="1205"/>
      <c r="N14" s="1123"/>
      <c r="O14" s="1123"/>
      <c r="P14" s="1123"/>
      <c r="Q14" s="1123"/>
    </row>
    <row r="15" spans="1:17" ht="15" customHeight="1">
      <c r="A15" s="1123"/>
      <c r="B15" s="141" t="s">
        <v>862</v>
      </c>
      <c r="C15" s="141"/>
      <c r="D15" s="232" t="s">
        <v>802</v>
      </c>
      <c r="E15" s="233"/>
      <c r="F15" s="1577">
        <f>'STANDARD_NON RFO UNITS'!F15:I15</f>
        <v>3195170.8635638431</v>
      </c>
      <c r="G15" s="1577"/>
      <c r="H15" s="1577"/>
      <c r="I15" s="1578"/>
      <c r="J15" s="142"/>
      <c r="K15" s="1549" t="s">
        <v>863</v>
      </c>
      <c r="L15" s="1549"/>
      <c r="M15" s="1550" t="s">
        <v>773</v>
      </c>
      <c r="N15" s="1549" t="s">
        <v>776</v>
      </c>
      <c r="O15" s="1549"/>
      <c r="P15" s="1553" t="s">
        <v>214</v>
      </c>
      <c r="Q15" s="1554"/>
    </row>
    <row r="16" spans="1:17" ht="12.6">
      <c r="A16" s="1123"/>
      <c r="B16" s="148" t="s">
        <v>864</v>
      </c>
      <c r="C16" s="227"/>
      <c r="D16" s="1206" t="s">
        <v>802</v>
      </c>
      <c r="E16" s="234"/>
      <c r="F16" s="1579">
        <f>'STANDARD_NON RFO UNITS'!F16:I16</f>
        <v>0</v>
      </c>
      <c r="G16" s="1579"/>
      <c r="H16" s="1579"/>
      <c r="I16" s="1580"/>
      <c r="J16" s="100"/>
      <c r="K16" s="1549"/>
      <c r="L16" s="1549"/>
      <c r="M16" s="1550"/>
      <c r="N16" s="1549"/>
      <c r="O16" s="1549"/>
      <c r="P16" s="1555"/>
      <c r="Q16" s="1556"/>
    </row>
    <row r="17" spans="1:50" ht="12.6">
      <c r="A17" s="1123"/>
      <c r="B17" s="129" t="s">
        <v>865</v>
      </c>
      <c r="C17" s="101"/>
      <c r="D17" s="142" t="s">
        <v>802</v>
      </c>
      <c r="E17" s="233"/>
      <c r="F17" s="1581">
        <f>F15-F16</f>
        <v>3195170.8635638431</v>
      </c>
      <c r="G17" s="1581"/>
      <c r="H17" s="1581"/>
      <c r="I17" s="1582"/>
      <c r="J17" s="100"/>
      <c r="K17" s="1527" t="s">
        <v>820</v>
      </c>
      <c r="L17" s="1527"/>
      <c r="M17" s="1207" t="str">
        <f>C2</f>
        <v>September 1,2025</v>
      </c>
      <c r="N17" s="1551">
        <f>F25</f>
        <v>30000</v>
      </c>
      <c r="O17" s="1551"/>
      <c r="P17" s="1525"/>
      <c r="Q17" s="1526"/>
      <c r="R17" s="1189"/>
      <c r="S17" s="1189"/>
      <c r="T17" s="1208"/>
      <c r="U17" s="1208"/>
      <c r="V17" s="1189"/>
      <c r="W17" s="1209" t="str">
        <f>M17</f>
        <v>September 1,2025</v>
      </c>
      <c r="X17" s="1209" t="e">
        <f>EDATE(W17,E29)</f>
        <v>#VALUE!</v>
      </c>
      <c r="Y17" s="1189"/>
      <c r="Z17" s="1189"/>
      <c r="AA17" s="1189"/>
      <c r="AB17" s="1189"/>
      <c r="AC17" s="1189"/>
      <c r="AD17" s="1189"/>
      <c r="AE17" s="1189"/>
      <c r="AF17" s="1189"/>
      <c r="AG17" s="1189"/>
      <c r="AH17" s="1189"/>
      <c r="AI17" s="1189"/>
      <c r="AJ17" s="1210"/>
      <c r="AK17" s="1189"/>
      <c r="AL17" s="1189"/>
      <c r="AM17" s="1189"/>
      <c r="AN17" s="1189"/>
      <c r="AO17" s="1189"/>
      <c r="AP17" s="1189"/>
      <c r="AQ17" s="1189"/>
      <c r="AR17" s="1189"/>
      <c r="AS17" s="1189"/>
      <c r="AT17" s="1189"/>
      <c r="AU17" s="1189"/>
      <c r="AV17" s="1189"/>
      <c r="AW17" s="1211"/>
      <c r="AX17" s="1212"/>
    </row>
    <row r="18" spans="1:50" ht="12.95">
      <c r="A18" s="1123"/>
      <c r="B18" s="147"/>
      <c r="C18" s="178"/>
      <c r="D18" s="705"/>
      <c r="E18" s="100"/>
      <c r="F18" s="432">
        <f>E19*F17</f>
        <v>383420.50362766115</v>
      </c>
      <c r="G18" s="236"/>
      <c r="H18" s="237"/>
      <c r="I18" s="237"/>
      <c r="J18" s="100"/>
      <c r="K18" s="1527" t="str">
        <f t="shared" ref="K18:K63" si="1">IF(N18&gt;1,T18,0)</f>
        <v>1st EQUITY PAYMENT</v>
      </c>
      <c r="L18" s="1527"/>
      <c r="M18" s="1207" t="e">
        <f t="shared" ref="M18:M63" si="2">IF(N18&gt;1,W18,"")</f>
        <v>#VALUE!</v>
      </c>
      <c r="N18" s="1614">
        <f>IF(E29&gt;0,F29,"")</f>
        <v>333450.68573038711</v>
      </c>
      <c r="O18" s="1614"/>
      <c r="P18" s="1525"/>
      <c r="Q18" s="1526"/>
      <c r="R18" s="1189"/>
      <c r="S18" s="1189"/>
      <c r="T18" s="1552" t="s">
        <v>866</v>
      </c>
      <c r="U18" s="1552"/>
      <c r="V18" s="1189"/>
      <c r="W18" s="1207" t="e">
        <f>IF(DAY(W17)=31,Y20,AA20)</f>
        <v>#VALUE!</v>
      </c>
      <c r="X18" s="1189"/>
      <c r="Y18" s="1692" t="s">
        <v>867</v>
      </c>
      <c r="Z18" s="1692"/>
      <c r="AA18" s="1189"/>
      <c r="AB18" s="1189"/>
      <c r="AC18" s="1189"/>
      <c r="AD18" s="1189"/>
      <c r="AE18" s="1189"/>
      <c r="AF18" s="1189"/>
      <c r="AG18" s="1189"/>
      <c r="AH18" s="1189"/>
      <c r="AI18" s="1189"/>
      <c r="AJ18" s="1210"/>
      <c r="AK18" s="1189"/>
      <c r="AL18" s="1189"/>
      <c r="AM18" s="1189"/>
      <c r="AN18" s="1189"/>
      <c r="AO18" s="1189"/>
      <c r="AP18" s="1189"/>
      <c r="AQ18" s="1189"/>
      <c r="AR18" s="1189"/>
      <c r="AS18" s="1189"/>
      <c r="AT18" s="1189"/>
      <c r="AU18" s="1189"/>
      <c r="AV18" s="1189"/>
      <c r="AW18" s="1211"/>
      <c r="AX18" s="1212"/>
    </row>
    <row r="19" spans="1:50" ht="12.6">
      <c r="A19" s="1203"/>
      <c r="B19" s="148" t="s">
        <v>868</v>
      </c>
      <c r="C19" s="227"/>
      <c r="D19" s="1206" t="s">
        <v>802</v>
      </c>
      <c r="E19" s="283">
        <v>0.12</v>
      </c>
      <c r="F19" s="1579">
        <f>'STANDARD_NON RFO UNITS'!F19:I19</f>
        <v>0</v>
      </c>
      <c r="G19" s="1579"/>
      <c r="H19" s="1579"/>
      <c r="I19" s="1580"/>
      <c r="J19" s="100"/>
      <c r="K19" s="1527">
        <f t="shared" si="1"/>
        <v>0</v>
      </c>
      <c r="L19" s="1527"/>
      <c r="M19" s="1207" t="str">
        <f t="shared" si="2"/>
        <v/>
      </c>
      <c r="N19" s="1614">
        <f>IF(E29&gt;1,F29,0)</f>
        <v>0</v>
      </c>
      <c r="O19" s="1614"/>
      <c r="P19" s="1525"/>
      <c r="Q19" s="1526"/>
      <c r="R19" s="1189"/>
      <c r="S19" s="1189"/>
      <c r="T19" s="1552" t="s">
        <v>869</v>
      </c>
      <c r="U19" s="1552"/>
      <c r="V19" s="1189"/>
      <c r="W19" s="1207" t="e">
        <f t="shared" ref="W19:W61" si="3">IF(AND(DAY(W18)&gt;=6,DAY(W18)&lt;=20),DATE(YEAR(W18),MONTH(W18)+1,DAY(20)),IF(AND(DAY(W18)&gt;=21,DAY(W18)&lt;=30),DATE(YEAR(W18),MONTH(W18)+1,IF(DAY(EOMONTH(W18,1))&lt;30,DAY(EOMONTH(W18,1)),DAY(30))),DATE(YEAR(W18),MONTH(W18)+1,DAY(5))))</f>
        <v>#VALUE!</v>
      </c>
      <c r="X19" s="1270" t="s">
        <v>38</v>
      </c>
      <c r="Y19" s="1695" t="e">
        <f>IF(DAY(W17)=31,DATE(YEAR(X17),MONTH(X17)+2,DAY(5)))</f>
        <v>#VALUE!</v>
      </c>
      <c r="Z19" s="1696"/>
      <c r="AA19" s="1271" t="e">
        <f>IF(AND(DAY(X17)&gt;=6,DAY(X17)&lt;=20),DATE(YEAR(X17),MONTH(X17)+1,DAY(20)),IF(AND(DAY(X17)&gt;=21,DAY(X17)&lt;=31),DATE(YEAR(X17),MONTH(X17)+1,IF(DAY(EOMONTH(X17,1))&lt;30,DAY(EOMONTH(X17,1)),DAY(30))),DATE(YEAR(X17),MONTH(X17)+1,DAY(5))))</f>
        <v>#VALUE!</v>
      </c>
      <c r="AB19" s="1189"/>
      <c r="AC19" s="1189"/>
      <c r="AD19" s="1189"/>
      <c r="AE19" s="1189"/>
      <c r="AF19" s="1189"/>
      <c r="AG19" s="1189"/>
      <c r="AH19" s="1189"/>
      <c r="AI19" s="1189"/>
      <c r="AJ19" s="1210"/>
      <c r="AK19" s="1189"/>
      <c r="AL19" s="1189"/>
      <c r="AM19" s="1189"/>
      <c r="AN19" s="1189"/>
      <c r="AO19" s="1189"/>
      <c r="AP19" s="1189"/>
      <c r="AQ19" s="1189"/>
      <c r="AR19" s="1189"/>
      <c r="AS19" s="1189"/>
      <c r="AT19" s="1189"/>
      <c r="AU19" s="1189"/>
      <c r="AV19" s="1189"/>
      <c r="AW19" s="1211"/>
      <c r="AX19" s="1212"/>
    </row>
    <row r="20" spans="1:50" ht="12.6">
      <c r="A20" s="1204"/>
      <c r="B20" s="238" t="s">
        <v>870</v>
      </c>
      <c r="C20" s="101"/>
      <c r="D20" s="705" t="s">
        <v>802</v>
      </c>
      <c r="E20" s="1213"/>
      <c r="F20" s="1583">
        <f>'STANDARD_NON RFO UNITS'!F20:I20</f>
        <v>439335.99374002841</v>
      </c>
      <c r="G20" s="1584"/>
      <c r="H20" s="1584"/>
      <c r="I20" s="1585"/>
      <c r="J20" s="100"/>
      <c r="K20" s="1527">
        <f t="shared" si="1"/>
        <v>0</v>
      </c>
      <c r="L20" s="1527"/>
      <c r="M20" s="1207" t="str">
        <f t="shared" si="2"/>
        <v/>
      </c>
      <c r="N20" s="1614">
        <f>IF(E29&gt;2,F29,0)</f>
        <v>0</v>
      </c>
      <c r="O20" s="1614"/>
      <c r="P20" s="1525"/>
      <c r="Q20" s="1526"/>
      <c r="R20" s="1189"/>
      <c r="S20" s="1189"/>
      <c r="T20" s="1552" t="s">
        <v>871</v>
      </c>
      <c r="U20" s="1552"/>
      <c r="V20" s="1189"/>
      <c r="W20" s="1207" t="e">
        <f t="shared" si="3"/>
        <v>#VALUE!</v>
      </c>
      <c r="X20" s="1270" t="s">
        <v>872</v>
      </c>
      <c r="Y20" s="1695" t="e">
        <f>IF(DAY(W17)=31,DATE(YEAR(W17),MONTH(W17)+2,DAY(5)))</f>
        <v>#VALUE!</v>
      </c>
      <c r="Z20" s="1696"/>
      <c r="AA20" s="1271" t="e">
        <f>IF(AND(DAY(W17)&gt;=6,DAY(W17)&lt;=20),DATE(YEAR(W17),MONTH(W17)+1,DAY(20)),IF(AND(DAY(W17)&gt;=21,DAY(W17)&lt;=30),DATE(YEAR(W17),MONTH(W17)+1,IF(DAY(EOMONTH(W17,1))&lt;31,DAY(EOMONTH(W17,1)),DAY(30))),DATE(YEAR(W17),MONTH(W17)+1,DAY(5))))</f>
        <v>#VALUE!</v>
      </c>
      <c r="AB20" s="1189"/>
      <c r="AC20" s="1189"/>
      <c r="AD20" s="1189"/>
      <c r="AE20" s="1189"/>
      <c r="AF20" s="1189"/>
      <c r="AG20" s="1189"/>
      <c r="AH20" s="1189"/>
      <c r="AI20" s="1189"/>
      <c r="AJ20" s="1210"/>
      <c r="AK20" s="1189"/>
      <c r="AL20" s="1189"/>
      <c r="AM20" s="1189"/>
      <c r="AN20" s="1189"/>
      <c r="AO20" s="1189"/>
      <c r="AP20" s="1189"/>
      <c r="AQ20" s="1189"/>
      <c r="AR20" s="1189"/>
      <c r="AS20" s="1189"/>
      <c r="AT20" s="1189"/>
      <c r="AU20" s="1189"/>
      <c r="AV20" s="1189"/>
      <c r="AW20" s="1211"/>
      <c r="AX20" s="1189"/>
    </row>
    <row r="21" spans="1:50" ht="12.6">
      <c r="A21" s="1123"/>
      <c r="B21" s="147"/>
      <c r="C21" s="100"/>
      <c r="D21" s="705"/>
      <c r="E21" s="142"/>
      <c r="F21" s="235"/>
      <c r="G21" s="235"/>
      <c r="H21" s="235"/>
      <c r="I21" s="235"/>
      <c r="J21" s="100"/>
      <c r="K21" s="1527">
        <f t="shared" si="1"/>
        <v>0</v>
      </c>
      <c r="L21" s="1527"/>
      <c r="M21" s="1207" t="str">
        <f t="shared" si="2"/>
        <v/>
      </c>
      <c r="N21" s="1614">
        <f>IF(E29&gt;3,F29,0)</f>
        <v>0</v>
      </c>
      <c r="O21" s="1614"/>
      <c r="P21" s="1525"/>
      <c r="Q21" s="1526"/>
      <c r="R21" s="1189"/>
      <c r="S21" s="1189"/>
      <c r="T21" s="1552" t="s">
        <v>873</v>
      </c>
      <c r="U21" s="1552"/>
      <c r="V21" s="1189"/>
      <c r="W21" s="1207" t="e">
        <f t="shared" si="3"/>
        <v>#VALUE!</v>
      </c>
      <c r="X21" s="1189"/>
      <c r="Y21" s="1189"/>
      <c r="Z21" s="1189"/>
      <c r="AA21" s="1189"/>
      <c r="AB21" s="1189"/>
      <c r="AC21" s="1189"/>
      <c r="AD21" s="1189"/>
      <c r="AE21" s="1189"/>
      <c r="AF21" s="1189"/>
      <c r="AG21" s="1189"/>
      <c r="AH21" s="1189"/>
      <c r="AI21" s="1189"/>
      <c r="AJ21" s="1210"/>
      <c r="AK21" s="1189"/>
      <c r="AL21" s="1189"/>
      <c r="AM21" s="1189"/>
      <c r="AN21" s="1189"/>
      <c r="AO21" s="1189"/>
      <c r="AP21" s="1189"/>
      <c r="AQ21" s="1189"/>
      <c r="AR21" s="1189"/>
      <c r="AS21" s="1189"/>
      <c r="AT21" s="1189"/>
      <c r="AU21" s="1189"/>
      <c r="AV21" s="1189"/>
      <c r="AW21" s="1211"/>
      <c r="AX21" s="1189"/>
    </row>
    <row r="22" spans="1:50" ht="12.6">
      <c r="A22" s="1123"/>
      <c r="B22" s="129" t="s">
        <v>874</v>
      </c>
      <c r="C22" s="101"/>
      <c r="D22" s="142" t="s">
        <v>802</v>
      </c>
      <c r="E22" s="239"/>
      <c r="F22" s="1558">
        <f>SUM(F19:I20,F17)</f>
        <v>3634506.8573038713</v>
      </c>
      <c r="G22" s="1559"/>
      <c r="H22" s="1559"/>
      <c r="I22" s="1560"/>
      <c r="J22" s="100"/>
      <c r="K22" s="1527">
        <f t="shared" si="1"/>
        <v>0</v>
      </c>
      <c r="L22" s="1527"/>
      <c r="M22" s="1207" t="str">
        <f t="shared" si="2"/>
        <v/>
      </c>
      <c r="N22" s="1614">
        <f>IF(E29&gt;4,F29,0)</f>
        <v>0</v>
      </c>
      <c r="O22" s="1614"/>
      <c r="P22" s="1525"/>
      <c r="Q22" s="1526"/>
      <c r="R22" s="1189"/>
      <c r="S22" s="1189"/>
      <c r="T22" s="1552" t="s">
        <v>875</v>
      </c>
      <c r="U22" s="1552"/>
      <c r="V22" s="1189"/>
      <c r="W22" s="1207" t="e">
        <f t="shared" si="3"/>
        <v>#VALUE!</v>
      </c>
      <c r="X22" s="1189"/>
      <c r="Y22" s="1189"/>
      <c r="Z22" s="1189"/>
      <c r="AA22" s="1189"/>
      <c r="AB22" s="1189"/>
      <c r="AC22" s="1189"/>
      <c r="AD22" s="1189"/>
      <c r="AE22" s="1189"/>
      <c r="AF22" s="1189"/>
      <c r="AG22" s="1189"/>
      <c r="AH22" s="1189"/>
      <c r="AI22" s="1189"/>
      <c r="AJ22" s="1210"/>
      <c r="AK22" s="1189"/>
      <c r="AL22" s="1189"/>
      <c r="AM22" s="1189"/>
      <c r="AN22" s="1189"/>
      <c r="AO22" s="1189"/>
      <c r="AP22" s="1189"/>
      <c r="AQ22" s="1189"/>
      <c r="AR22" s="1189"/>
      <c r="AS22" s="1189"/>
      <c r="AT22" s="1189"/>
      <c r="AU22" s="1189"/>
      <c r="AV22" s="1189"/>
      <c r="AW22" s="1211"/>
      <c r="AX22" s="1189"/>
    </row>
    <row r="23" spans="1:50" ht="12.6">
      <c r="A23" s="1123"/>
      <c r="B23" s="147"/>
      <c r="C23" s="100"/>
      <c r="D23" s="705"/>
      <c r="E23" s="142"/>
      <c r="F23" s="235"/>
      <c r="G23" s="240"/>
      <c r="H23" s="240"/>
      <c r="I23" s="240"/>
      <c r="J23" s="100"/>
      <c r="K23" s="1527">
        <f t="shared" si="1"/>
        <v>0</v>
      </c>
      <c r="L23" s="1527"/>
      <c r="M23" s="1207" t="str">
        <f t="shared" si="2"/>
        <v/>
      </c>
      <c r="N23" s="1614">
        <f>IF(E29&gt;5,F29,0)</f>
        <v>0</v>
      </c>
      <c r="O23" s="1614"/>
      <c r="P23" s="1525"/>
      <c r="Q23" s="1526"/>
      <c r="R23" s="1189"/>
      <c r="S23" s="1189"/>
      <c r="T23" s="1552" t="s">
        <v>876</v>
      </c>
      <c r="U23" s="1552"/>
      <c r="V23" s="1189"/>
      <c r="W23" s="1207" t="e">
        <f t="shared" si="3"/>
        <v>#VALUE!</v>
      </c>
      <c r="X23" s="1189"/>
      <c r="Y23" s="1189"/>
      <c r="Z23" s="1189"/>
      <c r="AA23" s="1189"/>
      <c r="AB23" s="1189"/>
      <c r="AC23" s="1189"/>
      <c r="AD23" s="1189"/>
      <c r="AE23" s="1189"/>
      <c r="AF23" s="1189"/>
      <c r="AG23" s="1189"/>
      <c r="AH23" s="1189"/>
      <c r="AI23" s="1189"/>
      <c r="AJ23" s="1210"/>
      <c r="AK23" s="1189"/>
      <c r="AL23" s="1189"/>
      <c r="AM23" s="1189"/>
      <c r="AN23" s="1189"/>
      <c r="AO23" s="1189"/>
      <c r="AP23" s="1189"/>
      <c r="AQ23" s="1189"/>
      <c r="AR23" s="1189"/>
      <c r="AS23" s="1189"/>
      <c r="AT23" s="1189"/>
      <c r="AU23" s="1189"/>
      <c r="AV23" s="1189"/>
      <c r="AW23" s="1211"/>
      <c r="AX23" s="1189"/>
    </row>
    <row r="24" spans="1:50" ht="12.6">
      <c r="A24" s="1123"/>
      <c r="B24" s="141" t="s">
        <v>877</v>
      </c>
      <c r="C24" s="226"/>
      <c r="D24" s="232" t="s">
        <v>802</v>
      </c>
      <c r="E24" s="282">
        <f>'STANDARD_NON RFO UNITS'!E24</f>
        <v>0.125</v>
      </c>
      <c r="F24" s="1558">
        <f>F22*E24</f>
        <v>454313.35716298391</v>
      </c>
      <c r="G24" s="1559"/>
      <c r="H24" s="1559"/>
      <c r="I24" s="1560"/>
      <c r="J24" s="100"/>
      <c r="K24" s="1527">
        <f t="shared" si="1"/>
        <v>0</v>
      </c>
      <c r="L24" s="1527"/>
      <c r="M24" s="1207" t="str">
        <f t="shared" si="2"/>
        <v/>
      </c>
      <c r="N24" s="1614">
        <f>IF(E29&gt;6,F29,0)</f>
        <v>0</v>
      </c>
      <c r="O24" s="1614"/>
      <c r="P24" s="1525"/>
      <c r="Q24" s="1526"/>
      <c r="R24" s="1189"/>
      <c r="S24" s="1189"/>
      <c r="T24" s="1552" t="s">
        <v>878</v>
      </c>
      <c r="U24" s="1552"/>
      <c r="V24" s="1189"/>
      <c r="W24" s="1207" t="e">
        <f t="shared" si="3"/>
        <v>#VALUE!</v>
      </c>
      <c r="X24" s="1189"/>
      <c r="Y24" s="1189"/>
      <c r="Z24" s="1189"/>
      <c r="AA24" s="1189"/>
      <c r="AB24" s="1189"/>
      <c r="AC24" s="1189"/>
      <c r="AD24" s="1189"/>
      <c r="AE24" s="1189"/>
      <c r="AF24" s="1189"/>
      <c r="AG24" s="1189"/>
      <c r="AH24" s="1189"/>
      <c r="AI24" s="1189"/>
      <c r="AJ24" s="1210"/>
      <c r="AK24" s="1189"/>
      <c r="AL24" s="1189"/>
      <c r="AM24" s="1189"/>
      <c r="AN24" s="1189"/>
      <c r="AO24" s="1189"/>
      <c r="AP24" s="1189"/>
      <c r="AQ24" s="1189"/>
      <c r="AR24" s="1189"/>
      <c r="AS24" s="1189"/>
      <c r="AT24" s="1189"/>
      <c r="AU24" s="1189"/>
      <c r="AV24" s="1189"/>
      <c r="AW24" s="1211"/>
      <c r="AX24" s="1189"/>
    </row>
    <row r="25" spans="1:50" ht="12.6">
      <c r="A25" s="1123"/>
      <c r="B25" s="144" t="s">
        <v>879</v>
      </c>
      <c r="C25" s="227"/>
      <c r="D25" s="705" t="s">
        <v>802</v>
      </c>
      <c r="E25" s="1198"/>
      <c r="F25" s="210">
        <f>FORM!I22</f>
        <v>30000</v>
      </c>
      <c r="G25" s="1215"/>
      <c r="H25" s="1216"/>
      <c r="I25" s="1217"/>
      <c r="J25" s="100"/>
      <c r="K25" s="1527">
        <f t="shared" si="1"/>
        <v>0</v>
      </c>
      <c r="L25" s="1527"/>
      <c r="M25" s="1207" t="str">
        <f t="shared" si="2"/>
        <v/>
      </c>
      <c r="N25" s="1614">
        <f>IF(E29&gt;7,F29,0)</f>
        <v>0</v>
      </c>
      <c r="O25" s="1614"/>
      <c r="P25" s="1525"/>
      <c r="Q25" s="1526"/>
      <c r="R25" s="1189"/>
      <c r="S25" s="1189"/>
      <c r="T25" s="1552" t="s">
        <v>880</v>
      </c>
      <c r="U25" s="1552"/>
      <c r="V25" s="1189"/>
      <c r="W25" s="1207" t="e">
        <f t="shared" si="3"/>
        <v>#VALUE!</v>
      </c>
      <c r="X25" s="1189"/>
      <c r="Y25" s="1189"/>
      <c r="Z25" s="1189"/>
      <c r="AA25" s="1189"/>
      <c r="AB25" s="1189"/>
      <c r="AC25" s="1189"/>
      <c r="AD25" s="1189"/>
      <c r="AE25" s="1189"/>
      <c r="AF25" s="1189"/>
      <c r="AG25" s="1189"/>
      <c r="AH25" s="1189"/>
      <c r="AI25" s="1189"/>
      <c r="AJ25" s="1210"/>
      <c r="AK25" s="1189"/>
      <c r="AL25" s="1189"/>
      <c r="AM25" s="1189"/>
      <c r="AN25" s="1189"/>
      <c r="AO25" s="1189"/>
      <c r="AP25" s="1189"/>
      <c r="AQ25" s="1189"/>
      <c r="AR25" s="1189"/>
      <c r="AS25" s="1189"/>
      <c r="AT25" s="1189"/>
      <c r="AU25" s="1189"/>
      <c r="AV25" s="1189"/>
      <c r="AW25" s="1211"/>
      <c r="AX25" s="1189"/>
    </row>
    <row r="26" spans="1:50" ht="12.6">
      <c r="A26" s="1203"/>
      <c r="B26" s="144" t="s">
        <v>1033</v>
      </c>
      <c r="C26" s="227"/>
      <c r="D26" s="705"/>
      <c r="E26" s="1265">
        <v>2.5000000000000001E-2</v>
      </c>
      <c r="F26" s="1627">
        <f>F22*E26</f>
        <v>90862.671432596791</v>
      </c>
      <c r="G26" s="1628"/>
      <c r="H26" s="1628"/>
      <c r="I26" s="1629"/>
      <c r="J26" s="100"/>
      <c r="K26" s="1527">
        <f t="shared" si="1"/>
        <v>0</v>
      </c>
      <c r="L26" s="1527"/>
      <c r="M26" s="1207" t="str">
        <f t="shared" si="2"/>
        <v/>
      </c>
      <c r="N26" s="1614">
        <f>IF(E29&gt;8,F29,0)</f>
        <v>0</v>
      </c>
      <c r="O26" s="1614"/>
      <c r="P26" s="1525"/>
      <c r="Q26" s="1526"/>
      <c r="R26" s="1189"/>
      <c r="S26" s="1189"/>
      <c r="T26" s="1552" t="s">
        <v>882</v>
      </c>
      <c r="U26" s="1552"/>
      <c r="V26" s="1189"/>
      <c r="W26" s="1207" t="e">
        <f t="shared" si="3"/>
        <v>#VALUE!</v>
      </c>
      <c r="X26" s="1189"/>
      <c r="Y26" s="1189"/>
      <c r="Z26" s="1189"/>
      <c r="AA26" s="1189"/>
      <c r="AB26" s="1189"/>
      <c r="AC26" s="1189"/>
      <c r="AD26" s="1189"/>
      <c r="AE26" s="1189"/>
      <c r="AF26" s="1189"/>
      <c r="AG26" s="1189"/>
      <c r="AH26" s="1189"/>
      <c r="AI26" s="1189"/>
      <c r="AJ26" s="1210"/>
      <c r="AK26" s="1189"/>
      <c r="AL26" s="1189"/>
      <c r="AM26" s="1189"/>
      <c r="AN26" s="1189"/>
      <c r="AO26" s="1189"/>
      <c r="AP26" s="1189"/>
      <c r="AQ26" s="1189"/>
      <c r="AR26" s="1189"/>
      <c r="AS26" s="1189"/>
      <c r="AT26" s="1189"/>
      <c r="AU26" s="1189"/>
      <c r="AV26" s="1189"/>
      <c r="AW26" s="1211"/>
      <c r="AX26" s="1189"/>
    </row>
    <row r="27" spans="1:50" ht="12.6">
      <c r="A27" s="1123"/>
      <c r="B27" s="129" t="s">
        <v>881</v>
      </c>
      <c r="C27" s="126"/>
      <c r="D27" s="142" t="s">
        <v>802</v>
      </c>
      <c r="E27" s="1198"/>
      <c r="F27" s="1558">
        <f>F24-F25-F26</f>
        <v>333450.68573038711</v>
      </c>
      <c r="G27" s="1559"/>
      <c r="H27" s="1559"/>
      <c r="I27" s="1560"/>
      <c r="J27" s="100"/>
      <c r="K27" s="1527">
        <f t="shared" si="1"/>
        <v>0</v>
      </c>
      <c r="L27" s="1527"/>
      <c r="M27" s="1207" t="str">
        <f t="shared" si="2"/>
        <v/>
      </c>
      <c r="N27" s="1614">
        <f>IF(E29&gt;9,F29,0)</f>
        <v>0</v>
      </c>
      <c r="O27" s="1614"/>
      <c r="P27" s="1525"/>
      <c r="Q27" s="1526"/>
      <c r="R27" s="1189"/>
      <c r="S27" s="1189"/>
      <c r="T27" s="1552" t="s">
        <v>883</v>
      </c>
      <c r="U27" s="1552"/>
      <c r="V27" s="1189"/>
      <c r="W27" s="1207" t="e">
        <f t="shared" si="3"/>
        <v>#VALUE!</v>
      </c>
      <c r="X27" s="1189"/>
      <c r="Y27" s="1189"/>
      <c r="Z27" s="1189"/>
      <c r="AA27" s="1189"/>
      <c r="AB27" s="1189"/>
      <c r="AC27" s="1189"/>
      <c r="AD27" s="1189"/>
      <c r="AE27" s="1189"/>
      <c r="AF27" s="1189"/>
      <c r="AG27" s="1189"/>
      <c r="AH27" s="1189"/>
      <c r="AI27" s="1189"/>
      <c r="AJ27" s="1210"/>
      <c r="AK27" s="1189"/>
      <c r="AL27" s="1189"/>
      <c r="AM27" s="1189"/>
      <c r="AN27" s="1189"/>
      <c r="AO27" s="1189"/>
      <c r="AP27" s="1189"/>
      <c r="AQ27" s="1189"/>
      <c r="AR27" s="1189"/>
      <c r="AS27" s="1189"/>
      <c r="AT27" s="1189"/>
      <c r="AU27" s="1189"/>
      <c r="AV27" s="1189"/>
      <c r="AW27" s="1211"/>
      <c r="AX27" s="1189"/>
    </row>
    <row r="28" spans="1:50" ht="12.6">
      <c r="A28" s="1123"/>
      <c r="B28" s="147"/>
      <c r="C28" s="100"/>
      <c r="D28" s="705"/>
      <c r="E28" s="142"/>
      <c r="F28" s="235"/>
      <c r="G28" s="240"/>
      <c r="H28" s="240"/>
      <c r="I28" s="240"/>
      <c r="J28" s="100"/>
      <c r="K28" s="1527">
        <f t="shared" si="1"/>
        <v>0</v>
      </c>
      <c r="L28" s="1527"/>
      <c r="M28" s="1207" t="str">
        <f t="shared" si="2"/>
        <v/>
      </c>
      <c r="N28" s="1614">
        <f>IF(E29&gt;10,F29,0)</f>
        <v>0</v>
      </c>
      <c r="O28" s="1614"/>
      <c r="P28" s="1525"/>
      <c r="Q28" s="1526"/>
      <c r="R28" s="1189"/>
      <c r="S28" s="1189"/>
      <c r="T28" s="1552" t="s">
        <v>885</v>
      </c>
      <c r="U28" s="1552"/>
      <c r="V28" s="1189"/>
      <c r="W28" s="1207" t="e">
        <f t="shared" si="3"/>
        <v>#VALUE!</v>
      </c>
      <c r="X28" s="1189"/>
      <c r="Y28" s="1189"/>
      <c r="Z28" s="1189"/>
      <c r="AA28" s="1189"/>
      <c r="AB28" s="1189"/>
      <c r="AC28" s="1189"/>
      <c r="AD28" s="1189"/>
      <c r="AE28" s="1189"/>
      <c r="AF28" s="1189"/>
      <c r="AG28" s="1189"/>
      <c r="AH28" s="1189"/>
      <c r="AI28" s="1189"/>
      <c r="AJ28" s="1210"/>
      <c r="AK28" s="1189"/>
      <c r="AL28" s="1189"/>
      <c r="AM28" s="1189"/>
      <c r="AN28" s="1189"/>
      <c r="AO28" s="1189"/>
      <c r="AP28" s="1189"/>
      <c r="AQ28" s="1189"/>
      <c r="AR28" s="1189"/>
      <c r="AS28" s="1189"/>
      <c r="AT28" s="1189"/>
      <c r="AU28" s="1189"/>
      <c r="AV28" s="1189"/>
      <c r="AW28" s="1211"/>
      <c r="AX28" s="1189"/>
    </row>
    <row r="29" spans="1:50" ht="12.6">
      <c r="A29" s="1218"/>
      <c r="B29" s="1586" t="s">
        <v>884</v>
      </c>
      <c r="C29" s="1586"/>
      <c r="D29" s="142" t="s">
        <v>802</v>
      </c>
      <c r="E29" s="242">
        <f>'STANDARD_NON RFO UNITS'!E28</f>
        <v>1</v>
      </c>
      <c r="F29" s="1558">
        <f>F27/E29</f>
        <v>333450.68573038711</v>
      </c>
      <c r="G29" s="1559"/>
      <c r="H29" s="1559"/>
      <c r="I29" s="1560"/>
      <c r="J29" s="100"/>
      <c r="K29" s="1527">
        <f t="shared" si="1"/>
        <v>0</v>
      </c>
      <c r="L29" s="1527"/>
      <c r="M29" s="1207" t="str">
        <f t="shared" si="2"/>
        <v/>
      </c>
      <c r="N29" s="1605">
        <f>IF(E29&gt;11,F29,0)</f>
        <v>0</v>
      </c>
      <c r="O29" s="1605"/>
      <c r="P29" s="1525"/>
      <c r="Q29" s="1526"/>
      <c r="R29" s="1189"/>
      <c r="S29" s="1189"/>
      <c r="T29" s="1552" t="s">
        <v>886</v>
      </c>
      <c r="U29" s="1552"/>
      <c r="V29" s="1189"/>
      <c r="W29" s="1207" t="e">
        <f t="shared" si="3"/>
        <v>#VALUE!</v>
      </c>
      <c r="X29" s="1189"/>
      <c r="Y29" s="1189"/>
      <c r="Z29" s="1189"/>
      <c r="AA29" s="1189"/>
      <c r="AB29" s="1189"/>
      <c r="AC29" s="1189"/>
      <c r="AD29" s="1189"/>
      <c r="AE29" s="1189"/>
      <c r="AF29" s="1189"/>
      <c r="AG29" s="1189"/>
      <c r="AH29" s="1189"/>
      <c r="AI29" s="1189"/>
      <c r="AJ29" s="1210"/>
      <c r="AK29" s="1189"/>
      <c r="AL29" s="1189"/>
      <c r="AM29" s="1189"/>
      <c r="AN29" s="1189"/>
      <c r="AO29" s="1189"/>
      <c r="AP29" s="1189"/>
      <c r="AQ29" s="1189"/>
      <c r="AR29" s="1189"/>
      <c r="AS29" s="1189"/>
      <c r="AT29" s="1189"/>
      <c r="AU29" s="1189"/>
      <c r="AV29" s="1189"/>
      <c r="AW29" s="1211"/>
      <c r="AX29" s="1189"/>
    </row>
    <row r="30" spans="1:50" ht="12.6">
      <c r="A30" s="1123"/>
      <c r="B30" s="1123"/>
      <c r="C30" s="178"/>
      <c r="D30" s="705"/>
      <c r="E30" s="243"/>
      <c r="F30" s="235"/>
      <c r="G30" s="235"/>
      <c r="H30" s="235"/>
      <c r="I30" s="235"/>
      <c r="J30" s="100"/>
      <c r="K30" s="1527">
        <f t="shared" si="1"/>
        <v>0</v>
      </c>
      <c r="L30" s="1527"/>
      <c r="M30" s="1207" t="str">
        <f t="shared" si="2"/>
        <v/>
      </c>
      <c r="N30" s="1605">
        <f>IF(E29&gt;12,F29,0)</f>
        <v>0</v>
      </c>
      <c r="O30" s="1605"/>
      <c r="P30" s="1525"/>
      <c r="Q30" s="1526"/>
      <c r="R30" s="1189"/>
      <c r="S30" s="1189"/>
      <c r="T30" s="1552" t="s">
        <v>888</v>
      </c>
      <c r="U30" s="1552"/>
      <c r="V30" s="1189"/>
      <c r="W30" s="1207" t="e">
        <f t="shared" si="3"/>
        <v>#VALUE!</v>
      </c>
      <c r="X30" s="1189"/>
      <c r="Y30" s="1189"/>
      <c r="Z30" s="1189"/>
      <c r="AA30" s="1189"/>
      <c r="AB30" s="1189"/>
      <c r="AC30" s="1189"/>
      <c r="AD30" s="1189"/>
      <c r="AE30" s="1189"/>
      <c r="AF30" s="1189"/>
      <c r="AG30" s="1189"/>
      <c r="AH30" s="1189"/>
      <c r="AI30" s="1189"/>
      <c r="AJ30" s="1210"/>
      <c r="AK30" s="1189"/>
      <c r="AL30" s="1189"/>
      <c r="AM30" s="1189"/>
      <c r="AN30" s="1189"/>
      <c r="AO30" s="1189"/>
      <c r="AP30" s="1189"/>
      <c r="AQ30" s="1189"/>
      <c r="AR30" s="1189"/>
      <c r="AS30" s="1189"/>
      <c r="AT30" s="1189"/>
      <c r="AU30" s="1189"/>
      <c r="AV30" s="1189"/>
      <c r="AW30" s="1211"/>
      <c r="AX30" s="1189"/>
    </row>
    <row r="31" spans="1:50" ht="12.6">
      <c r="A31" s="1123"/>
      <c r="B31" s="129" t="s">
        <v>887</v>
      </c>
      <c r="C31" s="129"/>
      <c r="D31" s="142" t="s">
        <v>802</v>
      </c>
      <c r="E31" s="241">
        <f>100%-E24</f>
        <v>0.875</v>
      </c>
      <c r="F31" s="1558">
        <f>F22*E31</f>
        <v>3180193.5001408872</v>
      </c>
      <c r="G31" s="1559"/>
      <c r="H31" s="1559"/>
      <c r="I31" s="1560"/>
      <c r="J31" s="100"/>
      <c r="K31" s="1527">
        <f t="shared" si="1"/>
        <v>0</v>
      </c>
      <c r="L31" s="1527"/>
      <c r="M31" s="1207" t="str">
        <f t="shared" si="2"/>
        <v/>
      </c>
      <c r="N31" s="1605">
        <f>IF(E29&gt;13,F29,0)</f>
        <v>0</v>
      </c>
      <c r="O31" s="1605"/>
      <c r="P31" s="1525"/>
      <c r="Q31" s="1526"/>
      <c r="R31" s="1189"/>
      <c r="S31" s="1189"/>
      <c r="T31" s="1552" t="s">
        <v>889</v>
      </c>
      <c r="U31" s="1552"/>
      <c r="V31" s="1189"/>
      <c r="W31" s="1207" t="e">
        <f t="shared" si="3"/>
        <v>#VALUE!</v>
      </c>
      <c r="X31" s="1189"/>
      <c r="Y31" s="1189"/>
      <c r="Z31" s="1189"/>
      <c r="AA31" s="1189"/>
      <c r="AB31" s="1189"/>
      <c r="AC31" s="1189"/>
      <c r="AD31" s="1189"/>
      <c r="AE31" s="1189"/>
      <c r="AF31" s="1189"/>
      <c r="AG31" s="1189"/>
      <c r="AH31" s="1189"/>
      <c r="AI31" s="1189"/>
      <c r="AJ31" s="1210"/>
      <c r="AK31" s="1189"/>
      <c r="AL31" s="1189"/>
      <c r="AM31" s="1189"/>
      <c r="AN31" s="1189"/>
      <c r="AO31" s="1189"/>
      <c r="AP31" s="1189"/>
      <c r="AQ31" s="1189"/>
      <c r="AR31" s="1189"/>
      <c r="AS31" s="1189"/>
      <c r="AT31" s="1189"/>
      <c r="AU31" s="1189"/>
      <c r="AV31" s="1189"/>
      <c r="AW31" s="1211"/>
      <c r="AX31" s="1189"/>
    </row>
    <row r="32" spans="1:50" ht="12.6">
      <c r="A32" s="1123"/>
      <c r="B32" s="1123"/>
      <c r="C32" s="178"/>
      <c r="D32" s="243"/>
      <c r="E32" s="243"/>
      <c r="F32" s="243"/>
      <c r="G32" s="244"/>
      <c r="H32" s="244"/>
      <c r="I32" s="244"/>
      <c r="J32" s="179"/>
      <c r="K32" s="1527">
        <f t="shared" si="1"/>
        <v>0</v>
      </c>
      <c r="L32" s="1527"/>
      <c r="M32" s="1207" t="str">
        <f t="shared" si="2"/>
        <v/>
      </c>
      <c r="N32" s="1605">
        <f>IF(E29&gt;14,F29,0)</f>
        <v>0</v>
      </c>
      <c r="O32" s="1605"/>
      <c r="P32" s="1525"/>
      <c r="Q32" s="1526"/>
      <c r="R32" s="1189"/>
      <c r="S32" s="1189"/>
      <c r="T32" s="1552" t="s">
        <v>891</v>
      </c>
      <c r="U32" s="1552"/>
      <c r="V32" s="1189"/>
      <c r="W32" s="1207" t="e">
        <f t="shared" si="3"/>
        <v>#VALUE!</v>
      </c>
      <c r="X32" s="1189"/>
      <c r="Y32" s="1189"/>
      <c r="Z32" s="1189"/>
      <c r="AA32" s="1189"/>
      <c r="AB32" s="1189"/>
      <c r="AC32" s="1189"/>
      <c r="AD32" s="1189"/>
      <c r="AE32" s="1189"/>
      <c r="AF32" s="1189"/>
      <c r="AG32" s="1189"/>
      <c r="AH32" s="1189"/>
      <c r="AI32" s="1189"/>
      <c r="AJ32" s="1210"/>
      <c r="AK32" s="1189"/>
      <c r="AL32" s="1189"/>
      <c r="AM32" s="1189"/>
      <c r="AN32" s="1189"/>
      <c r="AO32" s="1189"/>
      <c r="AP32" s="1189"/>
      <c r="AQ32" s="1189"/>
      <c r="AR32" s="1189"/>
      <c r="AS32" s="1189"/>
      <c r="AT32" s="1189"/>
      <c r="AU32" s="1189"/>
      <c r="AV32" s="1189"/>
      <c r="AW32" s="1211"/>
      <c r="AX32" s="1189"/>
    </row>
    <row r="33" spans="1:50" ht="12.6">
      <c r="A33" s="1123"/>
      <c r="B33" s="101" t="s">
        <v>890</v>
      </c>
      <c r="C33" s="238"/>
      <c r="D33" s="245"/>
      <c r="E33" s="1219"/>
      <c r="F33" s="243"/>
      <c r="G33" s="244"/>
      <c r="H33" s="244"/>
      <c r="I33" s="244"/>
      <c r="J33" s="142"/>
      <c r="K33" s="1527">
        <f t="shared" si="1"/>
        <v>0</v>
      </c>
      <c r="L33" s="1527"/>
      <c r="M33" s="1207" t="str">
        <f t="shared" si="2"/>
        <v/>
      </c>
      <c r="N33" s="1605">
        <f>IF($E$29&gt;15,$F$29,0)</f>
        <v>0</v>
      </c>
      <c r="O33" s="1605"/>
      <c r="P33" s="1525"/>
      <c r="Q33" s="1526"/>
      <c r="R33" s="1189"/>
      <c r="S33" s="1189"/>
      <c r="T33" s="1552" t="s">
        <v>892</v>
      </c>
      <c r="U33" s="1552"/>
      <c r="V33" s="1189"/>
      <c r="W33" s="1207" t="e">
        <f t="shared" si="3"/>
        <v>#VALUE!</v>
      </c>
      <c r="X33" s="1189"/>
      <c r="Y33" s="1189"/>
      <c r="Z33" s="1189"/>
      <c r="AA33" s="1189"/>
      <c r="AB33" s="1189"/>
      <c r="AC33" s="1189"/>
      <c r="AD33" s="1189"/>
      <c r="AE33" s="1189"/>
      <c r="AF33" s="1189"/>
      <c r="AG33" s="1189"/>
      <c r="AH33" s="1189"/>
      <c r="AI33" s="1189"/>
      <c r="AJ33" s="1210"/>
      <c r="AK33" s="1189"/>
      <c r="AL33" s="1189"/>
      <c r="AM33" s="1189"/>
      <c r="AN33" s="1189"/>
      <c r="AO33" s="1189"/>
      <c r="AP33" s="1189"/>
      <c r="AQ33" s="1189"/>
      <c r="AR33" s="1189"/>
      <c r="AS33" s="1189"/>
      <c r="AT33" s="1189"/>
      <c r="AU33" s="1189"/>
      <c r="AV33" s="1189"/>
      <c r="AW33" s="1211"/>
      <c r="AX33" s="1189"/>
    </row>
    <row r="34" spans="1:50" ht="12.6">
      <c r="A34" s="1123"/>
      <c r="B34" s="1123"/>
      <c r="C34" s="178"/>
      <c r="D34" s="178"/>
      <c r="E34" s="1220"/>
      <c r="F34" s="1125"/>
      <c r="G34" s="1125"/>
      <c r="H34" s="1125"/>
      <c r="I34" s="1125"/>
      <c r="J34" s="178"/>
      <c r="K34" s="1527">
        <f t="shared" ref="K34:K38" si="4">IF(N34&gt;1,T34,0)</f>
        <v>0</v>
      </c>
      <c r="L34" s="1527"/>
      <c r="M34" s="1207" t="str">
        <f t="shared" si="2"/>
        <v/>
      </c>
      <c r="N34" s="1605">
        <f>IF($E$29&gt;16,$F$29,0)</f>
        <v>0</v>
      </c>
      <c r="O34" s="1605"/>
      <c r="P34" s="1525"/>
      <c r="Q34" s="1526"/>
      <c r="R34" s="1189"/>
      <c r="S34" s="1189"/>
      <c r="T34" s="1552" t="s">
        <v>895</v>
      </c>
      <c r="U34" s="1552"/>
      <c r="V34" s="1189"/>
      <c r="W34" s="1207" t="e">
        <f t="shared" si="3"/>
        <v>#VALUE!</v>
      </c>
      <c r="X34" s="1189"/>
      <c r="Y34" s="1189"/>
      <c r="Z34" s="1189"/>
      <c r="AA34" s="1189"/>
      <c r="AB34" s="1189"/>
      <c r="AC34" s="1189"/>
      <c r="AD34" s="1189"/>
      <c r="AE34" s="1189"/>
      <c r="AF34" s="1189"/>
      <c r="AG34" s="1189"/>
      <c r="AH34" s="1189"/>
      <c r="AI34" s="1189"/>
      <c r="AJ34" s="1210"/>
      <c r="AK34" s="1189"/>
      <c r="AL34" s="1189"/>
      <c r="AM34" s="1189"/>
      <c r="AN34" s="1189"/>
      <c r="AO34" s="1189"/>
      <c r="AP34" s="1189"/>
      <c r="AQ34" s="1189"/>
      <c r="AR34" s="1189"/>
      <c r="AS34" s="1189"/>
      <c r="AT34" s="1189"/>
      <c r="AU34" s="1189"/>
      <c r="AV34" s="1189"/>
      <c r="AW34" s="1211"/>
      <c r="AX34" s="1189"/>
    </row>
    <row r="35" spans="1:50" ht="12.6">
      <c r="A35" s="1123"/>
      <c r="B35" s="208" t="s">
        <v>56</v>
      </c>
      <c r="C35" s="208" t="s">
        <v>57</v>
      </c>
      <c r="D35" s="208" t="s">
        <v>58</v>
      </c>
      <c r="E35" s="208" t="s">
        <v>893</v>
      </c>
      <c r="F35" s="1549" t="s">
        <v>894</v>
      </c>
      <c r="G35" s="1549"/>
      <c r="H35" s="1549"/>
      <c r="I35" s="1549"/>
      <c r="J35" s="100"/>
      <c r="K35" s="1527">
        <f t="shared" si="4"/>
        <v>0</v>
      </c>
      <c r="L35" s="1527"/>
      <c r="M35" s="1207" t="str">
        <f t="shared" si="2"/>
        <v/>
      </c>
      <c r="N35" s="1605">
        <f>IF($E$29&gt;17,$F$29,0)</f>
        <v>0</v>
      </c>
      <c r="O35" s="1605"/>
      <c r="P35" s="1525"/>
      <c r="Q35" s="1526"/>
      <c r="R35" s="1189"/>
      <c r="S35" s="1189"/>
      <c r="T35" s="1552" t="s">
        <v>896</v>
      </c>
      <c r="U35" s="1552"/>
      <c r="V35" s="1189"/>
      <c r="W35" s="1207" t="e">
        <f t="shared" si="3"/>
        <v>#VALUE!</v>
      </c>
      <c r="X35" s="1189"/>
      <c r="Y35" s="1189"/>
      <c r="Z35" s="1189"/>
      <c r="AA35" s="1189"/>
      <c r="AB35" s="1189"/>
      <c r="AC35" s="1189"/>
      <c r="AD35" s="1189"/>
      <c r="AE35" s="1189"/>
      <c r="AF35" s="1189"/>
      <c r="AG35" s="1189"/>
      <c r="AH35" s="1189"/>
      <c r="AI35" s="1189"/>
      <c r="AJ35" s="1210"/>
      <c r="AK35" s="1189"/>
      <c r="AL35" s="1189"/>
      <c r="AM35" s="1189"/>
      <c r="AN35" s="1189"/>
      <c r="AO35" s="1189"/>
      <c r="AP35" s="1189"/>
      <c r="AQ35" s="1189"/>
      <c r="AR35" s="1189"/>
      <c r="AS35" s="1189"/>
      <c r="AT35" s="1189"/>
      <c r="AU35" s="1189"/>
      <c r="AV35" s="1189"/>
      <c r="AW35" s="1211"/>
      <c r="AX35" s="1189"/>
    </row>
    <row r="36" spans="1:50" ht="12.6">
      <c r="A36" s="1123"/>
      <c r="B36" s="246">
        <v>5</v>
      </c>
      <c r="C36" s="247">
        <f>'STANDARD_NON RFO UNITS'!C35</f>
        <v>7.0000000000000007E-2</v>
      </c>
      <c r="D36" s="248">
        <f>PMT(C36/12,B36*12,-1)</f>
        <v>1.9801198540349535E-2</v>
      </c>
      <c r="E36" s="1127">
        <f>F31*D36</f>
        <v>62971.642893018812</v>
      </c>
      <c r="F36" s="1551">
        <f>E36/0.33</f>
        <v>190823.16028187517</v>
      </c>
      <c r="G36" s="1551"/>
      <c r="H36" s="1551"/>
      <c r="I36" s="1551"/>
      <c r="J36" s="100"/>
      <c r="K36" s="1527">
        <f t="shared" si="4"/>
        <v>0</v>
      </c>
      <c r="L36" s="1527"/>
      <c r="M36" s="1207" t="str">
        <f t="shared" si="2"/>
        <v/>
      </c>
      <c r="N36" s="1605">
        <f>IF($E$29&gt;18,$F$29,0)</f>
        <v>0</v>
      </c>
      <c r="O36" s="1605"/>
      <c r="P36" s="1525"/>
      <c r="Q36" s="1526"/>
      <c r="R36" s="1189"/>
      <c r="S36" s="1189"/>
      <c r="T36" s="1552" t="s">
        <v>897</v>
      </c>
      <c r="U36" s="1552"/>
      <c r="V36" s="1189"/>
      <c r="W36" s="1207" t="e">
        <f t="shared" si="3"/>
        <v>#VALUE!</v>
      </c>
      <c r="X36" s="1189"/>
      <c r="Y36" s="1189"/>
      <c r="Z36" s="1189"/>
      <c r="AA36" s="1189"/>
      <c r="AB36" s="1189"/>
      <c r="AC36" s="1189"/>
      <c r="AD36" s="1189"/>
      <c r="AE36" s="1189"/>
      <c r="AF36" s="1189"/>
      <c r="AG36" s="1189"/>
      <c r="AH36" s="1189"/>
      <c r="AI36" s="1189"/>
      <c r="AJ36" s="1210"/>
      <c r="AK36" s="1189"/>
      <c r="AL36" s="1189"/>
      <c r="AM36" s="1189"/>
      <c r="AN36" s="1189"/>
      <c r="AO36" s="1189"/>
      <c r="AP36" s="1189"/>
      <c r="AQ36" s="1189"/>
      <c r="AR36" s="1189"/>
      <c r="AS36" s="1189"/>
      <c r="AT36" s="1189"/>
      <c r="AU36" s="1189"/>
      <c r="AV36" s="1189"/>
      <c r="AW36" s="1211"/>
      <c r="AX36" s="1189"/>
    </row>
    <row r="37" spans="1:50" ht="12.6">
      <c r="A37" s="1123"/>
      <c r="B37" s="246">
        <v>10</v>
      </c>
      <c r="C37" s="247">
        <f>'STANDARD_NON RFO UNITS'!C36</f>
        <v>7.0000000000000007E-2</v>
      </c>
      <c r="D37" s="248">
        <f>PMT(C37/12,B37*12,-1)</f>
        <v>1.1610847921862406E-2</v>
      </c>
      <c r="E37" s="1127">
        <f>F31*D37</f>
        <v>36924.743092231154</v>
      </c>
      <c r="F37" s="1551">
        <f>E37/0.33</f>
        <v>111893.16088554895</v>
      </c>
      <c r="G37" s="1551"/>
      <c r="H37" s="1551"/>
      <c r="I37" s="1551"/>
      <c r="J37" s="100"/>
      <c r="K37" s="1527">
        <f t="shared" si="4"/>
        <v>0</v>
      </c>
      <c r="L37" s="1527"/>
      <c r="M37" s="1207" t="str">
        <f t="shared" si="2"/>
        <v/>
      </c>
      <c r="N37" s="1605">
        <f>IF($E$29&gt;19,$F$29,0)</f>
        <v>0</v>
      </c>
      <c r="O37" s="1605"/>
      <c r="P37" s="1525"/>
      <c r="Q37" s="1526"/>
      <c r="R37" s="1189"/>
      <c r="S37" s="1189"/>
      <c r="T37" s="1552" t="s">
        <v>898</v>
      </c>
      <c r="U37" s="1552"/>
      <c r="V37" s="1189"/>
      <c r="W37" s="1207" t="e">
        <f t="shared" si="3"/>
        <v>#VALUE!</v>
      </c>
      <c r="X37" s="1189"/>
      <c r="Y37" s="1189"/>
      <c r="Z37" s="1189"/>
      <c r="AA37" s="1189"/>
      <c r="AB37" s="1189"/>
      <c r="AC37" s="1189"/>
      <c r="AD37" s="1189"/>
      <c r="AE37" s="1189"/>
      <c r="AF37" s="1189"/>
      <c r="AG37" s="1189"/>
      <c r="AH37" s="1189"/>
      <c r="AI37" s="1189"/>
      <c r="AJ37" s="1210"/>
      <c r="AK37" s="1189"/>
      <c r="AL37" s="1189"/>
      <c r="AM37" s="1189"/>
      <c r="AN37" s="1189"/>
      <c r="AO37" s="1189"/>
      <c r="AP37" s="1189"/>
      <c r="AQ37" s="1189"/>
      <c r="AR37" s="1189"/>
      <c r="AS37" s="1189"/>
      <c r="AT37" s="1189"/>
      <c r="AU37" s="1189"/>
      <c r="AV37" s="1189"/>
      <c r="AW37" s="1211"/>
      <c r="AX37" s="1189"/>
    </row>
    <row r="38" spans="1:50" ht="12.6">
      <c r="A38" s="1123"/>
      <c r="B38" s="246">
        <v>15</v>
      </c>
      <c r="C38" s="247">
        <f>'STANDARD_NON RFO UNITS'!C37</f>
        <v>7.0000000000000007E-2</v>
      </c>
      <c r="D38" s="248">
        <f t="shared" ref="D38:D39" si="5">PMT(C38/12,B38*12,-1)</f>
        <v>8.988282708524269E-3</v>
      </c>
      <c r="E38" s="1127">
        <f>F31*D38</f>
        <v>28584.478247077608</v>
      </c>
      <c r="F38" s="1551">
        <f>E38/0.33</f>
        <v>86619.63105175033</v>
      </c>
      <c r="G38" s="1551"/>
      <c r="H38" s="1551"/>
      <c r="I38" s="1551"/>
      <c r="J38" s="100"/>
      <c r="K38" s="1527">
        <f t="shared" si="4"/>
        <v>0</v>
      </c>
      <c r="L38" s="1527"/>
      <c r="M38" s="1207" t="str">
        <f t="shared" si="2"/>
        <v/>
      </c>
      <c r="N38" s="1605">
        <f>IF($E$29&gt;20,$F$29,0)</f>
        <v>0</v>
      </c>
      <c r="O38" s="1605"/>
      <c r="P38" s="1525"/>
      <c r="Q38" s="1526"/>
      <c r="R38" s="1189"/>
      <c r="S38" s="1189"/>
      <c r="T38" s="1552" t="s">
        <v>899</v>
      </c>
      <c r="U38" s="1552"/>
      <c r="V38" s="1189"/>
      <c r="W38" s="1207" t="e">
        <f t="shared" si="3"/>
        <v>#VALUE!</v>
      </c>
      <c r="X38" s="1189"/>
      <c r="Y38" s="1189"/>
      <c r="Z38" s="1189"/>
      <c r="AA38" s="1189"/>
      <c r="AB38" s="1189"/>
      <c r="AC38" s="1189"/>
      <c r="AD38" s="1189"/>
      <c r="AE38" s="1189"/>
      <c r="AF38" s="1189"/>
      <c r="AG38" s="1189"/>
      <c r="AH38" s="1189"/>
      <c r="AI38" s="1189"/>
      <c r="AJ38" s="1210"/>
      <c r="AK38" s="1189"/>
      <c r="AL38" s="1189"/>
      <c r="AM38" s="1189"/>
      <c r="AN38" s="1189"/>
      <c r="AO38" s="1189"/>
      <c r="AP38" s="1189"/>
      <c r="AQ38" s="1189"/>
      <c r="AR38" s="1189"/>
      <c r="AS38" s="1189"/>
      <c r="AT38" s="1189"/>
      <c r="AU38" s="1189"/>
      <c r="AV38" s="1189"/>
      <c r="AW38" s="1211"/>
      <c r="AX38" s="1189"/>
    </row>
    <row r="39" spans="1:50" ht="12.6">
      <c r="A39" s="1123"/>
      <c r="B39" s="246">
        <v>20</v>
      </c>
      <c r="C39" s="247">
        <f>'STANDARD_NON RFO UNITS'!C38</f>
        <v>7.0000000000000007E-2</v>
      </c>
      <c r="D39" s="248">
        <f t="shared" si="5"/>
        <v>7.7529893561887461E-3</v>
      </c>
      <c r="E39" s="1127">
        <f>F31*D39</f>
        <v>24656.006357212933</v>
      </c>
      <c r="F39" s="1551">
        <f>E39/0.33</f>
        <v>74715.170779433131</v>
      </c>
      <c r="G39" s="1551"/>
      <c r="H39" s="1551"/>
      <c r="I39" s="1551"/>
      <c r="J39" s="100"/>
      <c r="K39" s="1527">
        <f t="shared" ref="K39:K43" si="6">IF(N39&gt;1,T39,0)</f>
        <v>0</v>
      </c>
      <c r="L39" s="1527"/>
      <c r="M39" s="1207" t="str">
        <f t="shared" si="2"/>
        <v/>
      </c>
      <c r="N39" s="1605">
        <f>IF(E29&gt;21,F29,0)</f>
        <v>0</v>
      </c>
      <c r="O39" s="1605"/>
      <c r="P39" s="1525"/>
      <c r="Q39" s="1526"/>
      <c r="R39" s="1189"/>
      <c r="S39" s="1189"/>
      <c r="T39" s="1552" t="s">
        <v>901</v>
      </c>
      <c r="U39" s="1552"/>
      <c r="V39" s="1189"/>
      <c r="W39" s="1207" t="e">
        <f t="shared" si="3"/>
        <v>#VALUE!</v>
      </c>
      <c r="X39" s="1189"/>
      <c r="Y39" s="1189"/>
      <c r="Z39" s="1189"/>
      <c r="AA39" s="1189"/>
      <c r="AB39" s="1189"/>
      <c r="AC39" s="1189"/>
      <c r="AD39" s="1189"/>
      <c r="AE39" s="1189"/>
      <c r="AF39" s="1189"/>
      <c r="AG39" s="1189"/>
      <c r="AH39" s="1189"/>
      <c r="AI39" s="1189"/>
      <c r="AJ39" s="1210"/>
      <c r="AK39" s="1189"/>
      <c r="AL39" s="1189"/>
      <c r="AM39" s="1189"/>
      <c r="AN39" s="1189"/>
      <c r="AO39" s="1189"/>
      <c r="AP39" s="1189"/>
      <c r="AQ39" s="1189"/>
      <c r="AR39" s="1189"/>
      <c r="AS39" s="1189"/>
      <c r="AT39" s="1189"/>
      <c r="AU39" s="1189"/>
      <c r="AV39" s="1189"/>
      <c r="AW39" s="1211"/>
      <c r="AX39" s="1189"/>
    </row>
    <row r="40" spans="1:50" ht="12.6">
      <c r="A40" s="1123"/>
      <c r="B40" s="161" t="str">
        <f>'STANDARD_NON RFO UNITS'!B39</f>
        <v>Fixed for three (3) years</v>
      </c>
      <c r="C40" s="172"/>
      <c r="D40" s="173"/>
      <c r="E40" s="1221"/>
      <c r="F40" s="1576"/>
      <c r="G40" s="1576"/>
      <c r="H40" s="1222"/>
      <c r="I40" s="1123"/>
      <c r="J40" s="100"/>
      <c r="K40" s="1527">
        <f t="shared" si="6"/>
        <v>0</v>
      </c>
      <c r="L40" s="1527"/>
      <c r="M40" s="1207" t="str">
        <f t="shared" si="2"/>
        <v/>
      </c>
      <c r="N40" s="1605">
        <f>IF(E29&gt;22,F29,0)</f>
        <v>0</v>
      </c>
      <c r="O40" s="1605"/>
      <c r="P40" s="1525"/>
      <c r="Q40" s="1526"/>
      <c r="R40" s="1189"/>
      <c r="S40" s="1189"/>
      <c r="T40" s="1552" t="s">
        <v>903</v>
      </c>
      <c r="U40" s="1552"/>
      <c r="V40" s="1189"/>
      <c r="W40" s="1207" t="e">
        <f t="shared" si="3"/>
        <v>#VALUE!</v>
      </c>
      <c r="X40" s="1189"/>
      <c r="Y40" s="1189"/>
      <c r="Z40" s="1189"/>
      <c r="AA40" s="1189"/>
      <c r="AB40" s="1189"/>
      <c r="AC40" s="1189"/>
      <c r="AD40" s="1189"/>
      <c r="AE40" s="1189"/>
      <c r="AF40" s="1189"/>
      <c r="AG40" s="1189"/>
      <c r="AH40" s="1189"/>
      <c r="AI40" s="1189"/>
      <c r="AJ40" s="1210"/>
      <c r="AK40" s="1189"/>
      <c r="AL40" s="1189"/>
      <c r="AM40" s="1189"/>
      <c r="AN40" s="1223">
        <v>3128865.99</v>
      </c>
      <c r="AO40" s="1189"/>
      <c r="AP40" s="1189"/>
      <c r="AQ40" s="1189"/>
      <c r="AR40" s="1189"/>
      <c r="AS40" s="1189"/>
      <c r="AT40" s="1189"/>
      <c r="AU40" s="1189"/>
      <c r="AV40" s="1189"/>
      <c r="AW40" s="1211"/>
      <c r="AX40" s="1189"/>
    </row>
    <row r="41" spans="1:50" ht="12.6">
      <c r="A41" s="1123"/>
      <c r="B41" s="161" t="str">
        <f>'STANDARD_NON RFO UNITS'!B40</f>
        <v>Sample Computation for Interest rate is at 7% fixed for three (3) years only</v>
      </c>
      <c r="C41" s="249"/>
      <c r="D41" s="705"/>
      <c r="E41" s="1123"/>
      <c r="F41" s="1123"/>
      <c r="G41" s="1123"/>
      <c r="H41" s="1123"/>
      <c r="I41" s="1123"/>
      <c r="J41" s="100"/>
      <c r="K41" s="1527">
        <f t="shared" si="6"/>
        <v>0</v>
      </c>
      <c r="L41" s="1527"/>
      <c r="M41" s="1207" t="str">
        <f t="shared" si="2"/>
        <v/>
      </c>
      <c r="N41" s="1605">
        <f>IF(E29&gt;24,F29,0)</f>
        <v>0</v>
      </c>
      <c r="O41" s="1605"/>
      <c r="P41" s="1525"/>
      <c r="Q41" s="1526"/>
      <c r="R41" s="1189"/>
      <c r="S41" s="1189"/>
      <c r="T41" s="1552" t="s">
        <v>905</v>
      </c>
      <c r="U41" s="1552"/>
      <c r="V41" s="1189"/>
      <c r="W41" s="1207" t="e">
        <f t="shared" si="3"/>
        <v>#VALUE!</v>
      </c>
      <c r="X41" s="1189"/>
      <c r="Y41" s="1189"/>
      <c r="Z41" s="1189"/>
      <c r="AA41" s="1189"/>
      <c r="AB41" s="1189"/>
      <c r="AC41" s="1189"/>
      <c r="AD41" s="1189"/>
      <c r="AE41" s="1189"/>
      <c r="AF41" s="1189"/>
      <c r="AG41" s="1189"/>
      <c r="AH41" s="1189"/>
      <c r="AI41" s="1189"/>
      <c r="AJ41" s="1210"/>
      <c r="AK41" s="1189"/>
      <c r="AL41" s="1189"/>
      <c r="AM41" s="1189"/>
      <c r="AN41" s="1189"/>
      <c r="AO41" s="1189"/>
      <c r="AP41" s="1189"/>
      <c r="AQ41" s="1189"/>
      <c r="AR41" s="1189"/>
      <c r="AS41" s="1189"/>
      <c r="AT41" s="1189"/>
      <c r="AU41" s="1189"/>
      <c r="AV41" s="1189"/>
      <c r="AW41" s="1211"/>
      <c r="AX41" s="1189"/>
    </row>
    <row r="42" spans="1:50" ht="12.6">
      <c r="A42" s="1123"/>
      <c r="B42" s="482" t="s">
        <v>904</v>
      </c>
      <c r="C42" s="1123"/>
      <c r="D42" s="705"/>
      <c r="E42" s="1123"/>
      <c r="F42" s="1123"/>
      <c r="G42" s="1123"/>
      <c r="H42" s="1123"/>
      <c r="I42" s="1123"/>
      <c r="J42" s="142"/>
      <c r="K42" s="1527">
        <f t="shared" si="6"/>
        <v>0</v>
      </c>
      <c r="L42" s="1527"/>
      <c r="M42" s="1207" t="str">
        <f t="shared" si="2"/>
        <v/>
      </c>
      <c r="N42" s="1605">
        <f>IF(E29&gt;24,F29,0)</f>
        <v>0</v>
      </c>
      <c r="O42" s="1605"/>
      <c r="P42" s="1525"/>
      <c r="Q42" s="1526"/>
      <c r="R42" s="1189"/>
      <c r="S42" s="1189"/>
      <c r="T42" s="1552" t="s">
        <v>907</v>
      </c>
      <c r="U42" s="1552"/>
      <c r="V42" s="1189"/>
      <c r="W42" s="1207" t="e">
        <f t="shared" si="3"/>
        <v>#VALUE!</v>
      </c>
      <c r="X42" s="1189"/>
      <c r="Y42" s="1189"/>
      <c r="Z42" s="1189"/>
      <c r="AA42" s="1189"/>
      <c r="AB42" s="1189"/>
      <c r="AC42" s="1189"/>
      <c r="AD42" s="1189"/>
      <c r="AE42" s="1189"/>
      <c r="AF42" s="1189"/>
      <c r="AG42" s="1189"/>
      <c r="AH42" s="1189"/>
      <c r="AI42" s="1189"/>
      <c r="AJ42" s="1210"/>
      <c r="AK42" s="1189"/>
      <c r="AL42" s="1189"/>
      <c r="AM42" s="1189"/>
      <c r="AN42" s="1189"/>
      <c r="AO42" s="1189"/>
      <c r="AP42" s="1189"/>
      <c r="AQ42" s="1189"/>
      <c r="AR42" s="1189"/>
      <c r="AS42" s="1189"/>
      <c r="AT42" s="1189"/>
      <c r="AU42" s="1189"/>
      <c r="AV42" s="1189"/>
      <c r="AW42" s="1211"/>
      <c r="AX42" s="1189"/>
    </row>
    <row r="43" spans="1:50" ht="12.6">
      <c r="A43" s="1123"/>
      <c r="B43" s="482" t="s">
        <v>906</v>
      </c>
      <c r="C43" s="249"/>
      <c r="D43" s="705"/>
      <c r="E43" s="1123"/>
      <c r="F43" s="1123"/>
      <c r="G43" s="1123"/>
      <c r="H43" s="1123"/>
      <c r="I43" s="1123"/>
      <c r="J43" s="705"/>
      <c r="K43" s="1527">
        <f t="shared" si="6"/>
        <v>0</v>
      </c>
      <c r="L43" s="1527"/>
      <c r="M43" s="1207" t="str">
        <f t="shared" si="2"/>
        <v/>
      </c>
      <c r="N43" s="1605">
        <f>IF(E29&gt;25,F29,0)</f>
        <v>0</v>
      </c>
      <c r="O43" s="1605"/>
      <c r="P43" s="1525"/>
      <c r="Q43" s="1526"/>
      <c r="R43" s="1189"/>
      <c r="S43" s="1189"/>
      <c r="T43" s="1552" t="s">
        <v>908</v>
      </c>
      <c r="U43" s="1552"/>
      <c r="V43" s="1189"/>
      <c r="W43" s="1207" t="e">
        <f t="shared" si="3"/>
        <v>#VALUE!</v>
      </c>
      <c r="X43" s="1189"/>
      <c r="Y43" s="1189"/>
      <c r="Z43" s="1189"/>
      <c r="AA43" s="1189"/>
      <c r="AB43" s="1189"/>
      <c r="AC43" s="1189"/>
      <c r="AD43" s="1189"/>
      <c r="AE43" s="1189"/>
      <c r="AF43" s="1189"/>
      <c r="AG43" s="1189"/>
      <c r="AH43" s="1189"/>
      <c r="AI43" s="1189"/>
      <c r="AJ43" s="1210"/>
      <c r="AK43" s="1189"/>
      <c r="AL43" s="1189"/>
      <c r="AM43" s="1189"/>
      <c r="AN43" s="1189"/>
      <c r="AO43" s="1189"/>
      <c r="AP43" s="1189"/>
      <c r="AQ43" s="1189"/>
      <c r="AR43" s="1189"/>
      <c r="AS43" s="1189"/>
      <c r="AT43" s="1189"/>
      <c r="AU43" s="1189"/>
      <c r="AV43" s="1189"/>
      <c r="AW43" s="1211"/>
      <c r="AX43" s="1189"/>
    </row>
    <row r="44" spans="1:50" ht="12.6">
      <c r="A44" s="1123"/>
      <c r="B44" s="311"/>
      <c r="C44" s="310"/>
      <c r="D44" s="434"/>
      <c r="E44" s="22"/>
      <c r="F44" s="22"/>
      <c r="G44" s="22"/>
      <c r="H44" s="22"/>
      <c r="I44" s="22"/>
      <c r="J44" s="705"/>
      <c r="K44" s="1527">
        <f t="shared" si="1"/>
        <v>0</v>
      </c>
      <c r="L44" s="1527"/>
      <c r="M44" s="1207" t="str">
        <f t="shared" si="2"/>
        <v/>
      </c>
      <c r="N44" s="1605">
        <f>IF(E29&gt;26,F29,0)</f>
        <v>0</v>
      </c>
      <c r="O44" s="1605"/>
      <c r="P44" s="1525"/>
      <c r="Q44" s="1526"/>
      <c r="R44" s="1189"/>
      <c r="S44" s="1189"/>
      <c r="T44" s="1552" t="s">
        <v>910</v>
      </c>
      <c r="U44" s="1552"/>
      <c r="V44" s="1189"/>
      <c r="W44" s="1207" t="e">
        <f t="shared" si="3"/>
        <v>#VALUE!</v>
      </c>
      <c r="X44" s="1189"/>
      <c r="Y44" s="1189"/>
      <c r="Z44" s="1189"/>
      <c r="AA44" s="1189"/>
      <c r="AB44" s="1189"/>
      <c r="AC44" s="1189"/>
      <c r="AD44" s="1189"/>
      <c r="AE44" s="1189"/>
      <c r="AF44" s="1189"/>
      <c r="AG44" s="1189"/>
      <c r="AH44" s="1189"/>
      <c r="AI44" s="1189"/>
      <c r="AJ44" s="1210"/>
      <c r="AK44" s="1189"/>
      <c r="AL44" s="1189"/>
      <c r="AM44" s="1189"/>
      <c r="AN44" s="1189"/>
      <c r="AO44" s="1189"/>
      <c r="AP44" s="1189"/>
      <c r="AQ44" s="1189"/>
      <c r="AR44" s="1189"/>
      <c r="AS44" s="1189"/>
      <c r="AT44" s="1189"/>
      <c r="AU44" s="1189"/>
      <c r="AV44" s="1189"/>
      <c r="AW44" s="1211"/>
      <c r="AX44" s="1189"/>
    </row>
    <row r="45" spans="1:50" ht="12.6">
      <c r="A45" s="1123"/>
      <c r="B45" s="101" t="s">
        <v>909</v>
      </c>
      <c r="C45" s="238"/>
      <c r="D45" s="245"/>
      <c r="E45" s="1120"/>
      <c r="F45" s="924"/>
      <c r="G45" s="167"/>
      <c r="H45" s="167"/>
      <c r="I45" s="167"/>
      <c r="J45" s="705"/>
      <c r="K45" s="1527">
        <f t="shared" si="1"/>
        <v>0</v>
      </c>
      <c r="L45" s="1527"/>
      <c r="M45" s="1207" t="str">
        <f t="shared" si="2"/>
        <v/>
      </c>
      <c r="N45" s="1605">
        <f>IF($E$29&gt;27,$F$29,0)</f>
        <v>0</v>
      </c>
      <c r="O45" s="1605"/>
      <c r="P45" s="1525"/>
      <c r="Q45" s="1526"/>
      <c r="R45" s="1189"/>
      <c r="S45" s="1189"/>
      <c r="T45" s="1552" t="s">
        <v>911</v>
      </c>
      <c r="U45" s="1552"/>
      <c r="V45" s="1189"/>
      <c r="W45" s="1207" t="e">
        <f t="shared" si="3"/>
        <v>#VALUE!</v>
      </c>
      <c r="X45" s="1189"/>
      <c r="Y45" s="1189"/>
      <c r="Z45" s="1189"/>
      <c r="AA45" s="1189"/>
      <c r="AB45" s="1189"/>
      <c r="AC45" s="1189"/>
      <c r="AD45" s="1189"/>
      <c r="AE45" s="1189"/>
      <c r="AF45" s="1189"/>
      <c r="AG45" s="1189"/>
      <c r="AH45" s="1189"/>
      <c r="AI45" s="1189"/>
      <c r="AJ45" s="1210"/>
      <c r="AK45" s="1189"/>
      <c r="AL45" s="1189"/>
      <c r="AM45" s="1189"/>
      <c r="AN45" s="1189"/>
      <c r="AO45" s="1189"/>
      <c r="AP45" s="1189"/>
      <c r="AQ45" s="1189"/>
      <c r="AR45" s="1189"/>
      <c r="AS45" s="1189"/>
      <c r="AT45" s="1189"/>
      <c r="AU45" s="1189"/>
      <c r="AV45" s="1189"/>
      <c r="AW45" s="1211"/>
      <c r="AX45" s="1189"/>
    </row>
    <row r="46" spans="1:50" ht="12.6">
      <c r="A46" s="1123"/>
      <c r="B46" s="175"/>
      <c r="C46" s="245"/>
      <c r="D46" s="245"/>
      <c r="E46" s="1121"/>
      <c r="F46" s="1122"/>
      <c r="G46" s="496"/>
      <c r="H46" s="496"/>
      <c r="I46" s="496"/>
      <c r="J46" s="705"/>
      <c r="K46" s="1527">
        <f t="shared" si="1"/>
        <v>0</v>
      </c>
      <c r="L46" s="1527"/>
      <c r="M46" s="1207" t="str">
        <f t="shared" si="2"/>
        <v/>
      </c>
      <c r="N46" s="1605">
        <f>IF($E$29&gt;28,$F$29,0)</f>
        <v>0</v>
      </c>
      <c r="O46" s="1605"/>
      <c r="P46" s="1525"/>
      <c r="Q46" s="1526"/>
      <c r="R46" s="1189"/>
      <c r="S46" s="1189"/>
      <c r="T46" s="1552" t="s">
        <v>913</v>
      </c>
      <c r="U46" s="1552"/>
      <c r="V46" s="1189"/>
      <c r="W46" s="1207" t="e">
        <f t="shared" si="3"/>
        <v>#VALUE!</v>
      </c>
      <c r="X46" s="1189"/>
      <c r="Y46" s="1189"/>
      <c r="Z46" s="1189"/>
      <c r="AA46" s="1189"/>
      <c r="AB46" s="1189"/>
      <c r="AC46" s="1189"/>
      <c r="AD46" s="1189"/>
      <c r="AE46" s="1189"/>
      <c r="AF46" s="1189"/>
      <c r="AG46" s="1189"/>
      <c r="AH46" s="1189"/>
      <c r="AI46" s="1189"/>
      <c r="AJ46" s="1189"/>
      <c r="AK46" s="1189"/>
      <c r="AL46" s="1189"/>
      <c r="AM46" s="1189"/>
      <c r="AN46" s="1189"/>
      <c r="AO46" s="1189"/>
      <c r="AP46" s="1189"/>
      <c r="AQ46" s="1189"/>
      <c r="AR46" s="1189"/>
      <c r="AS46" s="1189"/>
      <c r="AT46" s="1189"/>
      <c r="AU46" s="1189"/>
      <c r="AV46" s="1189"/>
      <c r="AW46" s="1189"/>
      <c r="AX46" s="1189"/>
    </row>
    <row r="47" spans="1:50" ht="12.6">
      <c r="A47" s="1123"/>
      <c r="B47" s="129" t="s">
        <v>912</v>
      </c>
      <c r="C47" s="129"/>
      <c r="D47" s="142" t="s">
        <v>802</v>
      </c>
      <c r="E47" s="241">
        <f>IF(E10="COMMERCIAL",60%,80%)</f>
        <v>0.8</v>
      </c>
      <c r="F47" s="1558">
        <f>E47*F22</f>
        <v>2907605.4858430973</v>
      </c>
      <c r="G47" s="1559"/>
      <c r="H47" s="1559"/>
      <c r="I47" s="1560"/>
      <c r="J47" s="142"/>
      <c r="K47" s="1527">
        <f t="shared" si="1"/>
        <v>0</v>
      </c>
      <c r="L47" s="1527"/>
      <c r="M47" s="1207" t="str">
        <f t="shared" si="2"/>
        <v/>
      </c>
      <c r="N47" s="1605">
        <f>IF($E$29&gt;29,$F$29,0)</f>
        <v>0</v>
      </c>
      <c r="O47" s="1605"/>
      <c r="P47" s="1525"/>
      <c r="Q47" s="1526"/>
      <c r="R47" s="1189"/>
      <c r="S47" s="1189"/>
      <c r="T47" s="1552" t="s">
        <v>914</v>
      </c>
      <c r="U47" s="1552"/>
      <c r="V47" s="1189"/>
      <c r="W47" s="1207" t="e">
        <f t="shared" si="3"/>
        <v>#VALUE!</v>
      </c>
      <c r="X47" s="1189"/>
      <c r="Y47" s="1189"/>
      <c r="Z47" s="1189"/>
      <c r="AA47" s="1189"/>
      <c r="AB47" s="1189"/>
      <c r="AC47" s="1189"/>
      <c r="AD47" s="1189"/>
      <c r="AE47" s="1189"/>
      <c r="AF47" s="1189"/>
      <c r="AG47" s="1189"/>
      <c r="AH47" s="1189"/>
      <c r="AI47" s="1189"/>
      <c r="AJ47" s="1189"/>
      <c r="AK47" s="1189"/>
      <c r="AL47" s="1189"/>
      <c r="AM47" s="1189"/>
      <c r="AN47" s="1189"/>
      <c r="AO47" s="1189"/>
      <c r="AP47" s="1189"/>
      <c r="AQ47" s="1189"/>
      <c r="AR47" s="1189"/>
      <c r="AS47" s="1189"/>
      <c r="AT47" s="1189"/>
      <c r="AU47" s="1189"/>
      <c r="AV47" s="1189"/>
      <c r="AW47" s="1189"/>
      <c r="AX47" s="1189"/>
    </row>
    <row r="48" spans="1:50" ht="15" customHeight="1">
      <c r="A48" s="1123"/>
      <c r="B48" s="1123"/>
      <c r="C48" s="178"/>
      <c r="D48" s="178"/>
      <c r="E48" s="1124"/>
      <c r="F48" s="1125"/>
      <c r="G48" s="1125"/>
      <c r="H48" s="1125"/>
      <c r="I48" s="1125"/>
      <c r="J48" s="142"/>
      <c r="K48" s="1527">
        <f t="shared" si="1"/>
        <v>0</v>
      </c>
      <c r="L48" s="1527"/>
      <c r="M48" s="1207" t="str">
        <f t="shared" si="2"/>
        <v/>
      </c>
      <c r="N48" s="1605">
        <f>IF($E$29&gt;30,$F$29,0)</f>
        <v>0</v>
      </c>
      <c r="O48" s="1605"/>
      <c r="P48" s="1525"/>
      <c r="Q48" s="1526"/>
      <c r="R48" s="1189"/>
      <c r="S48" s="1189"/>
      <c r="T48" s="1565" t="s">
        <v>915</v>
      </c>
      <c r="U48" s="1565"/>
      <c r="V48" s="1189"/>
      <c r="W48" s="1207" t="e">
        <f t="shared" si="3"/>
        <v>#VALUE!</v>
      </c>
      <c r="X48" s="1189"/>
      <c r="Y48" s="1189"/>
      <c r="Z48" s="1189"/>
      <c r="AA48" s="1189"/>
      <c r="AB48" s="1189"/>
      <c r="AC48" s="1189"/>
      <c r="AD48" s="1189"/>
      <c r="AE48" s="1189"/>
      <c r="AF48" s="1189"/>
      <c r="AG48" s="1189"/>
      <c r="AH48" s="1189"/>
      <c r="AI48" s="1189"/>
      <c r="AJ48" s="1189"/>
      <c r="AK48" s="1189"/>
      <c r="AL48" s="1189"/>
      <c r="AM48" s="1189"/>
      <c r="AN48" s="1189"/>
      <c r="AO48" s="1189"/>
      <c r="AP48" s="1189"/>
      <c r="AQ48" s="1189"/>
      <c r="AR48" s="1189"/>
      <c r="AS48" s="1189"/>
      <c r="AT48" s="1189"/>
      <c r="AU48" s="1189"/>
      <c r="AV48" s="1189"/>
      <c r="AW48" s="1189"/>
      <c r="AX48" s="1189"/>
    </row>
    <row r="49" spans="1:50" ht="12.6">
      <c r="A49" s="1123"/>
      <c r="B49" s="208" t="s">
        <v>56</v>
      </c>
      <c r="C49" s="208" t="s">
        <v>57</v>
      </c>
      <c r="D49" s="208" t="s">
        <v>58</v>
      </c>
      <c r="E49" s="208" t="s">
        <v>893</v>
      </c>
      <c r="F49" s="1549" t="s">
        <v>894</v>
      </c>
      <c r="G49" s="1549"/>
      <c r="H49" s="1549"/>
      <c r="I49" s="1549"/>
      <c r="J49" s="1125"/>
      <c r="K49" s="1527">
        <f t="shared" si="1"/>
        <v>0</v>
      </c>
      <c r="L49" s="1527"/>
      <c r="M49" s="1207" t="str">
        <f t="shared" si="2"/>
        <v/>
      </c>
      <c r="N49" s="1605">
        <f>IF($E$29&gt;31,$F$29,0)</f>
        <v>0</v>
      </c>
      <c r="O49" s="1605"/>
      <c r="P49" s="1525"/>
      <c r="Q49" s="1526"/>
      <c r="R49" s="1189"/>
      <c r="S49" s="1189"/>
      <c r="T49" s="1565" t="s">
        <v>916</v>
      </c>
      <c r="U49" s="1565"/>
      <c r="V49" s="1189"/>
      <c r="W49" s="1207" t="e">
        <f t="shared" si="3"/>
        <v>#VALUE!</v>
      </c>
      <c r="X49" s="1189"/>
      <c r="Y49" s="1189"/>
      <c r="Z49" s="1189"/>
      <c r="AA49" s="1189"/>
      <c r="AB49" s="1189"/>
      <c r="AC49" s="1189"/>
      <c r="AD49" s="1189"/>
      <c r="AE49" s="1189"/>
      <c r="AF49" s="1189"/>
      <c r="AG49" s="1189"/>
      <c r="AH49" s="1189"/>
      <c r="AI49" s="1189"/>
      <c r="AJ49" s="1189"/>
      <c r="AK49" s="1189"/>
      <c r="AL49" s="1189"/>
      <c r="AM49" s="1189"/>
      <c r="AN49" s="1189"/>
      <c r="AO49" s="1189"/>
      <c r="AP49" s="1189"/>
      <c r="AQ49" s="1189"/>
      <c r="AR49" s="1189"/>
      <c r="AS49" s="1189"/>
      <c r="AT49" s="1189"/>
      <c r="AU49" s="1189"/>
      <c r="AV49" s="1189"/>
      <c r="AW49" s="1189"/>
      <c r="AX49" s="1189"/>
    </row>
    <row r="50" spans="1:50" ht="15" customHeight="1">
      <c r="A50" s="1123"/>
      <c r="B50" s="246">
        <v>1</v>
      </c>
      <c r="C50" s="1126">
        <v>0.12</v>
      </c>
      <c r="D50" s="248">
        <f>PMT(C50/12,B50*12,-1)</f>
        <v>8.88487886783417E-2</v>
      </c>
      <c r="E50" s="1127">
        <f>D50*$F$47</f>
        <v>258337.2253716604</v>
      </c>
      <c r="F50" s="1551">
        <f>E50/0.33</f>
        <v>782840.07688381942</v>
      </c>
      <c r="G50" s="1551"/>
      <c r="H50" s="1551"/>
      <c r="I50" s="1551"/>
      <c r="J50" s="1125"/>
      <c r="K50" s="1527">
        <f t="shared" si="1"/>
        <v>0</v>
      </c>
      <c r="L50" s="1527"/>
      <c r="M50" s="1207" t="str">
        <f t="shared" si="2"/>
        <v/>
      </c>
      <c r="N50" s="1605">
        <f>IF($E$29&gt;32,$F$29,0)</f>
        <v>0</v>
      </c>
      <c r="O50" s="1605"/>
      <c r="P50" s="1525"/>
      <c r="Q50" s="1526"/>
      <c r="R50" s="1189"/>
      <c r="S50" s="1189"/>
      <c r="T50" s="1552" t="s">
        <v>917</v>
      </c>
      <c r="U50" s="1552"/>
      <c r="V50" s="1189"/>
      <c r="W50" s="1207" t="e">
        <f t="shared" si="3"/>
        <v>#VALUE!</v>
      </c>
      <c r="X50" s="1189"/>
      <c r="Y50" s="1189"/>
      <c r="Z50" s="1189"/>
      <c r="AA50" s="1189"/>
      <c r="AB50" s="1189"/>
      <c r="AC50" s="1189"/>
      <c r="AD50" s="1189"/>
      <c r="AE50" s="1189"/>
      <c r="AF50" s="1189"/>
      <c r="AG50" s="1189"/>
      <c r="AH50" s="1189"/>
      <c r="AI50" s="1189"/>
      <c r="AJ50" s="1189"/>
      <c r="AK50" s="1189"/>
      <c r="AL50" s="1189"/>
      <c r="AM50" s="1189"/>
      <c r="AN50" s="1189"/>
      <c r="AO50" s="1189"/>
      <c r="AP50" s="1189"/>
      <c r="AQ50" s="1189"/>
      <c r="AR50" s="1189"/>
      <c r="AS50" s="1189"/>
      <c r="AT50" s="1189"/>
      <c r="AU50" s="1189"/>
      <c r="AV50" s="1189"/>
      <c r="AW50" s="1189"/>
      <c r="AX50" s="1189"/>
    </row>
    <row r="51" spans="1:50" ht="12.6">
      <c r="A51" s="1123"/>
      <c r="B51" s="246">
        <v>3</v>
      </c>
      <c r="C51" s="1126">
        <v>0.16</v>
      </c>
      <c r="D51" s="248">
        <f>PMT(C51/12,B51*12,-1)</f>
        <v>3.5157033036350094E-2</v>
      </c>
      <c r="E51" s="1127">
        <f>D51*$F$47</f>
        <v>102222.78212245854</v>
      </c>
      <c r="F51" s="1551">
        <f>E51/0.33</f>
        <v>309766.00643169251</v>
      </c>
      <c r="G51" s="1551"/>
      <c r="H51" s="1551"/>
      <c r="I51" s="1551"/>
      <c r="J51" s="1125"/>
      <c r="K51" s="1527">
        <f t="shared" si="1"/>
        <v>0</v>
      </c>
      <c r="L51" s="1527"/>
      <c r="M51" s="1207" t="str">
        <f t="shared" si="2"/>
        <v/>
      </c>
      <c r="N51" s="1605">
        <f>IF($E$29&gt;33,$F$29,0)</f>
        <v>0</v>
      </c>
      <c r="O51" s="1605"/>
      <c r="P51" s="1525"/>
      <c r="Q51" s="1526"/>
      <c r="R51" s="1189"/>
      <c r="S51" s="1189"/>
      <c r="T51" s="1552" t="s">
        <v>918</v>
      </c>
      <c r="U51" s="1552"/>
      <c r="V51" s="1189"/>
      <c r="W51" s="1207" t="e">
        <f t="shared" si="3"/>
        <v>#VALUE!</v>
      </c>
      <c r="X51" s="1189"/>
      <c r="Y51" s="1189"/>
      <c r="Z51" s="1189"/>
      <c r="AA51" s="1189"/>
      <c r="AB51" s="1189"/>
      <c r="AC51" s="1189"/>
      <c r="AD51" s="1189"/>
      <c r="AE51" s="1189"/>
      <c r="AF51" s="1189"/>
      <c r="AG51" s="1189"/>
      <c r="AH51" s="1189"/>
      <c r="AI51" s="1189"/>
      <c r="AJ51" s="1189"/>
      <c r="AK51" s="1189"/>
      <c r="AL51" s="1189"/>
      <c r="AM51" s="1189"/>
      <c r="AN51" s="1189"/>
      <c r="AO51" s="1189"/>
      <c r="AP51" s="1189"/>
      <c r="AQ51" s="1189"/>
      <c r="AR51" s="1189"/>
      <c r="AS51" s="1189"/>
      <c r="AT51" s="1189"/>
      <c r="AU51" s="1189"/>
      <c r="AV51" s="1189"/>
      <c r="AW51" s="1189"/>
      <c r="AX51" s="1189"/>
    </row>
    <row r="52" spans="1:50" ht="15" customHeight="1">
      <c r="A52" s="1123"/>
      <c r="B52" s="246">
        <v>5</v>
      </c>
      <c r="C52" s="1126">
        <v>0.18</v>
      </c>
      <c r="D52" s="248">
        <f>PMT(C52/12,B52*12,-1)</f>
        <v>2.5393427427109084E-2</v>
      </c>
      <c r="E52" s="1127">
        <f>D52*$F$47</f>
        <v>73834.068891420946</v>
      </c>
      <c r="F52" s="1551">
        <f>E52/0.33</f>
        <v>223739.60270127558</v>
      </c>
      <c r="G52" s="1551"/>
      <c r="H52" s="1551"/>
      <c r="I52" s="1551"/>
      <c r="J52" s="1123"/>
      <c r="K52" s="1527">
        <f t="shared" si="1"/>
        <v>0</v>
      </c>
      <c r="L52" s="1527"/>
      <c r="M52" s="1207" t="str">
        <f t="shared" si="2"/>
        <v/>
      </c>
      <c r="N52" s="1605">
        <f>IF($E$29&gt;34,$F$29,0)</f>
        <v>0</v>
      </c>
      <c r="O52" s="1605"/>
      <c r="P52" s="1525"/>
      <c r="Q52" s="1526"/>
      <c r="R52" s="1189"/>
      <c r="S52" s="1189"/>
      <c r="T52" s="1552" t="s">
        <v>919</v>
      </c>
      <c r="U52" s="1552"/>
      <c r="V52" s="1189"/>
      <c r="W52" s="1207" t="e">
        <f t="shared" si="3"/>
        <v>#VALUE!</v>
      </c>
      <c r="X52" s="1189"/>
      <c r="Y52" s="1189"/>
      <c r="Z52" s="1189"/>
      <c r="AA52" s="1189"/>
      <c r="AB52" s="1189"/>
      <c r="AC52" s="1189"/>
      <c r="AD52" s="1189"/>
      <c r="AE52" s="1189"/>
      <c r="AF52" s="1189"/>
      <c r="AG52" s="1189"/>
      <c r="AH52" s="1189"/>
      <c r="AI52" s="1189"/>
      <c r="AJ52" s="1189"/>
      <c r="AK52" s="1189"/>
      <c r="AL52" s="1189"/>
      <c r="AM52" s="1189"/>
      <c r="AN52" s="1189"/>
      <c r="AO52" s="1189"/>
      <c r="AP52" s="1189"/>
      <c r="AQ52" s="1189"/>
      <c r="AR52" s="1189"/>
      <c r="AS52" s="1189"/>
      <c r="AT52" s="1189"/>
      <c r="AU52" s="1189"/>
      <c r="AV52" s="1189"/>
      <c r="AW52" s="1189"/>
      <c r="AX52" s="1189"/>
    </row>
    <row r="53" spans="1:50" ht="12.6">
      <c r="A53" s="1123"/>
      <c r="B53" s="246">
        <v>10</v>
      </c>
      <c r="C53" s="1126">
        <v>0.2</v>
      </c>
      <c r="D53" s="248">
        <f>PMT(C53/12,B53*12,-1)</f>
        <v>1.9325567219932577E-2</v>
      </c>
      <c r="E53" s="1127">
        <f>D53*$F$47</f>
        <v>56191.125265705501</v>
      </c>
      <c r="F53" s="1551">
        <f>E53/0.33</f>
        <v>170276.13716880453</v>
      </c>
      <c r="G53" s="1551"/>
      <c r="H53" s="1551"/>
      <c r="I53" s="1551"/>
      <c r="J53" s="1123"/>
      <c r="K53" s="1527">
        <f t="shared" si="1"/>
        <v>0</v>
      </c>
      <c r="L53" s="1527"/>
      <c r="M53" s="1207" t="str">
        <f t="shared" si="2"/>
        <v/>
      </c>
      <c r="N53" s="1605">
        <f>IF($E$29&gt;35,$F$29,0)</f>
        <v>0</v>
      </c>
      <c r="O53" s="1605"/>
      <c r="P53" s="1525"/>
      <c r="Q53" s="1526"/>
      <c r="R53" s="1189"/>
      <c r="S53" s="1189"/>
      <c r="T53" s="1552" t="s">
        <v>921</v>
      </c>
      <c r="U53" s="1552"/>
      <c r="V53" s="1189"/>
      <c r="W53" s="1207" t="e">
        <f t="shared" si="3"/>
        <v>#VALUE!</v>
      </c>
      <c r="X53" s="1189"/>
      <c r="Y53" s="1189"/>
      <c r="Z53" s="1189"/>
      <c r="AA53" s="1189"/>
      <c r="AB53" s="1189"/>
      <c r="AC53" s="1189"/>
      <c r="AD53" s="1189"/>
      <c r="AE53" s="1189"/>
      <c r="AF53" s="1189"/>
      <c r="AG53" s="1189"/>
      <c r="AH53" s="1189"/>
      <c r="AI53" s="1189"/>
      <c r="AJ53" s="1189"/>
      <c r="AK53" s="1189"/>
      <c r="AL53" s="1189"/>
      <c r="AM53" s="1189"/>
      <c r="AN53" s="1189"/>
      <c r="AO53" s="1189"/>
      <c r="AP53" s="1189"/>
      <c r="AQ53" s="1189"/>
      <c r="AR53" s="1189"/>
      <c r="AS53" s="1189"/>
      <c r="AT53" s="1189"/>
      <c r="AU53" s="1189"/>
      <c r="AV53" s="1189"/>
      <c r="AW53" s="1189"/>
      <c r="AX53" s="1189"/>
    </row>
    <row r="54" spans="1:50" ht="15" customHeight="1" thickBot="1">
      <c r="A54" s="1123"/>
      <c r="B54" s="1167" t="s">
        <v>920</v>
      </c>
      <c r="C54" s="1128"/>
      <c r="D54" s="1128"/>
      <c r="E54" s="1128"/>
      <c r="F54" s="1128"/>
      <c r="G54" s="1128"/>
      <c r="H54" s="1128"/>
      <c r="I54" s="1128"/>
      <c r="J54" s="1123"/>
      <c r="K54" s="1527">
        <f t="shared" si="1"/>
        <v>0</v>
      </c>
      <c r="L54" s="1527"/>
      <c r="M54" s="1207" t="str">
        <f t="shared" si="2"/>
        <v/>
      </c>
      <c r="N54" s="1605">
        <f>IF($E$29&gt;36,$F$29,0)</f>
        <v>0</v>
      </c>
      <c r="O54" s="1605"/>
      <c r="P54" s="1525"/>
      <c r="Q54" s="1526"/>
      <c r="R54" s="1189"/>
      <c r="S54" s="1189"/>
      <c r="T54" s="1552" t="s">
        <v>922</v>
      </c>
      <c r="U54" s="1552"/>
      <c r="V54" s="1189"/>
      <c r="W54" s="1207" t="e">
        <f>IF(AND(DAY(W53)&gt;=6,DAY(W53)&lt;=20),DATE(YEAR(W53),MONTH(W53)+1,DAY(20)),IF(AND(DAY(W53)&gt;=21,DAY(W53)&lt;=30),DATE(YEAR(W53),MONTH(W53)+1,IF(DAY(EOMONTH(W53,1))&lt;30,DAY(EOMONTH(W53,1)),DAY(30))),DATE(YEAR(W53),MONTH(W53)+1,DAY(5))))</f>
        <v>#VALUE!</v>
      </c>
      <c r="X54" s="1189"/>
      <c r="Y54" s="1189"/>
      <c r="Z54" s="1189"/>
      <c r="AA54" s="1189"/>
      <c r="AB54" s="1189"/>
      <c r="AC54" s="1189"/>
      <c r="AD54" s="1189"/>
      <c r="AE54" s="1189"/>
      <c r="AF54" s="1189"/>
      <c r="AG54" s="1189"/>
      <c r="AH54" s="1189"/>
      <c r="AI54" s="1189"/>
      <c r="AJ54" s="1189"/>
      <c r="AK54" s="1189"/>
      <c r="AL54" s="1189"/>
      <c r="AM54" s="1189"/>
      <c r="AN54" s="1189"/>
      <c r="AO54" s="1189"/>
      <c r="AP54" s="1189"/>
      <c r="AQ54" s="1189"/>
      <c r="AR54" s="1189"/>
      <c r="AS54" s="1189"/>
      <c r="AT54" s="1189"/>
      <c r="AU54" s="1189"/>
      <c r="AV54" s="1189"/>
      <c r="AW54" s="1189"/>
      <c r="AX54" s="1189"/>
    </row>
    <row r="55" spans="1:50" ht="12.6">
      <c r="A55" s="1123"/>
      <c r="B55" s="482"/>
      <c r="C55" s="249"/>
      <c r="D55" s="705"/>
      <c r="E55" s="1123"/>
      <c r="F55" s="1123"/>
      <c r="G55" s="1123"/>
      <c r="H55" s="1123"/>
      <c r="I55" s="1123"/>
      <c r="J55" s="1123"/>
      <c r="K55" s="1527">
        <f t="shared" si="1"/>
        <v>0</v>
      </c>
      <c r="L55" s="1527"/>
      <c r="M55" s="1207" t="str">
        <f t="shared" si="2"/>
        <v/>
      </c>
      <c r="N55" s="1605">
        <f>IF($E$29&gt;37,$F$29,0)</f>
        <v>0</v>
      </c>
      <c r="O55" s="1605"/>
      <c r="P55" s="1525"/>
      <c r="Q55" s="1526"/>
      <c r="R55" s="1189"/>
      <c r="S55" s="1189"/>
      <c r="T55" s="1552" t="s">
        <v>923</v>
      </c>
      <c r="U55" s="1552"/>
      <c r="V55" s="1189"/>
      <c r="W55" s="1207" t="e">
        <f t="shared" si="3"/>
        <v>#VALUE!</v>
      </c>
      <c r="X55" s="1189"/>
      <c r="Y55" s="1189"/>
      <c r="Z55" s="1189"/>
      <c r="AA55" s="1189"/>
      <c r="AB55" s="1189"/>
      <c r="AC55" s="1189"/>
      <c r="AD55" s="1189"/>
      <c r="AE55" s="1189"/>
      <c r="AF55" s="1189"/>
      <c r="AG55" s="1189"/>
      <c r="AH55" s="1189"/>
      <c r="AI55" s="1189"/>
      <c r="AJ55" s="1189"/>
      <c r="AK55" s="1189"/>
      <c r="AL55" s="1189"/>
      <c r="AM55" s="1189"/>
      <c r="AN55" s="1189"/>
      <c r="AO55" s="1189"/>
      <c r="AP55" s="1189"/>
      <c r="AQ55" s="1189"/>
      <c r="AR55" s="1189"/>
      <c r="AS55" s="1189"/>
      <c r="AT55" s="1189"/>
      <c r="AU55" s="1189"/>
      <c r="AV55" s="1189"/>
      <c r="AW55" s="1189"/>
      <c r="AX55" s="1189"/>
    </row>
    <row r="56" spans="1:50" ht="15" customHeight="1">
      <c r="A56" s="1123"/>
      <c r="B56" s="129" t="s">
        <v>924</v>
      </c>
      <c r="C56" s="129"/>
      <c r="D56" s="178"/>
      <c r="E56" s="178"/>
      <c r="F56" s="178"/>
      <c r="G56" s="178"/>
      <c r="H56" s="178"/>
      <c r="I56" s="178"/>
      <c r="J56" s="1123"/>
      <c r="K56" s="1527">
        <f t="shared" si="1"/>
        <v>0</v>
      </c>
      <c r="L56" s="1527"/>
      <c r="M56" s="1207" t="str">
        <f t="shared" si="2"/>
        <v/>
      </c>
      <c r="N56" s="1605">
        <f>IF($E$29&gt;38,$F$29,0)</f>
        <v>0</v>
      </c>
      <c r="O56" s="1605"/>
      <c r="P56" s="1525"/>
      <c r="Q56" s="1526"/>
      <c r="R56" s="1189"/>
      <c r="S56" s="1189"/>
      <c r="T56" s="1552" t="s">
        <v>925</v>
      </c>
      <c r="U56" s="1552"/>
      <c r="V56" s="1189"/>
      <c r="W56" s="1207" t="e">
        <f t="shared" si="3"/>
        <v>#VALUE!</v>
      </c>
      <c r="X56" s="1189"/>
      <c r="Y56" s="1189"/>
      <c r="Z56" s="1189"/>
      <c r="AA56" s="1189"/>
      <c r="AB56" s="1189"/>
      <c r="AC56" s="1189"/>
      <c r="AD56" s="1189"/>
      <c r="AE56" s="1189"/>
      <c r="AF56" s="1189"/>
      <c r="AG56" s="1189"/>
      <c r="AH56" s="1189"/>
      <c r="AI56" s="1189"/>
      <c r="AJ56" s="1189"/>
      <c r="AK56" s="1189"/>
      <c r="AL56" s="1189"/>
      <c r="AM56" s="1189"/>
      <c r="AN56" s="1189"/>
      <c r="AO56" s="1189"/>
      <c r="AP56" s="1189"/>
      <c r="AQ56" s="1189"/>
      <c r="AR56" s="1189"/>
      <c r="AS56" s="1189"/>
      <c r="AT56" s="1189"/>
      <c r="AU56" s="1189"/>
      <c r="AV56" s="1189"/>
      <c r="AW56" s="1189"/>
      <c r="AX56" s="1189"/>
    </row>
    <row r="57" spans="1:50" ht="12.6">
      <c r="A57" s="1123"/>
      <c r="B57" s="178"/>
      <c r="C57" s="178"/>
      <c r="D57" s="178"/>
      <c r="E57" s="178"/>
      <c r="F57" s="178"/>
      <c r="G57" s="178"/>
      <c r="H57" s="178"/>
      <c r="I57" s="178"/>
      <c r="J57" s="1125"/>
      <c r="K57" s="1527">
        <f t="shared" si="1"/>
        <v>0</v>
      </c>
      <c r="L57" s="1527"/>
      <c r="M57" s="1207" t="str">
        <f t="shared" si="2"/>
        <v/>
      </c>
      <c r="N57" s="1605">
        <f>IF($E$29&gt;39,$F$29,0)</f>
        <v>0</v>
      </c>
      <c r="O57" s="1605"/>
      <c r="P57" s="1525"/>
      <c r="Q57" s="1526"/>
      <c r="R57" s="1189"/>
      <c r="S57" s="1189"/>
      <c r="T57" s="1552" t="s">
        <v>926</v>
      </c>
      <c r="U57" s="1552"/>
      <c r="V57" s="1189"/>
      <c r="W57" s="1207" t="e">
        <f t="shared" si="3"/>
        <v>#VALUE!</v>
      </c>
      <c r="X57" s="1189"/>
      <c r="Y57" s="1189"/>
      <c r="Z57" s="1189"/>
      <c r="AA57" s="1189"/>
      <c r="AB57" s="1189"/>
      <c r="AC57" s="1189"/>
      <c r="AD57" s="1189"/>
      <c r="AE57" s="1189"/>
      <c r="AF57" s="1189"/>
      <c r="AG57" s="1189"/>
      <c r="AH57" s="1189"/>
      <c r="AI57" s="1189"/>
      <c r="AJ57" s="1189"/>
      <c r="AK57" s="1189"/>
      <c r="AL57" s="1189"/>
      <c r="AM57" s="1189"/>
      <c r="AN57" s="1189"/>
      <c r="AO57" s="1189"/>
      <c r="AP57" s="1189"/>
      <c r="AQ57" s="1189"/>
      <c r="AR57" s="1189"/>
      <c r="AS57" s="1189"/>
      <c r="AT57" s="1189"/>
      <c r="AU57" s="1189"/>
      <c r="AV57" s="1189"/>
      <c r="AW57" s="1189"/>
      <c r="AX57" s="1189"/>
    </row>
    <row r="58" spans="1:50" ht="12.75" customHeight="1">
      <c r="A58" s="1123"/>
      <c r="B58" s="1549" t="s">
        <v>927</v>
      </c>
      <c r="C58" s="1549"/>
      <c r="D58" s="1549" t="s">
        <v>775</v>
      </c>
      <c r="E58" s="1549"/>
      <c r="F58" s="1549"/>
      <c r="G58" s="1549" t="s">
        <v>928</v>
      </c>
      <c r="H58" s="1549"/>
      <c r="I58" s="1549"/>
      <c r="J58" s="1125"/>
      <c r="K58" s="1527">
        <f t="shared" si="1"/>
        <v>0</v>
      </c>
      <c r="L58" s="1527"/>
      <c r="M58" s="1207" t="str">
        <f t="shared" si="2"/>
        <v/>
      </c>
      <c r="N58" s="1605">
        <f>IF($E$29&gt;40,$F$29,0)</f>
        <v>0</v>
      </c>
      <c r="O58" s="1605"/>
      <c r="P58" s="1525"/>
      <c r="Q58" s="1526"/>
      <c r="R58" s="1189"/>
      <c r="S58" s="1189"/>
      <c r="T58" s="1552" t="s">
        <v>929</v>
      </c>
      <c r="U58" s="1552"/>
      <c r="V58" s="1189"/>
      <c r="W58" s="1207" t="e">
        <f t="shared" si="3"/>
        <v>#VALUE!</v>
      </c>
      <c r="X58" s="1189"/>
      <c r="Y58" s="1189"/>
      <c r="Z58" s="1189"/>
      <c r="AA58" s="1189"/>
      <c r="AB58" s="1189"/>
      <c r="AC58" s="1189"/>
      <c r="AD58" s="1189"/>
      <c r="AE58" s="1189"/>
      <c r="AF58" s="1189"/>
      <c r="AG58" s="1189"/>
      <c r="AH58" s="1189"/>
      <c r="AI58" s="1189"/>
      <c r="AJ58" s="1189"/>
      <c r="AK58" s="1189"/>
      <c r="AL58" s="1189"/>
      <c r="AM58" s="1189"/>
      <c r="AN58" s="1189"/>
      <c r="AO58" s="1189"/>
      <c r="AP58" s="1189"/>
      <c r="AQ58" s="1189"/>
      <c r="AR58" s="1189"/>
      <c r="AS58" s="1189"/>
      <c r="AT58" s="1189"/>
      <c r="AU58" s="1189"/>
      <c r="AV58" s="1189"/>
      <c r="AW58" s="1189"/>
      <c r="AX58" s="1189"/>
    </row>
    <row r="59" spans="1:50" ht="12.6">
      <c r="A59" s="1123"/>
      <c r="B59" s="1589">
        <f>FORM!O19</f>
        <v>0</v>
      </c>
      <c r="C59" s="1590"/>
      <c r="D59" s="1589">
        <f>FORM!S19</f>
        <v>0</v>
      </c>
      <c r="E59" s="1593"/>
      <c r="F59" s="1590"/>
      <c r="G59" s="1595">
        <f>FORM!V19</f>
        <v>0</v>
      </c>
      <c r="H59" s="1596"/>
      <c r="I59" s="1597"/>
      <c r="J59" s="1125"/>
      <c r="K59" s="1527">
        <f t="shared" si="1"/>
        <v>0</v>
      </c>
      <c r="L59" s="1527"/>
      <c r="M59" s="1207" t="str">
        <f t="shared" si="2"/>
        <v/>
      </c>
      <c r="N59" s="1605">
        <f>IF($E$29&gt;41,$F$29,0)</f>
        <v>0</v>
      </c>
      <c r="O59" s="1605"/>
      <c r="P59" s="1525"/>
      <c r="Q59" s="1526"/>
      <c r="R59" s="1189"/>
      <c r="S59" s="1189"/>
      <c r="T59" s="1552" t="s">
        <v>930</v>
      </c>
      <c r="U59" s="1552"/>
      <c r="V59" s="1189"/>
      <c r="W59" s="1207" t="e">
        <f t="shared" si="3"/>
        <v>#VALUE!</v>
      </c>
      <c r="X59" s="1189"/>
      <c r="Y59" s="1189"/>
      <c r="Z59" s="1189"/>
      <c r="AA59" s="1189"/>
      <c r="AB59" s="1189"/>
      <c r="AC59" s="1189"/>
      <c r="AD59" s="1189"/>
      <c r="AE59" s="1189"/>
      <c r="AF59" s="1189"/>
      <c r="AG59" s="1189"/>
      <c r="AH59" s="1189"/>
      <c r="AI59" s="1189"/>
      <c r="AJ59" s="1189"/>
      <c r="AK59" s="1189"/>
      <c r="AL59" s="1189"/>
      <c r="AM59" s="1189"/>
      <c r="AN59" s="1189"/>
      <c r="AO59" s="1189"/>
      <c r="AP59" s="1189"/>
      <c r="AQ59" s="1189"/>
      <c r="AR59" s="1189"/>
      <c r="AS59" s="1189"/>
      <c r="AT59" s="1189"/>
      <c r="AU59" s="1189"/>
      <c r="AV59" s="1189"/>
      <c r="AW59" s="1189"/>
      <c r="AX59" s="1189"/>
    </row>
    <row r="60" spans="1:50" ht="12.6">
      <c r="A60" s="1123"/>
      <c r="B60" s="1591"/>
      <c r="C60" s="1592"/>
      <c r="D60" s="1591"/>
      <c r="E60" s="1594"/>
      <c r="F60" s="1592"/>
      <c r="G60" s="1598"/>
      <c r="H60" s="1599"/>
      <c r="I60" s="1600"/>
      <c r="J60" s="1125"/>
      <c r="K60" s="1527">
        <f t="shared" si="1"/>
        <v>0</v>
      </c>
      <c r="L60" s="1527"/>
      <c r="M60" s="1207" t="str">
        <f t="shared" si="2"/>
        <v/>
      </c>
      <c r="N60" s="1605">
        <f>IF($E$29&gt;42,$F$29,0)</f>
        <v>0</v>
      </c>
      <c r="O60" s="1605"/>
      <c r="P60" s="1525"/>
      <c r="Q60" s="1526"/>
      <c r="R60" s="1189"/>
      <c r="S60" s="1189"/>
      <c r="T60" s="1552" t="s">
        <v>931</v>
      </c>
      <c r="U60" s="1552"/>
      <c r="V60" s="1189"/>
      <c r="W60" s="1207" t="e">
        <f t="shared" si="3"/>
        <v>#VALUE!</v>
      </c>
      <c r="X60" s="1189"/>
      <c r="Y60" s="1189"/>
      <c r="Z60" s="1189"/>
      <c r="AA60" s="1189"/>
      <c r="AB60" s="1189"/>
      <c r="AC60" s="1189"/>
      <c r="AD60" s="1189"/>
      <c r="AE60" s="1189"/>
      <c r="AF60" s="1189"/>
      <c r="AG60" s="1189"/>
      <c r="AH60" s="1189"/>
      <c r="AI60" s="1189"/>
      <c r="AJ60" s="1189"/>
      <c r="AK60" s="1189"/>
      <c r="AL60" s="1189"/>
      <c r="AM60" s="1189"/>
      <c r="AN60" s="1189"/>
      <c r="AO60" s="1189"/>
      <c r="AP60" s="1189"/>
      <c r="AQ60" s="1189"/>
      <c r="AR60" s="1189"/>
      <c r="AS60" s="1189"/>
      <c r="AT60" s="1189"/>
      <c r="AU60" s="1189"/>
      <c r="AV60" s="1189"/>
      <c r="AW60" s="1189"/>
      <c r="AX60" s="1189"/>
    </row>
    <row r="61" spans="1:50" ht="12.6">
      <c r="A61" s="1123"/>
      <c r="B61" s="1589">
        <f>FORM!O21</f>
        <v>0</v>
      </c>
      <c r="C61" s="1590"/>
      <c r="D61" s="1589">
        <f>FORM!S21</f>
        <v>0</v>
      </c>
      <c r="E61" s="1593"/>
      <c r="F61" s="1590"/>
      <c r="G61" s="1595">
        <f>FORM!V21</f>
        <v>0</v>
      </c>
      <c r="H61" s="1596"/>
      <c r="I61" s="1597"/>
      <c r="J61" s="1125"/>
      <c r="K61" s="1527" t="s">
        <v>1032</v>
      </c>
      <c r="L61" s="1527"/>
      <c r="M61" s="1207" t="e">
        <f>M64</f>
        <v>#VALUE!</v>
      </c>
      <c r="N61" s="1605">
        <f>F26</f>
        <v>90862.671432596791</v>
      </c>
      <c r="O61" s="1605"/>
      <c r="P61" s="1525"/>
      <c r="Q61" s="1526"/>
      <c r="R61" s="1189"/>
      <c r="S61" s="1189"/>
      <c r="T61" s="1552" t="s">
        <v>932</v>
      </c>
      <c r="U61" s="1552"/>
      <c r="V61" s="1189"/>
      <c r="W61" s="1207" t="e">
        <f t="shared" si="3"/>
        <v>#VALUE!</v>
      </c>
      <c r="X61" s="1189"/>
      <c r="Y61" s="1189"/>
      <c r="Z61" s="1189"/>
      <c r="AA61" s="1189"/>
      <c r="AB61" s="1189"/>
      <c r="AC61" s="1189"/>
      <c r="AD61" s="1189"/>
      <c r="AE61" s="1189"/>
      <c r="AF61" s="1189"/>
      <c r="AG61" s="1189"/>
      <c r="AH61" s="1189"/>
      <c r="AI61" s="1189"/>
      <c r="AJ61" s="1189"/>
      <c r="AK61" s="1189"/>
      <c r="AL61" s="1189"/>
      <c r="AM61" s="1189"/>
      <c r="AN61" s="1189"/>
      <c r="AO61" s="1189"/>
      <c r="AP61" s="1189"/>
      <c r="AQ61" s="1189"/>
      <c r="AR61" s="1189"/>
      <c r="AS61" s="1189"/>
      <c r="AT61" s="1189"/>
      <c r="AU61" s="1189"/>
      <c r="AV61" s="1189"/>
      <c r="AW61" s="1189"/>
      <c r="AX61" s="1189"/>
    </row>
    <row r="62" spans="1:50" ht="12.6" hidden="1">
      <c r="A62" s="1123"/>
      <c r="B62" s="1591"/>
      <c r="C62" s="1592"/>
      <c r="D62" s="1591"/>
      <c r="E62" s="1594"/>
      <c r="F62" s="1592"/>
      <c r="G62" s="1598"/>
      <c r="H62" s="1599"/>
      <c r="I62" s="1600"/>
      <c r="J62" s="1125"/>
      <c r="K62" s="1527">
        <f t="shared" si="1"/>
        <v>0</v>
      </c>
      <c r="L62" s="1527"/>
      <c r="M62" s="1207" t="str">
        <f t="shared" si="2"/>
        <v/>
      </c>
      <c r="N62" s="1557">
        <f>IF($E$29&gt;44,$F$29,0)</f>
        <v>0</v>
      </c>
      <c r="O62" s="1557"/>
      <c r="P62" s="1224"/>
      <c r="Q62" s="1224"/>
      <c r="R62" s="1189"/>
      <c r="S62" s="1189"/>
      <c r="T62" s="1552" t="s">
        <v>933</v>
      </c>
      <c r="U62" s="1552"/>
      <c r="V62" s="1189"/>
      <c r="W62" s="1207" t="e">
        <f>IF(AND(DAY(W61)&gt;=6,DAY(W61)&lt;=20),DATE(YEAR(W61),MONTH(W61)+1,DAY(20)),IF(AND(DAY(W61)&gt;=21,DAY(W61)&lt;=30),DATE(YEAR(W61),MONTH(W61)+1,IF(DAY(EOMONTH(W61,1))&lt;30,DAY(EOMONTH(W61,1)),DAY(30))),DATE(YEAR(W61),MONTH(W61)+1,DAY(5))))</f>
        <v>#VALUE!</v>
      </c>
      <c r="X62" s="1189"/>
      <c r="Y62" s="1189"/>
      <c r="Z62" s="1189"/>
      <c r="AA62" s="1189"/>
      <c r="AB62" s="1189"/>
      <c r="AC62" s="1189"/>
      <c r="AD62" s="1189"/>
      <c r="AE62" s="1189"/>
      <c r="AF62" s="1189"/>
      <c r="AG62" s="1189"/>
      <c r="AH62" s="1189"/>
      <c r="AI62" s="1189"/>
      <c r="AJ62" s="1189"/>
      <c r="AK62" s="1189"/>
      <c r="AL62" s="1189"/>
      <c r="AM62" s="1189"/>
      <c r="AN62" s="1189"/>
      <c r="AO62" s="1189"/>
      <c r="AP62" s="1189"/>
      <c r="AQ62" s="1189"/>
      <c r="AR62" s="1189"/>
      <c r="AS62" s="1189"/>
      <c r="AT62" s="1189"/>
      <c r="AU62" s="1189"/>
      <c r="AV62" s="1189"/>
      <c r="AW62" s="1189"/>
      <c r="AX62" s="1189"/>
    </row>
    <row r="63" spans="1:50" ht="12.6" hidden="1">
      <c r="A63" s="1123"/>
      <c r="B63" s="1589">
        <f>FORM!O25</f>
        <v>0</v>
      </c>
      <c r="C63" s="1590"/>
      <c r="D63" s="1589">
        <f>FORM!S25</f>
        <v>0</v>
      </c>
      <c r="E63" s="1593"/>
      <c r="F63" s="1590"/>
      <c r="G63" s="1595">
        <f>FORM!V25</f>
        <v>0</v>
      </c>
      <c r="H63" s="1596"/>
      <c r="I63" s="1597"/>
      <c r="J63" s="1125"/>
      <c r="K63" s="1525">
        <f t="shared" si="1"/>
        <v>0</v>
      </c>
      <c r="L63" s="1526"/>
      <c r="M63" s="1207" t="str">
        <f t="shared" si="2"/>
        <v/>
      </c>
      <c r="N63" s="1561">
        <f>IF($E$29&gt;45,$F$29,0)</f>
        <v>0</v>
      </c>
      <c r="O63" s="1562"/>
      <c r="P63" s="1224"/>
      <c r="Q63" s="1224"/>
      <c r="R63" s="1189"/>
      <c r="S63" s="1189"/>
      <c r="T63" s="1552" t="s">
        <v>934</v>
      </c>
      <c r="U63" s="1552"/>
      <c r="V63" s="1189"/>
      <c r="W63" s="1189"/>
      <c r="X63" s="1189"/>
      <c r="Y63" s="1189"/>
      <c r="Z63" s="1189"/>
      <c r="AA63" s="1189"/>
      <c r="AB63" s="1189"/>
      <c r="AC63" s="1189"/>
      <c r="AD63" s="1189"/>
      <c r="AE63" s="1189"/>
      <c r="AF63" s="1189"/>
      <c r="AG63" s="1189"/>
      <c r="AH63" s="1189"/>
      <c r="AI63" s="1189"/>
      <c r="AJ63" s="1189"/>
      <c r="AK63" s="1189"/>
      <c r="AL63" s="1189"/>
      <c r="AM63" s="1189"/>
      <c r="AN63" s="1189"/>
      <c r="AO63" s="1189"/>
      <c r="AP63" s="1189"/>
      <c r="AQ63" s="1189"/>
      <c r="AR63" s="1189"/>
      <c r="AS63" s="1189"/>
      <c r="AT63" s="1189"/>
      <c r="AU63" s="1189"/>
      <c r="AV63" s="1189"/>
      <c r="AW63" s="1189"/>
      <c r="AX63" s="1189"/>
    </row>
    <row r="64" spans="1:50" ht="12.6">
      <c r="A64" s="1123"/>
      <c r="B64" s="1591"/>
      <c r="C64" s="1592"/>
      <c r="D64" s="1591"/>
      <c r="E64" s="1594"/>
      <c r="F64" s="1592"/>
      <c r="G64" s="1598"/>
      <c r="H64" s="1599"/>
      <c r="I64" s="1600"/>
      <c r="J64" s="1125"/>
      <c r="K64" s="1563" t="s">
        <v>935</v>
      </c>
      <c r="L64" s="1563"/>
      <c r="M64" s="251" t="e">
        <f>IF(DAY(W17)=31,Y19,AA19)</f>
        <v>#VALUE!</v>
      </c>
      <c r="N64" s="1564">
        <f>F31</f>
        <v>3180193.5001408872</v>
      </c>
      <c r="O64" s="1564"/>
      <c r="P64" s="1520"/>
      <c r="Q64" s="1521"/>
      <c r="R64" s="1189"/>
      <c r="S64" s="1189"/>
      <c r="T64" s="1208"/>
      <c r="U64" s="1208"/>
      <c r="V64" s="1189"/>
      <c r="W64" s="1189"/>
      <c r="X64" s="1189"/>
      <c r="Y64" s="1189"/>
      <c r="Z64" s="1189"/>
      <c r="AA64" s="1189"/>
      <c r="AB64" s="1189"/>
      <c r="AC64" s="1189"/>
      <c r="AD64" s="1189"/>
      <c r="AE64" s="1189"/>
      <c r="AF64" s="1189"/>
      <c r="AG64" s="1189"/>
      <c r="AH64" s="1189"/>
      <c r="AI64" s="1189"/>
      <c r="AJ64" s="1189"/>
      <c r="AK64" s="1189"/>
      <c r="AL64" s="1189"/>
      <c r="AM64" s="1189"/>
      <c r="AN64" s="1189"/>
      <c r="AO64" s="1189"/>
      <c r="AP64" s="1189"/>
      <c r="AQ64" s="1189"/>
      <c r="AR64" s="1189"/>
      <c r="AS64" s="1189"/>
      <c r="AT64" s="1189"/>
      <c r="AU64" s="1189"/>
      <c r="AV64" s="1189"/>
      <c r="AW64" s="1189"/>
      <c r="AX64" s="1189"/>
    </row>
    <row r="65" spans="1:50" ht="12.6" hidden="1">
      <c r="A65" s="1123"/>
      <c r="B65" s="1589">
        <f>FORM!O27</f>
        <v>0</v>
      </c>
      <c r="C65" s="1590"/>
      <c r="D65" s="1589">
        <f>FORM!S27</f>
        <v>0</v>
      </c>
      <c r="E65" s="1593"/>
      <c r="F65" s="1590"/>
      <c r="G65" s="1595">
        <f>FORM!V27</f>
        <v>0</v>
      </c>
      <c r="H65" s="1596"/>
      <c r="I65" s="1597"/>
      <c r="J65" s="1125"/>
      <c r="K65" s="1574"/>
      <c r="L65" s="1574"/>
      <c r="M65" s="252"/>
      <c r="N65" s="1575"/>
      <c r="O65" s="1575"/>
      <c r="P65" s="253"/>
      <c r="Q65" s="100"/>
      <c r="R65" s="1189"/>
      <c r="S65" s="1189"/>
      <c r="T65" s="1208"/>
      <c r="U65" s="1208"/>
      <c r="V65" s="1189"/>
      <c r="W65" s="1189"/>
      <c r="X65" s="1189"/>
      <c r="Y65" s="1189"/>
      <c r="Z65" s="1189"/>
      <c r="AA65" s="1189"/>
      <c r="AB65" s="1189"/>
      <c r="AC65" s="1189"/>
      <c r="AD65" s="1189"/>
      <c r="AE65" s="1189"/>
      <c r="AF65" s="1189"/>
      <c r="AG65" s="1189"/>
      <c r="AH65" s="1189"/>
      <c r="AI65" s="1189"/>
      <c r="AJ65" s="1189"/>
      <c r="AK65" s="1189"/>
      <c r="AL65" s="1189"/>
      <c r="AM65" s="1189"/>
      <c r="AN65" s="1189"/>
      <c r="AO65" s="1189"/>
      <c r="AP65" s="1189"/>
      <c r="AQ65" s="1189"/>
      <c r="AR65" s="1189"/>
      <c r="AS65" s="1189"/>
      <c r="AT65" s="1189"/>
      <c r="AU65" s="1189"/>
      <c r="AV65" s="1189"/>
      <c r="AW65" s="1189"/>
      <c r="AX65" s="1189"/>
    </row>
    <row r="66" spans="1:50" ht="12.6">
      <c r="A66" s="1123"/>
      <c r="B66" s="1591"/>
      <c r="C66" s="1592"/>
      <c r="D66" s="1591"/>
      <c r="E66" s="1594"/>
      <c r="F66" s="1592"/>
      <c r="G66" s="1598"/>
      <c r="H66" s="1599"/>
      <c r="I66" s="1600"/>
      <c r="J66" s="1125"/>
      <c r="K66" s="1189"/>
      <c r="L66" s="1225"/>
      <c r="M66" s="1189"/>
      <c r="N66" s="1189"/>
      <c r="O66" s="1189"/>
      <c r="P66" s="1189"/>
      <c r="Q66" s="1189"/>
      <c r="R66" s="1189"/>
      <c r="S66" s="1189"/>
      <c r="T66" s="1208"/>
      <c r="U66" s="1208"/>
      <c r="V66" s="1189"/>
      <c r="W66" s="1189"/>
      <c r="X66" s="1189"/>
      <c r="Y66" s="1189"/>
      <c r="Z66" s="1189"/>
      <c r="AA66" s="1189"/>
      <c r="AB66" s="1189"/>
      <c r="AC66" s="1189"/>
      <c r="AD66" s="1189"/>
      <c r="AE66" s="1189"/>
      <c r="AF66" s="1189"/>
      <c r="AG66" s="1189"/>
      <c r="AH66" s="1189"/>
      <c r="AI66" s="1189"/>
      <c r="AJ66" s="1189"/>
      <c r="AK66" s="1189"/>
      <c r="AL66" s="1189"/>
      <c r="AM66" s="1189"/>
      <c r="AN66" s="1189"/>
      <c r="AO66" s="1189"/>
      <c r="AP66" s="1189"/>
      <c r="AQ66" s="1189"/>
      <c r="AR66" s="1189"/>
      <c r="AS66" s="1189"/>
      <c r="AT66" s="1189"/>
      <c r="AU66" s="1189"/>
      <c r="AV66" s="1189"/>
      <c r="AW66" s="1189"/>
      <c r="AX66" s="1189"/>
    </row>
    <row r="67" spans="1:50" ht="12" customHeight="1">
      <c r="A67" s="1123"/>
      <c r="B67" s="1589">
        <f>FORM!O31</f>
        <v>0</v>
      </c>
      <c r="C67" s="1590"/>
      <c r="D67" s="1589">
        <f>FORM!S31</f>
        <v>0</v>
      </c>
      <c r="E67" s="1593"/>
      <c r="F67" s="1590"/>
      <c r="G67" s="1595">
        <f>FORM!V31</f>
        <v>0</v>
      </c>
      <c r="H67" s="1596"/>
      <c r="I67" s="1597"/>
      <c r="J67" s="1125"/>
      <c r="K67" s="100" t="s">
        <v>936</v>
      </c>
      <c r="L67" s="1123"/>
      <c r="M67" s="1123"/>
      <c r="N67" s="1123"/>
      <c r="O67" s="100" t="s">
        <v>937</v>
      </c>
      <c r="P67" s="1123"/>
      <c r="Q67" s="1123"/>
      <c r="R67" s="1189"/>
      <c r="S67" s="1189"/>
      <c r="T67" s="1208"/>
      <c r="U67" s="1208"/>
      <c r="V67" s="1189"/>
      <c r="W67" s="1189"/>
      <c r="X67" s="1189"/>
      <c r="Y67" s="1189"/>
      <c r="Z67" s="1189"/>
      <c r="AA67" s="1189"/>
      <c r="AB67" s="1189"/>
      <c r="AC67" s="1189"/>
      <c r="AD67" s="1189"/>
      <c r="AE67" s="1189"/>
      <c r="AF67" s="1189"/>
      <c r="AG67" s="1189"/>
      <c r="AH67" s="1189"/>
      <c r="AI67" s="1189"/>
      <c r="AJ67" s="1189"/>
      <c r="AK67" s="1189"/>
      <c r="AL67" s="1189"/>
      <c r="AM67" s="1189"/>
      <c r="AN67" s="1189"/>
      <c r="AO67" s="1189"/>
      <c r="AP67" s="1189"/>
      <c r="AQ67" s="1189"/>
      <c r="AR67" s="1189"/>
      <c r="AS67" s="1189"/>
      <c r="AT67" s="1189"/>
      <c r="AU67" s="1189"/>
      <c r="AV67" s="1189"/>
      <c r="AW67" s="1189"/>
      <c r="AX67" s="1189"/>
    </row>
    <row r="68" spans="1:50" ht="12" customHeight="1">
      <c r="A68" s="1123"/>
      <c r="B68" s="1591"/>
      <c r="C68" s="1592"/>
      <c r="D68" s="1591"/>
      <c r="E68" s="1594"/>
      <c r="F68" s="1592"/>
      <c r="G68" s="1598"/>
      <c r="H68" s="1599"/>
      <c r="I68" s="1600"/>
      <c r="J68" s="1125"/>
      <c r="K68" s="1123"/>
      <c r="L68" s="1123"/>
      <c r="M68" s="705"/>
      <c r="N68" s="1123"/>
      <c r="O68" s="1123"/>
      <c r="P68" s="1123"/>
      <c r="Q68" s="1123"/>
      <c r="R68" s="1189"/>
      <c r="S68" s="1189"/>
      <c r="T68" s="1208"/>
      <c r="U68" s="1208"/>
      <c r="V68" s="1189"/>
      <c r="W68" s="1189"/>
      <c r="X68" s="1189"/>
      <c r="Y68" s="1189"/>
      <c r="Z68" s="1189"/>
      <c r="AA68" s="1189"/>
      <c r="AB68" s="1189"/>
      <c r="AC68" s="1189"/>
      <c r="AD68" s="1189"/>
      <c r="AE68" s="1189"/>
      <c r="AF68" s="1189"/>
      <c r="AG68" s="1189"/>
      <c r="AH68" s="1189"/>
      <c r="AI68" s="1189"/>
      <c r="AJ68" s="1189"/>
      <c r="AK68" s="1189"/>
      <c r="AL68" s="1189"/>
      <c r="AM68" s="1189"/>
      <c r="AN68" s="1189"/>
      <c r="AO68" s="1189"/>
      <c r="AP68" s="1189"/>
      <c r="AQ68" s="1189"/>
      <c r="AR68" s="1189"/>
      <c r="AS68" s="1189"/>
      <c r="AT68" s="1189"/>
      <c r="AU68" s="1189"/>
      <c r="AV68" s="1189"/>
      <c r="AW68" s="1189"/>
      <c r="AX68" s="1189"/>
    </row>
    <row r="69" spans="1:50" ht="12" customHeight="1">
      <c r="A69" s="1123"/>
      <c r="B69" s="1589">
        <f>FORM!O33</f>
        <v>0</v>
      </c>
      <c r="C69" s="1590"/>
      <c r="D69" s="1589">
        <f>FORM!S33</f>
        <v>0</v>
      </c>
      <c r="E69" s="1593"/>
      <c r="F69" s="1590"/>
      <c r="G69" s="1595">
        <f>FORM!V33</f>
        <v>0</v>
      </c>
      <c r="H69" s="1596"/>
      <c r="I69" s="1597"/>
      <c r="J69" s="1125"/>
      <c r="K69" s="1123"/>
      <c r="L69" s="1123"/>
      <c r="M69" s="705"/>
      <c r="N69" s="1123"/>
      <c r="O69" s="1123"/>
      <c r="P69" s="1123"/>
      <c r="Q69" s="1123"/>
      <c r="R69" s="1189"/>
      <c r="S69" s="1189"/>
      <c r="T69" s="1208"/>
      <c r="U69" s="1208"/>
      <c r="V69" s="1189"/>
      <c r="W69" s="1189"/>
      <c r="X69" s="1189"/>
      <c r="Y69" s="1189"/>
      <c r="Z69" s="1189"/>
      <c r="AA69" s="1189"/>
      <c r="AB69" s="1189"/>
      <c r="AC69" s="1189"/>
      <c r="AD69" s="1189"/>
      <c r="AE69" s="1189"/>
      <c r="AF69" s="1189"/>
      <c r="AG69" s="1189"/>
      <c r="AH69" s="1189"/>
      <c r="AI69" s="1189"/>
      <c r="AJ69" s="1189"/>
      <c r="AK69" s="1189"/>
      <c r="AL69" s="1189"/>
      <c r="AM69" s="1189"/>
      <c r="AN69" s="1189"/>
      <c r="AO69" s="1189"/>
      <c r="AP69" s="1189"/>
      <c r="AQ69" s="1189"/>
      <c r="AR69" s="1189"/>
      <c r="AS69" s="1189"/>
      <c r="AT69" s="1189"/>
      <c r="AU69" s="1189"/>
      <c r="AV69" s="1189"/>
      <c r="AW69" s="1189"/>
      <c r="AX69" s="1189"/>
    </row>
    <row r="70" spans="1:50" ht="12" customHeight="1">
      <c r="A70" s="1123"/>
      <c r="B70" s="1591"/>
      <c r="C70" s="1592"/>
      <c r="D70" s="1591"/>
      <c r="E70" s="1594"/>
      <c r="F70" s="1592"/>
      <c r="G70" s="1598"/>
      <c r="H70" s="1599"/>
      <c r="I70" s="1600"/>
      <c r="J70" s="1125"/>
      <c r="K70" s="1568" t="str">
        <f>FORM!I28</f>
        <v xml:space="preserve">agent </v>
      </c>
      <c r="L70" s="1568"/>
      <c r="M70" s="1568"/>
      <c r="N70" s="100"/>
      <c r="O70" s="1571" t="str">
        <f>FORM!I26</f>
        <v>cnc</v>
      </c>
      <c r="P70" s="1571"/>
      <c r="Q70" s="1571"/>
      <c r="R70" s="1189"/>
      <c r="S70" s="1189"/>
      <c r="T70" s="1208"/>
      <c r="U70" s="1208"/>
      <c r="V70" s="1189"/>
      <c r="W70" s="1189"/>
      <c r="X70" s="1189"/>
      <c r="Y70" s="1189"/>
      <c r="Z70" s="1189"/>
      <c r="AA70" s="1189"/>
      <c r="AB70" s="1189"/>
      <c r="AC70" s="1189"/>
      <c r="AD70" s="1189"/>
      <c r="AE70" s="1189"/>
      <c r="AF70" s="1189"/>
      <c r="AG70" s="1189"/>
      <c r="AH70" s="1189"/>
      <c r="AI70" s="1189"/>
      <c r="AJ70" s="1189"/>
      <c r="AK70" s="1189"/>
      <c r="AL70" s="1189"/>
      <c r="AM70" s="1189"/>
      <c r="AN70" s="1189"/>
      <c r="AO70" s="1189"/>
      <c r="AP70" s="1189"/>
      <c r="AQ70" s="1189"/>
      <c r="AR70" s="1189"/>
      <c r="AS70" s="1189"/>
      <c r="AT70" s="1189"/>
      <c r="AU70" s="1189"/>
      <c r="AV70" s="1189"/>
      <c r="AW70" s="1189"/>
      <c r="AX70" s="1189"/>
    </row>
    <row r="71" spans="1:50" ht="12" customHeight="1">
      <c r="A71" s="1123"/>
      <c r="B71" s="161"/>
      <c r="C71" s="1123"/>
      <c r="D71" s="1123" t="s">
        <v>819</v>
      </c>
      <c r="E71" s="1123"/>
      <c r="F71" s="1123"/>
      <c r="G71" s="1123"/>
      <c r="H71" s="1123"/>
      <c r="I71" s="1123"/>
      <c r="J71" s="1125"/>
      <c r="K71" s="1226" t="s">
        <v>938</v>
      </c>
      <c r="L71" s="1569"/>
      <c r="M71" s="1569"/>
      <c r="N71" s="1123"/>
      <c r="O71" s="1572" t="s">
        <v>939</v>
      </c>
      <c r="P71" s="1572"/>
      <c r="Q71" s="1572"/>
      <c r="R71" s="1189"/>
      <c r="S71" s="1189"/>
      <c r="T71" s="1208"/>
      <c r="U71" s="1208"/>
      <c r="V71" s="1189"/>
      <c r="W71" s="1189"/>
      <c r="X71" s="1189"/>
      <c r="Y71" s="1189"/>
      <c r="Z71" s="1189"/>
      <c r="AA71" s="1189"/>
      <c r="AB71" s="1189"/>
      <c r="AC71" s="1189"/>
      <c r="AD71" s="1189"/>
      <c r="AE71" s="1189"/>
      <c r="AF71" s="1189"/>
      <c r="AG71" s="1189"/>
      <c r="AH71" s="1189"/>
      <c r="AI71" s="1189"/>
      <c r="AJ71" s="1189"/>
      <c r="AK71" s="1189"/>
      <c r="AL71" s="1189"/>
      <c r="AM71" s="1189"/>
      <c r="AN71" s="1189"/>
      <c r="AO71" s="1189"/>
      <c r="AP71" s="1189"/>
      <c r="AQ71" s="1189"/>
      <c r="AR71" s="1189"/>
      <c r="AS71" s="1189"/>
      <c r="AT71" s="1189"/>
      <c r="AU71" s="1189"/>
      <c r="AV71" s="1189"/>
      <c r="AW71" s="1189"/>
      <c r="AX71" s="1189"/>
    </row>
    <row r="72" spans="1:50" ht="12" customHeight="1">
      <c r="A72" s="1123"/>
      <c r="B72" s="1189"/>
      <c r="C72" s="250" t="s">
        <v>940</v>
      </c>
      <c r="D72" s="1573"/>
      <c r="E72" s="1573"/>
      <c r="F72" s="1573"/>
      <c r="G72" s="1123"/>
      <c r="H72" s="1123"/>
      <c r="I72" s="1123"/>
      <c r="J72" s="1125"/>
      <c r="K72" s="1189"/>
      <c r="L72" s="1189"/>
      <c r="M72" s="1189"/>
      <c r="N72" s="1189"/>
      <c r="O72" s="1189"/>
      <c r="P72" s="1189"/>
      <c r="Q72" s="1189"/>
      <c r="R72" s="1189"/>
      <c r="S72" s="1189"/>
      <c r="T72" s="1208"/>
      <c r="U72" s="1208"/>
      <c r="V72" s="1189"/>
      <c r="W72" s="1189"/>
      <c r="X72" s="1189"/>
      <c r="Y72" s="1189"/>
      <c r="Z72" s="1189"/>
      <c r="AA72" s="1189"/>
      <c r="AB72" s="1189"/>
      <c r="AC72" s="1189"/>
      <c r="AD72" s="1189"/>
      <c r="AE72" s="1189"/>
      <c r="AF72" s="1189"/>
      <c r="AG72" s="1189"/>
      <c r="AH72" s="1189"/>
      <c r="AI72" s="1189"/>
      <c r="AJ72" s="1189"/>
      <c r="AK72" s="1189"/>
      <c r="AL72" s="1189"/>
      <c r="AM72" s="1189"/>
      <c r="AN72" s="1189"/>
      <c r="AO72" s="1189"/>
      <c r="AP72" s="1189"/>
      <c r="AQ72" s="1189"/>
      <c r="AR72" s="1189"/>
      <c r="AS72" s="1189"/>
      <c r="AT72" s="1189"/>
      <c r="AU72" s="1189"/>
      <c r="AV72" s="1189"/>
      <c r="AW72" s="1189"/>
      <c r="AX72" s="1189"/>
    </row>
    <row r="73" spans="1:50" ht="12" customHeight="1">
      <c r="A73" s="1123"/>
      <c r="B73" s="250"/>
      <c r="C73" s="1123"/>
      <c r="D73" s="1228"/>
      <c r="E73" s="1228"/>
      <c r="F73" s="1123"/>
      <c r="G73" s="1123"/>
      <c r="H73" s="1123"/>
      <c r="I73" s="1123"/>
      <c r="J73" s="1125"/>
      <c r="K73" s="156"/>
      <c r="L73" s="1123"/>
      <c r="M73" s="1205"/>
      <c r="N73" s="1123"/>
      <c r="O73" s="1123"/>
      <c r="P73" s="1123"/>
      <c r="Q73" s="1123"/>
      <c r="R73" s="1189"/>
      <c r="S73" s="1189"/>
      <c r="T73" s="1208"/>
      <c r="U73" s="1208"/>
      <c r="V73" s="1189"/>
      <c r="W73" s="1189"/>
      <c r="X73" s="1189"/>
      <c r="Y73" s="1189"/>
      <c r="Z73" s="1189"/>
      <c r="AA73" s="1189"/>
      <c r="AB73" s="1189"/>
      <c r="AC73" s="1189"/>
      <c r="AD73" s="1189"/>
      <c r="AE73" s="1189"/>
      <c r="AF73" s="1189"/>
      <c r="AG73" s="1189"/>
      <c r="AH73" s="1189"/>
      <c r="AI73" s="1189"/>
      <c r="AJ73" s="1189"/>
      <c r="AK73" s="1189"/>
      <c r="AL73" s="1189"/>
      <c r="AM73" s="1189"/>
      <c r="AN73" s="1189"/>
      <c r="AO73" s="1189"/>
      <c r="AP73" s="1189"/>
      <c r="AQ73" s="1189"/>
      <c r="AR73" s="1189"/>
      <c r="AS73" s="1189"/>
      <c r="AT73" s="1189"/>
      <c r="AU73" s="1189"/>
      <c r="AV73" s="1189"/>
      <c r="AW73" s="1189"/>
      <c r="AX73" s="1189"/>
    </row>
    <row r="74" spans="1:50" ht="12" customHeight="1">
      <c r="A74" s="1123"/>
      <c r="B74" s="250"/>
      <c r="C74" s="1123"/>
      <c r="D74" s="1228"/>
      <c r="E74" s="1228"/>
      <c r="F74" s="1123"/>
      <c r="G74" s="1123"/>
      <c r="H74" s="1123"/>
      <c r="I74" s="1123"/>
      <c r="J74" s="1125"/>
      <c r="K74" s="156"/>
      <c r="L74" s="1123"/>
      <c r="M74" s="1205"/>
      <c r="N74" s="1123"/>
      <c r="O74" s="1123"/>
      <c r="P74" s="1123"/>
      <c r="Q74" s="1123"/>
      <c r="R74" s="1189"/>
      <c r="S74" s="1189"/>
      <c r="T74" s="1208"/>
      <c r="U74" s="1208"/>
      <c r="V74" s="1189"/>
      <c r="W74" s="1189"/>
      <c r="X74" s="1189"/>
      <c r="Y74" s="1189"/>
      <c r="Z74" s="1189"/>
      <c r="AA74" s="1189"/>
      <c r="AB74" s="1189"/>
      <c r="AC74" s="1189"/>
      <c r="AD74" s="1189"/>
      <c r="AE74" s="1189"/>
      <c r="AF74" s="1189"/>
      <c r="AG74" s="1189"/>
      <c r="AH74" s="1189"/>
      <c r="AI74" s="1189"/>
      <c r="AJ74" s="1189"/>
      <c r="AK74" s="1189"/>
      <c r="AL74" s="1189"/>
      <c r="AM74" s="1189"/>
      <c r="AN74" s="1189"/>
      <c r="AO74" s="1189"/>
      <c r="AP74" s="1189"/>
      <c r="AQ74" s="1189"/>
      <c r="AR74" s="1189"/>
      <c r="AS74" s="1189"/>
      <c r="AT74" s="1189"/>
      <c r="AU74" s="1189"/>
      <c r="AV74" s="1189"/>
      <c r="AW74" s="1189"/>
      <c r="AX74" s="1189"/>
    </row>
    <row r="75" spans="1:50" ht="12" customHeight="1">
      <c r="A75" s="1123"/>
      <c r="B75" s="250"/>
      <c r="C75" s="1123"/>
      <c r="D75" s="1228"/>
      <c r="E75" s="1228"/>
      <c r="F75" s="1123"/>
      <c r="G75" s="1123"/>
      <c r="H75" s="1123"/>
      <c r="I75" s="1123"/>
      <c r="J75" s="1125"/>
      <c r="K75" s="156"/>
      <c r="L75" s="1123"/>
      <c r="M75" s="1205"/>
      <c r="N75" s="1123"/>
      <c r="O75" s="1123"/>
      <c r="P75" s="1123"/>
      <c r="Q75" s="1123"/>
      <c r="R75" s="1189"/>
      <c r="S75" s="1189"/>
      <c r="T75" s="1208"/>
      <c r="U75" s="1208"/>
      <c r="V75" s="1189"/>
      <c r="W75" s="1189"/>
      <c r="X75" s="1189"/>
      <c r="Y75" s="1189"/>
      <c r="Z75" s="1189"/>
      <c r="AA75" s="1189"/>
      <c r="AB75" s="1189"/>
      <c r="AC75" s="1189"/>
      <c r="AD75" s="1189"/>
      <c r="AE75" s="1189"/>
      <c r="AF75" s="1189"/>
      <c r="AG75" s="1189"/>
      <c r="AH75" s="1189"/>
      <c r="AI75" s="1189"/>
      <c r="AJ75" s="1189"/>
      <c r="AK75" s="1189"/>
      <c r="AL75" s="1189"/>
      <c r="AM75" s="1189"/>
      <c r="AN75" s="1189"/>
      <c r="AO75" s="1189"/>
      <c r="AP75" s="1189"/>
      <c r="AQ75" s="1189"/>
      <c r="AR75" s="1189"/>
      <c r="AS75" s="1189"/>
      <c r="AT75" s="1189"/>
      <c r="AU75" s="1189"/>
      <c r="AV75" s="1189"/>
      <c r="AW75" s="1189"/>
      <c r="AX75" s="1189"/>
    </row>
    <row r="76" spans="1:50" ht="12" customHeight="1">
      <c r="A76" s="1123"/>
      <c r="B76" s="250"/>
      <c r="C76" s="1123"/>
      <c r="D76" s="1228"/>
      <c r="E76" s="1228"/>
      <c r="F76" s="1123"/>
      <c r="G76" s="1123"/>
      <c r="H76" s="1123"/>
      <c r="I76" s="1123"/>
      <c r="J76" s="1125"/>
      <c r="K76" s="156"/>
      <c r="L76" s="1123"/>
      <c r="M76" s="1205"/>
      <c r="N76" s="1123"/>
      <c r="O76" s="1123"/>
      <c r="P76" s="1123"/>
      <c r="Q76" s="1123"/>
      <c r="R76" s="1189"/>
      <c r="S76" s="1189"/>
      <c r="T76" s="1208"/>
      <c r="U76" s="1208"/>
      <c r="V76" s="1189"/>
      <c r="W76" s="1189"/>
      <c r="X76" s="1189"/>
      <c r="Y76" s="1189"/>
      <c r="Z76" s="1189"/>
      <c r="AA76" s="1189"/>
      <c r="AB76" s="1189"/>
      <c r="AC76" s="1189"/>
      <c r="AD76" s="1189"/>
      <c r="AE76" s="1189"/>
      <c r="AF76" s="1189"/>
      <c r="AG76" s="1189"/>
      <c r="AH76" s="1189"/>
      <c r="AI76" s="1189"/>
      <c r="AJ76" s="1189"/>
      <c r="AK76" s="1189"/>
      <c r="AL76" s="1189"/>
      <c r="AM76" s="1189"/>
      <c r="AN76" s="1189"/>
      <c r="AO76" s="1189"/>
      <c r="AP76" s="1189"/>
      <c r="AQ76" s="1189"/>
      <c r="AR76" s="1189"/>
      <c r="AS76" s="1189"/>
      <c r="AT76" s="1189"/>
      <c r="AU76" s="1189"/>
      <c r="AV76" s="1189"/>
      <c r="AW76" s="1189"/>
      <c r="AX76" s="1189"/>
    </row>
    <row r="77" spans="1:50" ht="12" customHeight="1">
      <c r="A77" s="1123"/>
      <c r="B77" s="250"/>
      <c r="C77" s="1123"/>
      <c r="D77" s="1228"/>
      <c r="E77" s="1228"/>
      <c r="F77" s="1123"/>
      <c r="G77" s="1123"/>
      <c r="H77" s="1123"/>
      <c r="I77" s="1123"/>
      <c r="J77" s="1125"/>
      <c r="K77" s="156"/>
      <c r="L77" s="1123"/>
      <c r="M77" s="1205"/>
      <c r="N77" s="1123"/>
      <c r="O77" s="1123"/>
      <c r="P77" s="1123"/>
      <c r="Q77" s="1123"/>
      <c r="R77" s="1189"/>
      <c r="S77" s="1189"/>
      <c r="T77" s="1208"/>
      <c r="U77" s="1208"/>
      <c r="V77" s="1189"/>
      <c r="W77" s="1189"/>
      <c r="X77" s="1189"/>
      <c r="Y77" s="1189"/>
      <c r="Z77" s="1189"/>
      <c r="AA77" s="1189"/>
      <c r="AB77" s="1189"/>
      <c r="AC77" s="1189"/>
      <c r="AD77" s="1189"/>
      <c r="AE77" s="1189"/>
      <c r="AF77" s="1189"/>
      <c r="AG77" s="1189"/>
      <c r="AH77" s="1189"/>
      <c r="AI77" s="1189"/>
      <c r="AJ77" s="1189"/>
      <c r="AK77" s="1189"/>
      <c r="AL77" s="1189"/>
      <c r="AM77" s="1189"/>
      <c r="AN77" s="1189"/>
      <c r="AO77" s="1189"/>
      <c r="AP77" s="1189"/>
      <c r="AQ77" s="1189"/>
      <c r="AR77" s="1189"/>
      <c r="AS77" s="1189"/>
      <c r="AT77" s="1189"/>
      <c r="AU77" s="1189"/>
      <c r="AV77" s="1189"/>
      <c r="AW77" s="1189"/>
      <c r="AX77" s="1189"/>
    </row>
    <row r="78" spans="1:50" ht="12" customHeight="1">
      <c r="A78" s="1123"/>
      <c r="B78" s="100" t="s">
        <v>936</v>
      </c>
      <c r="C78" s="1123"/>
      <c r="D78" s="1123"/>
      <c r="E78" s="1123"/>
      <c r="F78" s="100" t="s">
        <v>937</v>
      </c>
      <c r="G78" s="1123"/>
      <c r="H78" s="1123"/>
      <c r="I78" s="1123"/>
      <c r="J78" s="1125"/>
      <c r="K78" s="156"/>
      <c r="L78" s="1123"/>
      <c r="M78" s="1205"/>
      <c r="N78" s="1123"/>
      <c r="O78" s="1123"/>
      <c r="P78" s="1123"/>
      <c r="Q78" s="1123"/>
      <c r="R78" s="1189"/>
      <c r="S78" s="1189"/>
      <c r="T78" s="1208"/>
      <c r="U78" s="1208"/>
      <c r="V78" s="1189"/>
      <c r="W78" s="1189"/>
      <c r="X78" s="1189"/>
      <c r="Y78" s="1189"/>
      <c r="Z78" s="1189"/>
      <c r="AA78" s="1189"/>
      <c r="AB78" s="1189"/>
      <c r="AC78" s="1189"/>
      <c r="AD78" s="1189"/>
      <c r="AE78" s="1189"/>
      <c r="AF78" s="1189"/>
      <c r="AG78" s="1189"/>
      <c r="AH78" s="1189"/>
      <c r="AI78" s="1189"/>
      <c r="AJ78" s="1189"/>
      <c r="AK78" s="1189"/>
      <c r="AL78" s="1189"/>
      <c r="AM78" s="1189"/>
      <c r="AN78" s="1189"/>
      <c r="AO78" s="1189"/>
      <c r="AP78" s="1189"/>
      <c r="AQ78" s="1189"/>
      <c r="AR78" s="1189"/>
      <c r="AS78" s="1189"/>
      <c r="AT78" s="1189"/>
      <c r="AU78" s="1189"/>
      <c r="AV78" s="1189"/>
      <c r="AW78" s="1189"/>
      <c r="AX78" s="1189"/>
    </row>
    <row r="79" spans="1:50" ht="12" customHeight="1">
      <c r="A79" s="1123"/>
      <c r="B79" s="1123"/>
      <c r="C79" s="1123"/>
      <c r="D79" s="705"/>
      <c r="E79" s="1123"/>
      <c r="F79" s="1123"/>
      <c r="G79" s="1123"/>
      <c r="H79" s="1123"/>
      <c r="I79" s="1123"/>
      <c r="J79" s="1125"/>
      <c r="K79" s="156"/>
      <c r="L79" s="1123"/>
      <c r="M79" s="1205"/>
      <c r="N79" s="1123"/>
      <c r="O79" s="1123"/>
      <c r="P79" s="1123"/>
      <c r="Q79" s="1123"/>
      <c r="R79" s="1189"/>
      <c r="S79" s="1189"/>
      <c r="T79" s="1208"/>
      <c r="U79" s="1208"/>
      <c r="V79" s="1189"/>
      <c r="W79" s="1189"/>
      <c r="X79" s="1189"/>
      <c r="Y79" s="1189"/>
      <c r="Z79" s="1189"/>
      <c r="AA79" s="1189"/>
      <c r="AB79" s="1189"/>
      <c r="AC79" s="1189"/>
      <c r="AD79" s="1189"/>
      <c r="AE79" s="1189"/>
      <c r="AF79" s="1189"/>
      <c r="AG79" s="1189"/>
      <c r="AH79" s="1189"/>
      <c r="AI79" s="1189"/>
      <c r="AJ79" s="1189"/>
      <c r="AK79" s="1189"/>
      <c r="AL79" s="1189"/>
      <c r="AM79" s="1189"/>
      <c r="AN79" s="1189"/>
      <c r="AO79" s="1189"/>
      <c r="AP79" s="1189"/>
      <c r="AQ79" s="1189"/>
      <c r="AR79" s="1189"/>
      <c r="AS79" s="1189"/>
      <c r="AT79" s="1189"/>
      <c r="AU79" s="1189"/>
      <c r="AV79" s="1189"/>
      <c r="AW79" s="1189"/>
      <c r="AX79" s="1189"/>
    </row>
    <row r="80" spans="1:50" ht="12" customHeight="1">
      <c r="A80" s="1123"/>
      <c r="B80" s="1123"/>
      <c r="C80" s="1123"/>
      <c r="D80" s="705"/>
      <c r="E80" s="1123"/>
      <c r="F80" s="1123"/>
      <c r="G80" s="1123"/>
      <c r="H80" s="1123"/>
      <c r="I80" s="1123"/>
      <c r="J80" s="1125"/>
      <c r="K80" s="156"/>
      <c r="L80" s="1123"/>
      <c r="M80" s="1205"/>
      <c r="N80" s="1123"/>
      <c r="O80" s="1123"/>
      <c r="P80" s="1123"/>
      <c r="Q80" s="1123"/>
      <c r="R80" s="1189"/>
      <c r="S80" s="1189"/>
      <c r="T80" s="1208"/>
      <c r="U80" s="1208"/>
      <c r="V80" s="1189"/>
      <c r="W80" s="1189"/>
      <c r="X80" s="1189"/>
      <c r="Y80" s="1189"/>
      <c r="Z80" s="1189"/>
      <c r="AA80" s="1189"/>
      <c r="AB80" s="1189"/>
      <c r="AC80" s="1189"/>
      <c r="AD80" s="1189"/>
      <c r="AE80" s="1189"/>
      <c r="AF80" s="1189"/>
      <c r="AG80" s="1189"/>
      <c r="AH80" s="1189"/>
      <c r="AI80" s="1189"/>
      <c r="AJ80" s="1189"/>
      <c r="AK80" s="1189"/>
      <c r="AL80" s="1189"/>
      <c r="AM80" s="1189"/>
      <c r="AN80" s="1189"/>
      <c r="AO80" s="1189"/>
      <c r="AP80" s="1189"/>
      <c r="AQ80" s="1189"/>
      <c r="AR80" s="1189"/>
      <c r="AS80" s="1189"/>
      <c r="AT80" s="1189"/>
      <c r="AU80" s="1189"/>
      <c r="AV80" s="1189"/>
      <c r="AW80" s="1189"/>
      <c r="AX80" s="1189"/>
    </row>
    <row r="81" spans="1:50" ht="12" customHeight="1">
      <c r="A81" s="1123"/>
      <c r="B81" s="1568" t="str">
        <f>FORM!I28</f>
        <v xml:space="preserve">agent </v>
      </c>
      <c r="C81" s="1568"/>
      <c r="D81" s="1568"/>
      <c r="E81" s="100"/>
      <c r="F81" s="1568" t="str">
        <f>FORM!I26</f>
        <v>cnc</v>
      </c>
      <c r="G81" s="1568"/>
      <c r="H81" s="1568"/>
      <c r="I81" s="1568"/>
      <c r="J81" s="1125"/>
      <c r="K81" s="156"/>
      <c r="L81" s="1123"/>
      <c r="M81" s="1205"/>
      <c r="N81" s="1123"/>
      <c r="O81" s="1123"/>
      <c r="P81" s="1123"/>
      <c r="Q81" s="1123"/>
      <c r="R81" s="1189"/>
      <c r="S81" s="1189"/>
      <c r="T81" s="1208"/>
      <c r="U81" s="1208"/>
      <c r="V81" s="1189"/>
      <c r="W81" s="1189"/>
      <c r="X81" s="1189"/>
      <c r="Y81" s="1189"/>
      <c r="Z81" s="1189"/>
      <c r="AA81" s="1189"/>
      <c r="AB81" s="1189"/>
      <c r="AC81" s="1189"/>
      <c r="AD81" s="1189"/>
      <c r="AE81" s="1189"/>
      <c r="AF81" s="1189"/>
      <c r="AG81" s="1189"/>
      <c r="AH81" s="1189"/>
      <c r="AI81" s="1189"/>
      <c r="AJ81" s="1189"/>
      <c r="AK81" s="1189"/>
      <c r="AL81" s="1189"/>
      <c r="AM81" s="1189"/>
      <c r="AN81" s="1189"/>
      <c r="AO81" s="1189"/>
      <c r="AP81" s="1189"/>
      <c r="AQ81" s="1189"/>
      <c r="AR81" s="1189"/>
      <c r="AS81" s="1189"/>
      <c r="AT81" s="1189"/>
      <c r="AU81" s="1189"/>
      <c r="AV81" s="1189"/>
      <c r="AW81" s="1189"/>
      <c r="AX81" s="1189"/>
    </row>
    <row r="82" spans="1:50" ht="12" customHeight="1">
      <c r="A82" s="1123"/>
      <c r="B82" s="1226" t="s">
        <v>938</v>
      </c>
      <c r="C82" s="1569"/>
      <c r="D82" s="1569"/>
      <c r="E82" s="1123"/>
      <c r="F82" s="1570" t="s">
        <v>939</v>
      </c>
      <c r="G82" s="1570"/>
      <c r="H82" s="1570"/>
      <c r="I82" s="1229"/>
      <c r="J82" s="1125"/>
      <c r="K82" s="156"/>
      <c r="L82" s="1123"/>
      <c r="M82" s="1205"/>
      <c r="N82" s="1123"/>
      <c r="O82" s="1123"/>
      <c r="P82" s="1123"/>
      <c r="Q82" s="1123"/>
      <c r="R82" s="1189"/>
      <c r="S82" s="1189"/>
      <c r="T82" s="1208"/>
      <c r="U82" s="1208"/>
      <c r="V82" s="1189"/>
      <c r="W82" s="1189"/>
      <c r="X82" s="1189"/>
      <c r="Y82" s="1189"/>
      <c r="Z82" s="1189"/>
      <c r="AA82" s="1189"/>
      <c r="AB82" s="1189"/>
      <c r="AC82" s="1189"/>
      <c r="AD82" s="1189"/>
      <c r="AE82" s="1189"/>
      <c r="AF82" s="1189"/>
      <c r="AG82" s="1189"/>
      <c r="AH82" s="1189"/>
      <c r="AI82" s="1189"/>
      <c r="AJ82" s="1189"/>
      <c r="AK82" s="1189"/>
      <c r="AL82" s="1189"/>
      <c r="AM82" s="1189"/>
      <c r="AN82" s="1189"/>
      <c r="AO82" s="1189"/>
      <c r="AP82" s="1189"/>
      <c r="AQ82" s="1189"/>
      <c r="AR82" s="1189"/>
      <c r="AS82" s="1189"/>
      <c r="AT82" s="1189"/>
      <c r="AU82" s="1189"/>
      <c r="AV82" s="1189"/>
      <c r="AW82" s="1189"/>
      <c r="AX82" s="1189"/>
    </row>
    <row r="83" spans="1:50" ht="12" customHeight="1">
      <c r="A83" s="1123"/>
      <c r="B83" s="161"/>
      <c r="C83" s="1123"/>
      <c r="D83" s="1123"/>
      <c r="E83" s="1123"/>
      <c r="F83" s="1123"/>
      <c r="G83" s="1123"/>
      <c r="H83" s="1123"/>
      <c r="I83" s="1123"/>
      <c r="J83" s="1125"/>
      <c r="K83" s="156"/>
      <c r="L83" s="1123"/>
      <c r="M83" s="1205"/>
      <c r="N83" s="1123"/>
      <c r="O83" s="1123"/>
      <c r="P83" s="1123"/>
      <c r="Q83" s="1123"/>
      <c r="R83" s="1189"/>
      <c r="S83" s="1189"/>
      <c r="T83" s="1208"/>
      <c r="U83" s="1208"/>
      <c r="V83" s="1189"/>
      <c r="W83" s="1189"/>
      <c r="X83" s="1189"/>
      <c r="Y83" s="1189"/>
      <c r="Z83" s="1189"/>
      <c r="AA83" s="1189"/>
      <c r="AB83" s="1189"/>
      <c r="AC83" s="1189"/>
      <c r="AD83" s="1189"/>
      <c r="AE83" s="1189"/>
      <c r="AF83" s="1189"/>
      <c r="AG83" s="1189"/>
      <c r="AH83" s="1189"/>
      <c r="AI83" s="1189"/>
      <c r="AJ83" s="1189"/>
      <c r="AK83" s="1189"/>
      <c r="AL83" s="1189"/>
      <c r="AM83" s="1189"/>
      <c r="AN83" s="1189"/>
      <c r="AO83" s="1189"/>
      <c r="AP83" s="1189"/>
      <c r="AQ83" s="1189"/>
      <c r="AR83" s="1189"/>
      <c r="AS83" s="1189"/>
      <c r="AT83" s="1189"/>
      <c r="AU83" s="1189"/>
      <c r="AV83" s="1189"/>
      <c r="AW83" s="1189"/>
      <c r="AX83" s="1189"/>
    </row>
    <row r="84" spans="1:50" ht="12" customHeight="1">
      <c r="A84" s="1123"/>
      <c r="B84" s="161"/>
      <c r="C84" s="1123"/>
      <c r="D84" s="1123"/>
      <c r="E84" s="1123"/>
      <c r="F84" s="1123"/>
      <c r="G84" s="1123"/>
      <c r="H84" s="1123"/>
      <c r="I84" s="1123"/>
      <c r="J84" s="1125"/>
      <c r="K84" s="156"/>
      <c r="L84" s="1123"/>
      <c r="M84" s="1205"/>
      <c r="N84" s="1123"/>
      <c r="O84" s="1123"/>
      <c r="P84" s="1123"/>
      <c r="Q84" s="1123"/>
      <c r="R84" s="1189"/>
      <c r="S84" s="1189"/>
      <c r="T84" s="1208"/>
      <c r="U84" s="1208"/>
      <c r="V84" s="1189"/>
      <c r="W84" s="1189"/>
      <c r="X84" s="1189"/>
      <c r="Y84" s="1189"/>
      <c r="Z84" s="1189"/>
      <c r="AA84" s="1189"/>
      <c r="AB84" s="1189"/>
      <c r="AC84" s="1189"/>
      <c r="AD84" s="1189"/>
      <c r="AE84" s="1189"/>
      <c r="AF84" s="1189"/>
      <c r="AG84" s="1189"/>
      <c r="AH84" s="1189"/>
      <c r="AI84" s="1189"/>
      <c r="AJ84" s="1189"/>
      <c r="AK84" s="1189"/>
      <c r="AL84" s="1189"/>
      <c r="AM84" s="1189"/>
      <c r="AN84" s="1189"/>
      <c r="AO84" s="1189"/>
      <c r="AP84" s="1189"/>
      <c r="AQ84" s="1189"/>
      <c r="AR84" s="1189"/>
      <c r="AS84" s="1189"/>
      <c r="AT84" s="1189"/>
      <c r="AU84" s="1189"/>
      <c r="AV84" s="1189"/>
      <c r="AW84" s="1189"/>
      <c r="AX84" s="1189"/>
    </row>
    <row r="85" spans="1:50" ht="12" customHeight="1">
      <c r="A85" s="1123"/>
      <c r="B85" s="161"/>
      <c r="C85" s="1123"/>
      <c r="D85" s="1123"/>
      <c r="E85" s="1123"/>
      <c r="F85" s="1123"/>
      <c r="G85" s="1123"/>
      <c r="H85" s="1123"/>
      <c r="I85" s="1123"/>
      <c r="J85" s="1125"/>
      <c r="K85" s="156"/>
      <c r="L85" s="1123"/>
      <c r="M85" s="1205"/>
      <c r="N85" s="1123"/>
      <c r="O85" s="1123"/>
      <c r="P85" s="1123"/>
      <c r="Q85" s="1123"/>
      <c r="R85" s="1189"/>
      <c r="S85" s="1189"/>
      <c r="T85" s="1208"/>
      <c r="U85" s="1208"/>
      <c r="V85" s="1189"/>
      <c r="W85" s="1189"/>
      <c r="X85" s="1189"/>
      <c r="Y85" s="1189"/>
      <c r="Z85" s="1189"/>
      <c r="AA85" s="1189"/>
      <c r="AB85" s="1189"/>
      <c r="AC85" s="1189"/>
      <c r="AD85" s="1189"/>
      <c r="AE85" s="1189"/>
      <c r="AF85" s="1189"/>
      <c r="AG85" s="1189"/>
      <c r="AH85" s="1189"/>
      <c r="AI85" s="1189"/>
      <c r="AJ85" s="1189"/>
      <c r="AK85" s="1189"/>
      <c r="AL85" s="1189"/>
      <c r="AM85" s="1189"/>
      <c r="AN85" s="1189"/>
      <c r="AO85" s="1189"/>
      <c r="AP85" s="1189"/>
      <c r="AQ85" s="1189"/>
      <c r="AR85" s="1189"/>
      <c r="AS85" s="1189"/>
      <c r="AT85" s="1189"/>
      <c r="AU85" s="1189"/>
      <c r="AV85" s="1189"/>
      <c r="AW85" s="1189"/>
      <c r="AX85" s="1189"/>
    </row>
    <row r="86" spans="1:50" ht="12" customHeight="1">
      <c r="A86" s="1123"/>
      <c r="B86" s="161"/>
      <c r="C86" s="1123"/>
      <c r="D86" s="1123"/>
      <c r="E86" s="1123"/>
      <c r="F86" s="1123"/>
      <c r="G86" s="1123"/>
      <c r="H86" s="1123"/>
      <c r="I86" s="1123"/>
      <c r="J86" s="1125"/>
      <c r="K86" s="156"/>
      <c r="L86" s="1123"/>
      <c r="M86" s="1205"/>
      <c r="N86" s="1123"/>
      <c r="O86" s="1123"/>
      <c r="P86" s="1123"/>
      <c r="Q86" s="1123"/>
      <c r="R86" s="1189"/>
      <c r="S86" s="1189"/>
      <c r="T86" s="1208"/>
      <c r="U86" s="1208"/>
      <c r="V86" s="1189"/>
      <c r="W86" s="1189"/>
      <c r="X86" s="1189"/>
      <c r="Y86" s="1189"/>
      <c r="Z86" s="1189"/>
      <c r="AA86" s="1189"/>
      <c r="AB86" s="1189"/>
      <c r="AC86" s="1189"/>
      <c r="AD86" s="1189"/>
      <c r="AE86" s="1189"/>
      <c r="AF86" s="1189"/>
      <c r="AG86" s="1189"/>
      <c r="AH86" s="1189"/>
      <c r="AI86" s="1189"/>
      <c r="AJ86" s="1189"/>
      <c r="AK86" s="1189"/>
      <c r="AL86" s="1189"/>
      <c r="AM86" s="1189"/>
      <c r="AN86" s="1189"/>
      <c r="AO86" s="1189"/>
      <c r="AP86" s="1189"/>
      <c r="AQ86" s="1189"/>
      <c r="AR86" s="1189"/>
      <c r="AS86" s="1189"/>
      <c r="AT86" s="1189"/>
      <c r="AU86" s="1189"/>
      <c r="AV86" s="1189"/>
      <c r="AW86" s="1189"/>
      <c r="AX86" s="1189"/>
    </row>
    <row r="87" spans="1:50" ht="12" customHeight="1">
      <c r="A87" s="1123"/>
      <c r="B87" s="161"/>
      <c r="C87" s="1123"/>
      <c r="D87" s="1123"/>
      <c r="E87" s="1123"/>
      <c r="F87" s="1123"/>
      <c r="G87" s="1123"/>
      <c r="H87" s="1123"/>
      <c r="I87" s="1123"/>
      <c r="J87" s="1125"/>
      <c r="K87" s="156"/>
      <c r="L87" s="1123"/>
      <c r="M87" s="1205"/>
      <c r="N87" s="1123"/>
      <c r="O87" s="1123"/>
      <c r="P87" s="1123"/>
      <c r="Q87" s="1123"/>
      <c r="R87" s="1189"/>
      <c r="S87" s="1189"/>
      <c r="T87" s="1208"/>
      <c r="U87" s="1208"/>
      <c r="V87" s="1189"/>
      <c r="W87" s="1189"/>
      <c r="X87" s="1189"/>
      <c r="Y87" s="1189"/>
      <c r="Z87" s="1189"/>
      <c r="AA87" s="1189"/>
      <c r="AB87" s="1189"/>
      <c r="AC87" s="1189"/>
      <c r="AD87" s="1189"/>
      <c r="AE87" s="1189"/>
      <c r="AF87" s="1189"/>
      <c r="AG87" s="1189"/>
      <c r="AH87" s="1189"/>
      <c r="AI87" s="1189"/>
      <c r="AJ87" s="1189"/>
      <c r="AK87" s="1189"/>
      <c r="AL87" s="1189"/>
      <c r="AM87" s="1189"/>
      <c r="AN87" s="1189"/>
      <c r="AO87" s="1189"/>
      <c r="AP87" s="1189"/>
      <c r="AQ87" s="1189"/>
      <c r="AR87" s="1189"/>
      <c r="AS87" s="1189"/>
      <c r="AT87" s="1189"/>
      <c r="AU87" s="1189"/>
      <c r="AV87" s="1189"/>
      <c r="AW87" s="1189"/>
      <c r="AX87" s="1189"/>
    </row>
    <row r="88" spans="1:50" ht="12.6">
      <c r="A88" s="1123"/>
      <c r="B88" s="161"/>
      <c r="C88" s="1123"/>
      <c r="D88" s="705"/>
      <c r="E88" s="1123"/>
      <c r="F88" s="1123"/>
      <c r="G88" s="1123"/>
      <c r="H88" s="1123"/>
      <c r="I88" s="1123"/>
      <c r="J88" s="1125"/>
      <c r="K88" s="156"/>
      <c r="L88" s="1123"/>
      <c r="M88" s="1205"/>
      <c r="N88" s="1123"/>
      <c r="O88" s="1123"/>
      <c r="P88" s="1123"/>
      <c r="Q88" s="1123"/>
      <c r="R88" s="1189"/>
      <c r="S88" s="1189"/>
      <c r="T88" s="1208"/>
      <c r="U88" s="1208"/>
      <c r="V88" s="1189"/>
      <c r="W88" s="1189"/>
      <c r="X88" s="1189"/>
      <c r="Y88" s="1189"/>
      <c r="Z88" s="1189"/>
      <c r="AA88" s="1189"/>
      <c r="AB88" s="1189"/>
      <c r="AC88" s="1189"/>
      <c r="AD88" s="1189"/>
      <c r="AE88" s="1189"/>
      <c r="AF88" s="1189"/>
      <c r="AG88" s="1189"/>
      <c r="AH88" s="1189"/>
      <c r="AI88" s="1189"/>
      <c r="AJ88" s="1189"/>
      <c r="AK88" s="1189"/>
      <c r="AL88" s="1189"/>
      <c r="AM88" s="1189"/>
      <c r="AN88" s="1189"/>
      <c r="AO88" s="1189"/>
      <c r="AP88" s="1189"/>
      <c r="AQ88" s="1189"/>
      <c r="AR88" s="1189"/>
      <c r="AS88" s="1189"/>
      <c r="AT88" s="1189"/>
      <c r="AU88" s="1189"/>
      <c r="AV88" s="1189"/>
      <c r="AW88" s="1189"/>
      <c r="AX88" s="1189"/>
    </row>
    <row r="89" spans="1:50" ht="12" customHeight="1">
      <c r="A89" s="1123"/>
      <c r="B89" s="161"/>
      <c r="C89" s="1123"/>
      <c r="D89" s="705"/>
      <c r="E89" s="1123"/>
      <c r="F89" s="1123"/>
      <c r="G89" s="1123"/>
      <c r="H89" s="1123"/>
      <c r="I89" s="1123"/>
      <c r="J89" s="1125"/>
      <c r="K89" s="156"/>
      <c r="L89" s="1123"/>
      <c r="M89" s="1205"/>
      <c r="N89" s="1123"/>
      <c r="O89" s="1123"/>
      <c r="P89" s="1123"/>
      <c r="Q89" s="1123"/>
      <c r="R89" s="1189"/>
      <c r="S89" s="1189"/>
      <c r="T89" s="1208"/>
      <c r="U89" s="1208"/>
      <c r="V89" s="1189"/>
      <c r="W89" s="1189"/>
      <c r="X89" s="1189"/>
      <c r="Y89" s="1189"/>
      <c r="Z89" s="1189"/>
      <c r="AA89" s="1189"/>
      <c r="AB89" s="1189"/>
      <c r="AC89" s="1189"/>
      <c r="AD89" s="1189"/>
      <c r="AE89" s="1189"/>
      <c r="AF89" s="1189"/>
      <c r="AG89" s="1189"/>
      <c r="AH89" s="1189"/>
      <c r="AI89" s="1189"/>
      <c r="AJ89" s="1189"/>
      <c r="AK89" s="1189"/>
      <c r="AL89" s="1189"/>
      <c r="AM89" s="1189"/>
      <c r="AN89" s="1189"/>
      <c r="AO89" s="1189"/>
      <c r="AP89" s="1189"/>
      <c r="AQ89" s="1189"/>
      <c r="AR89" s="1189"/>
      <c r="AS89" s="1189"/>
      <c r="AT89" s="1189"/>
      <c r="AU89" s="1189"/>
      <c r="AV89" s="1189"/>
      <c r="AW89" s="1189"/>
      <c r="AX89" s="1189"/>
    </row>
    <row r="90" spans="1:50" ht="12" customHeight="1">
      <c r="A90" s="1123"/>
      <c r="B90" s="161"/>
      <c r="C90" s="1123"/>
      <c r="D90" s="705"/>
      <c r="E90" s="1123"/>
      <c r="F90" s="1123"/>
      <c r="G90" s="1123"/>
      <c r="H90" s="1123"/>
      <c r="I90" s="1123"/>
      <c r="J90" s="1125"/>
      <c r="K90" s="156"/>
      <c r="L90" s="1123"/>
      <c r="M90" s="1205"/>
      <c r="N90" s="1123"/>
      <c r="O90" s="1123"/>
      <c r="P90" s="1123"/>
      <c r="Q90" s="1123"/>
      <c r="R90" s="1189"/>
      <c r="S90" s="1189"/>
      <c r="T90" s="1208"/>
      <c r="U90" s="1208"/>
      <c r="V90" s="1189"/>
      <c r="W90" s="1189"/>
      <c r="X90" s="1189"/>
      <c r="Y90" s="1189"/>
      <c r="Z90" s="1189"/>
      <c r="AA90" s="1189"/>
      <c r="AB90" s="1189"/>
      <c r="AC90" s="1189"/>
      <c r="AD90" s="1189"/>
      <c r="AE90" s="1189"/>
      <c r="AF90" s="1189"/>
      <c r="AG90" s="1189"/>
      <c r="AH90" s="1189"/>
      <c r="AI90" s="1189"/>
      <c r="AJ90" s="1189"/>
      <c r="AK90" s="1189"/>
      <c r="AL90" s="1189"/>
      <c r="AM90" s="1189"/>
      <c r="AN90" s="1189"/>
      <c r="AO90" s="1189"/>
      <c r="AP90" s="1189"/>
      <c r="AQ90" s="1189"/>
      <c r="AR90" s="1189"/>
      <c r="AS90" s="1189"/>
      <c r="AT90" s="1189"/>
      <c r="AU90" s="1189"/>
      <c r="AV90" s="1189"/>
      <c r="AW90" s="1189"/>
      <c r="AX90" s="1189"/>
    </row>
    <row r="91" spans="1:50" ht="12" customHeight="1">
      <c r="A91" s="1123"/>
      <c r="B91" s="161"/>
      <c r="C91" s="1123"/>
      <c r="D91" s="1123"/>
      <c r="E91" s="1123"/>
      <c r="F91" s="1123"/>
      <c r="G91" s="1123"/>
      <c r="H91" s="1123"/>
      <c r="I91" s="1123"/>
      <c r="J91" s="1125"/>
      <c r="K91" s="156"/>
      <c r="L91" s="1123"/>
      <c r="M91" s="1205"/>
      <c r="N91" s="1123"/>
      <c r="O91" s="1123"/>
      <c r="P91" s="1123"/>
      <c r="Q91" s="1123"/>
      <c r="R91" s="1189"/>
      <c r="S91" s="1189"/>
      <c r="T91" s="1208"/>
      <c r="U91" s="1208"/>
      <c r="V91" s="1189"/>
      <c r="W91" s="1189"/>
      <c r="X91" s="1189"/>
      <c r="Y91" s="1189"/>
      <c r="Z91" s="1189"/>
      <c r="AA91" s="1189"/>
      <c r="AB91" s="1189"/>
      <c r="AC91" s="1189"/>
      <c r="AD91" s="1189"/>
      <c r="AE91" s="1189"/>
      <c r="AF91" s="1189"/>
      <c r="AG91" s="1189"/>
      <c r="AH91" s="1189"/>
      <c r="AI91" s="1189"/>
      <c r="AJ91" s="1189"/>
      <c r="AK91" s="1189"/>
      <c r="AL91" s="1189"/>
      <c r="AM91" s="1189"/>
      <c r="AN91" s="1189"/>
      <c r="AO91" s="1189"/>
      <c r="AP91" s="1189"/>
      <c r="AQ91" s="1189"/>
      <c r="AR91" s="1189"/>
      <c r="AS91" s="1189"/>
      <c r="AT91" s="1189"/>
      <c r="AU91" s="1189"/>
      <c r="AV91" s="1189"/>
      <c r="AW91" s="1189"/>
      <c r="AX91" s="1189"/>
    </row>
    <row r="92" spans="1:50" ht="12" customHeight="1">
      <c r="A92" s="1123"/>
      <c r="B92" s="161"/>
      <c r="C92" s="1123"/>
      <c r="D92" s="1123"/>
      <c r="E92" s="1123"/>
      <c r="F92" s="1123"/>
      <c r="G92" s="1123"/>
      <c r="H92" s="1123"/>
      <c r="I92" s="1123"/>
      <c r="J92" s="1125"/>
      <c r="K92" s="156"/>
      <c r="L92" s="1123"/>
      <c r="M92" s="1205"/>
      <c r="N92" s="1123"/>
      <c r="O92" s="1123"/>
      <c r="P92" s="1123"/>
      <c r="Q92" s="1123"/>
      <c r="R92" s="1189"/>
      <c r="S92" s="1189"/>
      <c r="T92" s="1208"/>
      <c r="U92" s="1208"/>
      <c r="V92" s="1189"/>
      <c r="W92" s="1189"/>
      <c r="X92" s="1189"/>
      <c r="Y92" s="1189"/>
      <c r="Z92" s="1189"/>
      <c r="AA92" s="1189"/>
      <c r="AB92" s="1189"/>
      <c r="AC92" s="1189"/>
      <c r="AD92" s="1189"/>
      <c r="AE92" s="1189"/>
      <c r="AF92" s="1189"/>
      <c r="AG92" s="1189"/>
      <c r="AH92" s="1189"/>
      <c r="AI92" s="1189"/>
      <c r="AJ92" s="1189"/>
      <c r="AK92" s="1189"/>
      <c r="AL92" s="1189"/>
      <c r="AM92" s="1189"/>
      <c r="AN92" s="1189"/>
      <c r="AO92" s="1189"/>
      <c r="AP92" s="1189"/>
      <c r="AQ92" s="1189"/>
      <c r="AR92" s="1189"/>
      <c r="AS92" s="1189"/>
      <c r="AT92" s="1189"/>
      <c r="AU92" s="1189"/>
      <c r="AV92" s="1189"/>
      <c r="AW92" s="1189"/>
      <c r="AX92" s="1189"/>
    </row>
    <row r="93" spans="1:50" ht="12" customHeight="1">
      <c r="A93" s="1123"/>
      <c r="B93" s="161"/>
      <c r="C93" s="1123"/>
      <c r="D93" s="1123"/>
      <c r="E93" s="1123"/>
      <c r="F93" s="1123"/>
      <c r="G93" s="1123"/>
      <c r="H93" s="1123"/>
      <c r="I93" s="1123"/>
      <c r="J93" s="1125"/>
      <c r="K93" s="156"/>
      <c r="L93" s="1123"/>
      <c r="M93" s="1205"/>
      <c r="N93" s="1123"/>
      <c r="O93" s="1123"/>
      <c r="P93" s="1123"/>
      <c r="Q93" s="1123"/>
      <c r="R93" s="1189"/>
      <c r="S93" s="1189"/>
      <c r="T93" s="1208"/>
      <c r="U93" s="1208"/>
      <c r="V93" s="1189"/>
      <c r="W93" s="1189"/>
      <c r="X93" s="1189"/>
      <c r="Y93" s="1189"/>
      <c r="Z93" s="1189"/>
      <c r="AA93" s="1189"/>
      <c r="AB93" s="1189"/>
      <c r="AC93" s="1189"/>
      <c r="AD93" s="1189"/>
      <c r="AE93" s="1189"/>
      <c r="AF93" s="1189"/>
      <c r="AG93" s="1189"/>
      <c r="AH93" s="1189"/>
      <c r="AI93" s="1189"/>
      <c r="AJ93" s="1189"/>
      <c r="AK93" s="1189"/>
      <c r="AL93" s="1189"/>
      <c r="AM93" s="1189"/>
      <c r="AN93" s="1189"/>
      <c r="AO93" s="1189"/>
      <c r="AP93" s="1189"/>
      <c r="AQ93" s="1189"/>
      <c r="AR93" s="1189"/>
      <c r="AS93" s="1189"/>
      <c r="AT93" s="1189"/>
      <c r="AU93" s="1189"/>
      <c r="AV93" s="1189"/>
      <c r="AW93" s="1189"/>
      <c r="AX93" s="1189"/>
    </row>
    <row r="94" spans="1:50" ht="12" customHeight="1">
      <c r="A94" s="1123"/>
      <c r="B94" s="161"/>
      <c r="C94" s="1123"/>
      <c r="D94" s="1123"/>
      <c r="E94" s="1123"/>
      <c r="F94" s="1123"/>
      <c r="G94" s="1123"/>
      <c r="H94" s="1123"/>
      <c r="I94" s="1123"/>
      <c r="J94" s="1125"/>
      <c r="K94" s="156"/>
      <c r="L94" s="1123"/>
      <c r="M94" s="1205"/>
      <c r="N94" s="1123"/>
      <c r="O94" s="1123"/>
      <c r="P94" s="1123"/>
      <c r="Q94" s="1123"/>
      <c r="R94" s="1189"/>
      <c r="S94" s="1189"/>
      <c r="T94" s="1208"/>
      <c r="U94" s="1208"/>
      <c r="V94" s="1189"/>
      <c r="W94" s="1189"/>
      <c r="X94" s="1189"/>
      <c r="Y94" s="1189"/>
      <c r="Z94" s="1189"/>
      <c r="AA94" s="1189"/>
      <c r="AB94" s="1189"/>
      <c r="AC94" s="1189"/>
      <c r="AD94" s="1189"/>
      <c r="AE94" s="1189"/>
      <c r="AF94" s="1189"/>
      <c r="AG94" s="1189"/>
      <c r="AH94" s="1189"/>
      <c r="AI94" s="1189"/>
      <c r="AJ94" s="1189"/>
      <c r="AK94" s="1189"/>
      <c r="AL94" s="1189"/>
      <c r="AM94" s="1189"/>
      <c r="AN94" s="1189"/>
      <c r="AO94" s="1189"/>
      <c r="AP94" s="1189"/>
      <c r="AQ94" s="1189"/>
      <c r="AR94" s="1189"/>
      <c r="AS94" s="1189"/>
      <c r="AT94" s="1189"/>
      <c r="AU94" s="1189"/>
      <c r="AV94" s="1189"/>
      <c r="AW94" s="1189"/>
      <c r="AX94" s="1189"/>
    </row>
    <row r="95" spans="1:50" ht="12" customHeight="1">
      <c r="A95" s="1123"/>
      <c r="B95" s="161"/>
      <c r="C95" s="1123"/>
      <c r="D95" s="1123"/>
      <c r="E95" s="1123"/>
      <c r="F95" s="1123"/>
      <c r="G95" s="1123"/>
      <c r="H95" s="1123"/>
      <c r="I95" s="1123"/>
      <c r="J95" s="1125"/>
      <c r="K95" s="156"/>
      <c r="L95" s="1123"/>
      <c r="M95" s="1205"/>
      <c r="N95" s="1123"/>
      <c r="O95" s="1123"/>
      <c r="P95" s="1123"/>
      <c r="Q95" s="1123"/>
      <c r="R95" s="1189"/>
      <c r="S95" s="1189"/>
      <c r="T95" s="1208"/>
      <c r="U95" s="1208"/>
      <c r="V95" s="1189"/>
      <c r="W95" s="1189"/>
      <c r="X95" s="1189"/>
      <c r="Y95" s="1189"/>
      <c r="Z95" s="1189"/>
      <c r="AA95" s="1189"/>
      <c r="AB95" s="1189"/>
      <c r="AC95" s="1189"/>
      <c r="AD95" s="1189"/>
      <c r="AE95" s="1189"/>
      <c r="AF95" s="1189"/>
      <c r="AG95" s="1189"/>
      <c r="AH95" s="1189"/>
      <c r="AI95" s="1189"/>
      <c r="AJ95" s="1189"/>
      <c r="AK95" s="1189"/>
      <c r="AL95" s="1189"/>
      <c r="AM95" s="1189"/>
      <c r="AN95" s="1189"/>
      <c r="AO95" s="1189"/>
      <c r="AP95" s="1189"/>
      <c r="AQ95" s="1189"/>
      <c r="AR95" s="1189"/>
      <c r="AS95" s="1189"/>
      <c r="AT95" s="1189"/>
      <c r="AU95" s="1189"/>
      <c r="AV95" s="1189"/>
      <c r="AW95" s="1189"/>
      <c r="AX95" s="1189"/>
    </row>
    <row r="96" spans="1:50" ht="12" customHeight="1">
      <c r="A96" s="1123"/>
      <c r="B96" s="161"/>
      <c r="C96" s="1123"/>
      <c r="D96" s="1123"/>
      <c r="E96" s="1123"/>
      <c r="F96" s="1123"/>
      <c r="G96" s="1123"/>
      <c r="H96" s="1123"/>
      <c r="I96" s="1123"/>
      <c r="J96" s="1125"/>
      <c r="K96" s="156"/>
      <c r="L96" s="1123"/>
      <c r="M96" s="1205"/>
      <c r="N96" s="1123"/>
      <c r="O96" s="1123"/>
      <c r="P96" s="1123"/>
      <c r="Q96" s="1123"/>
      <c r="R96" s="1189"/>
      <c r="S96" s="1189"/>
      <c r="T96" s="1208"/>
      <c r="U96" s="1208"/>
      <c r="V96" s="1189"/>
      <c r="W96" s="1189"/>
      <c r="X96" s="1189"/>
      <c r="Y96" s="1189"/>
      <c r="Z96" s="1189"/>
      <c r="AA96" s="1189"/>
      <c r="AB96" s="1189"/>
      <c r="AC96" s="1189"/>
      <c r="AD96" s="1189"/>
      <c r="AE96" s="1189"/>
      <c r="AF96" s="1189"/>
      <c r="AG96" s="1189"/>
      <c r="AH96" s="1189"/>
      <c r="AI96" s="1189"/>
      <c r="AJ96" s="1189"/>
      <c r="AK96" s="1189"/>
      <c r="AL96" s="1189"/>
      <c r="AM96" s="1189"/>
      <c r="AN96" s="1189"/>
      <c r="AO96" s="1189"/>
      <c r="AP96" s="1189"/>
      <c r="AQ96" s="1189"/>
      <c r="AR96" s="1189"/>
      <c r="AS96" s="1189"/>
      <c r="AT96" s="1189"/>
      <c r="AU96" s="1189"/>
      <c r="AV96" s="1189"/>
      <c r="AW96" s="1189"/>
      <c r="AX96" s="1189"/>
    </row>
    <row r="97" spans="1:50" ht="12" customHeight="1">
      <c r="A97" s="1123"/>
      <c r="B97" s="161"/>
      <c r="C97" s="1123"/>
      <c r="D97" s="1123"/>
      <c r="E97" s="1123"/>
      <c r="F97" s="1123"/>
      <c r="G97" s="1123"/>
      <c r="H97" s="1123"/>
      <c r="I97" s="1123"/>
      <c r="J97" s="1125"/>
      <c r="K97" s="156"/>
      <c r="L97" s="1123"/>
      <c r="M97" s="1205"/>
      <c r="N97" s="1123"/>
      <c r="O97" s="1123"/>
      <c r="P97" s="1123"/>
      <c r="Q97" s="1123"/>
      <c r="R97" s="1189"/>
      <c r="S97" s="1189"/>
      <c r="T97" s="1208"/>
      <c r="U97" s="1208"/>
      <c r="V97" s="1189"/>
      <c r="W97" s="1189"/>
      <c r="X97" s="1189"/>
      <c r="Y97" s="1189"/>
      <c r="Z97" s="1189"/>
      <c r="AA97" s="1189"/>
      <c r="AB97" s="1189"/>
      <c r="AC97" s="1189"/>
      <c r="AD97" s="1189"/>
      <c r="AE97" s="1189"/>
      <c r="AF97" s="1189"/>
      <c r="AG97" s="1189"/>
      <c r="AH97" s="1189"/>
      <c r="AI97" s="1189"/>
      <c r="AJ97" s="1189"/>
      <c r="AK97" s="1189"/>
      <c r="AL97" s="1189"/>
      <c r="AM97" s="1189"/>
      <c r="AN97" s="1189"/>
      <c r="AO97" s="1189"/>
      <c r="AP97" s="1189"/>
      <c r="AQ97" s="1189"/>
      <c r="AR97" s="1189"/>
      <c r="AS97" s="1189"/>
      <c r="AT97" s="1189"/>
      <c r="AU97" s="1189"/>
      <c r="AV97" s="1189"/>
      <c r="AW97" s="1189"/>
      <c r="AX97" s="1189"/>
    </row>
    <row r="98" spans="1:50" ht="12" customHeight="1">
      <c r="A98" s="1123"/>
      <c r="B98" s="161"/>
      <c r="C98" s="1123"/>
      <c r="D98" s="1123"/>
      <c r="E98" s="1123"/>
      <c r="F98" s="1123"/>
      <c r="G98" s="1123"/>
      <c r="H98" s="1123"/>
      <c r="I98" s="1123"/>
      <c r="J98" s="1125"/>
      <c r="K98" s="156"/>
      <c r="L98" s="1123"/>
      <c r="M98" s="1205"/>
      <c r="N98" s="1123"/>
      <c r="O98" s="1123"/>
      <c r="P98" s="1123"/>
      <c r="Q98" s="1123"/>
      <c r="R98" s="1189"/>
      <c r="S98" s="1189"/>
      <c r="T98" s="1208"/>
      <c r="U98" s="1208"/>
      <c r="V98" s="1189"/>
      <c r="W98" s="1189"/>
      <c r="X98" s="1189"/>
      <c r="Y98" s="1189"/>
      <c r="Z98" s="1189"/>
      <c r="AA98" s="1189"/>
      <c r="AB98" s="1189"/>
      <c r="AC98" s="1189"/>
      <c r="AD98" s="1189"/>
      <c r="AE98" s="1189"/>
      <c r="AF98" s="1189"/>
      <c r="AG98" s="1189"/>
      <c r="AH98" s="1189"/>
      <c r="AI98" s="1189"/>
      <c r="AJ98" s="1189"/>
      <c r="AK98" s="1189"/>
      <c r="AL98" s="1189"/>
      <c r="AM98" s="1189"/>
      <c r="AN98" s="1189"/>
      <c r="AO98" s="1189"/>
      <c r="AP98" s="1189"/>
      <c r="AQ98" s="1189"/>
      <c r="AR98" s="1189"/>
      <c r="AS98" s="1189"/>
      <c r="AT98" s="1189"/>
      <c r="AU98" s="1189"/>
      <c r="AV98" s="1189"/>
      <c r="AW98" s="1189"/>
      <c r="AX98" s="1189"/>
    </row>
    <row r="99" spans="1:50" ht="12" customHeight="1">
      <c r="A99" s="1123"/>
      <c r="B99" s="161"/>
      <c r="C99" s="1123"/>
      <c r="D99" s="1123"/>
      <c r="E99" s="1123"/>
      <c r="F99" s="1123"/>
      <c r="G99" s="1123"/>
      <c r="H99" s="1123"/>
      <c r="I99" s="1123"/>
      <c r="J99" s="1125"/>
      <c r="K99" s="156"/>
      <c r="L99" s="1123"/>
      <c r="M99" s="1205"/>
      <c r="N99" s="1123"/>
      <c r="O99" s="1123"/>
      <c r="P99" s="1123"/>
      <c r="Q99" s="1123"/>
      <c r="R99" s="1189"/>
      <c r="S99" s="1189"/>
      <c r="T99" s="1208"/>
      <c r="U99" s="1208"/>
      <c r="V99" s="1189"/>
      <c r="W99" s="1189"/>
      <c r="X99" s="1189"/>
      <c r="Y99" s="1189"/>
      <c r="Z99" s="1189"/>
      <c r="AA99" s="1189"/>
      <c r="AB99" s="1189"/>
      <c r="AC99" s="1189"/>
      <c r="AD99" s="1189"/>
      <c r="AE99" s="1189"/>
      <c r="AF99" s="1189"/>
      <c r="AG99" s="1189"/>
      <c r="AH99" s="1189"/>
      <c r="AI99" s="1189"/>
      <c r="AJ99" s="1189"/>
      <c r="AK99" s="1189"/>
      <c r="AL99" s="1189"/>
      <c r="AM99" s="1189"/>
      <c r="AN99" s="1189"/>
      <c r="AO99" s="1189"/>
      <c r="AP99" s="1189"/>
      <c r="AQ99" s="1189"/>
      <c r="AR99" s="1189"/>
      <c r="AS99" s="1189"/>
      <c r="AT99" s="1189"/>
      <c r="AU99" s="1189"/>
      <c r="AV99" s="1189"/>
      <c r="AW99" s="1189"/>
      <c r="AX99" s="1189"/>
    </row>
    <row r="100" spans="1:50" ht="12" customHeight="1">
      <c r="A100" s="1123"/>
      <c r="B100" s="161"/>
      <c r="C100" s="1123"/>
      <c r="D100" s="1123"/>
      <c r="E100" s="1123"/>
      <c r="F100" s="1123"/>
      <c r="G100" s="1123"/>
      <c r="H100" s="1123"/>
      <c r="I100" s="1123"/>
      <c r="J100" s="1125"/>
      <c r="K100" s="156"/>
      <c r="L100" s="1123"/>
      <c r="M100" s="1205"/>
      <c r="N100" s="1123"/>
      <c r="O100" s="1123"/>
      <c r="P100" s="1123"/>
      <c r="Q100" s="1123"/>
      <c r="R100" s="1189"/>
      <c r="S100" s="1189"/>
      <c r="T100" s="1208"/>
      <c r="U100" s="1208"/>
      <c r="V100" s="1189"/>
      <c r="W100" s="1189"/>
      <c r="X100" s="1189"/>
      <c r="Y100" s="1189"/>
      <c r="Z100" s="1189"/>
      <c r="AA100" s="1189"/>
      <c r="AB100" s="1189"/>
      <c r="AC100" s="1189"/>
      <c r="AD100" s="1189"/>
      <c r="AE100" s="1189"/>
      <c r="AF100" s="1189"/>
      <c r="AG100" s="1189"/>
      <c r="AH100" s="1189"/>
      <c r="AI100" s="1189"/>
      <c r="AJ100" s="1189"/>
      <c r="AK100" s="1189"/>
      <c r="AL100" s="1189"/>
      <c r="AM100" s="1189"/>
      <c r="AN100" s="1189"/>
      <c r="AO100" s="1189"/>
      <c r="AP100" s="1189"/>
      <c r="AQ100" s="1189"/>
      <c r="AR100" s="1189"/>
      <c r="AS100" s="1189"/>
      <c r="AT100" s="1189"/>
      <c r="AU100" s="1189"/>
      <c r="AV100" s="1189"/>
      <c r="AW100" s="1189"/>
      <c r="AX100" s="1189"/>
    </row>
    <row r="101" spans="1:50" ht="12" customHeight="1">
      <c r="A101" s="1123"/>
      <c r="B101" s="161"/>
      <c r="C101" s="1123"/>
      <c r="D101" s="1123"/>
      <c r="E101" s="1123"/>
      <c r="F101" s="1123"/>
      <c r="G101" s="1123"/>
      <c r="H101" s="1123"/>
      <c r="I101" s="1123"/>
      <c r="J101" s="1125"/>
      <c r="K101" s="156"/>
      <c r="L101" s="1123"/>
      <c r="M101" s="1205"/>
      <c r="N101" s="1123"/>
      <c r="O101" s="1123"/>
      <c r="P101" s="1123"/>
      <c r="Q101" s="1123"/>
      <c r="R101" s="1189"/>
      <c r="S101" s="1189"/>
      <c r="T101" s="1208"/>
      <c r="U101" s="1208"/>
      <c r="V101" s="1189"/>
      <c r="W101" s="1189"/>
      <c r="X101" s="1189"/>
      <c r="Y101" s="1189"/>
      <c r="Z101" s="1189"/>
      <c r="AA101" s="1189"/>
      <c r="AB101" s="1189"/>
      <c r="AC101" s="1189"/>
      <c r="AD101" s="1189"/>
      <c r="AE101" s="1189"/>
      <c r="AF101" s="1189"/>
      <c r="AG101" s="1189"/>
      <c r="AH101" s="1189"/>
      <c r="AI101" s="1189"/>
      <c r="AJ101" s="1189"/>
      <c r="AK101" s="1189"/>
      <c r="AL101" s="1189"/>
      <c r="AM101" s="1189"/>
      <c r="AN101" s="1189"/>
      <c r="AO101" s="1189"/>
      <c r="AP101" s="1189"/>
      <c r="AQ101" s="1189"/>
      <c r="AR101" s="1189"/>
      <c r="AS101" s="1189"/>
      <c r="AT101" s="1189"/>
      <c r="AU101" s="1189"/>
      <c r="AV101" s="1189"/>
      <c r="AW101" s="1189"/>
      <c r="AX101" s="1189"/>
    </row>
    <row r="102" spans="1:50" ht="12" customHeight="1">
      <c r="A102" s="1123"/>
      <c r="B102" s="161"/>
      <c r="C102" s="1123"/>
      <c r="D102" s="1123"/>
      <c r="E102" s="1123"/>
      <c r="F102" s="1123"/>
      <c r="G102" s="1123"/>
      <c r="H102" s="1123"/>
      <c r="I102" s="1123"/>
      <c r="J102" s="1125"/>
      <c r="K102" s="156"/>
      <c r="L102" s="1123"/>
      <c r="M102" s="1205"/>
      <c r="N102" s="1123"/>
      <c r="O102" s="1123"/>
      <c r="P102" s="1123"/>
      <c r="Q102" s="1123"/>
      <c r="R102" s="1189"/>
      <c r="S102" s="1189"/>
      <c r="T102" s="1208"/>
      <c r="U102" s="1208"/>
      <c r="V102" s="1189"/>
      <c r="W102" s="1189"/>
      <c r="X102" s="1189"/>
      <c r="Y102" s="1189"/>
      <c r="Z102" s="1189"/>
      <c r="AA102" s="1189"/>
      <c r="AB102" s="1189"/>
      <c r="AC102" s="1189"/>
      <c r="AD102" s="1189"/>
      <c r="AE102" s="1189"/>
      <c r="AF102" s="1189"/>
      <c r="AG102" s="1189"/>
      <c r="AH102" s="1189"/>
      <c r="AI102" s="1189"/>
      <c r="AJ102" s="1189"/>
      <c r="AK102" s="1189"/>
      <c r="AL102" s="1189"/>
      <c r="AM102" s="1189"/>
      <c r="AN102" s="1189"/>
      <c r="AO102" s="1189"/>
      <c r="AP102" s="1189"/>
      <c r="AQ102" s="1189"/>
      <c r="AR102" s="1189"/>
      <c r="AS102" s="1189"/>
      <c r="AT102" s="1189"/>
      <c r="AU102" s="1189"/>
      <c r="AV102" s="1189"/>
      <c r="AW102" s="1189"/>
      <c r="AX102" s="1189"/>
    </row>
    <row r="103" spans="1:50" ht="12" customHeight="1">
      <c r="A103" s="1123"/>
      <c r="B103" s="161"/>
      <c r="C103" s="1123"/>
      <c r="D103" s="1123"/>
      <c r="E103" s="1123"/>
      <c r="F103" s="1123"/>
      <c r="G103" s="1123"/>
      <c r="H103" s="1123"/>
      <c r="I103" s="1123"/>
      <c r="J103" s="1125"/>
      <c r="K103" s="156"/>
      <c r="L103" s="1123"/>
      <c r="M103" s="1205"/>
      <c r="N103" s="1123"/>
      <c r="O103" s="1123"/>
      <c r="P103" s="1123"/>
      <c r="Q103" s="1123"/>
      <c r="R103" s="1189"/>
      <c r="S103" s="1189"/>
      <c r="T103" s="1208"/>
      <c r="U103" s="1208"/>
      <c r="V103" s="1189"/>
      <c r="W103" s="1189"/>
      <c r="X103" s="1189"/>
      <c r="Y103" s="1189"/>
      <c r="Z103" s="1189"/>
      <c r="AA103" s="1189"/>
      <c r="AB103" s="1189"/>
      <c r="AC103" s="1189"/>
      <c r="AD103" s="1189"/>
      <c r="AE103" s="1189"/>
      <c r="AF103" s="1189"/>
      <c r="AG103" s="1189"/>
      <c r="AH103" s="1189"/>
      <c r="AI103" s="1189"/>
      <c r="AJ103" s="1189"/>
      <c r="AK103" s="1189"/>
      <c r="AL103" s="1189"/>
      <c r="AM103" s="1189"/>
      <c r="AN103" s="1189"/>
      <c r="AO103" s="1189"/>
      <c r="AP103" s="1189"/>
      <c r="AQ103" s="1189"/>
      <c r="AR103" s="1189"/>
      <c r="AS103" s="1189"/>
      <c r="AT103" s="1189"/>
      <c r="AU103" s="1189"/>
      <c r="AV103" s="1189"/>
      <c r="AW103" s="1189"/>
      <c r="AX103" s="1189"/>
    </row>
    <row r="104" spans="1:50" ht="12" customHeight="1">
      <c r="A104" s="1123"/>
      <c r="B104" s="161"/>
      <c r="C104" s="1123"/>
      <c r="D104" s="1123"/>
      <c r="E104" s="1123"/>
      <c r="F104" s="1123"/>
      <c r="G104" s="1123"/>
      <c r="H104" s="1123"/>
      <c r="I104" s="1123"/>
      <c r="J104" s="1125"/>
      <c r="K104" s="156"/>
      <c r="L104" s="1123"/>
      <c r="M104" s="1205"/>
      <c r="N104" s="1123"/>
      <c r="O104" s="1123"/>
      <c r="P104" s="1123"/>
      <c r="Q104" s="1123"/>
      <c r="R104" s="1189"/>
      <c r="S104" s="1189"/>
      <c r="T104" s="1208"/>
      <c r="U104" s="1208"/>
      <c r="V104" s="1189"/>
      <c r="W104" s="1189"/>
      <c r="X104" s="1189"/>
      <c r="Y104" s="1189"/>
      <c r="Z104" s="1189"/>
      <c r="AA104" s="1189"/>
      <c r="AB104" s="1189"/>
      <c r="AC104" s="1189"/>
      <c r="AD104" s="1189"/>
      <c r="AE104" s="1189"/>
      <c r="AF104" s="1189"/>
      <c r="AG104" s="1189"/>
      <c r="AH104" s="1189"/>
      <c r="AI104" s="1189"/>
      <c r="AJ104" s="1189"/>
      <c r="AK104" s="1189"/>
      <c r="AL104" s="1189"/>
      <c r="AM104" s="1189"/>
      <c r="AN104" s="1189"/>
      <c r="AO104" s="1189"/>
      <c r="AP104" s="1189"/>
      <c r="AQ104" s="1189"/>
      <c r="AR104" s="1189"/>
      <c r="AS104" s="1189"/>
      <c r="AT104" s="1189"/>
      <c r="AU104" s="1189"/>
      <c r="AV104" s="1189"/>
      <c r="AW104" s="1189"/>
      <c r="AX104" s="1189"/>
    </row>
    <row r="105" spans="1:50" ht="12" customHeight="1">
      <c r="A105" s="1123"/>
      <c r="B105" s="161"/>
      <c r="C105" s="1123"/>
      <c r="D105" s="1123"/>
      <c r="E105" s="1123"/>
      <c r="F105" s="1123"/>
      <c r="G105" s="1123"/>
      <c r="H105" s="1123"/>
      <c r="I105" s="1123"/>
      <c r="J105" s="1125"/>
      <c r="K105" s="156"/>
      <c r="L105" s="1123"/>
      <c r="M105" s="1205"/>
      <c r="N105" s="1123"/>
      <c r="O105" s="1123"/>
      <c r="P105" s="1123"/>
      <c r="Q105" s="1123"/>
      <c r="R105" s="1189"/>
      <c r="S105" s="1189"/>
      <c r="T105" s="1208"/>
      <c r="U105" s="1208"/>
      <c r="V105" s="1189"/>
      <c r="W105" s="1189"/>
      <c r="X105" s="1189"/>
      <c r="Y105" s="1189"/>
      <c r="Z105" s="1189"/>
      <c r="AA105" s="1189"/>
      <c r="AB105" s="1189"/>
      <c r="AC105" s="1189"/>
      <c r="AD105" s="1189"/>
      <c r="AE105" s="1189"/>
      <c r="AF105" s="1189"/>
      <c r="AG105" s="1189"/>
      <c r="AH105" s="1189"/>
      <c r="AI105" s="1189"/>
      <c r="AJ105" s="1189"/>
      <c r="AK105" s="1189"/>
      <c r="AL105" s="1189"/>
      <c r="AM105" s="1189"/>
      <c r="AN105" s="1189"/>
      <c r="AO105" s="1189"/>
      <c r="AP105" s="1189"/>
      <c r="AQ105" s="1189"/>
      <c r="AR105" s="1189"/>
      <c r="AS105" s="1189"/>
      <c r="AT105" s="1189"/>
      <c r="AU105" s="1189"/>
      <c r="AV105" s="1189"/>
      <c r="AW105" s="1189"/>
      <c r="AX105" s="1189"/>
    </row>
    <row r="106" spans="1:50" ht="12" customHeight="1">
      <c r="A106" s="1123"/>
      <c r="B106" s="161"/>
      <c r="C106" s="1123"/>
      <c r="D106" s="1123"/>
      <c r="E106" s="1123"/>
      <c r="F106" s="1123"/>
      <c r="G106" s="1123"/>
      <c r="H106" s="1123"/>
      <c r="I106" s="1123"/>
      <c r="J106" s="1125"/>
      <c r="K106" s="156"/>
      <c r="L106" s="1123"/>
      <c r="M106" s="1205"/>
      <c r="N106" s="1123"/>
      <c r="O106" s="1123"/>
      <c r="P106" s="1123"/>
      <c r="Q106" s="1123"/>
      <c r="R106" s="1189"/>
      <c r="S106" s="1189"/>
      <c r="T106" s="1208"/>
      <c r="U106" s="1208"/>
      <c r="V106" s="1189"/>
      <c r="W106" s="1189"/>
      <c r="X106" s="1189"/>
      <c r="Y106" s="1189"/>
      <c r="Z106" s="1189"/>
      <c r="AA106" s="1189"/>
      <c r="AB106" s="1189"/>
      <c r="AC106" s="1189"/>
      <c r="AD106" s="1189"/>
      <c r="AE106" s="1189"/>
      <c r="AF106" s="1189"/>
      <c r="AG106" s="1189"/>
      <c r="AH106" s="1189"/>
      <c r="AI106" s="1189"/>
      <c r="AJ106" s="1189"/>
      <c r="AK106" s="1189"/>
      <c r="AL106" s="1189"/>
      <c r="AM106" s="1189"/>
      <c r="AN106" s="1189"/>
      <c r="AO106" s="1189"/>
      <c r="AP106" s="1189"/>
      <c r="AQ106" s="1189"/>
      <c r="AR106" s="1189"/>
      <c r="AS106" s="1189"/>
      <c r="AT106" s="1189"/>
      <c r="AU106" s="1189"/>
      <c r="AV106" s="1189"/>
      <c r="AW106" s="1189"/>
      <c r="AX106" s="1189"/>
    </row>
    <row r="107" spans="1:50" ht="12" customHeight="1">
      <c r="A107" s="1123"/>
      <c r="B107" s="161"/>
      <c r="C107" s="1123"/>
      <c r="D107" s="1123"/>
      <c r="E107" s="1123"/>
      <c r="F107" s="1123"/>
      <c r="G107" s="1123"/>
      <c r="H107" s="1123"/>
      <c r="I107" s="1123"/>
      <c r="J107" s="1125"/>
      <c r="K107" s="156"/>
      <c r="L107" s="1123"/>
      <c r="M107" s="1205"/>
      <c r="N107" s="1123"/>
      <c r="O107" s="1123"/>
      <c r="P107" s="1123"/>
      <c r="Q107" s="1123"/>
      <c r="R107" s="1189"/>
      <c r="S107" s="1189"/>
      <c r="T107" s="1208"/>
      <c r="U107" s="1208"/>
      <c r="V107" s="1189"/>
      <c r="W107" s="1189"/>
      <c r="X107" s="1189"/>
      <c r="Y107" s="1189"/>
      <c r="Z107" s="1189"/>
      <c r="AA107" s="1189"/>
      <c r="AB107" s="1189"/>
      <c r="AC107" s="1189"/>
      <c r="AD107" s="1189"/>
      <c r="AE107" s="1189"/>
      <c r="AF107" s="1189"/>
      <c r="AG107" s="1189"/>
      <c r="AH107" s="1189"/>
      <c r="AI107" s="1189"/>
      <c r="AJ107" s="1189"/>
      <c r="AK107" s="1189"/>
      <c r="AL107" s="1189"/>
      <c r="AM107" s="1189"/>
      <c r="AN107" s="1189"/>
      <c r="AO107" s="1189"/>
      <c r="AP107" s="1189"/>
      <c r="AQ107" s="1189"/>
      <c r="AR107" s="1189"/>
      <c r="AS107" s="1189"/>
      <c r="AT107" s="1189"/>
      <c r="AU107" s="1189"/>
      <c r="AV107" s="1189"/>
      <c r="AW107" s="1189"/>
      <c r="AX107" s="1189"/>
    </row>
    <row r="108" spans="1:50" ht="12" customHeight="1">
      <c r="A108" s="1123"/>
      <c r="B108" s="161"/>
      <c r="C108" s="1123"/>
      <c r="D108" s="1123"/>
      <c r="E108" s="1123"/>
      <c r="F108" s="1123"/>
      <c r="G108" s="1123"/>
      <c r="H108" s="1123"/>
      <c r="I108" s="1123"/>
      <c r="J108" s="1125"/>
      <c r="K108" s="156"/>
      <c r="L108" s="1123"/>
      <c r="M108" s="1205"/>
      <c r="N108" s="1123"/>
      <c r="O108" s="1123"/>
      <c r="P108" s="1123"/>
      <c r="Q108" s="1123"/>
      <c r="R108" s="1189"/>
      <c r="S108" s="1189"/>
      <c r="T108" s="1208"/>
      <c r="U108" s="1208"/>
      <c r="V108" s="1189"/>
      <c r="W108" s="1189"/>
      <c r="X108" s="1189"/>
      <c r="Y108" s="1189"/>
      <c r="Z108" s="1189"/>
      <c r="AA108" s="1189"/>
      <c r="AB108" s="1189"/>
      <c r="AC108" s="1189"/>
      <c r="AD108" s="1189"/>
      <c r="AE108" s="1189"/>
      <c r="AF108" s="1189"/>
      <c r="AG108" s="1189"/>
      <c r="AH108" s="1189"/>
      <c r="AI108" s="1189"/>
      <c r="AJ108" s="1189"/>
      <c r="AK108" s="1189"/>
      <c r="AL108" s="1189"/>
      <c r="AM108" s="1189"/>
      <c r="AN108" s="1189"/>
      <c r="AO108" s="1189"/>
      <c r="AP108" s="1189"/>
      <c r="AQ108" s="1189"/>
      <c r="AR108" s="1189"/>
      <c r="AS108" s="1189"/>
      <c r="AT108" s="1189"/>
      <c r="AU108" s="1189"/>
      <c r="AV108" s="1189"/>
      <c r="AW108" s="1189"/>
      <c r="AX108" s="1189"/>
    </row>
    <row r="109" spans="1:50" ht="12" customHeight="1">
      <c r="A109" s="1123"/>
      <c r="B109" s="161"/>
      <c r="C109" s="1123"/>
      <c r="D109" s="1123"/>
      <c r="E109" s="1123"/>
      <c r="F109" s="1123"/>
      <c r="G109" s="1123"/>
      <c r="H109" s="1123"/>
      <c r="I109" s="1123"/>
      <c r="J109" s="1125"/>
      <c r="K109" s="156"/>
      <c r="L109" s="1123"/>
      <c r="M109" s="1205"/>
      <c r="N109" s="1123"/>
      <c r="O109" s="1123"/>
      <c r="P109" s="1123"/>
      <c r="Q109" s="1123"/>
      <c r="R109" s="1189"/>
      <c r="S109" s="1189"/>
      <c r="T109" s="1208"/>
      <c r="U109" s="1208"/>
      <c r="V109" s="1189"/>
      <c r="W109" s="1189"/>
      <c r="X109" s="1189"/>
      <c r="Y109" s="1189"/>
      <c r="Z109" s="1189"/>
      <c r="AA109" s="1189"/>
      <c r="AB109" s="1189"/>
      <c r="AC109" s="1189"/>
      <c r="AD109" s="1189"/>
      <c r="AE109" s="1189"/>
      <c r="AF109" s="1189"/>
      <c r="AG109" s="1189"/>
      <c r="AH109" s="1189"/>
      <c r="AI109" s="1189"/>
      <c r="AJ109" s="1189"/>
      <c r="AK109" s="1189"/>
      <c r="AL109" s="1189"/>
      <c r="AM109" s="1189"/>
      <c r="AN109" s="1189"/>
      <c r="AO109" s="1189"/>
      <c r="AP109" s="1189"/>
      <c r="AQ109" s="1189"/>
      <c r="AR109" s="1189"/>
      <c r="AS109" s="1189"/>
      <c r="AT109" s="1189"/>
      <c r="AU109" s="1189"/>
      <c r="AV109" s="1189"/>
      <c r="AW109" s="1189"/>
      <c r="AX109" s="1189"/>
    </row>
    <row r="110" spans="1:50" ht="12" customHeight="1">
      <c r="A110" s="1123"/>
      <c r="B110" s="161"/>
      <c r="C110" s="1123"/>
      <c r="D110" s="1123"/>
      <c r="E110" s="1123"/>
      <c r="F110" s="1123"/>
      <c r="G110" s="1123"/>
      <c r="H110" s="1123"/>
      <c r="I110" s="1123"/>
      <c r="J110" s="1125"/>
      <c r="K110" s="156"/>
      <c r="L110" s="1123"/>
      <c r="M110" s="1205"/>
      <c r="N110" s="1123"/>
      <c r="O110" s="1123"/>
      <c r="P110" s="1123"/>
      <c r="Q110" s="1123"/>
      <c r="R110" s="1189"/>
      <c r="S110" s="1189"/>
      <c r="T110" s="1208"/>
      <c r="U110" s="1208"/>
      <c r="V110" s="1189"/>
      <c r="W110" s="1189"/>
      <c r="X110" s="1189"/>
      <c r="Y110" s="1189"/>
      <c r="Z110" s="1189"/>
      <c r="AA110" s="1189"/>
      <c r="AB110" s="1189"/>
      <c r="AC110" s="1189"/>
      <c r="AD110" s="1189"/>
      <c r="AE110" s="1189"/>
      <c r="AF110" s="1189"/>
      <c r="AG110" s="1189"/>
      <c r="AH110" s="1189"/>
      <c r="AI110" s="1189"/>
      <c r="AJ110" s="1189"/>
      <c r="AK110" s="1189"/>
      <c r="AL110" s="1189"/>
      <c r="AM110" s="1189"/>
      <c r="AN110" s="1189"/>
      <c r="AO110" s="1189"/>
      <c r="AP110" s="1189"/>
      <c r="AQ110" s="1189"/>
      <c r="AR110" s="1189"/>
      <c r="AS110" s="1189"/>
      <c r="AT110" s="1189"/>
      <c r="AU110" s="1189"/>
      <c r="AV110" s="1189"/>
      <c r="AW110" s="1189"/>
      <c r="AX110" s="1189"/>
    </row>
    <row r="111" spans="1:50" ht="12" customHeight="1">
      <c r="A111" s="1123"/>
      <c r="B111" s="161"/>
      <c r="C111" s="1123"/>
      <c r="D111" s="1123"/>
      <c r="E111" s="1123"/>
      <c r="F111" s="1123"/>
      <c r="G111" s="1123"/>
      <c r="H111" s="1123"/>
      <c r="I111" s="1123"/>
      <c r="J111" s="1125"/>
      <c r="K111" s="156"/>
      <c r="L111" s="1123"/>
      <c r="M111" s="1205"/>
      <c r="N111" s="1123"/>
      <c r="O111" s="1123"/>
      <c r="P111" s="1123"/>
      <c r="Q111" s="1123"/>
      <c r="R111" s="1189"/>
      <c r="S111" s="1189"/>
      <c r="T111" s="1208"/>
      <c r="U111" s="1208"/>
      <c r="V111" s="1189"/>
      <c r="W111" s="1189"/>
      <c r="X111" s="1189"/>
      <c r="Y111" s="1189"/>
      <c r="Z111" s="1189"/>
      <c r="AA111" s="1189"/>
      <c r="AB111" s="1189"/>
      <c r="AC111" s="1189"/>
      <c r="AD111" s="1189"/>
      <c r="AE111" s="1189"/>
      <c r="AF111" s="1189"/>
      <c r="AG111" s="1189"/>
      <c r="AH111" s="1189"/>
      <c r="AI111" s="1189"/>
      <c r="AJ111" s="1189"/>
      <c r="AK111" s="1189"/>
      <c r="AL111" s="1189"/>
      <c r="AM111" s="1189"/>
      <c r="AN111" s="1189"/>
      <c r="AO111" s="1189"/>
      <c r="AP111" s="1189"/>
      <c r="AQ111" s="1189"/>
      <c r="AR111" s="1189"/>
      <c r="AS111" s="1189"/>
      <c r="AT111" s="1189"/>
      <c r="AU111" s="1189"/>
      <c r="AV111" s="1189"/>
      <c r="AW111" s="1189"/>
      <c r="AX111" s="1189"/>
    </row>
    <row r="112" spans="1:50" ht="12" customHeight="1">
      <c r="A112" s="1123"/>
      <c r="B112" s="161"/>
      <c r="C112" s="1123"/>
      <c r="D112" s="1123"/>
      <c r="E112" s="1123"/>
      <c r="F112" s="1123"/>
      <c r="G112" s="1123"/>
      <c r="H112" s="1123"/>
      <c r="I112" s="1123"/>
      <c r="J112" s="1125"/>
      <c r="K112" s="156"/>
      <c r="L112" s="1123"/>
      <c r="M112" s="1205"/>
      <c r="N112" s="1123"/>
      <c r="O112" s="1123"/>
      <c r="P112" s="1123"/>
      <c r="Q112" s="1123"/>
      <c r="R112" s="1189"/>
      <c r="S112" s="1189"/>
      <c r="T112" s="1208"/>
      <c r="U112" s="1208"/>
      <c r="V112" s="1189"/>
      <c r="W112" s="1189"/>
      <c r="X112" s="1189"/>
      <c r="Y112" s="1189"/>
      <c r="Z112" s="1189"/>
      <c r="AA112" s="1189"/>
      <c r="AB112" s="1189"/>
      <c r="AC112" s="1189"/>
      <c r="AD112" s="1189"/>
      <c r="AE112" s="1189"/>
      <c r="AF112" s="1189"/>
      <c r="AG112" s="1189"/>
      <c r="AH112" s="1189"/>
      <c r="AI112" s="1189"/>
      <c r="AJ112" s="1189"/>
      <c r="AK112" s="1189"/>
      <c r="AL112" s="1189"/>
      <c r="AM112" s="1189"/>
      <c r="AN112" s="1189"/>
      <c r="AO112" s="1189"/>
      <c r="AP112" s="1189"/>
      <c r="AQ112" s="1189"/>
      <c r="AR112" s="1189"/>
      <c r="AS112" s="1189"/>
      <c r="AT112" s="1189"/>
      <c r="AU112" s="1189"/>
      <c r="AV112" s="1189"/>
      <c r="AW112" s="1189"/>
      <c r="AX112" s="1189"/>
    </row>
    <row r="113" spans="1:50" ht="12" customHeight="1">
      <c r="A113" s="1123"/>
      <c r="B113" s="161"/>
      <c r="C113" s="1123"/>
      <c r="D113" s="1123"/>
      <c r="E113" s="1123"/>
      <c r="F113" s="1123"/>
      <c r="G113" s="1123"/>
      <c r="H113" s="1123"/>
      <c r="I113" s="1123"/>
      <c r="J113" s="1125"/>
      <c r="K113" s="156"/>
      <c r="L113" s="1123"/>
      <c r="M113" s="1205"/>
      <c r="N113" s="1123"/>
      <c r="O113" s="1123"/>
      <c r="P113" s="1123"/>
      <c r="Q113" s="1123"/>
      <c r="R113" s="1189"/>
      <c r="S113" s="1189"/>
      <c r="T113" s="1208"/>
      <c r="U113" s="1208"/>
      <c r="V113" s="1189"/>
      <c r="W113" s="1189"/>
      <c r="X113" s="1189"/>
      <c r="Y113" s="1189"/>
      <c r="Z113" s="1189"/>
      <c r="AA113" s="1189"/>
      <c r="AB113" s="1189"/>
      <c r="AC113" s="1189"/>
      <c r="AD113" s="1189"/>
      <c r="AE113" s="1189"/>
      <c r="AF113" s="1189"/>
      <c r="AG113" s="1189"/>
      <c r="AH113" s="1189"/>
      <c r="AI113" s="1189"/>
      <c r="AJ113" s="1189"/>
      <c r="AK113" s="1189"/>
      <c r="AL113" s="1189"/>
      <c r="AM113" s="1189"/>
      <c r="AN113" s="1189"/>
      <c r="AO113" s="1189"/>
      <c r="AP113" s="1189"/>
      <c r="AQ113" s="1189"/>
      <c r="AR113" s="1189"/>
      <c r="AS113" s="1189"/>
      <c r="AT113" s="1189"/>
      <c r="AU113" s="1189"/>
      <c r="AV113" s="1189"/>
      <c r="AW113" s="1189"/>
      <c r="AX113" s="1189"/>
    </row>
    <row r="114" spans="1:50" ht="12" customHeight="1">
      <c r="A114" s="1123"/>
      <c r="B114" s="161"/>
      <c r="C114" s="1123"/>
      <c r="D114" s="1123"/>
      <c r="E114" s="1123"/>
      <c r="F114" s="1123"/>
      <c r="G114" s="1123"/>
      <c r="H114" s="1123"/>
      <c r="I114" s="1123"/>
      <c r="J114" s="1125"/>
      <c r="K114" s="156"/>
      <c r="L114" s="1123"/>
      <c r="M114" s="1205"/>
      <c r="N114" s="1123"/>
      <c r="O114" s="1123"/>
      <c r="P114" s="1123"/>
      <c r="Q114" s="1123"/>
      <c r="R114" s="1189"/>
      <c r="S114" s="1189"/>
      <c r="T114" s="1208"/>
      <c r="U114" s="1208"/>
      <c r="V114" s="1189"/>
      <c r="W114" s="1189"/>
      <c r="X114" s="1189"/>
      <c r="Y114" s="1189"/>
      <c r="Z114" s="1189"/>
      <c r="AA114" s="1189"/>
      <c r="AB114" s="1189"/>
      <c r="AC114" s="1189"/>
      <c r="AD114" s="1189"/>
      <c r="AE114" s="1189"/>
      <c r="AF114" s="1189"/>
      <c r="AG114" s="1189"/>
      <c r="AH114" s="1189"/>
      <c r="AI114" s="1189"/>
      <c r="AJ114" s="1189"/>
      <c r="AK114" s="1189"/>
      <c r="AL114" s="1189"/>
      <c r="AM114" s="1189"/>
      <c r="AN114" s="1189"/>
      <c r="AO114" s="1189"/>
      <c r="AP114" s="1189"/>
      <c r="AQ114" s="1189"/>
      <c r="AR114" s="1189"/>
      <c r="AS114" s="1189"/>
      <c r="AT114" s="1189"/>
      <c r="AU114" s="1189"/>
      <c r="AV114" s="1189"/>
      <c r="AW114" s="1189"/>
      <c r="AX114" s="1189"/>
    </row>
    <row r="115" spans="1:50" ht="12" customHeight="1">
      <c r="A115" s="1123"/>
      <c r="B115" s="161"/>
      <c r="C115" s="1123"/>
      <c r="D115" s="1123"/>
      <c r="E115" s="1123"/>
      <c r="F115" s="1123"/>
      <c r="G115" s="1123"/>
      <c r="H115" s="1123"/>
      <c r="I115" s="1123"/>
      <c r="J115" s="1125"/>
      <c r="K115" s="156"/>
      <c r="L115" s="1123"/>
      <c r="M115" s="1205"/>
      <c r="N115" s="1123"/>
      <c r="O115" s="1123"/>
      <c r="P115" s="1123"/>
      <c r="Q115" s="1123"/>
      <c r="R115" s="1189"/>
      <c r="S115" s="1189"/>
      <c r="T115" s="1208"/>
      <c r="U115" s="1208"/>
      <c r="V115" s="1189"/>
      <c r="W115" s="1189"/>
      <c r="X115" s="1189"/>
      <c r="Y115" s="1189"/>
      <c r="Z115" s="1189"/>
      <c r="AA115" s="1189"/>
      <c r="AB115" s="1189"/>
      <c r="AC115" s="1189"/>
      <c r="AD115" s="1189"/>
      <c r="AE115" s="1189"/>
      <c r="AF115" s="1189"/>
      <c r="AG115" s="1189"/>
      <c r="AH115" s="1189"/>
      <c r="AI115" s="1189"/>
      <c r="AJ115" s="1189"/>
      <c r="AK115" s="1189"/>
      <c r="AL115" s="1189"/>
      <c r="AM115" s="1189"/>
      <c r="AN115" s="1189"/>
      <c r="AO115" s="1189"/>
      <c r="AP115" s="1189"/>
      <c r="AQ115" s="1189"/>
      <c r="AR115" s="1189"/>
      <c r="AS115" s="1189"/>
      <c r="AT115" s="1189"/>
      <c r="AU115" s="1189"/>
      <c r="AV115" s="1189"/>
      <c r="AW115" s="1189"/>
      <c r="AX115" s="1189"/>
    </row>
    <row r="116" spans="1:50" ht="12" customHeight="1">
      <c r="A116" s="1123"/>
      <c r="B116" s="161"/>
      <c r="C116" s="1123"/>
      <c r="D116" s="1123"/>
      <c r="E116" s="1123"/>
      <c r="F116" s="1123"/>
      <c r="G116" s="1123"/>
      <c r="H116" s="1123"/>
      <c r="I116" s="1123"/>
      <c r="J116" s="1125"/>
      <c r="K116" s="156"/>
      <c r="L116" s="1123"/>
      <c r="M116" s="1205"/>
      <c r="N116" s="1123"/>
      <c r="O116" s="1123"/>
      <c r="P116" s="1123"/>
      <c r="Q116" s="1123"/>
      <c r="R116" s="1189"/>
      <c r="S116" s="1189"/>
      <c r="T116" s="1208"/>
      <c r="U116" s="1208"/>
      <c r="V116" s="1189"/>
      <c r="W116" s="1189"/>
      <c r="X116" s="1189"/>
      <c r="Y116" s="1189"/>
      <c r="Z116" s="1189"/>
      <c r="AA116" s="1189"/>
      <c r="AB116" s="1189"/>
      <c r="AC116" s="1189"/>
      <c r="AD116" s="1189"/>
      <c r="AE116" s="1189"/>
      <c r="AF116" s="1189"/>
      <c r="AG116" s="1189"/>
      <c r="AH116" s="1189"/>
      <c r="AI116" s="1189"/>
      <c r="AJ116" s="1189"/>
      <c r="AK116" s="1189"/>
      <c r="AL116" s="1189"/>
      <c r="AM116" s="1189"/>
      <c r="AN116" s="1189"/>
      <c r="AO116" s="1189"/>
      <c r="AP116" s="1189"/>
      <c r="AQ116" s="1189"/>
      <c r="AR116" s="1189"/>
      <c r="AS116" s="1189"/>
      <c r="AT116" s="1189"/>
      <c r="AU116" s="1189"/>
      <c r="AV116" s="1189"/>
      <c r="AW116" s="1189"/>
      <c r="AX116" s="1189"/>
    </row>
    <row r="117" spans="1:50" ht="12" customHeight="1">
      <c r="A117" s="1123"/>
      <c r="B117" s="161"/>
      <c r="C117" s="1123"/>
      <c r="D117" s="1123"/>
      <c r="E117" s="1123"/>
      <c r="F117" s="1123"/>
      <c r="G117" s="1123"/>
      <c r="H117" s="1123"/>
      <c r="I117" s="1123"/>
      <c r="J117" s="1125"/>
      <c r="K117" s="156"/>
      <c r="L117" s="1123"/>
      <c r="M117" s="1205"/>
      <c r="N117" s="1123"/>
      <c r="O117" s="1123"/>
      <c r="P117" s="1123"/>
      <c r="Q117" s="1123"/>
      <c r="R117" s="1189"/>
      <c r="S117" s="1189"/>
      <c r="T117" s="1208"/>
      <c r="U117" s="1208"/>
      <c r="V117" s="1189"/>
      <c r="W117" s="1189"/>
      <c r="X117" s="1189"/>
      <c r="Y117" s="1189"/>
      <c r="Z117" s="1189"/>
      <c r="AA117" s="1189"/>
      <c r="AB117" s="1189"/>
      <c r="AC117" s="1189"/>
      <c r="AD117" s="1189"/>
      <c r="AE117" s="1189"/>
      <c r="AF117" s="1189"/>
      <c r="AG117" s="1189"/>
      <c r="AH117" s="1189"/>
      <c r="AI117" s="1189"/>
      <c r="AJ117" s="1189"/>
      <c r="AK117" s="1189"/>
      <c r="AL117" s="1189"/>
      <c r="AM117" s="1189"/>
      <c r="AN117" s="1189"/>
      <c r="AO117" s="1189"/>
      <c r="AP117" s="1189"/>
      <c r="AQ117" s="1189"/>
      <c r="AR117" s="1189"/>
      <c r="AS117" s="1189"/>
      <c r="AT117" s="1189"/>
      <c r="AU117" s="1189"/>
      <c r="AV117" s="1189"/>
      <c r="AW117" s="1189"/>
      <c r="AX117" s="1189"/>
    </row>
    <row r="118" spans="1:50" ht="12" customHeight="1">
      <c r="A118" s="1123"/>
      <c r="B118" s="161"/>
      <c r="C118" s="1123"/>
      <c r="D118" s="1123"/>
      <c r="E118" s="1123"/>
      <c r="F118" s="1123"/>
      <c r="G118" s="1123"/>
      <c r="H118" s="1123"/>
      <c r="I118" s="1123"/>
      <c r="J118" s="1125"/>
      <c r="K118" s="156"/>
      <c r="L118" s="1123"/>
      <c r="M118" s="1205"/>
      <c r="N118" s="1123"/>
      <c r="O118" s="1123"/>
      <c r="P118" s="1123"/>
      <c r="Q118" s="1123"/>
      <c r="R118" s="1189"/>
      <c r="S118" s="1189"/>
      <c r="T118" s="1208"/>
      <c r="U118" s="1208"/>
      <c r="V118" s="1189"/>
      <c r="W118" s="1189"/>
      <c r="X118" s="1189"/>
      <c r="Y118" s="1189"/>
      <c r="Z118" s="1189"/>
      <c r="AA118" s="1189"/>
      <c r="AB118" s="1189"/>
      <c r="AC118" s="1189"/>
      <c r="AD118" s="1189"/>
      <c r="AE118" s="1189"/>
      <c r="AF118" s="1189"/>
      <c r="AG118" s="1189"/>
      <c r="AH118" s="1189"/>
      <c r="AI118" s="1189"/>
      <c r="AJ118" s="1189"/>
      <c r="AK118" s="1189"/>
      <c r="AL118" s="1189"/>
      <c r="AM118" s="1189"/>
      <c r="AN118" s="1189"/>
      <c r="AO118" s="1189"/>
      <c r="AP118" s="1189"/>
      <c r="AQ118" s="1189"/>
      <c r="AR118" s="1189"/>
      <c r="AS118" s="1189"/>
      <c r="AT118" s="1189"/>
      <c r="AU118" s="1189"/>
      <c r="AV118" s="1189"/>
      <c r="AW118" s="1189"/>
      <c r="AX118" s="1189"/>
    </row>
    <row r="119" spans="1:50" ht="12" customHeight="1">
      <c r="A119" s="1123"/>
      <c r="B119" s="161"/>
      <c r="C119" s="1123"/>
      <c r="D119" s="1123"/>
      <c r="E119" s="1123"/>
      <c r="F119" s="1123"/>
      <c r="G119" s="1123"/>
      <c r="H119" s="1123"/>
      <c r="I119" s="1123"/>
      <c r="J119" s="1125"/>
      <c r="K119" s="156"/>
      <c r="L119" s="1123"/>
      <c r="M119" s="1205"/>
      <c r="N119" s="1123"/>
      <c r="O119" s="1123"/>
      <c r="P119" s="1123"/>
      <c r="Q119" s="1123"/>
      <c r="R119" s="1189"/>
      <c r="S119" s="1189"/>
      <c r="T119" s="1208"/>
      <c r="U119" s="1208"/>
      <c r="V119" s="1189"/>
      <c r="W119" s="1189"/>
      <c r="X119" s="1189"/>
      <c r="Y119" s="1189"/>
      <c r="Z119" s="1189"/>
      <c r="AA119" s="1189"/>
      <c r="AB119" s="1189"/>
      <c r="AC119" s="1189"/>
      <c r="AD119" s="1189"/>
      <c r="AE119" s="1189"/>
      <c r="AF119" s="1189"/>
      <c r="AG119" s="1189"/>
      <c r="AH119" s="1189"/>
      <c r="AI119" s="1189"/>
      <c r="AJ119" s="1189"/>
      <c r="AK119" s="1189"/>
      <c r="AL119" s="1189"/>
      <c r="AM119" s="1189"/>
      <c r="AN119" s="1189"/>
      <c r="AO119" s="1189"/>
      <c r="AP119" s="1189"/>
      <c r="AQ119" s="1189"/>
      <c r="AR119" s="1189"/>
      <c r="AS119" s="1189"/>
      <c r="AT119" s="1189"/>
      <c r="AU119" s="1189"/>
      <c r="AV119" s="1189"/>
      <c r="AW119" s="1189"/>
      <c r="AX119" s="1189"/>
    </row>
    <row r="120" spans="1:50" ht="12" customHeight="1">
      <c r="A120" s="1123"/>
      <c r="B120" s="161"/>
      <c r="C120" s="1123"/>
      <c r="D120" s="1123"/>
      <c r="E120" s="1123"/>
      <c r="F120" s="1123"/>
      <c r="G120" s="1123"/>
      <c r="H120" s="1123"/>
      <c r="I120" s="1123"/>
      <c r="J120" s="1125"/>
      <c r="K120" s="156"/>
      <c r="L120" s="1123"/>
      <c r="M120" s="1205"/>
      <c r="N120" s="1123"/>
      <c r="O120" s="1123"/>
      <c r="P120" s="1123"/>
      <c r="Q120" s="1123"/>
      <c r="R120" s="1189"/>
      <c r="S120" s="1189"/>
      <c r="T120" s="1208"/>
      <c r="U120" s="1208"/>
      <c r="V120" s="1189"/>
      <c r="W120" s="1189"/>
      <c r="X120" s="1189"/>
      <c r="Y120" s="1189"/>
      <c r="Z120" s="1189"/>
      <c r="AA120" s="1189"/>
      <c r="AB120" s="1189"/>
      <c r="AC120" s="1189"/>
      <c r="AD120" s="1189"/>
      <c r="AE120" s="1189"/>
      <c r="AF120" s="1189"/>
      <c r="AG120" s="1189"/>
      <c r="AH120" s="1189"/>
      <c r="AI120" s="1189"/>
      <c r="AJ120" s="1189"/>
      <c r="AK120" s="1189"/>
      <c r="AL120" s="1189"/>
      <c r="AM120" s="1189"/>
      <c r="AN120" s="1189"/>
      <c r="AO120" s="1189"/>
      <c r="AP120" s="1189"/>
      <c r="AQ120" s="1189"/>
      <c r="AR120" s="1189"/>
      <c r="AS120" s="1189"/>
      <c r="AT120" s="1189"/>
      <c r="AU120" s="1189"/>
      <c r="AV120" s="1189"/>
      <c r="AW120" s="1189"/>
      <c r="AX120" s="1189"/>
    </row>
    <row r="121" spans="1:50" ht="12" customHeight="1">
      <c r="A121" s="1123"/>
      <c r="B121" s="161"/>
      <c r="C121" s="1123"/>
      <c r="D121" s="1123"/>
      <c r="E121" s="1123"/>
      <c r="F121" s="1123"/>
      <c r="G121" s="1123"/>
      <c r="H121" s="1123"/>
      <c r="I121" s="1123"/>
      <c r="J121" s="1125"/>
      <c r="K121" s="156"/>
      <c r="L121" s="1123"/>
      <c r="M121" s="1205"/>
      <c r="N121" s="1123"/>
      <c r="O121" s="1123"/>
      <c r="P121" s="1123"/>
      <c r="Q121" s="1123"/>
      <c r="R121" s="1189"/>
      <c r="S121" s="1189"/>
      <c r="T121" s="1208"/>
      <c r="U121" s="1208"/>
      <c r="V121" s="1189"/>
      <c r="W121" s="1189"/>
      <c r="X121" s="1189"/>
      <c r="Y121" s="1189"/>
      <c r="Z121" s="1189"/>
      <c r="AA121" s="1189"/>
      <c r="AB121" s="1189"/>
      <c r="AC121" s="1189"/>
      <c r="AD121" s="1189"/>
      <c r="AE121" s="1189"/>
      <c r="AF121" s="1189"/>
      <c r="AG121" s="1189"/>
      <c r="AH121" s="1189"/>
      <c r="AI121" s="1189"/>
      <c r="AJ121" s="1189"/>
      <c r="AK121" s="1189"/>
      <c r="AL121" s="1189"/>
      <c r="AM121" s="1189"/>
      <c r="AN121" s="1189"/>
      <c r="AO121" s="1189"/>
      <c r="AP121" s="1189"/>
      <c r="AQ121" s="1189"/>
      <c r="AR121" s="1189"/>
      <c r="AS121" s="1189"/>
      <c r="AT121" s="1189"/>
      <c r="AU121" s="1189"/>
      <c r="AV121" s="1189"/>
      <c r="AW121" s="1189"/>
      <c r="AX121" s="1189"/>
    </row>
    <row r="122" spans="1:50" ht="12" customHeight="1">
      <c r="A122" s="1123"/>
      <c r="B122" s="161"/>
      <c r="C122" s="1123"/>
      <c r="D122" s="1123"/>
      <c r="E122" s="1123"/>
      <c r="F122" s="1123"/>
      <c r="G122" s="1123"/>
      <c r="H122" s="1123"/>
      <c r="I122" s="1123"/>
      <c r="J122" s="1125"/>
      <c r="K122" s="156"/>
      <c r="L122" s="1123"/>
      <c r="M122" s="1205"/>
      <c r="N122" s="1123"/>
      <c r="O122" s="1123"/>
      <c r="P122" s="1123"/>
      <c r="Q122" s="1123"/>
      <c r="R122" s="1189"/>
      <c r="S122" s="1189"/>
      <c r="T122" s="1208"/>
      <c r="U122" s="1208"/>
      <c r="V122" s="1189"/>
      <c r="W122" s="1189"/>
      <c r="X122" s="1189"/>
      <c r="Y122" s="1189"/>
      <c r="Z122" s="1189"/>
      <c r="AA122" s="1189"/>
      <c r="AB122" s="1189"/>
      <c r="AC122" s="1189"/>
      <c r="AD122" s="1189"/>
      <c r="AE122" s="1189"/>
      <c r="AF122" s="1189"/>
      <c r="AG122" s="1189"/>
      <c r="AH122" s="1189"/>
      <c r="AI122" s="1189"/>
      <c r="AJ122" s="1189"/>
      <c r="AK122" s="1189"/>
      <c r="AL122" s="1189"/>
      <c r="AM122" s="1189"/>
      <c r="AN122" s="1189"/>
      <c r="AO122" s="1189"/>
      <c r="AP122" s="1189"/>
      <c r="AQ122" s="1189"/>
      <c r="AR122" s="1189"/>
      <c r="AS122" s="1189"/>
      <c r="AT122" s="1189"/>
      <c r="AU122" s="1189"/>
      <c r="AV122" s="1189"/>
      <c r="AW122" s="1189"/>
      <c r="AX122" s="1189"/>
    </row>
    <row r="123" spans="1:50" ht="12" customHeight="1">
      <c r="A123" s="1123"/>
      <c r="B123" s="161"/>
      <c r="C123" s="1123"/>
      <c r="D123" s="1123"/>
      <c r="E123" s="1123"/>
      <c r="F123" s="1123"/>
      <c r="G123" s="1123"/>
      <c r="H123" s="1123"/>
      <c r="I123" s="1123"/>
      <c r="J123" s="1125"/>
      <c r="K123" s="156"/>
      <c r="L123" s="1123"/>
      <c r="M123" s="1205"/>
      <c r="N123" s="1123"/>
      <c r="O123" s="1123"/>
      <c r="P123" s="1123"/>
      <c r="Q123" s="1123"/>
      <c r="R123" s="1189"/>
      <c r="S123" s="1189"/>
      <c r="T123" s="1208"/>
      <c r="U123" s="1208"/>
      <c r="V123" s="1189"/>
      <c r="W123" s="1189"/>
      <c r="X123" s="1189"/>
      <c r="Y123" s="1189"/>
      <c r="Z123" s="1189"/>
      <c r="AA123" s="1189"/>
      <c r="AB123" s="1189"/>
      <c r="AC123" s="1189"/>
      <c r="AD123" s="1189"/>
      <c r="AE123" s="1189"/>
      <c r="AF123" s="1189"/>
      <c r="AG123" s="1189"/>
      <c r="AH123" s="1189"/>
      <c r="AI123" s="1189"/>
      <c r="AJ123" s="1189"/>
      <c r="AK123" s="1189"/>
      <c r="AL123" s="1189"/>
      <c r="AM123" s="1189"/>
      <c r="AN123" s="1189"/>
      <c r="AO123" s="1189"/>
      <c r="AP123" s="1189"/>
      <c r="AQ123" s="1189"/>
      <c r="AR123" s="1189"/>
      <c r="AS123" s="1189"/>
      <c r="AT123" s="1189"/>
      <c r="AU123" s="1189"/>
      <c r="AV123" s="1189"/>
      <c r="AW123" s="1189"/>
      <c r="AX123" s="1189"/>
    </row>
    <row r="124" spans="1:50" ht="12" customHeight="1">
      <c r="A124" s="1123"/>
      <c r="B124" s="161"/>
      <c r="C124" s="1123"/>
      <c r="D124" s="1123"/>
      <c r="E124" s="1123"/>
      <c r="F124" s="1123"/>
      <c r="G124" s="1123"/>
      <c r="H124" s="1123"/>
      <c r="I124" s="1123"/>
      <c r="J124" s="1125"/>
      <c r="K124" s="156"/>
      <c r="L124" s="1123"/>
      <c r="M124" s="1205"/>
      <c r="N124" s="1123"/>
      <c r="O124" s="1123"/>
      <c r="P124" s="1123"/>
      <c r="Q124" s="1123"/>
      <c r="R124" s="1189"/>
      <c r="S124" s="1189"/>
      <c r="T124" s="1208"/>
      <c r="U124" s="1208"/>
      <c r="V124" s="1189"/>
      <c r="W124" s="1189"/>
      <c r="X124" s="1189"/>
      <c r="Y124" s="1189"/>
      <c r="Z124" s="1189"/>
      <c r="AA124" s="1189"/>
      <c r="AB124" s="1189"/>
      <c r="AC124" s="1189"/>
      <c r="AD124" s="1189"/>
      <c r="AE124" s="1189"/>
      <c r="AF124" s="1189"/>
      <c r="AG124" s="1189"/>
      <c r="AH124" s="1189"/>
      <c r="AI124" s="1189"/>
      <c r="AJ124" s="1189"/>
      <c r="AK124" s="1189"/>
      <c r="AL124" s="1189"/>
      <c r="AM124" s="1189"/>
      <c r="AN124" s="1189"/>
      <c r="AO124" s="1189"/>
      <c r="AP124" s="1189"/>
      <c r="AQ124" s="1189"/>
      <c r="AR124" s="1189"/>
      <c r="AS124" s="1189"/>
      <c r="AT124" s="1189"/>
      <c r="AU124" s="1189"/>
      <c r="AV124" s="1189"/>
      <c r="AW124" s="1189"/>
      <c r="AX124" s="1189"/>
    </row>
    <row r="125" spans="1:50" ht="12" customHeight="1">
      <c r="A125" s="1123"/>
      <c r="B125" s="161"/>
      <c r="C125" s="1123"/>
      <c r="D125" s="1123"/>
      <c r="E125" s="1123"/>
      <c r="F125" s="1123"/>
      <c r="G125" s="1123"/>
      <c r="H125" s="1123"/>
      <c r="I125" s="1123"/>
      <c r="J125" s="1125"/>
      <c r="K125" s="156"/>
      <c r="L125" s="1123"/>
      <c r="M125" s="1205"/>
      <c r="N125" s="1123"/>
      <c r="O125" s="1123"/>
      <c r="P125" s="1123"/>
      <c r="Q125" s="1123"/>
      <c r="R125" s="1189"/>
      <c r="S125" s="1189"/>
      <c r="T125" s="1208"/>
      <c r="U125" s="1208"/>
      <c r="V125" s="1189"/>
      <c r="W125" s="1189"/>
      <c r="X125" s="1189"/>
      <c r="Y125" s="1189"/>
      <c r="Z125" s="1189"/>
      <c r="AA125" s="1189"/>
      <c r="AB125" s="1189"/>
      <c r="AC125" s="1189"/>
      <c r="AD125" s="1189"/>
      <c r="AE125" s="1189"/>
      <c r="AF125" s="1189"/>
      <c r="AG125" s="1189"/>
      <c r="AH125" s="1189"/>
      <c r="AI125" s="1189"/>
      <c r="AJ125" s="1189"/>
      <c r="AK125" s="1189"/>
      <c r="AL125" s="1189"/>
      <c r="AM125" s="1189"/>
      <c r="AN125" s="1189"/>
      <c r="AO125" s="1189"/>
      <c r="AP125" s="1189"/>
      <c r="AQ125" s="1189"/>
      <c r="AR125" s="1189"/>
      <c r="AS125" s="1189"/>
      <c r="AT125" s="1189"/>
      <c r="AU125" s="1189"/>
      <c r="AV125" s="1189"/>
      <c r="AW125" s="1189"/>
      <c r="AX125" s="1189"/>
    </row>
    <row r="126" spans="1:50" ht="12" customHeight="1">
      <c r="A126" s="1123"/>
      <c r="B126" s="161"/>
      <c r="C126" s="1123"/>
      <c r="D126" s="1123"/>
      <c r="E126" s="1123"/>
      <c r="F126" s="1123"/>
      <c r="G126" s="1123"/>
      <c r="H126" s="1123"/>
      <c r="I126" s="1123"/>
      <c r="J126" s="1125"/>
      <c r="K126" s="156"/>
      <c r="L126" s="1123"/>
      <c r="M126" s="1205"/>
      <c r="N126" s="1123"/>
      <c r="O126" s="1123"/>
      <c r="P126" s="1123"/>
      <c r="Q126" s="1123"/>
      <c r="R126" s="1189"/>
      <c r="S126" s="1189"/>
      <c r="T126" s="1208"/>
      <c r="U126" s="1208"/>
      <c r="V126" s="1189"/>
      <c r="W126" s="1189"/>
      <c r="X126" s="1189"/>
      <c r="Y126" s="1189"/>
      <c r="Z126" s="1189"/>
      <c r="AA126" s="1189"/>
      <c r="AB126" s="1189"/>
      <c r="AC126" s="1189"/>
      <c r="AD126" s="1189"/>
      <c r="AE126" s="1189"/>
      <c r="AF126" s="1189"/>
      <c r="AG126" s="1189"/>
      <c r="AH126" s="1189"/>
      <c r="AI126" s="1189"/>
      <c r="AJ126" s="1189"/>
      <c r="AK126" s="1189"/>
      <c r="AL126" s="1189"/>
      <c r="AM126" s="1189"/>
      <c r="AN126" s="1189"/>
      <c r="AO126" s="1189"/>
      <c r="AP126" s="1189"/>
      <c r="AQ126" s="1189"/>
      <c r="AR126" s="1189"/>
      <c r="AS126" s="1189"/>
      <c r="AT126" s="1189"/>
      <c r="AU126" s="1189"/>
      <c r="AV126" s="1189"/>
      <c r="AW126" s="1189"/>
      <c r="AX126" s="1189"/>
    </row>
    <row r="127" spans="1:50" ht="12" customHeight="1">
      <c r="A127" s="1123"/>
      <c r="B127" s="161"/>
      <c r="C127" s="1123"/>
      <c r="D127" s="1123"/>
      <c r="E127" s="1123"/>
      <c r="F127" s="1123"/>
      <c r="G127" s="1123"/>
      <c r="H127" s="1123"/>
      <c r="I127" s="1123"/>
      <c r="J127" s="1125"/>
      <c r="K127" s="156"/>
      <c r="L127" s="1123"/>
      <c r="M127" s="1205"/>
      <c r="N127" s="1123"/>
      <c r="O127" s="1123"/>
      <c r="P127" s="1123"/>
      <c r="Q127" s="1123"/>
      <c r="R127" s="1189"/>
      <c r="S127" s="1189"/>
      <c r="T127" s="1208"/>
      <c r="U127" s="1208"/>
      <c r="V127" s="1189"/>
      <c r="W127" s="1189"/>
      <c r="X127" s="1189"/>
      <c r="Y127" s="1189"/>
      <c r="Z127" s="1189"/>
      <c r="AA127" s="1189"/>
      <c r="AB127" s="1189"/>
      <c r="AC127" s="1189"/>
      <c r="AD127" s="1189"/>
      <c r="AE127" s="1189"/>
      <c r="AF127" s="1189"/>
      <c r="AG127" s="1189"/>
      <c r="AH127" s="1189"/>
      <c r="AI127" s="1189"/>
      <c r="AJ127" s="1189"/>
      <c r="AK127" s="1189"/>
      <c r="AL127" s="1189"/>
      <c r="AM127" s="1189"/>
      <c r="AN127" s="1189"/>
      <c r="AO127" s="1189"/>
      <c r="AP127" s="1189"/>
      <c r="AQ127" s="1189"/>
      <c r="AR127" s="1189"/>
      <c r="AS127" s="1189"/>
      <c r="AT127" s="1189"/>
      <c r="AU127" s="1189"/>
      <c r="AV127" s="1189"/>
      <c r="AW127" s="1189"/>
      <c r="AX127" s="1189"/>
    </row>
    <row r="128" spans="1:50" ht="12" customHeight="1">
      <c r="A128" s="1123"/>
      <c r="B128" s="161"/>
      <c r="C128" s="1123"/>
      <c r="D128" s="1123"/>
      <c r="E128" s="1123"/>
      <c r="F128" s="1123"/>
      <c r="G128" s="1123"/>
      <c r="H128" s="1123"/>
      <c r="I128" s="1123"/>
      <c r="J128" s="1125"/>
      <c r="K128" s="156"/>
      <c r="L128" s="1123"/>
      <c r="M128" s="1205"/>
      <c r="N128" s="1123"/>
      <c r="O128" s="1123"/>
      <c r="P128" s="1123"/>
      <c r="Q128" s="1123"/>
      <c r="R128" s="1189"/>
      <c r="S128" s="1189"/>
      <c r="T128" s="1208"/>
      <c r="U128" s="1208"/>
      <c r="V128" s="1189"/>
      <c r="W128" s="1189"/>
      <c r="X128" s="1189"/>
      <c r="Y128" s="1189"/>
      <c r="Z128" s="1189"/>
      <c r="AA128" s="1189"/>
      <c r="AB128" s="1189"/>
      <c r="AC128" s="1189"/>
      <c r="AD128" s="1189"/>
      <c r="AE128" s="1189"/>
      <c r="AF128" s="1189"/>
      <c r="AG128" s="1189"/>
      <c r="AH128" s="1189"/>
      <c r="AI128" s="1189"/>
      <c r="AJ128" s="1189"/>
      <c r="AK128" s="1189"/>
      <c r="AL128" s="1189"/>
      <c r="AM128" s="1189"/>
      <c r="AN128" s="1189"/>
      <c r="AO128" s="1189"/>
      <c r="AP128" s="1189"/>
      <c r="AQ128" s="1189"/>
      <c r="AR128" s="1189"/>
      <c r="AS128" s="1189"/>
      <c r="AT128" s="1189"/>
      <c r="AU128" s="1189"/>
      <c r="AV128" s="1189"/>
      <c r="AW128" s="1189"/>
      <c r="AX128" s="1189"/>
    </row>
    <row r="129" spans="1:50" ht="12" customHeight="1">
      <c r="A129" s="1123"/>
      <c r="B129" s="161"/>
      <c r="C129" s="1123"/>
      <c r="D129" s="1123"/>
      <c r="E129" s="1123"/>
      <c r="F129" s="1123"/>
      <c r="G129" s="1123"/>
      <c r="H129" s="1123"/>
      <c r="I129" s="1123"/>
      <c r="J129" s="1125"/>
      <c r="K129" s="156"/>
      <c r="L129" s="1123"/>
      <c r="M129" s="1205"/>
      <c r="N129" s="1123"/>
      <c r="O129" s="1123"/>
      <c r="P129" s="1123"/>
      <c r="Q129" s="1123"/>
      <c r="R129" s="1189"/>
      <c r="S129" s="1189"/>
      <c r="T129" s="1208"/>
      <c r="U129" s="1208"/>
      <c r="V129" s="1189"/>
      <c r="W129" s="1189"/>
      <c r="X129" s="1189"/>
      <c r="Y129" s="1189"/>
      <c r="Z129" s="1189"/>
      <c r="AA129" s="1189"/>
      <c r="AB129" s="1189"/>
      <c r="AC129" s="1189"/>
      <c r="AD129" s="1189"/>
      <c r="AE129" s="1189"/>
      <c r="AF129" s="1189"/>
      <c r="AG129" s="1189"/>
      <c r="AH129" s="1189"/>
      <c r="AI129" s="1189"/>
      <c r="AJ129" s="1189"/>
      <c r="AK129" s="1189"/>
      <c r="AL129" s="1189"/>
      <c r="AM129" s="1189"/>
      <c r="AN129" s="1189"/>
      <c r="AO129" s="1189"/>
      <c r="AP129" s="1189"/>
      <c r="AQ129" s="1189"/>
      <c r="AR129" s="1189"/>
      <c r="AS129" s="1189"/>
      <c r="AT129" s="1189"/>
      <c r="AU129" s="1189"/>
      <c r="AV129" s="1189"/>
      <c r="AW129" s="1189"/>
      <c r="AX129" s="1189"/>
    </row>
    <row r="130" spans="1:50" ht="12" customHeight="1">
      <c r="A130" s="1123"/>
      <c r="B130" s="161"/>
      <c r="C130" s="1123"/>
      <c r="D130" s="1123"/>
      <c r="E130" s="1123"/>
      <c r="F130" s="1123"/>
      <c r="G130" s="1123"/>
      <c r="H130" s="1123"/>
      <c r="I130" s="1123"/>
      <c r="J130" s="1125"/>
      <c r="K130" s="156"/>
      <c r="L130" s="1123"/>
      <c r="M130" s="1205"/>
      <c r="N130" s="1123"/>
      <c r="O130" s="1123"/>
      <c r="P130" s="1123"/>
      <c r="Q130" s="1123"/>
      <c r="R130" s="1189"/>
      <c r="S130" s="1189"/>
      <c r="T130" s="1208"/>
      <c r="U130" s="1208"/>
      <c r="V130" s="1189"/>
      <c r="W130" s="1189"/>
      <c r="X130" s="1189"/>
      <c r="Y130" s="1189"/>
      <c r="Z130" s="1189"/>
      <c r="AA130" s="1189"/>
      <c r="AB130" s="1189"/>
      <c r="AC130" s="1189"/>
      <c r="AD130" s="1189"/>
      <c r="AE130" s="1189"/>
      <c r="AF130" s="1189"/>
      <c r="AG130" s="1189"/>
      <c r="AH130" s="1189"/>
      <c r="AI130" s="1189"/>
      <c r="AJ130" s="1189"/>
      <c r="AK130" s="1189"/>
      <c r="AL130" s="1189"/>
      <c r="AM130" s="1189"/>
      <c r="AN130" s="1189"/>
      <c r="AO130" s="1189"/>
      <c r="AP130" s="1189"/>
      <c r="AQ130" s="1189"/>
      <c r="AR130" s="1189"/>
      <c r="AS130" s="1189"/>
      <c r="AT130" s="1189"/>
      <c r="AU130" s="1189"/>
      <c r="AV130" s="1189"/>
      <c r="AW130" s="1189"/>
      <c r="AX130" s="1189"/>
    </row>
    <row r="131" spans="1:50" ht="12" customHeight="1">
      <c r="A131" s="1123"/>
      <c r="B131" s="161"/>
      <c r="C131" s="1123"/>
      <c r="D131" s="1123"/>
      <c r="E131" s="1123"/>
      <c r="F131" s="1123"/>
      <c r="G131" s="1123"/>
      <c r="H131" s="1123"/>
      <c r="I131" s="1123"/>
      <c r="J131" s="1125"/>
      <c r="K131" s="156"/>
      <c r="L131" s="1123"/>
      <c r="M131" s="1205"/>
      <c r="N131" s="1123"/>
      <c r="O131" s="1123"/>
      <c r="P131" s="1123"/>
      <c r="Q131" s="1123"/>
      <c r="R131" s="1189"/>
      <c r="S131" s="1189"/>
      <c r="T131" s="1208"/>
      <c r="U131" s="1208"/>
      <c r="V131" s="1189"/>
      <c r="W131" s="1189"/>
      <c r="X131" s="1189"/>
      <c r="Y131" s="1189"/>
      <c r="Z131" s="1189"/>
      <c r="AA131" s="1189"/>
      <c r="AB131" s="1189"/>
      <c r="AC131" s="1189"/>
      <c r="AD131" s="1189"/>
      <c r="AE131" s="1189"/>
      <c r="AF131" s="1189"/>
      <c r="AG131" s="1189"/>
      <c r="AH131" s="1189"/>
      <c r="AI131" s="1189"/>
      <c r="AJ131" s="1189"/>
      <c r="AK131" s="1189"/>
      <c r="AL131" s="1189"/>
      <c r="AM131" s="1189"/>
      <c r="AN131" s="1189"/>
      <c r="AO131" s="1189"/>
      <c r="AP131" s="1189"/>
      <c r="AQ131" s="1189"/>
      <c r="AR131" s="1189"/>
      <c r="AS131" s="1189"/>
      <c r="AT131" s="1189"/>
      <c r="AU131" s="1189"/>
      <c r="AV131" s="1189"/>
      <c r="AW131" s="1189"/>
      <c r="AX131" s="1189"/>
    </row>
    <row r="132" spans="1:50" ht="12" customHeight="1">
      <c r="A132" s="1123"/>
      <c r="B132" s="161"/>
      <c r="C132" s="1123"/>
      <c r="D132" s="1123"/>
      <c r="E132" s="1123"/>
      <c r="F132" s="1123"/>
      <c r="G132" s="1123"/>
      <c r="H132" s="1123"/>
      <c r="I132" s="1123"/>
      <c r="J132" s="1125"/>
      <c r="K132" s="156"/>
      <c r="L132" s="1123"/>
      <c r="M132" s="1205"/>
      <c r="N132" s="1123"/>
      <c r="O132" s="1123"/>
      <c r="P132" s="1123"/>
      <c r="Q132" s="1123"/>
      <c r="R132" s="1189"/>
      <c r="S132" s="1189"/>
      <c r="T132" s="1208"/>
      <c r="U132" s="1208"/>
      <c r="V132" s="1189"/>
      <c r="W132" s="1189"/>
      <c r="X132" s="1189"/>
      <c r="Y132" s="1189"/>
      <c r="Z132" s="1189"/>
      <c r="AA132" s="1189"/>
      <c r="AB132" s="1189"/>
      <c r="AC132" s="1189"/>
      <c r="AD132" s="1189"/>
      <c r="AE132" s="1189"/>
      <c r="AF132" s="1189"/>
      <c r="AG132" s="1189"/>
      <c r="AH132" s="1189"/>
      <c r="AI132" s="1189"/>
      <c r="AJ132" s="1189"/>
      <c r="AK132" s="1189"/>
      <c r="AL132" s="1189"/>
      <c r="AM132" s="1189"/>
      <c r="AN132" s="1189"/>
      <c r="AO132" s="1189"/>
      <c r="AP132" s="1189"/>
      <c r="AQ132" s="1189"/>
      <c r="AR132" s="1189"/>
      <c r="AS132" s="1189"/>
      <c r="AT132" s="1189"/>
      <c r="AU132" s="1189"/>
      <c r="AV132" s="1189"/>
      <c r="AW132" s="1189"/>
      <c r="AX132" s="1189"/>
    </row>
    <row r="133" spans="1:50" ht="12" customHeight="1">
      <c r="A133" s="1123"/>
      <c r="B133" s="161"/>
      <c r="C133" s="1123"/>
      <c r="D133" s="1123"/>
      <c r="E133" s="1123"/>
      <c r="F133" s="1123"/>
      <c r="G133" s="1123"/>
      <c r="H133" s="1123"/>
      <c r="I133" s="1123"/>
      <c r="J133" s="1125"/>
      <c r="K133" s="156"/>
      <c r="L133" s="1123"/>
      <c r="M133" s="1205"/>
      <c r="N133" s="1123"/>
      <c r="O133" s="1123"/>
      <c r="P133" s="1123"/>
      <c r="Q133" s="1123"/>
      <c r="R133" s="1189"/>
      <c r="S133" s="1189"/>
      <c r="T133" s="1208"/>
      <c r="U133" s="1208"/>
      <c r="V133" s="1189"/>
      <c r="W133" s="1189"/>
      <c r="X133" s="1189"/>
      <c r="Y133" s="1189"/>
      <c r="Z133" s="1189"/>
      <c r="AA133" s="1189"/>
      <c r="AB133" s="1189"/>
      <c r="AC133" s="1189"/>
      <c r="AD133" s="1189"/>
      <c r="AE133" s="1189"/>
      <c r="AF133" s="1189"/>
      <c r="AG133" s="1189"/>
      <c r="AH133" s="1189"/>
      <c r="AI133" s="1189"/>
      <c r="AJ133" s="1189"/>
      <c r="AK133" s="1189"/>
      <c r="AL133" s="1189"/>
      <c r="AM133" s="1189"/>
      <c r="AN133" s="1189"/>
      <c r="AO133" s="1189"/>
      <c r="AP133" s="1189"/>
      <c r="AQ133" s="1189"/>
      <c r="AR133" s="1189"/>
      <c r="AS133" s="1189"/>
      <c r="AT133" s="1189"/>
      <c r="AU133" s="1189"/>
      <c r="AV133" s="1189"/>
      <c r="AW133" s="1189"/>
      <c r="AX133" s="1189"/>
    </row>
    <row r="134" spans="1:50" ht="12" customHeight="1">
      <c r="A134" s="1123"/>
      <c r="B134" s="161"/>
      <c r="C134" s="1123"/>
      <c r="D134" s="1123"/>
      <c r="E134" s="1123"/>
      <c r="F134" s="1123"/>
      <c r="G134" s="1123"/>
      <c r="H134" s="1123"/>
      <c r="I134" s="1123"/>
      <c r="J134" s="1125"/>
      <c r="K134" s="156"/>
      <c r="L134" s="1123"/>
      <c r="M134" s="1205"/>
      <c r="N134" s="1123"/>
      <c r="O134" s="1123"/>
      <c r="P134" s="1123"/>
      <c r="Q134" s="1123"/>
      <c r="R134" s="1189"/>
      <c r="S134" s="1189"/>
      <c r="T134" s="1208"/>
      <c r="U134" s="1208"/>
      <c r="V134" s="1189"/>
      <c r="W134" s="1189"/>
      <c r="X134" s="1189"/>
      <c r="Y134" s="1189"/>
      <c r="Z134" s="1189"/>
      <c r="AA134" s="1189"/>
      <c r="AB134" s="1189"/>
      <c r="AC134" s="1189"/>
      <c r="AD134" s="1189"/>
      <c r="AE134" s="1189"/>
      <c r="AF134" s="1189"/>
      <c r="AG134" s="1189"/>
      <c r="AH134" s="1189"/>
      <c r="AI134" s="1189"/>
      <c r="AJ134" s="1189"/>
      <c r="AK134" s="1189"/>
      <c r="AL134" s="1189"/>
      <c r="AM134" s="1189"/>
      <c r="AN134" s="1189"/>
      <c r="AO134" s="1189"/>
      <c r="AP134" s="1189"/>
      <c r="AQ134" s="1189"/>
      <c r="AR134" s="1189"/>
      <c r="AS134" s="1189"/>
      <c r="AT134" s="1189"/>
      <c r="AU134" s="1189"/>
      <c r="AV134" s="1189"/>
      <c r="AW134" s="1189"/>
      <c r="AX134" s="1189"/>
    </row>
    <row r="135" spans="1:50" ht="12" customHeight="1">
      <c r="A135" s="1123"/>
      <c r="B135" s="161"/>
      <c r="C135" s="1123"/>
      <c r="D135" s="1123"/>
      <c r="E135" s="1123"/>
      <c r="F135" s="1123"/>
      <c r="G135" s="1123"/>
      <c r="H135" s="1123"/>
      <c r="I135" s="1123"/>
      <c r="J135" s="1125"/>
      <c r="K135" s="156"/>
      <c r="L135" s="1123"/>
      <c r="M135" s="1205"/>
      <c r="N135" s="1123"/>
      <c r="O135" s="1123"/>
      <c r="P135" s="1123"/>
      <c r="Q135" s="1123"/>
      <c r="R135" s="1189"/>
      <c r="S135" s="1189"/>
      <c r="T135" s="1208"/>
      <c r="U135" s="1208"/>
      <c r="V135" s="1189"/>
      <c r="W135" s="1189"/>
      <c r="X135" s="1189"/>
      <c r="Y135" s="1189"/>
      <c r="Z135" s="1189"/>
      <c r="AA135" s="1189"/>
      <c r="AB135" s="1189"/>
      <c r="AC135" s="1189"/>
      <c r="AD135" s="1189"/>
      <c r="AE135" s="1189"/>
      <c r="AF135" s="1189"/>
      <c r="AG135" s="1189"/>
      <c r="AH135" s="1189"/>
      <c r="AI135" s="1189"/>
      <c r="AJ135" s="1189"/>
      <c r="AK135" s="1189"/>
      <c r="AL135" s="1189"/>
      <c r="AM135" s="1189"/>
      <c r="AN135" s="1189"/>
      <c r="AO135" s="1189"/>
      <c r="AP135" s="1189"/>
      <c r="AQ135" s="1189"/>
      <c r="AR135" s="1189"/>
      <c r="AS135" s="1189"/>
      <c r="AT135" s="1189"/>
      <c r="AU135" s="1189"/>
      <c r="AV135" s="1189"/>
      <c r="AW135" s="1189"/>
      <c r="AX135" s="1189"/>
    </row>
    <row r="136" spans="1:50" ht="12" customHeight="1">
      <c r="A136" s="1123"/>
      <c r="B136" s="161"/>
      <c r="C136" s="1123"/>
      <c r="D136" s="1123"/>
      <c r="E136" s="1123"/>
      <c r="F136" s="1123"/>
      <c r="G136" s="1123"/>
      <c r="H136" s="1123"/>
      <c r="I136" s="1123"/>
      <c r="J136" s="1125"/>
      <c r="K136" s="156"/>
      <c r="L136" s="1123"/>
      <c r="M136" s="1205"/>
      <c r="N136" s="1123"/>
      <c r="O136" s="1123"/>
      <c r="P136" s="1123"/>
      <c r="Q136" s="1123"/>
      <c r="R136" s="1189"/>
      <c r="S136" s="1189"/>
      <c r="T136" s="1208"/>
      <c r="U136" s="1208"/>
      <c r="V136" s="1189"/>
      <c r="W136" s="1189"/>
      <c r="X136" s="1189"/>
      <c r="Y136" s="1189"/>
      <c r="Z136" s="1189"/>
      <c r="AA136" s="1189"/>
      <c r="AB136" s="1189"/>
      <c r="AC136" s="1189"/>
      <c r="AD136" s="1189"/>
      <c r="AE136" s="1189"/>
      <c r="AF136" s="1189"/>
      <c r="AG136" s="1189"/>
      <c r="AH136" s="1189"/>
      <c r="AI136" s="1189"/>
      <c r="AJ136" s="1189"/>
      <c r="AK136" s="1189"/>
      <c r="AL136" s="1189"/>
      <c r="AM136" s="1189"/>
      <c r="AN136" s="1189"/>
      <c r="AO136" s="1189"/>
      <c r="AP136" s="1189"/>
      <c r="AQ136" s="1189"/>
      <c r="AR136" s="1189"/>
      <c r="AS136" s="1189"/>
      <c r="AT136" s="1189"/>
      <c r="AU136" s="1189"/>
      <c r="AV136" s="1189"/>
      <c r="AW136" s="1189"/>
      <c r="AX136" s="1189"/>
    </row>
    <row r="137" spans="1:50" ht="12" customHeight="1">
      <c r="A137" s="1123"/>
      <c r="B137" s="161"/>
      <c r="C137" s="1123"/>
      <c r="D137" s="1123"/>
      <c r="E137" s="1123"/>
      <c r="F137" s="1123"/>
      <c r="G137" s="1123"/>
      <c r="H137" s="1123"/>
      <c r="I137" s="1123"/>
      <c r="J137" s="1125"/>
      <c r="K137" s="156"/>
      <c r="L137" s="1123"/>
      <c r="M137" s="1205"/>
      <c r="N137" s="1123"/>
      <c r="O137" s="1123"/>
      <c r="P137" s="1123"/>
      <c r="Q137" s="1123"/>
      <c r="R137" s="1189"/>
      <c r="S137" s="1189"/>
      <c r="T137" s="1208"/>
      <c r="U137" s="1208"/>
      <c r="V137" s="1189"/>
      <c r="W137" s="1189"/>
      <c r="X137" s="1189"/>
      <c r="Y137" s="1189"/>
      <c r="Z137" s="1189"/>
      <c r="AA137" s="1189"/>
      <c r="AB137" s="1189"/>
      <c r="AC137" s="1189"/>
      <c r="AD137" s="1189"/>
      <c r="AE137" s="1189"/>
      <c r="AF137" s="1189"/>
      <c r="AG137" s="1189"/>
      <c r="AH137" s="1189"/>
      <c r="AI137" s="1189"/>
      <c r="AJ137" s="1189"/>
      <c r="AK137" s="1189"/>
      <c r="AL137" s="1189"/>
      <c r="AM137" s="1189"/>
      <c r="AN137" s="1189"/>
      <c r="AO137" s="1189"/>
      <c r="AP137" s="1189"/>
      <c r="AQ137" s="1189"/>
      <c r="AR137" s="1189"/>
      <c r="AS137" s="1189"/>
      <c r="AT137" s="1189"/>
      <c r="AU137" s="1189"/>
      <c r="AV137" s="1189"/>
      <c r="AW137" s="1189"/>
      <c r="AX137" s="1189"/>
    </row>
    <row r="138" spans="1:50" ht="12" customHeight="1">
      <c r="A138" s="1123"/>
      <c r="B138" s="161"/>
      <c r="C138" s="1123"/>
      <c r="D138" s="1123"/>
      <c r="E138" s="1123"/>
      <c r="F138" s="1123"/>
      <c r="G138" s="1123"/>
      <c r="H138" s="1123"/>
      <c r="I138" s="1123"/>
      <c r="J138" s="1125"/>
      <c r="K138" s="156"/>
      <c r="L138" s="1123"/>
      <c r="M138" s="1205"/>
      <c r="N138" s="1123"/>
      <c r="O138" s="1123"/>
      <c r="P138" s="1123"/>
      <c r="Q138" s="1123"/>
      <c r="R138" s="1189"/>
      <c r="S138" s="1189"/>
      <c r="T138" s="1208"/>
      <c r="U138" s="1208"/>
      <c r="V138" s="1189"/>
      <c r="W138" s="1189"/>
      <c r="X138" s="1189"/>
      <c r="Y138" s="1189"/>
      <c r="Z138" s="1189"/>
      <c r="AA138" s="1189"/>
      <c r="AB138" s="1189"/>
      <c r="AC138" s="1189"/>
      <c r="AD138" s="1189"/>
      <c r="AE138" s="1189"/>
      <c r="AF138" s="1189"/>
      <c r="AG138" s="1189"/>
      <c r="AH138" s="1189"/>
      <c r="AI138" s="1189"/>
      <c r="AJ138" s="1189"/>
      <c r="AK138" s="1189"/>
      <c r="AL138" s="1189"/>
      <c r="AM138" s="1189"/>
      <c r="AN138" s="1189"/>
      <c r="AO138" s="1189"/>
      <c r="AP138" s="1189"/>
      <c r="AQ138" s="1189"/>
      <c r="AR138" s="1189"/>
      <c r="AS138" s="1189"/>
      <c r="AT138" s="1189"/>
      <c r="AU138" s="1189"/>
      <c r="AV138" s="1189"/>
      <c r="AW138" s="1189"/>
      <c r="AX138" s="1189"/>
    </row>
    <row r="139" spans="1:50" ht="12" customHeight="1">
      <c r="A139" s="1123"/>
      <c r="B139" s="161"/>
      <c r="C139" s="1123"/>
      <c r="D139" s="1123"/>
      <c r="E139" s="1123"/>
      <c r="F139" s="1123"/>
      <c r="G139" s="1123"/>
      <c r="H139" s="1123"/>
      <c r="I139" s="1123"/>
      <c r="J139" s="1125"/>
      <c r="K139" s="156"/>
      <c r="L139" s="1123"/>
      <c r="M139" s="1205"/>
      <c r="N139" s="1123"/>
      <c r="O139" s="1123"/>
      <c r="P139" s="1123"/>
      <c r="Q139" s="1123"/>
      <c r="R139" s="1189"/>
      <c r="S139" s="1189"/>
      <c r="T139" s="1208"/>
      <c r="U139" s="1208"/>
      <c r="V139" s="1189"/>
      <c r="W139" s="1189"/>
      <c r="X139" s="1189"/>
      <c r="Y139" s="1189"/>
      <c r="Z139" s="1189"/>
      <c r="AA139" s="1189"/>
      <c r="AB139" s="1189"/>
      <c r="AC139" s="1189"/>
      <c r="AD139" s="1189"/>
      <c r="AE139" s="1189"/>
      <c r="AF139" s="1189"/>
      <c r="AG139" s="1189"/>
      <c r="AH139" s="1189"/>
      <c r="AI139" s="1189"/>
      <c r="AJ139" s="1189"/>
      <c r="AK139" s="1189"/>
      <c r="AL139" s="1189"/>
      <c r="AM139" s="1189"/>
      <c r="AN139" s="1189"/>
      <c r="AO139" s="1189"/>
      <c r="AP139" s="1189"/>
      <c r="AQ139" s="1189"/>
      <c r="AR139" s="1189"/>
      <c r="AS139" s="1189"/>
      <c r="AT139" s="1189"/>
      <c r="AU139" s="1189"/>
      <c r="AV139" s="1189"/>
      <c r="AW139" s="1189"/>
      <c r="AX139" s="1189"/>
    </row>
    <row r="140" spans="1:50" ht="12" customHeight="1">
      <c r="A140" s="1123"/>
      <c r="B140" s="161"/>
      <c r="C140" s="1123"/>
      <c r="D140" s="1123"/>
      <c r="E140" s="1123"/>
      <c r="F140" s="1123"/>
      <c r="G140" s="1123"/>
      <c r="H140" s="1123"/>
      <c r="I140" s="1123"/>
      <c r="J140" s="1125"/>
      <c r="K140" s="156"/>
      <c r="L140" s="1123"/>
      <c r="M140" s="1205"/>
      <c r="N140" s="1123"/>
      <c r="O140" s="1123"/>
      <c r="P140" s="1123"/>
      <c r="Q140" s="1123"/>
      <c r="R140" s="1189"/>
      <c r="S140" s="1189"/>
      <c r="T140" s="1208"/>
      <c r="U140" s="1208"/>
      <c r="V140" s="1189"/>
      <c r="W140" s="1189"/>
      <c r="X140" s="1189"/>
      <c r="Y140" s="1189"/>
      <c r="Z140" s="1189"/>
      <c r="AA140" s="1189"/>
      <c r="AB140" s="1189"/>
      <c r="AC140" s="1189"/>
      <c r="AD140" s="1189"/>
      <c r="AE140" s="1189"/>
      <c r="AF140" s="1189"/>
      <c r="AG140" s="1189"/>
      <c r="AH140" s="1189"/>
      <c r="AI140" s="1189"/>
      <c r="AJ140" s="1189"/>
      <c r="AK140" s="1189"/>
      <c r="AL140" s="1189"/>
      <c r="AM140" s="1189"/>
      <c r="AN140" s="1189"/>
      <c r="AO140" s="1189"/>
      <c r="AP140" s="1189"/>
      <c r="AQ140" s="1189"/>
      <c r="AR140" s="1189"/>
      <c r="AS140" s="1189"/>
      <c r="AT140" s="1189"/>
      <c r="AU140" s="1189"/>
      <c r="AV140" s="1189"/>
      <c r="AW140" s="1189"/>
      <c r="AX140" s="1189"/>
    </row>
    <row r="141" spans="1:50" ht="12" customHeight="1">
      <c r="A141" s="1123"/>
      <c r="B141" s="161"/>
      <c r="C141" s="1123"/>
      <c r="D141" s="1123"/>
      <c r="E141" s="1123"/>
      <c r="F141" s="1123"/>
      <c r="G141" s="1123"/>
      <c r="H141" s="1123"/>
      <c r="I141" s="1123"/>
      <c r="J141" s="1125"/>
      <c r="K141" s="156"/>
      <c r="L141" s="1123"/>
      <c r="M141" s="1205"/>
      <c r="N141" s="1123"/>
      <c r="O141" s="1123"/>
      <c r="P141" s="1123"/>
      <c r="Q141" s="1123"/>
      <c r="R141" s="1189"/>
      <c r="S141" s="1189"/>
      <c r="T141" s="1208"/>
      <c r="U141" s="1208"/>
      <c r="V141" s="1189"/>
      <c r="W141" s="1189"/>
      <c r="X141" s="1189"/>
      <c r="Y141" s="1189"/>
      <c r="Z141" s="1189"/>
      <c r="AA141" s="1189"/>
      <c r="AB141" s="1189"/>
      <c r="AC141" s="1189"/>
      <c r="AD141" s="1189"/>
      <c r="AE141" s="1189"/>
      <c r="AF141" s="1189"/>
      <c r="AG141" s="1189"/>
      <c r="AH141" s="1189"/>
      <c r="AI141" s="1189"/>
      <c r="AJ141" s="1189"/>
      <c r="AK141" s="1189"/>
      <c r="AL141" s="1189"/>
      <c r="AM141" s="1189"/>
      <c r="AN141" s="1189"/>
      <c r="AO141" s="1189"/>
      <c r="AP141" s="1189"/>
      <c r="AQ141" s="1189"/>
      <c r="AR141" s="1189"/>
      <c r="AS141" s="1189"/>
      <c r="AT141" s="1189"/>
      <c r="AU141" s="1189"/>
      <c r="AV141" s="1189"/>
      <c r="AW141" s="1189"/>
      <c r="AX141" s="1189"/>
    </row>
    <row r="142" spans="1:50" ht="12" customHeight="1">
      <c r="A142" s="1123"/>
      <c r="B142" s="161"/>
      <c r="C142" s="1123"/>
      <c r="D142" s="1123"/>
      <c r="E142" s="1123"/>
      <c r="F142" s="1123"/>
      <c r="G142" s="1123"/>
      <c r="H142" s="1123"/>
      <c r="I142" s="1123"/>
      <c r="J142" s="1125"/>
      <c r="K142" s="156"/>
      <c r="L142" s="1123"/>
      <c r="M142" s="1205"/>
      <c r="N142" s="1123"/>
      <c r="O142" s="1123"/>
      <c r="P142" s="1123"/>
      <c r="Q142" s="1123"/>
      <c r="R142" s="1189"/>
      <c r="S142" s="1189"/>
      <c r="T142" s="1208"/>
      <c r="U142" s="1208"/>
      <c r="V142" s="1189"/>
      <c r="W142" s="1189"/>
      <c r="X142" s="1189"/>
      <c r="Y142" s="1189"/>
      <c r="Z142" s="1189"/>
      <c r="AA142" s="1189"/>
      <c r="AB142" s="1189"/>
      <c r="AC142" s="1189"/>
      <c r="AD142" s="1189"/>
      <c r="AE142" s="1189"/>
      <c r="AF142" s="1189"/>
      <c r="AG142" s="1189"/>
      <c r="AH142" s="1189"/>
      <c r="AI142" s="1189"/>
      <c r="AJ142" s="1189"/>
      <c r="AK142" s="1189"/>
      <c r="AL142" s="1189"/>
      <c r="AM142" s="1189"/>
      <c r="AN142" s="1189"/>
      <c r="AO142" s="1189"/>
      <c r="AP142" s="1189"/>
      <c r="AQ142" s="1189"/>
      <c r="AR142" s="1189"/>
      <c r="AS142" s="1189"/>
      <c r="AT142" s="1189"/>
      <c r="AU142" s="1189"/>
      <c r="AV142" s="1189"/>
      <c r="AW142" s="1189"/>
      <c r="AX142" s="1189"/>
    </row>
    <row r="143" spans="1:50" ht="12" customHeight="1">
      <c r="A143" s="1123"/>
      <c r="B143" s="161"/>
      <c r="C143" s="1123"/>
      <c r="D143" s="1123"/>
      <c r="E143" s="1123"/>
      <c r="F143" s="1123"/>
      <c r="G143" s="1123"/>
      <c r="H143" s="1123"/>
      <c r="I143" s="1123"/>
      <c r="J143" s="1125"/>
      <c r="K143" s="156"/>
      <c r="L143" s="1123"/>
      <c r="M143" s="1205"/>
      <c r="N143" s="1123"/>
      <c r="O143" s="1123"/>
      <c r="P143" s="1123"/>
      <c r="Q143" s="1123"/>
      <c r="R143" s="1189"/>
      <c r="S143" s="1189"/>
      <c r="T143" s="1208"/>
      <c r="U143" s="1208"/>
      <c r="V143" s="1189"/>
      <c r="W143" s="1189"/>
      <c r="X143" s="1189"/>
      <c r="Y143" s="1189"/>
      <c r="Z143" s="1189"/>
      <c r="AA143" s="1189"/>
      <c r="AB143" s="1189"/>
      <c r="AC143" s="1189"/>
      <c r="AD143" s="1189"/>
      <c r="AE143" s="1189"/>
      <c r="AF143" s="1189"/>
      <c r="AG143" s="1189"/>
      <c r="AH143" s="1189"/>
      <c r="AI143" s="1189"/>
      <c r="AJ143" s="1189"/>
      <c r="AK143" s="1189"/>
      <c r="AL143" s="1189"/>
      <c r="AM143" s="1189"/>
      <c r="AN143" s="1189"/>
      <c r="AO143" s="1189"/>
      <c r="AP143" s="1189"/>
      <c r="AQ143" s="1189"/>
      <c r="AR143" s="1189"/>
      <c r="AS143" s="1189"/>
      <c r="AT143" s="1189"/>
      <c r="AU143" s="1189"/>
      <c r="AV143" s="1189"/>
      <c r="AW143" s="1189"/>
      <c r="AX143" s="1189"/>
    </row>
    <row r="144" spans="1:50" ht="12" customHeight="1">
      <c r="A144" s="1123"/>
      <c r="B144" s="161"/>
      <c r="C144" s="1123"/>
      <c r="D144" s="1123"/>
      <c r="E144" s="1123"/>
      <c r="F144" s="1123"/>
      <c r="G144" s="1123"/>
      <c r="H144" s="1123"/>
      <c r="I144" s="1123"/>
      <c r="J144" s="1125"/>
      <c r="K144" s="156"/>
      <c r="L144" s="1123"/>
      <c r="M144" s="1205"/>
      <c r="N144" s="1123"/>
      <c r="O144" s="1123"/>
      <c r="P144" s="1123"/>
      <c r="Q144" s="1123"/>
      <c r="R144" s="1189"/>
      <c r="S144" s="1189"/>
      <c r="T144" s="1208"/>
      <c r="U144" s="1208"/>
      <c r="V144" s="1189"/>
      <c r="W144" s="1189"/>
      <c r="X144" s="1189"/>
      <c r="Y144" s="1189"/>
      <c r="Z144" s="1189"/>
      <c r="AA144" s="1189"/>
      <c r="AB144" s="1189"/>
      <c r="AC144" s="1189"/>
      <c r="AD144" s="1189"/>
      <c r="AE144" s="1189"/>
      <c r="AF144" s="1189"/>
      <c r="AG144" s="1189"/>
      <c r="AH144" s="1189"/>
      <c r="AI144" s="1189"/>
      <c r="AJ144" s="1189"/>
      <c r="AK144" s="1189"/>
      <c r="AL144" s="1189"/>
      <c r="AM144" s="1189"/>
      <c r="AN144" s="1189"/>
      <c r="AO144" s="1189"/>
      <c r="AP144" s="1189"/>
      <c r="AQ144" s="1189"/>
      <c r="AR144" s="1189"/>
      <c r="AS144" s="1189"/>
      <c r="AT144" s="1189"/>
      <c r="AU144" s="1189"/>
      <c r="AV144" s="1189"/>
      <c r="AW144" s="1189"/>
      <c r="AX144" s="1189"/>
    </row>
    <row r="145" spans="1:50" ht="12" customHeight="1">
      <c r="A145" s="1123"/>
      <c r="B145" s="161"/>
      <c r="C145" s="1123"/>
      <c r="D145" s="1123"/>
      <c r="E145" s="1123"/>
      <c r="F145" s="1123"/>
      <c r="G145" s="1123"/>
      <c r="H145" s="1123"/>
      <c r="I145" s="1123"/>
      <c r="J145" s="1125"/>
      <c r="K145" s="156"/>
      <c r="L145" s="1123"/>
      <c r="M145" s="1205"/>
      <c r="N145" s="1123"/>
      <c r="O145" s="1123"/>
      <c r="P145" s="1123"/>
      <c r="Q145" s="1123"/>
      <c r="R145" s="1189"/>
      <c r="S145" s="1189"/>
      <c r="T145" s="1208"/>
      <c r="U145" s="1208"/>
      <c r="V145" s="1189"/>
      <c r="W145" s="1189"/>
      <c r="X145" s="1189"/>
      <c r="Y145" s="1189"/>
      <c r="Z145" s="1189"/>
      <c r="AA145" s="1189"/>
      <c r="AB145" s="1189"/>
      <c r="AC145" s="1189"/>
      <c r="AD145" s="1189"/>
      <c r="AE145" s="1189"/>
      <c r="AF145" s="1189"/>
      <c r="AG145" s="1189"/>
      <c r="AH145" s="1189"/>
      <c r="AI145" s="1189"/>
      <c r="AJ145" s="1189"/>
      <c r="AK145" s="1189"/>
      <c r="AL145" s="1189"/>
      <c r="AM145" s="1189"/>
      <c r="AN145" s="1189"/>
      <c r="AO145" s="1189"/>
      <c r="AP145" s="1189"/>
      <c r="AQ145" s="1189"/>
      <c r="AR145" s="1189"/>
      <c r="AS145" s="1189"/>
      <c r="AT145" s="1189"/>
      <c r="AU145" s="1189"/>
      <c r="AV145" s="1189"/>
      <c r="AW145" s="1189"/>
      <c r="AX145" s="1189"/>
    </row>
    <row r="146" spans="1:50" ht="12" customHeight="1">
      <c r="A146" s="1123"/>
      <c r="B146" s="161"/>
      <c r="C146" s="1123"/>
      <c r="D146" s="1123"/>
      <c r="E146" s="1123"/>
      <c r="F146" s="1123"/>
      <c r="G146" s="1123"/>
      <c r="H146" s="1123"/>
      <c r="I146" s="1123"/>
      <c r="J146" s="1125"/>
      <c r="K146" s="156"/>
      <c r="L146" s="1123"/>
      <c r="M146" s="1205"/>
      <c r="N146" s="1123"/>
      <c r="O146" s="1123"/>
      <c r="P146" s="1123"/>
      <c r="Q146" s="1123"/>
      <c r="R146" s="1189"/>
      <c r="S146" s="1189"/>
      <c r="T146" s="1208"/>
      <c r="U146" s="1208"/>
      <c r="V146" s="1189"/>
      <c r="W146" s="1189"/>
      <c r="X146" s="1189"/>
      <c r="Y146" s="1189"/>
      <c r="Z146" s="1189"/>
      <c r="AA146" s="1189"/>
      <c r="AB146" s="1189"/>
      <c r="AC146" s="1189"/>
      <c r="AD146" s="1189"/>
      <c r="AE146" s="1189"/>
      <c r="AF146" s="1189"/>
      <c r="AG146" s="1189"/>
      <c r="AH146" s="1189"/>
      <c r="AI146" s="1189"/>
      <c r="AJ146" s="1189"/>
      <c r="AK146" s="1189"/>
      <c r="AL146" s="1189"/>
      <c r="AM146" s="1189"/>
      <c r="AN146" s="1189"/>
      <c r="AO146" s="1189"/>
      <c r="AP146" s="1189"/>
      <c r="AQ146" s="1189"/>
      <c r="AR146" s="1189"/>
      <c r="AS146" s="1189"/>
      <c r="AT146" s="1189"/>
      <c r="AU146" s="1189"/>
      <c r="AV146" s="1189"/>
      <c r="AW146" s="1189"/>
      <c r="AX146" s="1189"/>
    </row>
    <row r="147" spans="1:50" ht="12" customHeight="1">
      <c r="A147" s="1123"/>
      <c r="B147" s="161"/>
      <c r="C147" s="1123"/>
      <c r="D147" s="1123"/>
      <c r="E147" s="1123"/>
      <c r="F147" s="1123"/>
      <c r="G147" s="1123"/>
      <c r="H147" s="1123"/>
      <c r="I147" s="1123"/>
      <c r="J147" s="1125"/>
      <c r="K147" s="156"/>
      <c r="L147" s="1123"/>
      <c r="M147" s="1205"/>
      <c r="N147" s="1123"/>
      <c r="O147" s="1123"/>
      <c r="P147" s="1123"/>
      <c r="Q147" s="1123"/>
      <c r="R147" s="1189"/>
      <c r="S147" s="1189"/>
      <c r="T147" s="1208"/>
      <c r="U147" s="1208"/>
      <c r="V147" s="1189"/>
      <c r="W147" s="1189"/>
      <c r="X147" s="1189"/>
      <c r="Y147" s="1189"/>
      <c r="Z147" s="1189"/>
      <c r="AA147" s="1189"/>
      <c r="AB147" s="1189"/>
      <c r="AC147" s="1189"/>
      <c r="AD147" s="1189"/>
      <c r="AE147" s="1189"/>
      <c r="AF147" s="1189"/>
      <c r="AG147" s="1189"/>
      <c r="AH147" s="1189"/>
      <c r="AI147" s="1189"/>
      <c r="AJ147" s="1189"/>
      <c r="AK147" s="1189"/>
      <c r="AL147" s="1189"/>
      <c r="AM147" s="1189"/>
      <c r="AN147" s="1189"/>
      <c r="AO147" s="1189"/>
      <c r="AP147" s="1189"/>
      <c r="AQ147" s="1189"/>
      <c r="AR147" s="1189"/>
      <c r="AS147" s="1189"/>
      <c r="AT147" s="1189"/>
      <c r="AU147" s="1189"/>
      <c r="AV147" s="1189"/>
      <c r="AW147" s="1189"/>
      <c r="AX147" s="1189"/>
    </row>
    <row r="148" spans="1:50" ht="12" customHeight="1">
      <c r="A148" s="1123"/>
      <c r="B148" s="161"/>
      <c r="C148" s="1123"/>
      <c r="D148" s="1123"/>
      <c r="E148" s="1123"/>
      <c r="F148" s="1123"/>
      <c r="G148" s="1123"/>
      <c r="H148" s="1123"/>
      <c r="I148" s="1123"/>
      <c r="J148" s="1125"/>
      <c r="K148" s="156"/>
      <c r="L148" s="1123"/>
      <c r="M148" s="1205"/>
      <c r="N148" s="1123"/>
      <c r="O148" s="1123"/>
      <c r="P148" s="1123"/>
      <c r="Q148" s="1123"/>
      <c r="R148" s="1189"/>
      <c r="S148" s="1189"/>
      <c r="T148" s="1208"/>
      <c r="U148" s="1208"/>
      <c r="V148" s="1189"/>
      <c r="W148" s="1189"/>
      <c r="X148" s="1189"/>
      <c r="Y148" s="1189"/>
      <c r="Z148" s="1189"/>
      <c r="AA148" s="1189"/>
      <c r="AB148" s="1189"/>
      <c r="AC148" s="1189"/>
      <c r="AD148" s="1189"/>
      <c r="AE148" s="1189"/>
      <c r="AF148" s="1189"/>
      <c r="AG148" s="1189"/>
      <c r="AH148" s="1189"/>
      <c r="AI148" s="1189"/>
      <c r="AJ148" s="1189"/>
      <c r="AK148" s="1189"/>
      <c r="AL148" s="1189"/>
      <c r="AM148" s="1189"/>
      <c r="AN148" s="1189"/>
      <c r="AO148" s="1189"/>
      <c r="AP148" s="1189"/>
      <c r="AQ148" s="1189"/>
      <c r="AR148" s="1189"/>
      <c r="AS148" s="1189"/>
      <c r="AT148" s="1189"/>
      <c r="AU148" s="1189"/>
      <c r="AV148" s="1189"/>
      <c r="AW148" s="1189"/>
      <c r="AX148" s="1189"/>
    </row>
    <row r="149" spans="1:50" ht="12" customHeight="1">
      <c r="A149" s="1123"/>
      <c r="B149" s="161"/>
      <c r="C149" s="1123"/>
      <c r="D149" s="1123"/>
      <c r="E149" s="1123"/>
      <c r="F149" s="1123"/>
      <c r="G149" s="1123"/>
      <c r="H149" s="1123"/>
      <c r="I149" s="1123"/>
      <c r="J149" s="1125"/>
      <c r="K149" s="156"/>
      <c r="L149" s="1123"/>
      <c r="M149" s="1205"/>
      <c r="N149" s="1123"/>
      <c r="O149" s="1123"/>
      <c r="P149" s="1123"/>
      <c r="Q149" s="1123"/>
      <c r="R149" s="1189"/>
      <c r="S149" s="1189"/>
      <c r="T149" s="1208"/>
      <c r="U149" s="1208"/>
      <c r="V149" s="1189"/>
      <c r="W149" s="1189"/>
      <c r="X149" s="1189"/>
      <c r="Y149" s="1189"/>
      <c r="Z149" s="1189"/>
      <c r="AA149" s="1189"/>
      <c r="AB149" s="1189"/>
      <c r="AC149" s="1189"/>
      <c r="AD149" s="1189"/>
      <c r="AE149" s="1189"/>
      <c r="AF149" s="1189"/>
      <c r="AG149" s="1189"/>
      <c r="AH149" s="1189"/>
      <c r="AI149" s="1189"/>
      <c r="AJ149" s="1189"/>
      <c r="AK149" s="1189"/>
      <c r="AL149" s="1189"/>
      <c r="AM149" s="1189"/>
      <c r="AN149" s="1189"/>
      <c r="AO149" s="1189"/>
      <c r="AP149" s="1189"/>
      <c r="AQ149" s="1189"/>
      <c r="AR149" s="1189"/>
      <c r="AS149" s="1189"/>
      <c r="AT149" s="1189"/>
      <c r="AU149" s="1189"/>
      <c r="AV149" s="1189"/>
      <c r="AW149" s="1189"/>
      <c r="AX149" s="1189"/>
    </row>
    <row r="150" spans="1:50" ht="12" customHeight="1">
      <c r="A150" s="1123"/>
      <c r="B150" s="161"/>
      <c r="C150" s="1123"/>
      <c r="D150" s="1123"/>
      <c r="E150" s="1123"/>
      <c r="F150" s="1123"/>
      <c r="G150" s="1123"/>
      <c r="H150" s="1123"/>
      <c r="I150" s="1123"/>
      <c r="J150" s="1125"/>
      <c r="K150" s="156"/>
      <c r="L150" s="1123"/>
      <c r="M150" s="1205"/>
      <c r="N150" s="1123"/>
      <c r="O150" s="1123"/>
      <c r="P150" s="1123"/>
      <c r="Q150" s="1123"/>
      <c r="R150" s="1189"/>
      <c r="S150" s="1189"/>
      <c r="T150" s="1208"/>
      <c r="U150" s="1208"/>
      <c r="V150" s="1189"/>
      <c r="W150" s="1189"/>
      <c r="X150" s="1189"/>
      <c r="Y150" s="1189"/>
      <c r="Z150" s="1189"/>
      <c r="AA150" s="1189"/>
      <c r="AB150" s="1189"/>
      <c r="AC150" s="1189"/>
      <c r="AD150" s="1189"/>
      <c r="AE150" s="1189"/>
      <c r="AF150" s="1189"/>
      <c r="AG150" s="1189"/>
      <c r="AH150" s="1189"/>
      <c r="AI150" s="1189"/>
      <c r="AJ150" s="1189"/>
      <c r="AK150" s="1189"/>
      <c r="AL150" s="1189"/>
      <c r="AM150" s="1189"/>
      <c r="AN150" s="1189"/>
      <c r="AO150" s="1189"/>
      <c r="AP150" s="1189"/>
      <c r="AQ150" s="1189"/>
      <c r="AR150" s="1189"/>
      <c r="AS150" s="1189"/>
      <c r="AT150" s="1189"/>
      <c r="AU150" s="1189"/>
      <c r="AV150" s="1189"/>
      <c r="AW150" s="1189"/>
      <c r="AX150" s="1189"/>
    </row>
    <row r="151" spans="1:50" ht="12" customHeight="1">
      <c r="A151" s="1123"/>
      <c r="B151" s="161"/>
      <c r="C151" s="1123"/>
      <c r="D151" s="1123"/>
      <c r="E151" s="1123"/>
      <c r="F151" s="1123"/>
      <c r="G151" s="1123"/>
      <c r="H151" s="1123"/>
      <c r="I151" s="1123"/>
      <c r="J151" s="1125"/>
      <c r="K151" s="156"/>
      <c r="L151" s="1123"/>
      <c r="M151" s="1205"/>
      <c r="N151" s="1123"/>
      <c r="O151" s="1123"/>
      <c r="P151" s="1123"/>
      <c r="Q151" s="1123"/>
      <c r="R151" s="1189"/>
      <c r="S151" s="1189"/>
      <c r="T151" s="1208"/>
      <c r="U151" s="1208"/>
      <c r="V151" s="1189"/>
      <c r="W151" s="1189"/>
      <c r="X151" s="1189"/>
      <c r="Y151" s="1189"/>
      <c r="Z151" s="1189"/>
      <c r="AA151" s="1189"/>
      <c r="AB151" s="1189"/>
      <c r="AC151" s="1189"/>
      <c r="AD151" s="1189"/>
      <c r="AE151" s="1189"/>
      <c r="AF151" s="1189"/>
      <c r="AG151" s="1189"/>
      <c r="AH151" s="1189"/>
      <c r="AI151" s="1189"/>
      <c r="AJ151" s="1189"/>
      <c r="AK151" s="1189"/>
      <c r="AL151" s="1189"/>
      <c r="AM151" s="1189"/>
      <c r="AN151" s="1189"/>
      <c r="AO151" s="1189"/>
      <c r="AP151" s="1189"/>
      <c r="AQ151" s="1189"/>
      <c r="AR151" s="1189"/>
      <c r="AS151" s="1189"/>
      <c r="AT151" s="1189"/>
      <c r="AU151" s="1189"/>
      <c r="AV151" s="1189"/>
      <c r="AW151" s="1189"/>
      <c r="AX151" s="1189"/>
    </row>
    <row r="152" spans="1:50" ht="12" customHeight="1">
      <c r="A152" s="1123"/>
      <c r="B152" s="161"/>
      <c r="C152" s="1123"/>
      <c r="D152" s="1123"/>
      <c r="E152" s="1123"/>
      <c r="F152" s="1123"/>
      <c r="G152" s="1123"/>
      <c r="H152" s="1123"/>
      <c r="I152" s="1123"/>
      <c r="J152" s="1125"/>
      <c r="K152" s="156"/>
      <c r="L152" s="1123"/>
      <c r="M152" s="1205"/>
      <c r="N152" s="1123"/>
      <c r="O152" s="1123"/>
      <c r="P152" s="1123"/>
      <c r="Q152" s="1123"/>
      <c r="R152" s="1189"/>
      <c r="S152" s="1189"/>
      <c r="T152" s="1208"/>
      <c r="U152" s="1208"/>
      <c r="V152" s="1189"/>
      <c r="W152" s="1189"/>
      <c r="X152" s="1189"/>
      <c r="Y152" s="1189"/>
      <c r="Z152" s="1189"/>
      <c r="AA152" s="1189"/>
      <c r="AB152" s="1189"/>
      <c r="AC152" s="1189"/>
      <c r="AD152" s="1189"/>
      <c r="AE152" s="1189"/>
      <c r="AF152" s="1189"/>
      <c r="AG152" s="1189"/>
      <c r="AH152" s="1189"/>
      <c r="AI152" s="1189"/>
      <c r="AJ152" s="1189"/>
      <c r="AK152" s="1189"/>
      <c r="AL152" s="1189"/>
      <c r="AM152" s="1189"/>
      <c r="AN152" s="1189"/>
      <c r="AO152" s="1189"/>
      <c r="AP152" s="1189"/>
      <c r="AQ152" s="1189"/>
      <c r="AR152" s="1189"/>
      <c r="AS152" s="1189"/>
      <c r="AT152" s="1189"/>
      <c r="AU152" s="1189"/>
      <c r="AV152" s="1189"/>
      <c r="AW152" s="1189"/>
      <c r="AX152" s="1189"/>
    </row>
    <row r="153" spans="1:50" ht="12" customHeight="1">
      <c r="A153" s="1123"/>
      <c r="B153" s="161"/>
      <c r="C153" s="1123"/>
      <c r="D153" s="1123"/>
      <c r="E153" s="1123"/>
      <c r="F153" s="1123"/>
      <c r="G153" s="1123"/>
      <c r="H153" s="1123"/>
      <c r="I153" s="1123"/>
      <c r="J153" s="1125"/>
      <c r="K153" s="156"/>
      <c r="L153" s="1123"/>
      <c r="M153" s="1205"/>
      <c r="N153" s="1123"/>
      <c r="O153" s="1123"/>
      <c r="P153" s="1123"/>
      <c r="Q153" s="1123"/>
      <c r="R153" s="1189"/>
      <c r="S153" s="1189"/>
      <c r="T153" s="1208"/>
      <c r="U153" s="1208"/>
      <c r="V153" s="1189"/>
      <c r="W153" s="1189"/>
      <c r="X153" s="1189"/>
      <c r="Y153" s="1189"/>
      <c r="Z153" s="1189"/>
      <c r="AA153" s="1189"/>
      <c r="AB153" s="1189"/>
      <c r="AC153" s="1189"/>
      <c r="AD153" s="1189"/>
      <c r="AE153" s="1189"/>
      <c r="AF153" s="1189"/>
      <c r="AG153" s="1189"/>
      <c r="AH153" s="1189"/>
      <c r="AI153" s="1189"/>
      <c r="AJ153" s="1189"/>
      <c r="AK153" s="1189"/>
      <c r="AL153" s="1189"/>
      <c r="AM153" s="1189"/>
      <c r="AN153" s="1189"/>
      <c r="AO153" s="1189"/>
      <c r="AP153" s="1189"/>
      <c r="AQ153" s="1189"/>
      <c r="AR153" s="1189"/>
      <c r="AS153" s="1189"/>
      <c r="AT153" s="1189"/>
      <c r="AU153" s="1189"/>
      <c r="AV153" s="1189"/>
      <c r="AW153" s="1189"/>
      <c r="AX153" s="1189"/>
    </row>
    <row r="154" spans="1:50" ht="12" customHeight="1">
      <c r="A154" s="1123"/>
      <c r="B154" s="161"/>
      <c r="C154" s="1123"/>
      <c r="D154" s="1123"/>
      <c r="E154" s="1123"/>
      <c r="F154" s="1123"/>
      <c r="G154" s="1123"/>
      <c r="H154" s="1123"/>
      <c r="I154" s="1123"/>
      <c r="J154" s="1125"/>
      <c r="K154" s="156"/>
      <c r="L154" s="1123"/>
      <c r="M154" s="1205"/>
      <c r="N154" s="1123"/>
      <c r="O154" s="1123"/>
      <c r="P154" s="1123"/>
      <c r="Q154" s="1123"/>
      <c r="R154" s="1189"/>
      <c r="S154" s="1189"/>
      <c r="T154" s="1208"/>
      <c r="U154" s="1208"/>
      <c r="V154" s="1189"/>
      <c r="W154" s="1189"/>
      <c r="X154" s="1189"/>
      <c r="Y154" s="1189"/>
      <c r="Z154" s="1189"/>
      <c r="AA154" s="1189"/>
      <c r="AB154" s="1189"/>
      <c r="AC154" s="1189"/>
      <c r="AD154" s="1189"/>
      <c r="AE154" s="1189"/>
      <c r="AF154" s="1189"/>
      <c r="AG154" s="1189"/>
      <c r="AH154" s="1189"/>
      <c r="AI154" s="1189"/>
      <c r="AJ154" s="1189"/>
      <c r="AK154" s="1189"/>
      <c r="AL154" s="1189"/>
      <c r="AM154" s="1189"/>
      <c r="AN154" s="1189"/>
      <c r="AO154" s="1189"/>
      <c r="AP154" s="1189"/>
      <c r="AQ154" s="1189"/>
      <c r="AR154" s="1189"/>
      <c r="AS154" s="1189"/>
      <c r="AT154" s="1189"/>
      <c r="AU154" s="1189"/>
      <c r="AV154" s="1189"/>
      <c r="AW154" s="1189"/>
      <c r="AX154" s="1189"/>
    </row>
    <row r="155" spans="1:50" ht="12" customHeight="1">
      <c r="A155" s="1123"/>
      <c r="B155" s="161"/>
      <c r="C155" s="1123"/>
      <c r="D155" s="1123"/>
      <c r="E155" s="1123"/>
      <c r="F155" s="1123"/>
      <c r="G155" s="1123"/>
      <c r="H155" s="1123"/>
      <c r="I155" s="1123"/>
      <c r="J155" s="1125"/>
      <c r="K155" s="156"/>
      <c r="L155" s="1123"/>
      <c r="M155" s="1205"/>
      <c r="N155" s="1123"/>
      <c r="O155" s="1123"/>
      <c r="P155" s="1123"/>
      <c r="Q155" s="1123"/>
      <c r="R155" s="1189"/>
      <c r="S155" s="1189"/>
      <c r="T155" s="1208"/>
      <c r="U155" s="1208"/>
      <c r="V155" s="1189"/>
      <c r="W155" s="1189"/>
      <c r="X155" s="1189"/>
      <c r="Y155" s="1189"/>
      <c r="Z155" s="1189"/>
      <c r="AA155" s="1189"/>
      <c r="AB155" s="1189"/>
      <c r="AC155" s="1189"/>
      <c r="AD155" s="1189"/>
      <c r="AE155" s="1189"/>
      <c r="AF155" s="1189"/>
      <c r="AG155" s="1189"/>
      <c r="AH155" s="1189"/>
      <c r="AI155" s="1189"/>
      <c r="AJ155" s="1189"/>
      <c r="AK155" s="1189"/>
      <c r="AL155" s="1189"/>
      <c r="AM155" s="1189"/>
      <c r="AN155" s="1189"/>
      <c r="AO155" s="1189"/>
      <c r="AP155" s="1189"/>
      <c r="AQ155" s="1189"/>
      <c r="AR155" s="1189"/>
      <c r="AS155" s="1189"/>
      <c r="AT155" s="1189"/>
      <c r="AU155" s="1189"/>
      <c r="AV155" s="1189"/>
      <c r="AW155" s="1189"/>
      <c r="AX155" s="1189"/>
    </row>
    <row r="156" spans="1:50" ht="12" customHeight="1">
      <c r="A156" s="1123"/>
      <c r="B156" s="161"/>
      <c r="C156" s="1123"/>
      <c r="D156" s="1123"/>
      <c r="E156" s="1123"/>
      <c r="F156" s="1123"/>
      <c r="G156" s="1123"/>
      <c r="H156" s="1123"/>
      <c r="I156" s="1123"/>
      <c r="J156" s="1125"/>
      <c r="K156" s="156"/>
      <c r="L156" s="1123"/>
      <c r="M156" s="1205"/>
      <c r="N156" s="1123"/>
      <c r="O156" s="1123"/>
      <c r="P156" s="1123"/>
      <c r="Q156" s="1123"/>
      <c r="R156" s="1189"/>
      <c r="S156" s="1189"/>
      <c r="T156" s="1208"/>
      <c r="U156" s="1208"/>
      <c r="V156" s="1189"/>
      <c r="W156" s="1189"/>
      <c r="X156" s="1189"/>
      <c r="Y156" s="1189"/>
      <c r="Z156" s="1189"/>
      <c r="AA156" s="1189"/>
      <c r="AB156" s="1189"/>
      <c r="AC156" s="1189"/>
      <c r="AD156" s="1189"/>
      <c r="AE156" s="1189"/>
      <c r="AF156" s="1189"/>
      <c r="AG156" s="1189"/>
      <c r="AH156" s="1189"/>
      <c r="AI156" s="1189"/>
      <c r="AJ156" s="1189"/>
      <c r="AK156" s="1189"/>
      <c r="AL156" s="1189"/>
      <c r="AM156" s="1189"/>
      <c r="AN156" s="1189"/>
      <c r="AO156" s="1189"/>
      <c r="AP156" s="1189"/>
      <c r="AQ156" s="1189"/>
      <c r="AR156" s="1189"/>
      <c r="AS156" s="1189"/>
      <c r="AT156" s="1189"/>
      <c r="AU156" s="1189"/>
      <c r="AV156" s="1189"/>
      <c r="AW156" s="1189"/>
      <c r="AX156" s="1189"/>
    </row>
    <row r="157" spans="1:50" ht="12" customHeight="1">
      <c r="A157" s="1123"/>
      <c r="B157" s="161"/>
      <c r="C157" s="1123"/>
      <c r="D157" s="1123"/>
      <c r="E157" s="1123"/>
      <c r="F157" s="1123"/>
      <c r="G157" s="1123"/>
      <c r="H157" s="1123"/>
      <c r="I157" s="1123"/>
      <c r="J157" s="1125"/>
      <c r="K157" s="156"/>
      <c r="L157" s="1123"/>
      <c r="M157" s="1205"/>
      <c r="N157" s="1123"/>
      <c r="O157" s="1123"/>
      <c r="P157" s="1123"/>
      <c r="Q157" s="1123"/>
      <c r="R157" s="1189"/>
      <c r="S157" s="1189"/>
      <c r="T157" s="1208"/>
      <c r="U157" s="1208"/>
      <c r="V157" s="1189"/>
      <c r="W157" s="1189"/>
      <c r="X157" s="1189"/>
      <c r="Y157" s="1189"/>
      <c r="Z157" s="1189"/>
      <c r="AA157" s="1189"/>
      <c r="AB157" s="1189"/>
      <c r="AC157" s="1189"/>
      <c r="AD157" s="1189"/>
      <c r="AE157" s="1189"/>
      <c r="AF157" s="1189"/>
      <c r="AG157" s="1189"/>
      <c r="AH157" s="1189"/>
      <c r="AI157" s="1189"/>
      <c r="AJ157" s="1189"/>
      <c r="AK157" s="1189"/>
      <c r="AL157" s="1189"/>
      <c r="AM157" s="1189"/>
      <c r="AN157" s="1189"/>
      <c r="AO157" s="1189"/>
      <c r="AP157" s="1189"/>
      <c r="AQ157" s="1189"/>
      <c r="AR157" s="1189"/>
      <c r="AS157" s="1189"/>
      <c r="AT157" s="1189"/>
      <c r="AU157" s="1189"/>
      <c r="AV157" s="1189"/>
      <c r="AW157" s="1189"/>
      <c r="AX157" s="1189"/>
    </row>
    <row r="158" spans="1:50" ht="12" customHeight="1">
      <c r="A158" s="1123"/>
      <c r="B158" s="161"/>
      <c r="C158" s="1123"/>
      <c r="D158" s="1123"/>
      <c r="E158" s="1123"/>
      <c r="F158" s="1123"/>
      <c r="G158" s="1123"/>
      <c r="H158" s="1123"/>
      <c r="I158" s="1123"/>
      <c r="J158" s="1125"/>
      <c r="K158" s="156"/>
      <c r="L158" s="1123"/>
      <c r="M158" s="1205"/>
      <c r="N158" s="1123"/>
      <c r="O158" s="1123"/>
      <c r="P158" s="1123"/>
      <c r="Q158" s="1123"/>
      <c r="R158" s="1189"/>
      <c r="S158" s="1189"/>
      <c r="T158" s="1208"/>
      <c r="U158" s="1208"/>
      <c r="V158" s="1189"/>
      <c r="W158" s="1189"/>
      <c r="X158" s="1189"/>
      <c r="Y158" s="1189"/>
      <c r="Z158" s="1189"/>
      <c r="AA158" s="1189"/>
      <c r="AB158" s="1189"/>
      <c r="AC158" s="1189"/>
      <c r="AD158" s="1189"/>
      <c r="AE158" s="1189"/>
      <c r="AF158" s="1189"/>
      <c r="AG158" s="1189"/>
      <c r="AH158" s="1189"/>
      <c r="AI158" s="1189"/>
      <c r="AJ158" s="1189"/>
      <c r="AK158" s="1189"/>
      <c r="AL158" s="1189"/>
      <c r="AM158" s="1189"/>
      <c r="AN158" s="1189"/>
      <c r="AO158" s="1189"/>
      <c r="AP158" s="1189"/>
      <c r="AQ158" s="1189"/>
      <c r="AR158" s="1189"/>
      <c r="AS158" s="1189"/>
      <c r="AT158" s="1189"/>
      <c r="AU158" s="1189"/>
      <c r="AV158" s="1189"/>
      <c r="AW158" s="1189"/>
      <c r="AX158" s="1189"/>
    </row>
    <row r="159" spans="1:50" ht="12" customHeight="1">
      <c r="A159" s="1123"/>
      <c r="B159" s="161"/>
      <c r="C159" s="1123"/>
      <c r="D159" s="1123"/>
      <c r="E159" s="1123"/>
      <c r="F159" s="1123"/>
      <c r="G159" s="1123"/>
      <c r="H159" s="1123"/>
      <c r="I159" s="1123"/>
      <c r="J159" s="1125"/>
      <c r="K159" s="156"/>
      <c r="L159" s="1123"/>
      <c r="M159" s="1205"/>
      <c r="N159" s="1123"/>
      <c r="O159" s="1123"/>
      <c r="P159" s="1123"/>
      <c r="Q159" s="1123"/>
      <c r="R159" s="1189"/>
      <c r="S159" s="1189"/>
      <c r="T159" s="1208"/>
      <c r="U159" s="1208"/>
      <c r="V159" s="1189"/>
      <c r="W159" s="1189"/>
      <c r="X159" s="1189"/>
      <c r="Y159" s="1189"/>
      <c r="Z159" s="1189"/>
      <c r="AA159" s="1189"/>
      <c r="AB159" s="1189"/>
      <c r="AC159" s="1189"/>
      <c r="AD159" s="1189"/>
      <c r="AE159" s="1189"/>
      <c r="AF159" s="1189"/>
      <c r="AG159" s="1189"/>
      <c r="AH159" s="1189"/>
      <c r="AI159" s="1189"/>
      <c r="AJ159" s="1189"/>
      <c r="AK159" s="1189"/>
      <c r="AL159" s="1189"/>
      <c r="AM159" s="1189"/>
      <c r="AN159" s="1189"/>
      <c r="AO159" s="1189"/>
      <c r="AP159" s="1189"/>
      <c r="AQ159" s="1189"/>
      <c r="AR159" s="1189"/>
      <c r="AS159" s="1189"/>
      <c r="AT159" s="1189"/>
      <c r="AU159" s="1189"/>
      <c r="AV159" s="1189"/>
      <c r="AW159" s="1189"/>
      <c r="AX159" s="1189"/>
    </row>
    <row r="160" spans="1:50" ht="12" customHeight="1">
      <c r="A160" s="1123"/>
      <c r="B160" s="161"/>
      <c r="C160" s="1123"/>
      <c r="D160" s="1123"/>
      <c r="E160" s="1123"/>
      <c r="F160" s="1123"/>
      <c r="G160" s="1123"/>
      <c r="H160" s="1123"/>
      <c r="I160" s="1123"/>
      <c r="J160" s="1125"/>
      <c r="K160" s="156"/>
      <c r="L160" s="1123"/>
      <c r="M160" s="1205"/>
      <c r="N160" s="1123"/>
      <c r="O160" s="1123"/>
      <c r="P160" s="1123"/>
      <c r="Q160" s="1123"/>
      <c r="R160" s="1189"/>
      <c r="S160" s="1189"/>
      <c r="T160" s="1208"/>
      <c r="U160" s="1208"/>
      <c r="V160" s="1189"/>
      <c r="W160" s="1189"/>
      <c r="X160" s="1189"/>
      <c r="Y160" s="1189"/>
      <c r="Z160" s="1189"/>
      <c r="AA160" s="1189"/>
      <c r="AB160" s="1189"/>
      <c r="AC160" s="1189"/>
      <c r="AD160" s="1189"/>
      <c r="AE160" s="1189"/>
      <c r="AF160" s="1189"/>
      <c r="AG160" s="1189"/>
      <c r="AH160" s="1189"/>
      <c r="AI160" s="1189"/>
      <c r="AJ160" s="1189"/>
      <c r="AK160" s="1189"/>
      <c r="AL160" s="1189"/>
      <c r="AM160" s="1189"/>
      <c r="AN160" s="1189"/>
      <c r="AO160" s="1189"/>
      <c r="AP160" s="1189"/>
      <c r="AQ160" s="1189"/>
      <c r="AR160" s="1189"/>
      <c r="AS160" s="1189"/>
      <c r="AT160" s="1189"/>
      <c r="AU160" s="1189"/>
      <c r="AV160" s="1189"/>
      <c r="AW160" s="1189"/>
      <c r="AX160" s="1189"/>
    </row>
    <row r="161" spans="1:50" ht="12" customHeight="1">
      <c r="A161" s="1123"/>
      <c r="B161" s="161"/>
      <c r="C161" s="1123"/>
      <c r="D161" s="1123"/>
      <c r="E161" s="1123"/>
      <c r="F161" s="1123"/>
      <c r="G161" s="1123"/>
      <c r="H161" s="1123"/>
      <c r="I161" s="1123"/>
      <c r="J161" s="1125"/>
      <c r="K161" s="156"/>
      <c r="L161" s="1123"/>
      <c r="M161" s="1205"/>
      <c r="N161" s="1123"/>
      <c r="O161" s="1123"/>
      <c r="P161" s="1123"/>
      <c r="Q161" s="1123"/>
      <c r="R161" s="1189"/>
      <c r="S161" s="1189"/>
      <c r="T161" s="1208"/>
      <c r="U161" s="1208"/>
      <c r="V161" s="1189"/>
      <c r="W161" s="1189"/>
      <c r="X161" s="1189"/>
      <c r="Y161" s="1189"/>
      <c r="Z161" s="1189"/>
      <c r="AA161" s="1189"/>
      <c r="AB161" s="1189"/>
      <c r="AC161" s="1189"/>
      <c r="AD161" s="1189"/>
      <c r="AE161" s="1189"/>
      <c r="AF161" s="1189"/>
      <c r="AG161" s="1189"/>
      <c r="AH161" s="1189"/>
      <c r="AI161" s="1189"/>
      <c r="AJ161" s="1189"/>
      <c r="AK161" s="1189"/>
      <c r="AL161" s="1189"/>
      <c r="AM161" s="1189"/>
      <c r="AN161" s="1189"/>
      <c r="AO161" s="1189"/>
      <c r="AP161" s="1189"/>
      <c r="AQ161" s="1189"/>
      <c r="AR161" s="1189"/>
      <c r="AS161" s="1189"/>
      <c r="AT161" s="1189"/>
      <c r="AU161" s="1189"/>
      <c r="AV161" s="1189"/>
      <c r="AW161" s="1189"/>
      <c r="AX161" s="1189"/>
    </row>
    <row r="162" spans="1:50" ht="12" customHeight="1">
      <c r="A162" s="1123"/>
      <c r="B162" s="161"/>
      <c r="C162" s="1123"/>
      <c r="D162" s="1123"/>
      <c r="E162" s="1123"/>
      <c r="F162" s="1123"/>
      <c r="G162" s="1123"/>
      <c r="H162" s="1123"/>
      <c r="I162" s="1123"/>
      <c r="J162" s="1125"/>
      <c r="K162" s="156"/>
      <c r="L162" s="1123"/>
      <c r="M162" s="1205"/>
      <c r="N162" s="1123"/>
      <c r="O162" s="1123"/>
      <c r="P162" s="1123"/>
      <c r="Q162" s="1123"/>
      <c r="R162" s="1189"/>
      <c r="S162" s="1189"/>
      <c r="T162" s="1208"/>
      <c r="U162" s="1208"/>
      <c r="V162" s="1189"/>
      <c r="W162" s="1189"/>
      <c r="X162" s="1189"/>
      <c r="Y162" s="1189"/>
      <c r="Z162" s="1189"/>
      <c r="AA162" s="1189"/>
      <c r="AB162" s="1189"/>
      <c r="AC162" s="1189"/>
      <c r="AD162" s="1189"/>
      <c r="AE162" s="1189"/>
      <c r="AF162" s="1189"/>
      <c r="AG162" s="1189"/>
      <c r="AH162" s="1189"/>
      <c r="AI162" s="1189"/>
      <c r="AJ162" s="1189"/>
      <c r="AK162" s="1189"/>
      <c r="AL162" s="1189"/>
      <c r="AM162" s="1189"/>
      <c r="AN162" s="1189"/>
      <c r="AO162" s="1189"/>
      <c r="AP162" s="1189"/>
      <c r="AQ162" s="1189"/>
      <c r="AR162" s="1189"/>
      <c r="AS162" s="1189"/>
      <c r="AT162" s="1189"/>
      <c r="AU162" s="1189"/>
      <c r="AV162" s="1189"/>
      <c r="AW162" s="1189"/>
      <c r="AX162" s="1189"/>
    </row>
    <row r="163" spans="1:50" ht="12" customHeight="1">
      <c r="A163" s="1123"/>
      <c r="B163" s="161"/>
      <c r="C163" s="1123"/>
      <c r="D163" s="1123"/>
      <c r="E163" s="1123"/>
      <c r="F163" s="1123"/>
      <c r="G163" s="1123"/>
      <c r="H163" s="1123"/>
      <c r="I163" s="1123"/>
      <c r="J163" s="1125"/>
      <c r="K163" s="156"/>
      <c r="L163" s="1123"/>
      <c r="M163" s="1205"/>
      <c r="N163" s="1123"/>
      <c r="O163" s="1123"/>
      <c r="P163" s="1123"/>
      <c r="Q163" s="1123"/>
      <c r="R163" s="1189"/>
      <c r="S163" s="1189"/>
      <c r="T163" s="1208"/>
      <c r="U163" s="1208"/>
      <c r="V163" s="1189"/>
      <c r="W163" s="1189"/>
      <c r="X163" s="1189"/>
      <c r="Y163" s="1189"/>
      <c r="Z163" s="1189"/>
      <c r="AA163" s="1189"/>
      <c r="AB163" s="1189"/>
      <c r="AC163" s="1189"/>
      <c r="AD163" s="1189"/>
      <c r="AE163" s="1189"/>
      <c r="AF163" s="1189"/>
      <c r="AG163" s="1189"/>
      <c r="AH163" s="1189"/>
      <c r="AI163" s="1189"/>
      <c r="AJ163" s="1189"/>
      <c r="AK163" s="1189"/>
      <c r="AL163" s="1189"/>
      <c r="AM163" s="1189"/>
      <c r="AN163" s="1189"/>
      <c r="AO163" s="1189"/>
      <c r="AP163" s="1189"/>
      <c r="AQ163" s="1189"/>
      <c r="AR163" s="1189"/>
      <c r="AS163" s="1189"/>
      <c r="AT163" s="1189"/>
      <c r="AU163" s="1189"/>
      <c r="AV163" s="1189"/>
      <c r="AW163" s="1189"/>
      <c r="AX163" s="1189"/>
    </row>
    <row r="164" spans="1:50" ht="12" customHeight="1">
      <c r="A164" s="1123"/>
      <c r="B164" s="161"/>
      <c r="C164" s="1123"/>
      <c r="D164" s="1123"/>
      <c r="E164" s="1123"/>
      <c r="F164" s="1123"/>
      <c r="G164" s="1123"/>
      <c r="H164" s="1123"/>
      <c r="I164" s="1123"/>
      <c r="J164" s="1125"/>
      <c r="K164" s="156"/>
      <c r="L164" s="1123"/>
      <c r="M164" s="1205"/>
      <c r="N164" s="1123"/>
      <c r="O164" s="1123"/>
      <c r="P164" s="1123"/>
      <c r="Q164" s="1123"/>
      <c r="R164" s="1189"/>
      <c r="S164" s="1189"/>
      <c r="T164" s="1208"/>
      <c r="U164" s="1208"/>
      <c r="V164" s="1189"/>
      <c r="W164" s="1189"/>
      <c r="X164" s="1189"/>
      <c r="Y164" s="1189"/>
      <c r="Z164" s="1189"/>
      <c r="AA164" s="1189"/>
      <c r="AB164" s="1189"/>
      <c r="AC164" s="1189"/>
      <c r="AD164" s="1189"/>
      <c r="AE164" s="1189"/>
      <c r="AF164" s="1189"/>
      <c r="AG164" s="1189"/>
      <c r="AH164" s="1189"/>
      <c r="AI164" s="1189"/>
      <c r="AJ164" s="1189"/>
      <c r="AK164" s="1189"/>
      <c r="AL164" s="1189"/>
      <c r="AM164" s="1189"/>
      <c r="AN164" s="1189"/>
      <c r="AO164" s="1189"/>
      <c r="AP164" s="1189"/>
      <c r="AQ164" s="1189"/>
      <c r="AR164" s="1189"/>
      <c r="AS164" s="1189"/>
      <c r="AT164" s="1189"/>
      <c r="AU164" s="1189"/>
      <c r="AV164" s="1189"/>
      <c r="AW164" s="1189"/>
      <c r="AX164" s="1189"/>
    </row>
    <row r="165" spans="1:50" ht="12" customHeight="1">
      <c r="A165" s="1123"/>
      <c r="B165" s="161"/>
      <c r="C165" s="1123"/>
      <c r="D165" s="1123"/>
      <c r="E165" s="1123"/>
      <c r="F165" s="1123"/>
      <c r="G165" s="1123"/>
      <c r="H165" s="1123"/>
      <c r="I165" s="1123"/>
      <c r="J165" s="1125"/>
      <c r="K165" s="156"/>
      <c r="L165" s="1123"/>
      <c r="M165" s="1205"/>
      <c r="N165" s="1123"/>
      <c r="O165" s="1123"/>
      <c r="P165" s="1123"/>
      <c r="Q165" s="1123"/>
      <c r="R165" s="1189"/>
      <c r="S165" s="1189"/>
      <c r="T165" s="1208"/>
      <c r="U165" s="1208"/>
      <c r="V165" s="1189"/>
      <c r="W165" s="1189"/>
      <c r="X165" s="1189"/>
      <c r="Y165" s="1189"/>
      <c r="Z165" s="1189"/>
      <c r="AA165" s="1189"/>
      <c r="AB165" s="1189"/>
      <c r="AC165" s="1189"/>
      <c r="AD165" s="1189"/>
      <c r="AE165" s="1189"/>
      <c r="AF165" s="1189"/>
      <c r="AG165" s="1189"/>
      <c r="AH165" s="1189"/>
      <c r="AI165" s="1189"/>
      <c r="AJ165" s="1189"/>
      <c r="AK165" s="1189"/>
      <c r="AL165" s="1189"/>
      <c r="AM165" s="1189"/>
      <c r="AN165" s="1189"/>
      <c r="AO165" s="1189"/>
      <c r="AP165" s="1189"/>
      <c r="AQ165" s="1189"/>
      <c r="AR165" s="1189"/>
      <c r="AS165" s="1189"/>
      <c r="AT165" s="1189"/>
      <c r="AU165" s="1189"/>
      <c r="AV165" s="1189"/>
      <c r="AW165" s="1189"/>
      <c r="AX165" s="1189"/>
    </row>
    <row r="166" spans="1:50" ht="12" customHeight="1">
      <c r="A166" s="1123"/>
      <c r="B166" s="161"/>
      <c r="C166" s="1123"/>
      <c r="D166" s="1123"/>
      <c r="E166" s="1123"/>
      <c r="F166" s="1123"/>
      <c r="G166" s="1123"/>
      <c r="H166" s="1123"/>
      <c r="I166" s="1123"/>
      <c r="J166" s="1125"/>
      <c r="K166" s="156"/>
      <c r="L166" s="1123"/>
      <c r="M166" s="1205"/>
      <c r="N166" s="1123"/>
      <c r="O166" s="1123"/>
      <c r="P166" s="1123"/>
      <c r="Q166" s="1123"/>
      <c r="R166" s="1189"/>
      <c r="S166" s="1189"/>
      <c r="T166" s="1208"/>
      <c r="U166" s="1208"/>
      <c r="V166" s="1189"/>
      <c r="W166" s="1189"/>
      <c r="X166" s="1189"/>
      <c r="Y166" s="1189"/>
      <c r="Z166" s="1189"/>
      <c r="AA166" s="1189"/>
      <c r="AB166" s="1189"/>
      <c r="AC166" s="1189"/>
      <c r="AD166" s="1189"/>
      <c r="AE166" s="1189"/>
      <c r="AF166" s="1189"/>
      <c r="AG166" s="1189"/>
      <c r="AH166" s="1189"/>
      <c r="AI166" s="1189"/>
      <c r="AJ166" s="1189"/>
      <c r="AK166" s="1189"/>
      <c r="AL166" s="1189"/>
      <c r="AM166" s="1189"/>
      <c r="AN166" s="1189"/>
      <c r="AO166" s="1189"/>
      <c r="AP166" s="1189"/>
      <c r="AQ166" s="1189"/>
      <c r="AR166" s="1189"/>
      <c r="AS166" s="1189"/>
      <c r="AT166" s="1189"/>
      <c r="AU166" s="1189"/>
      <c r="AV166" s="1189"/>
      <c r="AW166" s="1189"/>
      <c r="AX166" s="1189"/>
    </row>
    <row r="167" spans="1:50" ht="10.5" customHeight="1">
      <c r="A167" s="1123"/>
      <c r="B167" s="161"/>
      <c r="C167" s="1123"/>
      <c r="D167" s="1123"/>
      <c r="E167" s="1123"/>
      <c r="F167" s="1123"/>
      <c r="G167" s="1123"/>
      <c r="H167" s="1123"/>
      <c r="I167" s="1123"/>
      <c r="J167" s="1125"/>
      <c r="K167" s="156"/>
      <c r="L167" s="1123"/>
      <c r="M167" s="1205"/>
      <c r="N167" s="1123"/>
      <c r="O167" s="1123"/>
      <c r="P167" s="1123"/>
      <c r="Q167" s="1123"/>
      <c r="R167" s="1189"/>
      <c r="S167" s="1189"/>
      <c r="T167" s="1208"/>
      <c r="U167" s="1208"/>
      <c r="V167" s="1189"/>
      <c r="W167" s="1189"/>
      <c r="X167" s="1189"/>
      <c r="Y167" s="1189"/>
      <c r="Z167" s="1189"/>
      <c r="AA167" s="1189"/>
      <c r="AB167" s="1189"/>
      <c r="AC167" s="1189"/>
      <c r="AD167" s="1189"/>
      <c r="AE167" s="1189"/>
      <c r="AF167" s="1189"/>
      <c r="AG167" s="1189"/>
      <c r="AH167" s="1189"/>
      <c r="AI167" s="1189"/>
      <c r="AJ167" s="1189"/>
      <c r="AK167" s="1189"/>
      <c r="AL167" s="1189"/>
      <c r="AM167" s="1189"/>
      <c r="AN167" s="1189"/>
      <c r="AO167" s="1189"/>
      <c r="AP167" s="1189"/>
      <c r="AQ167" s="1189"/>
      <c r="AR167" s="1189"/>
      <c r="AS167" s="1189"/>
      <c r="AT167" s="1189"/>
      <c r="AU167" s="1189"/>
      <c r="AV167" s="1189"/>
      <c r="AW167" s="1189"/>
      <c r="AX167" s="1189"/>
    </row>
    <row r="168" spans="1:50" ht="12" customHeight="1">
      <c r="A168" s="1123"/>
      <c r="B168" s="161"/>
      <c r="C168" s="1123"/>
      <c r="D168" s="1123"/>
      <c r="E168" s="1123"/>
      <c r="F168" s="1123"/>
      <c r="G168" s="1123"/>
      <c r="H168" s="1123"/>
      <c r="I168" s="1123"/>
      <c r="J168" s="1125"/>
      <c r="K168" s="156"/>
      <c r="L168" s="1123"/>
      <c r="M168" s="1205"/>
      <c r="N168" s="1123"/>
      <c r="O168" s="1123"/>
      <c r="P168" s="1123"/>
      <c r="Q168" s="1123"/>
      <c r="R168" s="1189"/>
      <c r="S168" s="1189"/>
      <c r="T168" s="1208"/>
      <c r="U168" s="1208"/>
      <c r="V168" s="1189"/>
      <c r="W168" s="1189"/>
      <c r="X168" s="1189"/>
      <c r="Y168" s="1189"/>
      <c r="Z168" s="1189"/>
      <c r="AA168" s="1189"/>
      <c r="AB168" s="1189"/>
      <c r="AC168" s="1189"/>
      <c r="AD168" s="1189"/>
      <c r="AE168" s="1189"/>
      <c r="AF168" s="1189"/>
      <c r="AG168" s="1189"/>
      <c r="AH168" s="1189"/>
      <c r="AI168" s="1189"/>
      <c r="AJ168" s="1189"/>
      <c r="AK168" s="1189"/>
      <c r="AL168" s="1189"/>
      <c r="AM168" s="1189"/>
      <c r="AN168" s="1189"/>
      <c r="AO168" s="1189"/>
      <c r="AP168" s="1189"/>
      <c r="AQ168" s="1189"/>
      <c r="AR168" s="1189"/>
      <c r="AS168" s="1189"/>
      <c r="AT168" s="1189"/>
      <c r="AU168" s="1189"/>
      <c r="AV168" s="1189"/>
      <c r="AW168" s="1189"/>
      <c r="AX168" s="1189"/>
    </row>
    <row r="169" spans="1:50" ht="12" customHeight="1">
      <c r="A169" s="1123"/>
      <c r="B169" s="161"/>
      <c r="C169" s="1123"/>
      <c r="D169" s="1123"/>
      <c r="E169" s="1123"/>
      <c r="F169" s="1123"/>
      <c r="G169" s="1123"/>
      <c r="H169" s="1123"/>
      <c r="I169" s="1123"/>
      <c r="J169" s="1125"/>
      <c r="K169" s="156"/>
      <c r="L169" s="1123"/>
      <c r="M169" s="1205"/>
      <c r="N169" s="1123"/>
      <c r="O169" s="1123"/>
      <c r="P169" s="1123"/>
      <c r="Q169" s="1123"/>
      <c r="R169" s="1189"/>
      <c r="S169" s="1189"/>
      <c r="T169" s="1208"/>
      <c r="U169" s="1208"/>
      <c r="V169" s="1189"/>
      <c r="W169" s="1189"/>
      <c r="X169" s="1189"/>
      <c r="Y169" s="1189"/>
      <c r="Z169" s="1189"/>
      <c r="AA169" s="1189"/>
      <c r="AB169" s="1189"/>
      <c r="AC169" s="1189"/>
      <c r="AD169" s="1189"/>
      <c r="AE169" s="1189"/>
      <c r="AF169" s="1189"/>
      <c r="AG169" s="1189"/>
      <c r="AH169" s="1189"/>
      <c r="AI169" s="1189"/>
      <c r="AJ169" s="1189"/>
      <c r="AK169" s="1189"/>
      <c r="AL169" s="1189"/>
      <c r="AM169" s="1189"/>
      <c r="AN169" s="1189"/>
      <c r="AO169" s="1189"/>
      <c r="AP169" s="1189"/>
      <c r="AQ169" s="1189"/>
      <c r="AR169" s="1189"/>
      <c r="AS169" s="1189"/>
      <c r="AT169" s="1189"/>
      <c r="AU169" s="1189"/>
      <c r="AV169" s="1189"/>
      <c r="AW169" s="1189"/>
      <c r="AX169" s="1189"/>
    </row>
    <row r="170" spans="1:50" ht="12" customHeight="1">
      <c r="A170" s="1123"/>
      <c r="B170" s="161"/>
      <c r="C170" s="1123"/>
      <c r="D170" s="1123"/>
      <c r="E170" s="1123"/>
      <c r="F170" s="1123"/>
      <c r="G170" s="1123"/>
      <c r="H170" s="1123"/>
      <c r="I170" s="1123"/>
      <c r="J170" s="1125"/>
      <c r="K170" s="156"/>
      <c r="L170" s="1123"/>
      <c r="M170" s="1205"/>
      <c r="N170" s="1123"/>
      <c r="O170" s="1123"/>
      <c r="P170" s="1123"/>
      <c r="Q170" s="1123"/>
      <c r="R170" s="1189"/>
      <c r="S170" s="1189"/>
      <c r="T170" s="1208"/>
      <c r="U170" s="1208"/>
      <c r="V170" s="1189"/>
      <c r="W170" s="1189"/>
      <c r="X170" s="1189"/>
      <c r="Y170" s="1189"/>
      <c r="Z170" s="1189"/>
      <c r="AA170" s="1189"/>
      <c r="AB170" s="1189"/>
      <c r="AC170" s="1189"/>
      <c r="AD170" s="1189"/>
      <c r="AE170" s="1189"/>
      <c r="AF170" s="1189"/>
      <c r="AG170" s="1189"/>
      <c r="AH170" s="1189"/>
      <c r="AI170" s="1189"/>
      <c r="AJ170" s="1189"/>
      <c r="AK170" s="1189"/>
      <c r="AL170" s="1189"/>
      <c r="AM170" s="1189"/>
      <c r="AN170" s="1189"/>
      <c r="AO170" s="1189"/>
      <c r="AP170" s="1189"/>
      <c r="AQ170" s="1189"/>
      <c r="AR170" s="1189"/>
      <c r="AS170" s="1189"/>
      <c r="AT170" s="1189"/>
      <c r="AU170" s="1189"/>
      <c r="AV170" s="1189"/>
      <c r="AW170" s="1189"/>
      <c r="AX170" s="1189"/>
    </row>
    <row r="171" spans="1:50" ht="12" customHeight="1">
      <c r="A171" s="1123"/>
      <c r="B171" s="161"/>
      <c r="C171" s="1123"/>
      <c r="D171" s="1123"/>
      <c r="E171" s="1123"/>
      <c r="F171" s="1123"/>
      <c r="G171" s="1123"/>
      <c r="H171" s="1123"/>
      <c r="I171" s="1123"/>
      <c r="J171" s="1125"/>
      <c r="K171" s="156"/>
      <c r="L171" s="1123"/>
      <c r="M171" s="1205"/>
      <c r="N171" s="1123"/>
      <c r="O171" s="1123"/>
      <c r="P171" s="1123"/>
      <c r="Q171" s="1123"/>
      <c r="R171" s="1189"/>
      <c r="S171" s="1189"/>
      <c r="T171" s="1208"/>
      <c r="U171" s="1208"/>
      <c r="V171" s="1189"/>
      <c r="W171" s="1189"/>
      <c r="X171" s="1189"/>
      <c r="Y171" s="1189"/>
      <c r="Z171" s="1189"/>
      <c r="AA171" s="1189"/>
      <c r="AB171" s="1189"/>
      <c r="AC171" s="1189"/>
      <c r="AD171" s="1189"/>
      <c r="AE171" s="1189"/>
      <c r="AF171" s="1189"/>
      <c r="AG171" s="1189"/>
      <c r="AH171" s="1189"/>
      <c r="AI171" s="1189"/>
      <c r="AJ171" s="1189"/>
      <c r="AK171" s="1189"/>
      <c r="AL171" s="1189"/>
      <c r="AM171" s="1189"/>
      <c r="AN171" s="1189"/>
      <c r="AO171" s="1189"/>
      <c r="AP171" s="1189"/>
      <c r="AQ171" s="1189"/>
      <c r="AR171" s="1189"/>
      <c r="AS171" s="1189"/>
      <c r="AT171" s="1189"/>
      <c r="AU171" s="1189"/>
      <c r="AV171" s="1189"/>
      <c r="AW171" s="1189"/>
      <c r="AX171" s="1189"/>
    </row>
    <row r="172" spans="1:50" ht="12" customHeight="1">
      <c r="A172" s="1123"/>
      <c r="B172" s="161"/>
      <c r="C172" s="1123"/>
      <c r="D172" s="1123"/>
      <c r="E172" s="1123"/>
      <c r="F172" s="1123"/>
      <c r="G172" s="1123"/>
      <c r="H172" s="1123"/>
      <c r="I172" s="1123"/>
      <c r="J172" s="1125"/>
      <c r="K172" s="156"/>
      <c r="L172" s="1123"/>
      <c r="M172" s="1205"/>
      <c r="N172" s="1123"/>
      <c r="O172" s="1123"/>
      <c r="P172" s="1123"/>
      <c r="Q172" s="1123"/>
      <c r="R172" s="1189"/>
      <c r="S172" s="1189"/>
      <c r="T172" s="1208"/>
      <c r="U172" s="1208"/>
      <c r="V172" s="1189"/>
      <c r="W172" s="1189"/>
      <c r="X172" s="1189"/>
      <c r="Y172" s="1189"/>
      <c r="Z172" s="1189"/>
      <c r="AA172" s="1189"/>
      <c r="AB172" s="1189"/>
      <c r="AC172" s="1189"/>
      <c r="AD172" s="1189"/>
      <c r="AE172" s="1189"/>
      <c r="AF172" s="1189"/>
      <c r="AG172" s="1189"/>
      <c r="AH172" s="1189"/>
      <c r="AI172" s="1189"/>
      <c r="AJ172" s="1189"/>
      <c r="AK172" s="1189"/>
      <c r="AL172" s="1189"/>
      <c r="AM172" s="1189"/>
      <c r="AN172" s="1189"/>
      <c r="AO172" s="1189"/>
      <c r="AP172" s="1189"/>
      <c r="AQ172" s="1189"/>
      <c r="AR172" s="1189"/>
      <c r="AS172" s="1189"/>
      <c r="AT172" s="1189"/>
      <c r="AU172" s="1189"/>
      <c r="AV172" s="1189"/>
      <c r="AW172" s="1189"/>
      <c r="AX172" s="1189"/>
    </row>
    <row r="173" spans="1:50" ht="12" customHeight="1">
      <c r="A173" s="1123"/>
      <c r="B173" s="161"/>
      <c r="C173" s="1123"/>
      <c r="D173" s="1123"/>
      <c r="E173" s="1123"/>
      <c r="F173" s="1123"/>
      <c r="G173" s="1123"/>
      <c r="H173" s="1123"/>
      <c r="I173" s="1123"/>
      <c r="J173" s="1125"/>
      <c r="K173" s="156"/>
      <c r="L173" s="1123"/>
      <c r="M173" s="1205"/>
      <c r="N173" s="1123"/>
      <c r="O173" s="1123"/>
      <c r="P173" s="1123"/>
      <c r="Q173" s="1123"/>
      <c r="R173" s="1189"/>
      <c r="S173" s="1189"/>
      <c r="T173" s="1208"/>
      <c r="U173" s="1208"/>
      <c r="V173" s="1189"/>
      <c r="W173" s="1189"/>
      <c r="X173" s="1189"/>
      <c r="Y173" s="1189"/>
      <c r="Z173" s="1189"/>
      <c r="AA173" s="1189"/>
      <c r="AB173" s="1189"/>
      <c r="AC173" s="1189"/>
      <c r="AD173" s="1189"/>
      <c r="AE173" s="1189"/>
      <c r="AF173" s="1189"/>
      <c r="AG173" s="1189"/>
      <c r="AH173" s="1189"/>
      <c r="AI173" s="1189"/>
      <c r="AJ173" s="1189"/>
      <c r="AK173" s="1189"/>
      <c r="AL173" s="1189"/>
      <c r="AM173" s="1189"/>
      <c r="AN173" s="1189"/>
      <c r="AO173" s="1189"/>
      <c r="AP173" s="1189"/>
      <c r="AQ173" s="1189"/>
      <c r="AR173" s="1189"/>
      <c r="AS173" s="1189"/>
      <c r="AT173" s="1189"/>
      <c r="AU173" s="1189"/>
      <c r="AV173" s="1189"/>
      <c r="AW173" s="1189"/>
      <c r="AX173" s="1189"/>
    </row>
    <row r="174" spans="1:50" ht="12" customHeight="1">
      <c r="A174" s="1123"/>
      <c r="B174" s="161"/>
      <c r="C174" s="1123"/>
      <c r="D174" s="1123"/>
      <c r="E174" s="1123"/>
      <c r="F174" s="1123"/>
      <c r="G174" s="1123"/>
      <c r="H174" s="1123"/>
      <c r="I174" s="1123"/>
      <c r="J174" s="1125"/>
      <c r="K174" s="156"/>
      <c r="L174" s="1123"/>
      <c r="M174" s="1205"/>
      <c r="N174" s="1123"/>
      <c r="O174" s="1123"/>
      <c r="P174" s="1123"/>
      <c r="Q174" s="1123"/>
      <c r="R174" s="1189"/>
      <c r="S174" s="1189"/>
      <c r="T174" s="1208"/>
      <c r="U174" s="1208"/>
      <c r="V174" s="1189"/>
      <c r="W174" s="1189"/>
      <c r="X174" s="1189"/>
      <c r="Y174" s="1189"/>
      <c r="Z174" s="1189"/>
      <c r="AA174" s="1189"/>
      <c r="AB174" s="1189"/>
      <c r="AC174" s="1189"/>
      <c r="AD174" s="1189"/>
      <c r="AE174" s="1189"/>
      <c r="AF174" s="1189"/>
      <c r="AG174" s="1189"/>
      <c r="AH174" s="1189"/>
      <c r="AI174" s="1189"/>
      <c r="AJ174" s="1189"/>
      <c r="AK174" s="1189"/>
      <c r="AL174" s="1189"/>
      <c r="AM174" s="1189"/>
      <c r="AN174" s="1189"/>
      <c r="AO174" s="1189"/>
      <c r="AP174" s="1189"/>
      <c r="AQ174" s="1189"/>
      <c r="AR174" s="1189"/>
      <c r="AS174" s="1189"/>
      <c r="AT174" s="1189"/>
      <c r="AU174" s="1189"/>
      <c r="AV174" s="1189"/>
      <c r="AW174" s="1189"/>
      <c r="AX174" s="1189"/>
    </row>
    <row r="175" spans="1:50" ht="12" customHeight="1">
      <c r="A175" s="1123"/>
      <c r="B175" s="161"/>
      <c r="C175" s="1123"/>
      <c r="D175" s="1123"/>
      <c r="E175" s="1123"/>
      <c r="F175" s="1123"/>
      <c r="G175" s="1123"/>
      <c r="H175" s="1123"/>
      <c r="I175" s="1123"/>
      <c r="J175" s="1125"/>
      <c r="K175" s="156"/>
      <c r="L175" s="1123"/>
      <c r="M175" s="1205"/>
      <c r="N175" s="1123"/>
      <c r="O175" s="1123"/>
      <c r="P175" s="1123"/>
      <c r="Q175" s="1123"/>
      <c r="R175" s="1189"/>
      <c r="S175" s="1189"/>
      <c r="T175" s="1208"/>
      <c r="U175" s="1208"/>
      <c r="V175" s="1189"/>
      <c r="W175" s="1189"/>
      <c r="X175" s="1189"/>
      <c r="Y175" s="1189"/>
      <c r="Z175" s="1189"/>
      <c r="AA175" s="1189"/>
      <c r="AB175" s="1189"/>
      <c r="AC175" s="1189"/>
      <c r="AD175" s="1189"/>
      <c r="AE175" s="1189"/>
      <c r="AF175" s="1189"/>
      <c r="AG175" s="1189"/>
      <c r="AH175" s="1189"/>
      <c r="AI175" s="1189"/>
      <c r="AJ175" s="1189"/>
      <c r="AK175" s="1189"/>
      <c r="AL175" s="1189"/>
      <c r="AM175" s="1189"/>
      <c r="AN175" s="1189"/>
      <c r="AO175" s="1189"/>
      <c r="AP175" s="1189"/>
      <c r="AQ175" s="1189"/>
      <c r="AR175" s="1189"/>
      <c r="AS175" s="1189"/>
      <c r="AT175" s="1189"/>
      <c r="AU175" s="1189"/>
      <c r="AV175" s="1189"/>
      <c r="AW175" s="1189"/>
      <c r="AX175" s="1189"/>
    </row>
    <row r="176" spans="1:50" ht="12" customHeight="1">
      <c r="A176" s="1123"/>
      <c r="B176" s="161"/>
      <c r="C176" s="1123"/>
      <c r="D176" s="1123"/>
      <c r="E176" s="1123"/>
      <c r="F176" s="1123"/>
      <c r="G176" s="1123"/>
      <c r="H176" s="1123"/>
      <c r="I176" s="1123"/>
      <c r="J176" s="1125"/>
      <c r="K176" s="156"/>
      <c r="L176" s="1123"/>
      <c r="M176" s="1205"/>
      <c r="N176" s="1123"/>
      <c r="O176" s="1123"/>
      <c r="P176" s="1123"/>
      <c r="Q176" s="1123"/>
      <c r="R176" s="1189"/>
      <c r="S176" s="1189"/>
      <c r="T176" s="1208"/>
      <c r="U176" s="1208"/>
      <c r="V176" s="1189"/>
      <c r="W176" s="1189"/>
      <c r="X176" s="1189"/>
      <c r="Y176" s="1189"/>
      <c r="Z176" s="1189"/>
      <c r="AA176" s="1189"/>
      <c r="AB176" s="1189"/>
      <c r="AC176" s="1189"/>
      <c r="AD176" s="1189"/>
      <c r="AE176" s="1189"/>
      <c r="AF176" s="1189"/>
      <c r="AG176" s="1189"/>
      <c r="AH176" s="1189"/>
      <c r="AI176" s="1189"/>
      <c r="AJ176" s="1189"/>
      <c r="AK176" s="1189"/>
      <c r="AL176" s="1189"/>
      <c r="AM176" s="1189"/>
      <c r="AN176" s="1189"/>
      <c r="AO176" s="1189"/>
      <c r="AP176" s="1189"/>
      <c r="AQ176" s="1189"/>
      <c r="AR176" s="1189"/>
      <c r="AS176" s="1189"/>
      <c r="AT176" s="1189"/>
      <c r="AU176" s="1189"/>
      <c r="AV176" s="1189"/>
      <c r="AW176" s="1189"/>
      <c r="AX176" s="1189"/>
    </row>
    <row r="177" spans="1:50" ht="12" customHeight="1">
      <c r="A177" s="1123"/>
      <c r="B177" s="161"/>
      <c r="C177" s="1123"/>
      <c r="D177" s="1123"/>
      <c r="E177" s="1123"/>
      <c r="F177" s="1123"/>
      <c r="G177" s="1123"/>
      <c r="H177" s="1123"/>
      <c r="I177" s="1123"/>
      <c r="J177" s="1125"/>
      <c r="K177" s="156"/>
      <c r="L177" s="1123"/>
      <c r="M177" s="1205"/>
      <c r="N177" s="1123"/>
      <c r="O177" s="1123"/>
      <c r="P177" s="1123"/>
      <c r="Q177" s="1123"/>
      <c r="R177" s="1189"/>
      <c r="S177" s="1189"/>
      <c r="T177" s="1208"/>
      <c r="U177" s="1208"/>
      <c r="V177" s="1189"/>
      <c r="W177" s="1189"/>
      <c r="X177" s="1189"/>
      <c r="Y177" s="1189"/>
      <c r="Z177" s="1189"/>
      <c r="AA177" s="1189"/>
      <c r="AB177" s="1189"/>
      <c r="AC177" s="1189"/>
      <c r="AD177" s="1189"/>
      <c r="AE177" s="1189"/>
      <c r="AF177" s="1189"/>
      <c r="AG177" s="1189"/>
      <c r="AH177" s="1189"/>
      <c r="AI177" s="1189"/>
      <c r="AJ177" s="1189"/>
      <c r="AK177" s="1189"/>
      <c r="AL177" s="1189"/>
      <c r="AM177" s="1189"/>
      <c r="AN177" s="1189"/>
      <c r="AO177" s="1189"/>
      <c r="AP177" s="1189"/>
      <c r="AQ177" s="1189"/>
      <c r="AR177" s="1189"/>
      <c r="AS177" s="1189"/>
      <c r="AT177" s="1189"/>
      <c r="AU177" s="1189"/>
      <c r="AV177" s="1189"/>
      <c r="AW177" s="1189"/>
      <c r="AX177" s="1189"/>
    </row>
    <row r="178" spans="1:50" ht="12" customHeight="1">
      <c r="A178" s="1123"/>
      <c r="B178" s="161"/>
      <c r="C178" s="1123"/>
      <c r="D178" s="1123"/>
      <c r="E178" s="1123"/>
      <c r="F178" s="1123"/>
      <c r="G178" s="1123"/>
      <c r="H178" s="1123"/>
      <c r="I178" s="1123"/>
      <c r="J178" s="1125"/>
      <c r="K178" s="156"/>
      <c r="L178" s="1123"/>
      <c r="M178" s="1205"/>
      <c r="N178" s="1123"/>
      <c r="O178" s="1123"/>
      <c r="P178" s="1123"/>
      <c r="Q178" s="1123"/>
      <c r="R178" s="1189"/>
      <c r="S178" s="1189"/>
      <c r="T178" s="1208"/>
      <c r="U178" s="1208"/>
      <c r="V178" s="1189"/>
      <c r="W178" s="1189"/>
      <c r="X178" s="1189"/>
      <c r="Y178" s="1189"/>
      <c r="Z178" s="1189"/>
      <c r="AA178" s="1189"/>
      <c r="AB178" s="1189"/>
      <c r="AC178" s="1189"/>
      <c r="AD178" s="1189"/>
      <c r="AE178" s="1189"/>
      <c r="AF178" s="1189"/>
      <c r="AG178" s="1189"/>
      <c r="AH178" s="1189"/>
      <c r="AI178" s="1189"/>
      <c r="AJ178" s="1189"/>
      <c r="AK178" s="1189"/>
      <c r="AL178" s="1189"/>
      <c r="AM178" s="1189"/>
      <c r="AN178" s="1189"/>
      <c r="AO178" s="1189"/>
      <c r="AP178" s="1189"/>
      <c r="AQ178" s="1189"/>
      <c r="AR178" s="1189"/>
      <c r="AS178" s="1189"/>
      <c r="AT178" s="1189"/>
      <c r="AU178" s="1189"/>
      <c r="AV178" s="1189"/>
      <c r="AW178" s="1189"/>
      <c r="AX178" s="1189"/>
    </row>
    <row r="179" spans="1:50" ht="12" customHeight="1">
      <c r="A179" s="1123"/>
      <c r="B179" s="161"/>
      <c r="C179" s="1123"/>
      <c r="D179" s="1123"/>
      <c r="E179" s="1123"/>
      <c r="F179" s="1123"/>
      <c r="G179" s="1123"/>
      <c r="H179" s="1123"/>
      <c r="I179" s="1123"/>
      <c r="J179" s="1125"/>
      <c r="K179" s="156"/>
      <c r="L179" s="1123"/>
      <c r="M179" s="1205"/>
      <c r="N179" s="1123"/>
      <c r="O179" s="1123"/>
      <c r="P179" s="1123"/>
      <c r="Q179" s="1123"/>
      <c r="R179" s="1189"/>
      <c r="S179" s="1189"/>
      <c r="T179" s="1208"/>
      <c r="U179" s="1208"/>
      <c r="V179" s="1189"/>
      <c r="W179" s="1189"/>
      <c r="X179" s="1189"/>
      <c r="Y179" s="1189"/>
      <c r="Z179" s="1189"/>
      <c r="AA179" s="1189"/>
      <c r="AB179" s="1189"/>
      <c r="AC179" s="1189"/>
      <c r="AD179" s="1189"/>
      <c r="AE179" s="1189"/>
      <c r="AF179" s="1189"/>
      <c r="AG179" s="1189"/>
      <c r="AH179" s="1189"/>
      <c r="AI179" s="1189"/>
      <c r="AJ179" s="1189"/>
      <c r="AK179" s="1189"/>
      <c r="AL179" s="1189"/>
      <c r="AM179" s="1189"/>
      <c r="AN179" s="1189"/>
      <c r="AO179" s="1189"/>
      <c r="AP179" s="1189"/>
      <c r="AQ179" s="1189"/>
      <c r="AR179" s="1189"/>
      <c r="AS179" s="1189"/>
      <c r="AT179" s="1189"/>
      <c r="AU179" s="1189"/>
      <c r="AV179" s="1189"/>
      <c r="AW179" s="1189"/>
      <c r="AX179" s="1189"/>
    </row>
    <row r="180" spans="1:50" ht="12" customHeight="1">
      <c r="A180" s="1123"/>
      <c r="B180" s="161"/>
      <c r="C180" s="1123"/>
      <c r="D180" s="1123"/>
      <c r="E180" s="1123"/>
      <c r="F180" s="1123"/>
      <c r="G180" s="1123"/>
      <c r="H180" s="1123"/>
      <c r="I180" s="1123"/>
      <c r="J180" s="1125"/>
      <c r="K180" s="156"/>
      <c r="L180" s="1123"/>
      <c r="M180" s="1205"/>
      <c r="N180" s="1123"/>
      <c r="O180" s="1123"/>
      <c r="P180" s="1123"/>
      <c r="Q180" s="1123"/>
      <c r="R180" s="1189"/>
      <c r="S180" s="1189"/>
      <c r="T180" s="1208"/>
      <c r="U180" s="1208"/>
      <c r="V180" s="1189"/>
      <c r="W180" s="1189"/>
      <c r="X180" s="1189"/>
      <c r="Y180" s="1189"/>
      <c r="Z180" s="1189"/>
      <c r="AA180" s="1189"/>
      <c r="AB180" s="1189"/>
      <c r="AC180" s="1189"/>
      <c r="AD180" s="1189"/>
      <c r="AE180" s="1189"/>
      <c r="AF180" s="1189"/>
      <c r="AG180" s="1189"/>
      <c r="AH180" s="1189"/>
      <c r="AI180" s="1189"/>
      <c r="AJ180" s="1189"/>
      <c r="AK180" s="1189"/>
      <c r="AL180" s="1189"/>
      <c r="AM180" s="1189"/>
      <c r="AN180" s="1189"/>
      <c r="AO180" s="1189"/>
      <c r="AP180" s="1189"/>
      <c r="AQ180" s="1189"/>
      <c r="AR180" s="1189"/>
      <c r="AS180" s="1189"/>
      <c r="AT180" s="1189"/>
      <c r="AU180" s="1189"/>
      <c r="AV180" s="1189"/>
      <c r="AW180" s="1189"/>
      <c r="AX180" s="1189"/>
    </row>
    <row r="181" spans="1:50" ht="12" customHeight="1">
      <c r="A181" s="1123"/>
      <c r="B181" s="161"/>
      <c r="C181" s="1123"/>
      <c r="D181" s="1123"/>
      <c r="E181" s="1123"/>
      <c r="F181" s="1123"/>
      <c r="G181" s="1123"/>
      <c r="H181" s="1123"/>
      <c r="I181" s="1123"/>
      <c r="J181" s="1125"/>
      <c r="K181" s="156"/>
      <c r="L181" s="1123"/>
      <c r="M181" s="1205"/>
      <c r="N181" s="1123"/>
      <c r="O181" s="1123"/>
      <c r="P181" s="1123"/>
      <c r="Q181" s="1123"/>
      <c r="R181" s="1189"/>
      <c r="S181" s="1189"/>
      <c r="T181" s="1208"/>
      <c r="U181" s="1208"/>
      <c r="V181" s="1189"/>
      <c r="W181" s="1189"/>
      <c r="X181" s="1189"/>
      <c r="Y181" s="1189"/>
      <c r="Z181" s="1189"/>
      <c r="AA181" s="1189"/>
      <c r="AB181" s="1189"/>
      <c r="AC181" s="1189"/>
      <c r="AD181" s="1189"/>
      <c r="AE181" s="1189"/>
      <c r="AF181" s="1189"/>
      <c r="AG181" s="1189"/>
      <c r="AH181" s="1189"/>
      <c r="AI181" s="1189"/>
      <c r="AJ181" s="1189"/>
      <c r="AK181" s="1189"/>
      <c r="AL181" s="1189"/>
      <c r="AM181" s="1189"/>
      <c r="AN181" s="1189"/>
      <c r="AO181" s="1189"/>
      <c r="AP181" s="1189"/>
      <c r="AQ181" s="1189"/>
      <c r="AR181" s="1189"/>
      <c r="AS181" s="1189"/>
      <c r="AT181" s="1189"/>
      <c r="AU181" s="1189"/>
      <c r="AV181" s="1189"/>
      <c r="AW181" s="1189"/>
      <c r="AX181" s="1189"/>
    </row>
    <row r="182" spans="1:50" ht="12" customHeight="1">
      <c r="A182" s="1123"/>
      <c r="B182" s="161"/>
      <c r="C182" s="1123"/>
      <c r="D182" s="1123"/>
      <c r="E182" s="1123"/>
      <c r="F182" s="1123"/>
      <c r="G182" s="1123"/>
      <c r="H182" s="1123"/>
      <c r="I182" s="1123"/>
      <c r="J182" s="1125"/>
      <c r="K182" s="156"/>
      <c r="L182" s="1123"/>
      <c r="M182" s="1205"/>
      <c r="N182" s="1123"/>
      <c r="O182" s="1123"/>
      <c r="P182" s="1123"/>
      <c r="Q182" s="1123"/>
      <c r="R182" s="1189"/>
      <c r="S182" s="1189"/>
      <c r="T182" s="1208"/>
      <c r="U182" s="1208"/>
      <c r="V182" s="1189"/>
      <c r="W182" s="1189"/>
      <c r="X182" s="1189"/>
      <c r="Y182" s="1189"/>
      <c r="Z182" s="1189"/>
      <c r="AA182" s="1189"/>
      <c r="AB182" s="1189"/>
      <c r="AC182" s="1189"/>
      <c r="AD182" s="1189"/>
      <c r="AE182" s="1189"/>
      <c r="AF182" s="1189"/>
      <c r="AG182" s="1189"/>
      <c r="AH182" s="1189"/>
      <c r="AI182" s="1189"/>
      <c r="AJ182" s="1189"/>
      <c r="AK182" s="1189"/>
      <c r="AL182" s="1189"/>
      <c r="AM182" s="1189"/>
      <c r="AN182" s="1189"/>
      <c r="AO182" s="1189"/>
      <c r="AP182" s="1189"/>
      <c r="AQ182" s="1189"/>
      <c r="AR182" s="1189"/>
      <c r="AS182" s="1189"/>
      <c r="AT182" s="1189"/>
      <c r="AU182" s="1189"/>
      <c r="AV182" s="1189"/>
      <c r="AW182" s="1189"/>
      <c r="AX182" s="1189"/>
    </row>
    <row r="183" spans="1:50" ht="12" customHeight="1">
      <c r="A183" s="1123"/>
      <c r="B183" s="161"/>
      <c r="C183" s="1123"/>
      <c r="D183" s="1123"/>
      <c r="E183" s="1123"/>
      <c r="F183" s="1123"/>
      <c r="G183" s="1123"/>
      <c r="H183" s="1123"/>
      <c r="I183" s="1123"/>
      <c r="J183" s="1125"/>
      <c r="K183" s="156"/>
      <c r="L183" s="1123"/>
      <c r="M183" s="1205"/>
      <c r="N183" s="1123"/>
      <c r="O183" s="1123"/>
      <c r="P183" s="1123"/>
      <c r="Q183" s="1123"/>
      <c r="R183" s="1189"/>
      <c r="S183" s="1189"/>
      <c r="T183" s="1208"/>
      <c r="U183" s="1208"/>
      <c r="V183" s="1189"/>
      <c r="W183" s="1189"/>
      <c r="X183" s="1189"/>
      <c r="Y183" s="1189"/>
      <c r="Z183" s="1189"/>
      <c r="AA183" s="1189"/>
      <c r="AB183" s="1189"/>
      <c r="AC183" s="1189"/>
      <c r="AD183" s="1189"/>
      <c r="AE183" s="1189"/>
      <c r="AF183" s="1189"/>
      <c r="AG183" s="1189"/>
      <c r="AH183" s="1189"/>
      <c r="AI183" s="1189"/>
      <c r="AJ183" s="1189"/>
      <c r="AK183" s="1189"/>
      <c r="AL183" s="1189"/>
      <c r="AM183" s="1189"/>
      <c r="AN183" s="1189"/>
      <c r="AO183" s="1189"/>
      <c r="AP183" s="1189"/>
      <c r="AQ183" s="1189"/>
      <c r="AR183" s="1189"/>
      <c r="AS183" s="1189"/>
      <c r="AT183" s="1189"/>
      <c r="AU183" s="1189"/>
      <c r="AV183" s="1189"/>
      <c r="AW183" s="1189"/>
      <c r="AX183" s="1189"/>
    </row>
    <row r="184" spans="1:50" ht="12" customHeight="1">
      <c r="A184" s="1123"/>
      <c r="B184" s="161"/>
      <c r="C184" s="1123"/>
      <c r="D184" s="1123"/>
      <c r="E184" s="1123"/>
      <c r="F184" s="1123"/>
      <c r="G184" s="1123"/>
      <c r="H184" s="1123"/>
      <c r="I184" s="1123"/>
      <c r="J184" s="1125"/>
      <c r="K184" s="156"/>
      <c r="L184" s="1123"/>
      <c r="M184" s="1205"/>
      <c r="N184" s="1123"/>
      <c r="O184" s="1123"/>
      <c r="P184" s="1123"/>
      <c r="Q184" s="1123"/>
      <c r="R184" s="1189"/>
      <c r="S184" s="1189"/>
      <c r="T184" s="1208"/>
      <c r="U184" s="1208"/>
      <c r="V184" s="1189"/>
      <c r="W184" s="1189"/>
      <c r="X184" s="1189"/>
      <c r="Y184" s="1189"/>
      <c r="Z184" s="1189"/>
      <c r="AA184" s="1189"/>
      <c r="AB184" s="1189"/>
      <c r="AC184" s="1189"/>
      <c r="AD184" s="1189"/>
      <c r="AE184" s="1189"/>
      <c r="AF184" s="1189"/>
      <c r="AG184" s="1189"/>
      <c r="AH184" s="1189"/>
      <c r="AI184" s="1189"/>
      <c r="AJ184" s="1189"/>
      <c r="AK184" s="1189"/>
      <c r="AL184" s="1189"/>
      <c r="AM184" s="1189"/>
      <c r="AN184" s="1189"/>
      <c r="AO184" s="1189"/>
      <c r="AP184" s="1189"/>
      <c r="AQ184" s="1189"/>
      <c r="AR184" s="1189"/>
      <c r="AS184" s="1189"/>
      <c r="AT184" s="1189"/>
      <c r="AU184" s="1189"/>
      <c r="AV184" s="1189"/>
      <c r="AW184" s="1189"/>
      <c r="AX184" s="1189"/>
    </row>
    <row r="185" spans="1:50" ht="12" customHeight="1">
      <c r="A185" s="1123"/>
      <c r="B185" s="161"/>
      <c r="C185" s="1123"/>
      <c r="D185" s="1123"/>
      <c r="E185" s="1123"/>
      <c r="F185" s="1123"/>
      <c r="G185" s="1123"/>
      <c r="H185" s="1123"/>
      <c r="I185" s="1123"/>
      <c r="J185" s="1125"/>
      <c r="K185" s="156"/>
      <c r="L185" s="1123"/>
      <c r="M185" s="1205"/>
      <c r="N185" s="1123"/>
      <c r="O185" s="1123"/>
      <c r="P185" s="1123"/>
      <c r="Q185" s="1123"/>
      <c r="R185" s="1189"/>
      <c r="S185" s="1189"/>
      <c r="T185" s="1208"/>
      <c r="U185" s="1208"/>
      <c r="V185" s="1189"/>
      <c r="W185" s="1189"/>
      <c r="X185" s="1189"/>
      <c r="Y185" s="1189"/>
      <c r="Z185" s="1189"/>
      <c r="AA185" s="1189"/>
      <c r="AB185" s="1189"/>
      <c r="AC185" s="1189"/>
      <c r="AD185" s="1189"/>
      <c r="AE185" s="1189"/>
      <c r="AF185" s="1189"/>
      <c r="AG185" s="1189"/>
      <c r="AH185" s="1189"/>
      <c r="AI185" s="1189"/>
      <c r="AJ185" s="1189"/>
      <c r="AK185" s="1189"/>
      <c r="AL185" s="1189"/>
      <c r="AM185" s="1189"/>
      <c r="AN185" s="1189"/>
      <c r="AO185" s="1189"/>
      <c r="AP185" s="1189"/>
      <c r="AQ185" s="1189"/>
      <c r="AR185" s="1189"/>
      <c r="AS185" s="1189"/>
      <c r="AT185" s="1189"/>
      <c r="AU185" s="1189"/>
      <c r="AV185" s="1189"/>
      <c r="AW185" s="1189"/>
      <c r="AX185" s="1189"/>
    </row>
    <row r="186" spans="1:50" ht="12" customHeight="1">
      <c r="A186" s="1123"/>
      <c r="B186" s="161"/>
      <c r="C186" s="1123"/>
      <c r="D186" s="1123"/>
      <c r="E186" s="1123"/>
      <c r="F186" s="1123"/>
      <c r="G186" s="1123"/>
      <c r="H186" s="1123"/>
      <c r="I186" s="1123"/>
      <c r="J186" s="1125"/>
      <c r="K186" s="156"/>
      <c r="L186" s="1123"/>
      <c r="M186" s="1205"/>
      <c r="N186" s="1123"/>
      <c r="O186" s="1123"/>
      <c r="P186" s="1123"/>
      <c r="Q186" s="1123"/>
      <c r="R186" s="1189"/>
      <c r="S186" s="1189"/>
      <c r="T186" s="1208"/>
      <c r="U186" s="1208"/>
      <c r="V186" s="1189"/>
      <c r="W186" s="1189"/>
      <c r="X186" s="1189"/>
      <c r="Y186" s="1189"/>
      <c r="Z186" s="1189"/>
      <c r="AA186" s="1189"/>
      <c r="AB186" s="1189"/>
      <c r="AC186" s="1189"/>
      <c r="AD186" s="1189"/>
      <c r="AE186" s="1189"/>
      <c r="AF186" s="1189"/>
      <c r="AG186" s="1189"/>
      <c r="AH186" s="1189"/>
      <c r="AI186" s="1189"/>
      <c r="AJ186" s="1189"/>
      <c r="AK186" s="1189"/>
      <c r="AL186" s="1189"/>
      <c r="AM186" s="1189"/>
      <c r="AN186" s="1189"/>
      <c r="AO186" s="1189"/>
      <c r="AP186" s="1189"/>
      <c r="AQ186" s="1189"/>
      <c r="AR186" s="1189"/>
      <c r="AS186" s="1189"/>
      <c r="AT186" s="1189"/>
      <c r="AU186" s="1189"/>
      <c r="AV186" s="1189"/>
      <c r="AW186" s="1189"/>
      <c r="AX186" s="1189"/>
    </row>
    <row r="187" spans="1:50" ht="12" customHeight="1">
      <c r="A187" s="1123"/>
      <c r="B187" s="161"/>
      <c r="C187" s="1123"/>
      <c r="D187" s="1123"/>
      <c r="E187" s="1123"/>
      <c r="F187" s="1123"/>
      <c r="G187" s="1123"/>
      <c r="H187" s="1123"/>
      <c r="I187" s="1123"/>
      <c r="J187" s="1125"/>
      <c r="K187" s="156"/>
      <c r="L187" s="1123"/>
      <c r="M187" s="1205"/>
      <c r="N187" s="1123"/>
      <c r="O187" s="1123"/>
      <c r="P187" s="1123"/>
      <c r="Q187" s="1123"/>
      <c r="R187" s="1189"/>
      <c r="S187" s="1189"/>
      <c r="T187" s="1208"/>
      <c r="U187" s="1208"/>
      <c r="V187" s="1189"/>
      <c r="W187" s="1189"/>
      <c r="X187" s="1189"/>
      <c r="Y187" s="1189"/>
      <c r="Z187" s="1189"/>
      <c r="AA187" s="1189"/>
      <c r="AB187" s="1189"/>
      <c r="AC187" s="1189"/>
      <c r="AD187" s="1189"/>
      <c r="AE187" s="1189"/>
      <c r="AF187" s="1189"/>
      <c r="AG187" s="1189"/>
      <c r="AH187" s="1189"/>
      <c r="AI187" s="1189"/>
      <c r="AJ187" s="1189"/>
      <c r="AK187" s="1189"/>
      <c r="AL187" s="1189"/>
      <c r="AM187" s="1189"/>
      <c r="AN187" s="1189"/>
      <c r="AO187" s="1189"/>
      <c r="AP187" s="1189"/>
      <c r="AQ187" s="1189"/>
      <c r="AR187" s="1189"/>
      <c r="AS187" s="1189"/>
      <c r="AT187" s="1189"/>
      <c r="AU187" s="1189"/>
      <c r="AV187" s="1189"/>
      <c r="AW187" s="1189"/>
      <c r="AX187" s="1189"/>
    </row>
    <row r="188" spans="1:50" ht="12" customHeight="1">
      <c r="A188" s="1123"/>
      <c r="B188" s="161"/>
      <c r="C188" s="1123"/>
      <c r="D188" s="1123"/>
      <c r="E188" s="1123"/>
      <c r="F188" s="1123"/>
      <c r="G188" s="1123"/>
      <c r="H188" s="1123"/>
      <c r="I188" s="1123"/>
      <c r="J188" s="1125"/>
      <c r="K188" s="156"/>
      <c r="L188" s="1123"/>
      <c r="M188" s="1205"/>
      <c r="N188" s="1123"/>
      <c r="O188" s="1123"/>
      <c r="P188" s="1123"/>
      <c r="Q188" s="1123"/>
      <c r="R188" s="1189"/>
      <c r="S188" s="1189"/>
      <c r="T188" s="1208"/>
      <c r="U188" s="1208"/>
      <c r="V188" s="1189"/>
      <c r="W188" s="1189"/>
      <c r="X188" s="1189"/>
      <c r="Y188" s="1189"/>
      <c r="Z188" s="1189"/>
      <c r="AA188" s="1189"/>
      <c r="AB188" s="1189"/>
      <c r="AC188" s="1189"/>
      <c r="AD188" s="1189"/>
      <c r="AE188" s="1189"/>
      <c r="AF188" s="1189"/>
      <c r="AG188" s="1189"/>
      <c r="AH188" s="1189"/>
      <c r="AI188" s="1189"/>
      <c r="AJ188" s="1189"/>
      <c r="AK188" s="1189"/>
      <c r="AL188" s="1189"/>
      <c r="AM188" s="1189"/>
      <c r="AN188" s="1189"/>
      <c r="AO188" s="1189"/>
      <c r="AP188" s="1189"/>
      <c r="AQ188" s="1189"/>
      <c r="AR188" s="1189"/>
      <c r="AS188" s="1189"/>
      <c r="AT188" s="1189"/>
      <c r="AU188" s="1189"/>
      <c r="AV188" s="1189"/>
      <c r="AW188" s="1189"/>
      <c r="AX188" s="1189"/>
    </row>
    <row r="189" spans="1:50" ht="12" customHeight="1">
      <c r="A189" s="1123"/>
      <c r="B189" s="161"/>
      <c r="C189" s="1123"/>
      <c r="D189" s="1123"/>
      <c r="E189" s="1123"/>
      <c r="F189" s="1123"/>
      <c r="G189" s="1123"/>
      <c r="H189" s="1123"/>
      <c r="I189" s="1123"/>
      <c r="J189" s="1125"/>
      <c r="K189" s="156"/>
      <c r="L189" s="1123"/>
      <c r="M189" s="1205"/>
      <c r="N189" s="1123"/>
      <c r="O189" s="1123"/>
      <c r="P189" s="1123"/>
      <c r="Q189" s="1123"/>
      <c r="R189" s="1189"/>
      <c r="S189" s="1189"/>
      <c r="T189" s="1208"/>
      <c r="U189" s="1208"/>
      <c r="V189" s="1189"/>
      <c r="W189" s="1189"/>
      <c r="X189" s="1189"/>
      <c r="Y189" s="1189"/>
      <c r="Z189" s="1189"/>
      <c r="AA189" s="1189"/>
      <c r="AB189" s="1189"/>
      <c r="AC189" s="1189"/>
      <c r="AD189" s="1189"/>
      <c r="AE189" s="1189"/>
      <c r="AF189" s="1189"/>
      <c r="AG189" s="1189"/>
      <c r="AH189" s="1189"/>
      <c r="AI189" s="1189"/>
      <c r="AJ189" s="1189"/>
      <c r="AK189" s="1189"/>
      <c r="AL189" s="1189"/>
      <c r="AM189" s="1189"/>
      <c r="AN189" s="1189"/>
      <c r="AO189" s="1189"/>
      <c r="AP189" s="1189"/>
      <c r="AQ189" s="1189"/>
      <c r="AR189" s="1189"/>
      <c r="AS189" s="1189"/>
      <c r="AT189" s="1189"/>
      <c r="AU189" s="1189"/>
      <c r="AV189" s="1189"/>
      <c r="AW189" s="1189"/>
      <c r="AX189" s="1189"/>
    </row>
    <row r="190" spans="1:50" ht="12" customHeight="1">
      <c r="A190" s="1123"/>
      <c r="B190" s="161"/>
      <c r="C190" s="1123"/>
      <c r="D190" s="1123"/>
      <c r="E190" s="1123"/>
      <c r="F190" s="1123"/>
      <c r="G190" s="1123"/>
      <c r="H190" s="1123"/>
      <c r="I190" s="1123"/>
      <c r="J190" s="1125"/>
      <c r="K190" s="156"/>
      <c r="L190" s="1123"/>
      <c r="M190" s="1205"/>
      <c r="N190" s="1123"/>
      <c r="O190" s="1123"/>
      <c r="P190" s="1123"/>
      <c r="Q190" s="1123"/>
      <c r="R190" s="1189"/>
      <c r="S190" s="1189"/>
      <c r="T190" s="1208"/>
      <c r="U190" s="1208"/>
      <c r="V190" s="1189"/>
      <c r="W190" s="1189"/>
      <c r="X190" s="1189"/>
      <c r="Y190" s="1189"/>
      <c r="Z190" s="1189"/>
      <c r="AA190" s="1189"/>
      <c r="AB190" s="1189"/>
      <c r="AC190" s="1189"/>
      <c r="AD190" s="1189"/>
      <c r="AE190" s="1189"/>
      <c r="AF190" s="1189"/>
      <c r="AG190" s="1189"/>
      <c r="AH190" s="1189"/>
      <c r="AI190" s="1189"/>
      <c r="AJ190" s="1189"/>
      <c r="AK190" s="1189"/>
      <c r="AL190" s="1189"/>
      <c r="AM190" s="1189"/>
      <c r="AN190" s="1189"/>
      <c r="AO190" s="1189"/>
      <c r="AP190" s="1189"/>
      <c r="AQ190" s="1189"/>
      <c r="AR190" s="1189"/>
      <c r="AS190" s="1189"/>
      <c r="AT190" s="1189"/>
      <c r="AU190" s="1189"/>
      <c r="AV190" s="1189"/>
      <c r="AW190" s="1189"/>
      <c r="AX190" s="1189"/>
    </row>
    <row r="191" spans="1:50" ht="12" customHeight="1">
      <c r="A191" s="1123"/>
      <c r="B191" s="161"/>
      <c r="C191" s="1123"/>
      <c r="D191" s="1123"/>
      <c r="E191" s="1123"/>
      <c r="F191" s="1123"/>
      <c r="G191" s="1123"/>
      <c r="H191" s="1123"/>
      <c r="I191" s="1123"/>
      <c r="J191" s="1125"/>
      <c r="K191" s="156"/>
      <c r="L191" s="1123"/>
      <c r="M191" s="1205"/>
      <c r="N191" s="1123"/>
      <c r="O191" s="1123"/>
      <c r="P191" s="1123"/>
      <c r="Q191" s="1123"/>
      <c r="R191" s="1189"/>
      <c r="S191" s="1189"/>
      <c r="T191" s="1208"/>
      <c r="U191" s="1208"/>
      <c r="V191" s="1189"/>
      <c r="W191" s="1189"/>
      <c r="X191" s="1189"/>
      <c r="Y191" s="1189"/>
      <c r="Z191" s="1189"/>
      <c r="AA191" s="1189"/>
      <c r="AB191" s="1189"/>
      <c r="AC191" s="1189"/>
      <c r="AD191" s="1189"/>
      <c r="AE191" s="1189"/>
      <c r="AF191" s="1189"/>
      <c r="AG191" s="1189"/>
      <c r="AH191" s="1189"/>
      <c r="AI191" s="1189"/>
      <c r="AJ191" s="1189"/>
      <c r="AK191" s="1189"/>
      <c r="AL191" s="1189"/>
      <c r="AM191" s="1189"/>
      <c r="AN191" s="1189"/>
      <c r="AO191" s="1189"/>
      <c r="AP191" s="1189"/>
      <c r="AQ191" s="1189"/>
      <c r="AR191" s="1189"/>
      <c r="AS191" s="1189"/>
      <c r="AT191" s="1189"/>
      <c r="AU191" s="1189"/>
      <c r="AV191" s="1189"/>
      <c r="AW191" s="1189"/>
      <c r="AX191" s="1189"/>
    </row>
    <row r="192" spans="1:50" ht="12" customHeight="1">
      <c r="A192" s="1123"/>
      <c r="B192" s="161"/>
      <c r="C192" s="1123"/>
      <c r="D192" s="1123"/>
      <c r="E192" s="1123"/>
      <c r="F192" s="1123"/>
      <c r="G192" s="1123"/>
      <c r="H192" s="1123"/>
      <c r="I192" s="1123"/>
      <c r="J192" s="1125"/>
      <c r="K192" s="156"/>
      <c r="L192" s="1123"/>
      <c r="M192" s="1205"/>
      <c r="N192" s="1123"/>
      <c r="O192" s="1123"/>
      <c r="P192" s="1123"/>
      <c r="Q192" s="1123"/>
      <c r="R192" s="1189"/>
      <c r="S192" s="1189"/>
      <c r="T192" s="1208"/>
      <c r="U192" s="1208"/>
      <c r="V192" s="1189"/>
      <c r="W192" s="1189"/>
      <c r="X192" s="1189"/>
      <c r="Y192" s="1189"/>
      <c r="Z192" s="1189"/>
      <c r="AA192" s="1189"/>
      <c r="AB192" s="1189"/>
      <c r="AC192" s="1189"/>
      <c r="AD192" s="1189"/>
      <c r="AE192" s="1189"/>
      <c r="AF192" s="1189"/>
      <c r="AG192" s="1189"/>
      <c r="AH192" s="1189"/>
      <c r="AI192" s="1189"/>
      <c r="AJ192" s="1189"/>
      <c r="AK192" s="1189"/>
      <c r="AL192" s="1189"/>
      <c r="AM192" s="1189"/>
      <c r="AN192" s="1189"/>
      <c r="AO192" s="1189"/>
      <c r="AP192" s="1189"/>
      <c r="AQ192" s="1189"/>
      <c r="AR192" s="1189"/>
      <c r="AS192" s="1189"/>
      <c r="AT192" s="1189"/>
      <c r="AU192" s="1189"/>
      <c r="AV192" s="1189"/>
      <c r="AW192" s="1189"/>
      <c r="AX192" s="1189"/>
    </row>
    <row r="193" spans="1:50" ht="12" customHeight="1">
      <c r="A193" s="1123"/>
      <c r="B193" s="161"/>
      <c r="C193" s="1123"/>
      <c r="D193" s="1123"/>
      <c r="E193" s="1123"/>
      <c r="F193" s="1123"/>
      <c r="G193" s="1123"/>
      <c r="H193" s="1123"/>
      <c r="I193" s="1123"/>
      <c r="J193" s="1125"/>
      <c r="K193" s="156"/>
      <c r="L193" s="1123"/>
      <c r="M193" s="1205"/>
      <c r="N193" s="1123"/>
      <c r="O193" s="1123"/>
      <c r="P193" s="1123"/>
      <c r="Q193" s="1123"/>
      <c r="R193" s="1189"/>
      <c r="S193" s="1189"/>
      <c r="T193" s="1208"/>
      <c r="U193" s="1208"/>
      <c r="V193" s="1189"/>
      <c r="W193" s="1189"/>
      <c r="X193" s="1189"/>
      <c r="Y193" s="1189"/>
      <c r="Z193" s="1189"/>
      <c r="AA193" s="1189"/>
      <c r="AB193" s="1189"/>
      <c r="AC193" s="1189"/>
      <c r="AD193" s="1189"/>
      <c r="AE193" s="1189"/>
      <c r="AF193" s="1189"/>
      <c r="AG193" s="1189"/>
      <c r="AH193" s="1189"/>
      <c r="AI193" s="1189"/>
      <c r="AJ193" s="1189"/>
      <c r="AK193" s="1189"/>
      <c r="AL193" s="1189"/>
      <c r="AM193" s="1189"/>
      <c r="AN193" s="1189"/>
      <c r="AO193" s="1189"/>
      <c r="AP193" s="1189"/>
      <c r="AQ193" s="1189"/>
      <c r="AR193" s="1189"/>
      <c r="AS193" s="1189"/>
      <c r="AT193" s="1189"/>
      <c r="AU193" s="1189"/>
      <c r="AV193" s="1189"/>
      <c r="AW193" s="1189"/>
      <c r="AX193" s="1189"/>
    </row>
    <row r="194" spans="1:50" ht="12" customHeight="1">
      <c r="A194" s="1123"/>
      <c r="B194" s="161"/>
      <c r="C194" s="1123"/>
      <c r="D194" s="1123"/>
      <c r="E194" s="1123"/>
      <c r="F194" s="1123"/>
      <c r="G194" s="1123"/>
      <c r="H194" s="1123"/>
      <c r="I194" s="1123"/>
      <c r="J194" s="1125"/>
      <c r="K194" s="156"/>
      <c r="L194" s="1123"/>
      <c r="M194" s="1205"/>
      <c r="N194" s="1123"/>
      <c r="O194" s="1123"/>
      <c r="P194" s="1123"/>
      <c r="Q194" s="1123"/>
      <c r="R194" s="1189"/>
      <c r="S194" s="1189"/>
      <c r="T194" s="1208"/>
      <c r="U194" s="1208"/>
      <c r="V194" s="1189"/>
      <c r="W194" s="1189"/>
      <c r="X194" s="1189"/>
      <c r="Y194" s="1189"/>
      <c r="Z194" s="1189"/>
      <c r="AA194" s="1189"/>
      <c r="AB194" s="1189"/>
      <c r="AC194" s="1189"/>
      <c r="AD194" s="1189"/>
      <c r="AE194" s="1189"/>
      <c r="AF194" s="1189"/>
      <c r="AG194" s="1189"/>
      <c r="AH194" s="1189"/>
      <c r="AI194" s="1189"/>
      <c r="AJ194" s="1189"/>
      <c r="AK194" s="1189"/>
      <c r="AL194" s="1189"/>
      <c r="AM194" s="1189"/>
      <c r="AN194" s="1189"/>
      <c r="AO194" s="1189"/>
      <c r="AP194" s="1189"/>
      <c r="AQ194" s="1189"/>
      <c r="AR194" s="1189"/>
      <c r="AS194" s="1189"/>
      <c r="AT194" s="1189"/>
      <c r="AU194" s="1189"/>
      <c r="AV194" s="1189"/>
      <c r="AW194" s="1189"/>
      <c r="AX194" s="1189"/>
    </row>
    <row r="195" spans="1:50" ht="12" customHeight="1">
      <c r="A195" s="1123"/>
      <c r="B195" s="161"/>
      <c r="C195" s="1123"/>
      <c r="D195" s="1123"/>
      <c r="E195" s="1123"/>
      <c r="F195" s="1123"/>
      <c r="G195" s="1123"/>
      <c r="H195" s="1123"/>
      <c r="I195" s="1123"/>
      <c r="J195" s="1125"/>
      <c r="K195" s="156"/>
      <c r="L195" s="1123"/>
      <c r="M195" s="1205"/>
      <c r="N195" s="1123"/>
      <c r="O195" s="1123"/>
      <c r="P195" s="1123"/>
      <c r="Q195" s="1123"/>
      <c r="R195" s="1189"/>
      <c r="S195" s="1189"/>
      <c r="T195" s="1208"/>
      <c r="U195" s="1208"/>
      <c r="V195" s="1189"/>
      <c r="W195" s="1189"/>
      <c r="X195" s="1189"/>
      <c r="Y195" s="1189"/>
      <c r="Z195" s="1189"/>
      <c r="AA195" s="1189"/>
      <c r="AB195" s="1189"/>
      <c r="AC195" s="1189"/>
      <c r="AD195" s="1189"/>
      <c r="AE195" s="1189"/>
      <c r="AF195" s="1189"/>
      <c r="AG195" s="1189"/>
      <c r="AH195" s="1189"/>
      <c r="AI195" s="1189"/>
      <c r="AJ195" s="1189"/>
      <c r="AK195" s="1189"/>
      <c r="AL195" s="1189"/>
      <c r="AM195" s="1189"/>
      <c r="AN195" s="1189"/>
      <c r="AO195" s="1189"/>
      <c r="AP195" s="1189"/>
      <c r="AQ195" s="1189"/>
      <c r="AR195" s="1189"/>
      <c r="AS195" s="1189"/>
      <c r="AT195" s="1189"/>
      <c r="AU195" s="1189"/>
      <c r="AV195" s="1189"/>
      <c r="AW195" s="1189"/>
      <c r="AX195" s="1189"/>
    </row>
    <row r="196" spans="1:50" ht="12" customHeight="1">
      <c r="A196" s="1123"/>
      <c r="B196" s="161"/>
      <c r="C196" s="1123"/>
      <c r="D196" s="1123"/>
      <c r="E196" s="1123"/>
      <c r="F196" s="1123"/>
      <c r="G196" s="1123"/>
      <c r="H196" s="1123"/>
      <c r="I196" s="1123"/>
      <c r="J196" s="1125"/>
      <c r="K196" s="156"/>
      <c r="L196" s="1123"/>
      <c r="M196" s="1205"/>
      <c r="N196" s="1123"/>
      <c r="O196" s="1123"/>
      <c r="P196" s="1123"/>
      <c r="Q196" s="1123"/>
      <c r="R196" s="1189"/>
      <c r="S196" s="1189"/>
      <c r="T196" s="1208"/>
      <c r="U196" s="1208"/>
      <c r="V196" s="1189"/>
      <c r="W196" s="1189"/>
      <c r="X196" s="1189"/>
      <c r="Y196" s="1189"/>
      <c r="Z196" s="1189"/>
      <c r="AA196" s="1189"/>
      <c r="AB196" s="1189"/>
      <c r="AC196" s="1189"/>
      <c r="AD196" s="1189"/>
      <c r="AE196" s="1189"/>
      <c r="AF196" s="1189"/>
      <c r="AG196" s="1189"/>
      <c r="AH196" s="1189"/>
      <c r="AI196" s="1189"/>
      <c r="AJ196" s="1189"/>
      <c r="AK196" s="1189"/>
      <c r="AL196" s="1189"/>
      <c r="AM196" s="1189"/>
      <c r="AN196" s="1189"/>
      <c r="AO196" s="1189"/>
      <c r="AP196" s="1189"/>
      <c r="AQ196" s="1189"/>
      <c r="AR196" s="1189"/>
      <c r="AS196" s="1189"/>
      <c r="AT196" s="1189"/>
      <c r="AU196" s="1189"/>
      <c r="AV196" s="1189"/>
      <c r="AW196" s="1189"/>
      <c r="AX196" s="1189"/>
    </row>
    <row r="197" spans="1:50" ht="12" customHeight="1">
      <c r="A197" s="1123"/>
      <c r="B197" s="161"/>
      <c r="C197" s="1123"/>
      <c r="D197" s="1123"/>
      <c r="E197" s="1123"/>
      <c r="F197" s="1123"/>
      <c r="G197" s="1123"/>
      <c r="H197" s="1123"/>
      <c r="I197" s="1123"/>
      <c r="J197" s="1125"/>
      <c r="K197" s="156"/>
      <c r="L197" s="1123"/>
      <c r="M197" s="1205"/>
      <c r="N197" s="1123"/>
      <c r="O197" s="1123"/>
      <c r="P197" s="1123"/>
      <c r="Q197" s="1123"/>
      <c r="R197" s="1189"/>
      <c r="S197" s="1189"/>
      <c r="T197" s="1208"/>
      <c r="U197" s="1208"/>
      <c r="V197" s="1189"/>
      <c r="W197" s="1189"/>
      <c r="X197" s="1189"/>
      <c r="Y197" s="1189"/>
      <c r="Z197" s="1189"/>
      <c r="AA197" s="1189"/>
      <c r="AB197" s="1189"/>
      <c r="AC197" s="1189"/>
      <c r="AD197" s="1189"/>
      <c r="AE197" s="1189"/>
      <c r="AF197" s="1189"/>
      <c r="AG197" s="1189"/>
      <c r="AH197" s="1189"/>
      <c r="AI197" s="1189"/>
      <c r="AJ197" s="1189"/>
      <c r="AK197" s="1189"/>
      <c r="AL197" s="1189"/>
      <c r="AM197" s="1189"/>
      <c r="AN197" s="1189"/>
      <c r="AO197" s="1189"/>
      <c r="AP197" s="1189"/>
      <c r="AQ197" s="1189"/>
      <c r="AR197" s="1189"/>
      <c r="AS197" s="1189"/>
      <c r="AT197" s="1189"/>
      <c r="AU197" s="1189"/>
      <c r="AV197" s="1189"/>
      <c r="AW197" s="1189"/>
      <c r="AX197" s="1189"/>
    </row>
    <row r="198" spans="1:50" ht="12" customHeight="1">
      <c r="A198" s="1123"/>
      <c r="B198" s="161"/>
      <c r="C198" s="1123"/>
      <c r="D198" s="1123"/>
      <c r="E198" s="1123"/>
      <c r="F198" s="1123"/>
      <c r="G198" s="1123"/>
      <c r="H198" s="1123"/>
      <c r="I198" s="1123"/>
      <c r="J198" s="1125"/>
      <c r="K198" s="156"/>
      <c r="L198" s="1123"/>
      <c r="M198" s="1205"/>
      <c r="N198" s="1123"/>
      <c r="O198" s="1123"/>
      <c r="P198" s="1123"/>
      <c r="Q198" s="1123"/>
      <c r="R198" s="1189"/>
      <c r="S198" s="1189"/>
      <c r="T198" s="1208"/>
      <c r="U198" s="1208"/>
      <c r="V198" s="1189"/>
      <c r="W198" s="1189"/>
      <c r="X198" s="1189"/>
      <c r="Y198" s="1189"/>
      <c r="Z198" s="1189"/>
      <c r="AA198" s="1189"/>
      <c r="AB198" s="1189"/>
      <c r="AC198" s="1189"/>
      <c r="AD198" s="1189"/>
      <c r="AE198" s="1189"/>
      <c r="AF198" s="1189"/>
      <c r="AG198" s="1189"/>
      <c r="AH198" s="1189"/>
      <c r="AI198" s="1189"/>
      <c r="AJ198" s="1189"/>
      <c r="AK198" s="1189"/>
      <c r="AL198" s="1189"/>
      <c r="AM198" s="1189"/>
      <c r="AN198" s="1189"/>
      <c r="AO198" s="1189"/>
      <c r="AP198" s="1189"/>
      <c r="AQ198" s="1189"/>
      <c r="AR198" s="1189"/>
      <c r="AS198" s="1189"/>
      <c r="AT198" s="1189"/>
      <c r="AU198" s="1189"/>
      <c r="AV198" s="1189"/>
      <c r="AW198" s="1189"/>
      <c r="AX198" s="1189"/>
    </row>
    <row r="199" spans="1:50" ht="12" customHeight="1">
      <c r="A199" s="1123"/>
      <c r="B199" s="161"/>
      <c r="C199" s="1123"/>
      <c r="D199" s="1123"/>
      <c r="E199" s="1123"/>
      <c r="F199" s="1123"/>
      <c r="G199" s="1123"/>
      <c r="H199" s="1123"/>
      <c r="I199" s="1123"/>
      <c r="J199" s="1125"/>
      <c r="K199" s="156"/>
      <c r="L199" s="1123"/>
      <c r="M199" s="1205"/>
      <c r="N199" s="1123"/>
      <c r="O199" s="1123"/>
      <c r="P199" s="1123"/>
      <c r="Q199" s="1123"/>
      <c r="R199" s="1189"/>
      <c r="S199" s="1189"/>
      <c r="T199" s="1208"/>
      <c r="U199" s="1208"/>
      <c r="V199" s="1189"/>
      <c r="W199" s="1189"/>
      <c r="X199" s="1189"/>
      <c r="Y199" s="1189"/>
      <c r="Z199" s="1189"/>
      <c r="AA199" s="1189"/>
      <c r="AB199" s="1189"/>
      <c r="AC199" s="1189"/>
      <c r="AD199" s="1189"/>
      <c r="AE199" s="1189"/>
      <c r="AF199" s="1189"/>
      <c r="AG199" s="1189"/>
      <c r="AH199" s="1189"/>
      <c r="AI199" s="1189"/>
      <c r="AJ199" s="1189"/>
      <c r="AK199" s="1189"/>
      <c r="AL199" s="1189"/>
      <c r="AM199" s="1189"/>
      <c r="AN199" s="1189"/>
      <c r="AO199" s="1189"/>
      <c r="AP199" s="1189"/>
      <c r="AQ199" s="1189"/>
      <c r="AR199" s="1189"/>
      <c r="AS199" s="1189"/>
      <c r="AT199" s="1189"/>
      <c r="AU199" s="1189"/>
      <c r="AV199" s="1189"/>
      <c r="AW199" s="1189"/>
      <c r="AX199" s="1189"/>
    </row>
    <row r="200" spans="1:50" ht="12" customHeight="1">
      <c r="A200" s="1123"/>
      <c r="B200" s="161"/>
      <c r="C200" s="1123"/>
      <c r="D200" s="1123"/>
      <c r="E200" s="1123"/>
      <c r="F200" s="1123"/>
      <c r="G200" s="1123"/>
      <c r="H200" s="1123"/>
      <c r="I200" s="1123"/>
      <c r="J200" s="1125"/>
      <c r="K200" s="156"/>
      <c r="L200" s="1123"/>
      <c r="M200" s="1205"/>
      <c r="N200" s="1123"/>
      <c r="O200" s="1123"/>
      <c r="P200" s="1123"/>
      <c r="Q200" s="1123"/>
      <c r="R200" s="1189"/>
      <c r="S200" s="1189"/>
      <c r="T200" s="1208"/>
      <c r="U200" s="1208"/>
      <c r="V200" s="1189"/>
      <c r="W200" s="1189"/>
      <c r="X200" s="1189"/>
      <c r="Y200" s="1189"/>
      <c r="Z200" s="1189"/>
      <c r="AA200" s="1189"/>
      <c r="AB200" s="1189"/>
      <c r="AC200" s="1189"/>
      <c r="AD200" s="1189"/>
      <c r="AE200" s="1189"/>
      <c r="AF200" s="1189"/>
      <c r="AG200" s="1189"/>
      <c r="AH200" s="1189"/>
      <c r="AI200" s="1189"/>
      <c r="AJ200" s="1189"/>
      <c r="AK200" s="1189"/>
      <c r="AL200" s="1189"/>
      <c r="AM200" s="1189"/>
      <c r="AN200" s="1189"/>
      <c r="AO200" s="1189"/>
      <c r="AP200" s="1189"/>
      <c r="AQ200" s="1189"/>
      <c r="AR200" s="1189"/>
      <c r="AS200" s="1189"/>
      <c r="AT200" s="1189"/>
      <c r="AU200" s="1189"/>
      <c r="AV200" s="1189"/>
      <c r="AW200" s="1189"/>
      <c r="AX200" s="1189"/>
    </row>
    <row r="201" spans="1:50" ht="12" customHeight="1">
      <c r="A201" s="1123"/>
      <c r="B201" s="161"/>
      <c r="C201" s="1123"/>
      <c r="D201" s="1123"/>
      <c r="E201" s="1123"/>
      <c r="F201" s="1123"/>
      <c r="G201" s="1123"/>
      <c r="H201" s="1123"/>
      <c r="I201" s="1123"/>
      <c r="J201" s="1125"/>
      <c r="K201" s="156"/>
      <c r="L201" s="1123"/>
      <c r="M201" s="1205"/>
      <c r="N201" s="1123"/>
      <c r="O201" s="1123"/>
      <c r="P201" s="1123"/>
      <c r="Q201" s="1123"/>
      <c r="R201" s="1189"/>
      <c r="S201" s="1189"/>
      <c r="T201" s="1208"/>
      <c r="U201" s="1208"/>
      <c r="V201" s="1189"/>
      <c r="W201" s="1189"/>
      <c r="X201" s="1189"/>
      <c r="Y201" s="1189"/>
      <c r="Z201" s="1189"/>
      <c r="AA201" s="1189"/>
      <c r="AB201" s="1189"/>
      <c r="AC201" s="1189"/>
      <c r="AD201" s="1189"/>
      <c r="AE201" s="1189"/>
      <c r="AF201" s="1189"/>
      <c r="AG201" s="1189"/>
      <c r="AH201" s="1189"/>
      <c r="AI201" s="1189"/>
      <c r="AJ201" s="1189"/>
      <c r="AK201" s="1189"/>
      <c r="AL201" s="1189"/>
      <c r="AM201" s="1189"/>
      <c r="AN201" s="1189"/>
      <c r="AO201" s="1189"/>
      <c r="AP201" s="1189"/>
      <c r="AQ201" s="1189"/>
      <c r="AR201" s="1189"/>
      <c r="AS201" s="1189"/>
      <c r="AT201" s="1189"/>
      <c r="AU201" s="1189"/>
      <c r="AV201" s="1189"/>
      <c r="AW201" s="1189"/>
      <c r="AX201" s="1189"/>
    </row>
    <row r="202" spans="1:50" ht="12" customHeight="1">
      <c r="A202" s="1123"/>
      <c r="B202" s="161"/>
      <c r="C202" s="1123"/>
      <c r="D202" s="1123"/>
      <c r="E202" s="1123"/>
      <c r="F202" s="1123"/>
      <c r="G202" s="1123"/>
      <c r="H202" s="1123"/>
      <c r="I202" s="1123"/>
      <c r="J202" s="1125"/>
      <c r="K202" s="156"/>
      <c r="L202" s="1123"/>
      <c r="M202" s="1205"/>
      <c r="N202" s="1123"/>
      <c r="O202" s="1123"/>
      <c r="P202" s="1123"/>
      <c r="Q202" s="1123"/>
      <c r="R202" s="1189"/>
      <c r="S202" s="1189"/>
      <c r="T202" s="1208"/>
      <c r="U202" s="1208"/>
      <c r="V202" s="1189"/>
      <c r="W202" s="1189"/>
      <c r="X202" s="1189"/>
      <c r="Y202" s="1189"/>
      <c r="Z202" s="1189"/>
      <c r="AA202" s="1189"/>
      <c r="AB202" s="1189"/>
      <c r="AC202" s="1189"/>
      <c r="AD202" s="1189"/>
      <c r="AE202" s="1189"/>
      <c r="AF202" s="1189"/>
      <c r="AG202" s="1189"/>
      <c r="AH202" s="1189"/>
      <c r="AI202" s="1189"/>
      <c r="AJ202" s="1189"/>
      <c r="AK202" s="1189"/>
      <c r="AL202" s="1189"/>
      <c r="AM202" s="1189"/>
      <c r="AN202" s="1189"/>
      <c r="AO202" s="1189"/>
      <c r="AP202" s="1189"/>
      <c r="AQ202" s="1189"/>
      <c r="AR202" s="1189"/>
      <c r="AS202" s="1189"/>
      <c r="AT202" s="1189"/>
      <c r="AU202" s="1189"/>
      <c r="AV202" s="1189"/>
      <c r="AW202" s="1189"/>
      <c r="AX202" s="1189"/>
    </row>
    <row r="203" spans="1:50" ht="12" customHeight="1">
      <c r="A203" s="1123"/>
      <c r="B203" s="161"/>
      <c r="C203" s="1123"/>
      <c r="D203" s="1123"/>
      <c r="E203" s="1123"/>
      <c r="F203" s="1123"/>
      <c r="G203" s="1123"/>
      <c r="H203" s="1123"/>
      <c r="I203" s="1123"/>
      <c r="J203" s="1125"/>
      <c r="K203" s="156"/>
      <c r="L203" s="1123"/>
      <c r="M203" s="1205"/>
      <c r="N203" s="1123"/>
      <c r="O203" s="1123"/>
      <c r="P203" s="1123"/>
      <c r="Q203" s="1123"/>
      <c r="R203" s="1189"/>
      <c r="S203" s="1189"/>
      <c r="T203" s="1208"/>
      <c r="U203" s="1208"/>
      <c r="V203" s="1189"/>
      <c r="W203" s="1189"/>
      <c r="X203" s="1189"/>
      <c r="Y203" s="1189"/>
      <c r="Z203" s="1189"/>
      <c r="AA203" s="1189"/>
      <c r="AB203" s="1189"/>
      <c r="AC203" s="1189"/>
      <c r="AD203" s="1189"/>
      <c r="AE203" s="1189"/>
      <c r="AF203" s="1189"/>
      <c r="AG203" s="1189"/>
      <c r="AH203" s="1189"/>
      <c r="AI203" s="1189"/>
      <c r="AJ203" s="1189"/>
      <c r="AK203" s="1189"/>
      <c r="AL203" s="1189"/>
      <c r="AM203" s="1189"/>
      <c r="AN203" s="1189"/>
      <c r="AO203" s="1189"/>
      <c r="AP203" s="1189"/>
      <c r="AQ203" s="1189"/>
      <c r="AR203" s="1189"/>
      <c r="AS203" s="1189"/>
      <c r="AT203" s="1189"/>
      <c r="AU203" s="1189"/>
      <c r="AV203" s="1189"/>
      <c r="AW203" s="1189"/>
      <c r="AX203" s="1189"/>
    </row>
    <row r="204" spans="1:50" ht="12" customHeight="1">
      <c r="A204" s="1123"/>
      <c r="B204" s="161"/>
      <c r="C204" s="1123"/>
      <c r="D204" s="1123"/>
      <c r="E204" s="1123"/>
      <c r="F204" s="1123"/>
      <c r="G204" s="1123"/>
      <c r="H204" s="1123"/>
      <c r="I204" s="1123"/>
      <c r="J204" s="1125"/>
      <c r="K204" s="156"/>
      <c r="L204" s="1123"/>
      <c r="M204" s="1205"/>
      <c r="N204" s="1123"/>
      <c r="O204" s="1123"/>
      <c r="P204" s="1123"/>
      <c r="Q204" s="1123"/>
      <c r="R204" s="1189"/>
      <c r="S204" s="1189"/>
      <c r="T204" s="1208"/>
      <c r="U204" s="1208"/>
      <c r="V204" s="1189"/>
      <c r="W204" s="1189"/>
      <c r="X204" s="1189"/>
      <c r="Y204" s="1189"/>
      <c r="Z204" s="1189"/>
      <c r="AA204" s="1189"/>
      <c r="AB204" s="1189"/>
      <c r="AC204" s="1189"/>
      <c r="AD204" s="1189"/>
      <c r="AE204" s="1189"/>
      <c r="AF204" s="1189"/>
      <c r="AG204" s="1189"/>
      <c r="AH204" s="1189"/>
      <c r="AI204" s="1189"/>
      <c r="AJ204" s="1189"/>
      <c r="AK204" s="1189"/>
      <c r="AL204" s="1189"/>
      <c r="AM204" s="1189"/>
      <c r="AN204" s="1189"/>
      <c r="AO204" s="1189"/>
      <c r="AP204" s="1189"/>
      <c r="AQ204" s="1189"/>
      <c r="AR204" s="1189"/>
      <c r="AS204" s="1189"/>
      <c r="AT204" s="1189"/>
      <c r="AU204" s="1189"/>
      <c r="AV204" s="1189"/>
      <c r="AW204" s="1189"/>
      <c r="AX204" s="1189"/>
    </row>
    <row r="205" spans="1:50" ht="12" customHeight="1">
      <c r="A205" s="1123"/>
      <c r="B205" s="161"/>
      <c r="C205" s="1123"/>
      <c r="D205" s="1123"/>
      <c r="E205" s="1123"/>
      <c r="F205" s="1123"/>
      <c r="G205" s="1123"/>
      <c r="H205" s="1123"/>
      <c r="I205" s="1123"/>
      <c r="J205" s="1125"/>
      <c r="K205" s="156"/>
      <c r="L205" s="1123"/>
      <c r="M205" s="1205"/>
      <c r="N205" s="1123"/>
      <c r="O205" s="1123"/>
      <c r="P205" s="1123"/>
      <c r="Q205" s="1123"/>
      <c r="R205" s="1189"/>
      <c r="S205" s="1189"/>
      <c r="T205" s="1208"/>
      <c r="U205" s="1208"/>
      <c r="V205" s="1189"/>
      <c r="W205" s="1189"/>
      <c r="X205" s="1189"/>
      <c r="Y205" s="1189"/>
      <c r="Z205" s="1189"/>
      <c r="AA205" s="1189"/>
      <c r="AB205" s="1189"/>
      <c r="AC205" s="1189"/>
      <c r="AD205" s="1189"/>
      <c r="AE205" s="1189"/>
      <c r="AF205" s="1189"/>
      <c r="AG205" s="1189"/>
      <c r="AH205" s="1189"/>
      <c r="AI205" s="1189"/>
      <c r="AJ205" s="1189"/>
      <c r="AK205" s="1189"/>
      <c r="AL205" s="1189"/>
      <c r="AM205" s="1189"/>
      <c r="AN205" s="1189"/>
      <c r="AO205" s="1189"/>
      <c r="AP205" s="1189"/>
      <c r="AQ205" s="1189"/>
      <c r="AR205" s="1189"/>
      <c r="AS205" s="1189"/>
      <c r="AT205" s="1189"/>
      <c r="AU205" s="1189"/>
      <c r="AV205" s="1189"/>
      <c r="AW205" s="1189"/>
      <c r="AX205" s="1189"/>
    </row>
    <row r="206" spans="1:50" ht="12" customHeight="1">
      <c r="A206" s="1123"/>
      <c r="B206" s="161"/>
      <c r="C206" s="1123"/>
      <c r="D206" s="1123"/>
      <c r="E206" s="1123"/>
      <c r="F206" s="1123"/>
      <c r="G206" s="1123"/>
      <c r="H206" s="1123"/>
      <c r="I206" s="1123"/>
      <c r="J206" s="1125"/>
      <c r="K206" s="156"/>
      <c r="L206" s="1123"/>
      <c r="M206" s="1205"/>
      <c r="N206" s="1123"/>
      <c r="O206" s="1123"/>
      <c r="P206" s="1123"/>
      <c r="Q206" s="1123"/>
      <c r="R206" s="1189"/>
      <c r="S206" s="1189"/>
      <c r="T206" s="1208"/>
      <c r="U206" s="1208"/>
      <c r="V206" s="1189"/>
      <c r="W206" s="1189"/>
      <c r="X206" s="1189"/>
      <c r="Y206" s="1189"/>
      <c r="Z206" s="1189"/>
      <c r="AA206" s="1189"/>
      <c r="AB206" s="1189"/>
      <c r="AC206" s="1189"/>
      <c r="AD206" s="1189"/>
      <c r="AE206" s="1189"/>
      <c r="AF206" s="1189"/>
      <c r="AG206" s="1189"/>
      <c r="AH206" s="1189"/>
      <c r="AI206" s="1189"/>
      <c r="AJ206" s="1189"/>
      <c r="AK206" s="1189"/>
      <c r="AL206" s="1189"/>
      <c r="AM206" s="1189"/>
      <c r="AN206" s="1189"/>
      <c r="AO206" s="1189"/>
      <c r="AP206" s="1189"/>
      <c r="AQ206" s="1189"/>
      <c r="AR206" s="1189"/>
      <c r="AS206" s="1189"/>
      <c r="AT206" s="1189"/>
      <c r="AU206" s="1189"/>
      <c r="AV206" s="1189"/>
      <c r="AW206" s="1189"/>
      <c r="AX206" s="1189"/>
    </row>
    <row r="207" spans="1:50" ht="12" customHeight="1">
      <c r="A207" s="1123"/>
      <c r="B207" s="161"/>
      <c r="C207" s="1123"/>
      <c r="D207" s="1123"/>
      <c r="E207" s="1123"/>
      <c r="F207" s="1123"/>
      <c r="G207" s="1123"/>
      <c r="H207" s="1123"/>
      <c r="I207" s="1123"/>
      <c r="J207" s="1125"/>
      <c r="K207" s="156"/>
      <c r="L207" s="1123"/>
      <c r="M207" s="1205"/>
      <c r="N207" s="1123"/>
      <c r="O207" s="1123"/>
      <c r="P207" s="1123"/>
      <c r="Q207" s="1123"/>
      <c r="R207" s="1189"/>
      <c r="S207" s="1189"/>
      <c r="T207" s="1208"/>
      <c r="U207" s="1208"/>
      <c r="V207" s="1189"/>
      <c r="W207" s="1189"/>
      <c r="X207" s="1189"/>
      <c r="Y207" s="1189"/>
      <c r="Z207" s="1189"/>
      <c r="AA207" s="1189"/>
      <c r="AB207" s="1189"/>
      <c r="AC207" s="1189"/>
      <c r="AD207" s="1189"/>
      <c r="AE207" s="1189"/>
      <c r="AF207" s="1189"/>
      <c r="AG207" s="1189"/>
      <c r="AH207" s="1189"/>
      <c r="AI207" s="1189"/>
      <c r="AJ207" s="1189"/>
      <c r="AK207" s="1189"/>
      <c r="AL207" s="1189"/>
      <c r="AM207" s="1189"/>
      <c r="AN207" s="1189"/>
      <c r="AO207" s="1189"/>
      <c r="AP207" s="1189"/>
      <c r="AQ207" s="1189"/>
      <c r="AR207" s="1189"/>
      <c r="AS207" s="1189"/>
      <c r="AT207" s="1189"/>
      <c r="AU207" s="1189"/>
      <c r="AV207" s="1189"/>
      <c r="AW207" s="1189"/>
      <c r="AX207" s="1189"/>
    </row>
    <row r="208" spans="1:50" ht="12" customHeight="1">
      <c r="A208" s="1123"/>
      <c r="B208" s="161"/>
      <c r="C208" s="1123"/>
      <c r="D208" s="1123"/>
      <c r="E208" s="1123"/>
      <c r="F208" s="1123"/>
      <c r="G208" s="1123"/>
      <c r="H208" s="1123"/>
      <c r="I208" s="1123"/>
      <c r="J208" s="1125"/>
      <c r="K208" s="156"/>
      <c r="L208" s="1123"/>
      <c r="M208" s="1205"/>
      <c r="N208" s="1123"/>
      <c r="O208" s="1123"/>
      <c r="P208" s="1123"/>
      <c r="Q208" s="1123"/>
      <c r="R208" s="1189"/>
      <c r="S208" s="1189"/>
      <c r="T208" s="1208"/>
      <c r="U208" s="1208"/>
      <c r="V208" s="1189"/>
      <c r="W208" s="1189"/>
      <c r="X208" s="1189"/>
      <c r="Y208" s="1189"/>
      <c r="Z208" s="1189"/>
      <c r="AA208" s="1189"/>
      <c r="AB208" s="1189"/>
      <c r="AC208" s="1189"/>
      <c r="AD208" s="1189"/>
      <c r="AE208" s="1189"/>
      <c r="AF208" s="1189"/>
      <c r="AG208" s="1189"/>
      <c r="AH208" s="1189"/>
      <c r="AI208" s="1189"/>
      <c r="AJ208" s="1189"/>
      <c r="AK208" s="1189"/>
      <c r="AL208" s="1189"/>
      <c r="AM208" s="1189"/>
      <c r="AN208" s="1189"/>
      <c r="AO208" s="1189"/>
      <c r="AP208" s="1189"/>
      <c r="AQ208" s="1189"/>
      <c r="AR208" s="1189"/>
      <c r="AS208" s="1189"/>
      <c r="AT208" s="1189"/>
      <c r="AU208" s="1189"/>
      <c r="AV208" s="1189"/>
      <c r="AW208" s="1189"/>
      <c r="AX208" s="1189"/>
    </row>
    <row r="209" spans="1:50" ht="12" customHeight="1">
      <c r="A209" s="1123"/>
      <c r="B209" s="161"/>
      <c r="C209" s="1123"/>
      <c r="D209" s="1123"/>
      <c r="E209" s="1123"/>
      <c r="F209" s="1123"/>
      <c r="G209" s="1123"/>
      <c r="H209" s="1123"/>
      <c r="I209" s="1123"/>
      <c r="J209" s="1125"/>
      <c r="K209" s="156"/>
      <c r="L209" s="1123"/>
      <c r="M209" s="1205"/>
      <c r="N209" s="1123"/>
      <c r="O209" s="1123"/>
      <c r="P209" s="1123"/>
      <c r="Q209" s="1123"/>
      <c r="R209" s="1189"/>
      <c r="S209" s="1189"/>
      <c r="T209" s="1208"/>
      <c r="U209" s="1208"/>
      <c r="V209" s="1189"/>
      <c r="W209" s="1189"/>
      <c r="X209" s="1189"/>
      <c r="Y209" s="1189"/>
      <c r="Z209" s="1189"/>
      <c r="AA209" s="1189"/>
      <c r="AB209" s="1189"/>
      <c r="AC209" s="1189"/>
      <c r="AD209" s="1189"/>
      <c r="AE209" s="1189"/>
      <c r="AF209" s="1189"/>
      <c r="AG209" s="1189"/>
      <c r="AH209" s="1189"/>
      <c r="AI209" s="1189"/>
      <c r="AJ209" s="1189"/>
      <c r="AK209" s="1189"/>
      <c r="AL209" s="1189"/>
      <c r="AM209" s="1189"/>
      <c r="AN209" s="1189"/>
      <c r="AO209" s="1189"/>
      <c r="AP209" s="1189"/>
      <c r="AQ209" s="1189"/>
      <c r="AR209" s="1189"/>
      <c r="AS209" s="1189"/>
      <c r="AT209" s="1189"/>
      <c r="AU209" s="1189"/>
      <c r="AV209" s="1189"/>
      <c r="AW209" s="1189"/>
      <c r="AX209" s="1189"/>
    </row>
    <row r="210" spans="1:50" ht="12" customHeight="1">
      <c r="A210" s="1123"/>
      <c r="B210" s="161"/>
      <c r="C210" s="1123"/>
      <c r="D210" s="1123"/>
      <c r="E210" s="1123"/>
      <c r="F210" s="1123"/>
      <c r="G210" s="1123"/>
      <c r="H210" s="1123"/>
      <c r="I210" s="1123"/>
      <c r="J210" s="1125"/>
      <c r="K210" s="156"/>
      <c r="L210" s="1123"/>
      <c r="M210" s="1205"/>
      <c r="N210" s="1123"/>
      <c r="O210" s="1123"/>
      <c r="P210" s="1123"/>
      <c r="Q210" s="1123"/>
      <c r="R210" s="1189"/>
      <c r="S210" s="1189"/>
      <c r="T210" s="1208"/>
      <c r="U210" s="1208"/>
      <c r="V210" s="1189"/>
      <c r="W210" s="1189"/>
      <c r="X210" s="1189"/>
      <c r="Y210" s="1189"/>
      <c r="Z210" s="1189"/>
      <c r="AA210" s="1189"/>
      <c r="AB210" s="1189"/>
      <c r="AC210" s="1189"/>
      <c r="AD210" s="1189"/>
      <c r="AE210" s="1189"/>
      <c r="AF210" s="1189"/>
      <c r="AG210" s="1189"/>
      <c r="AH210" s="1189"/>
      <c r="AI210" s="1189"/>
      <c r="AJ210" s="1189"/>
      <c r="AK210" s="1189"/>
      <c r="AL210" s="1189"/>
      <c r="AM210" s="1189"/>
      <c r="AN210" s="1189"/>
      <c r="AO210" s="1189"/>
      <c r="AP210" s="1189"/>
      <c r="AQ210" s="1189"/>
      <c r="AR210" s="1189"/>
      <c r="AS210" s="1189"/>
      <c r="AT210" s="1189"/>
      <c r="AU210" s="1189"/>
      <c r="AV210" s="1189"/>
      <c r="AW210" s="1189"/>
      <c r="AX210" s="1189"/>
    </row>
    <row r="211" spans="1:50" ht="12" customHeight="1">
      <c r="A211" s="1123"/>
      <c r="B211" s="161"/>
      <c r="C211" s="1123"/>
      <c r="D211" s="1123"/>
      <c r="E211" s="1123"/>
      <c r="F211" s="1123"/>
      <c r="G211" s="1123"/>
      <c r="H211" s="1123"/>
      <c r="I211" s="1123"/>
      <c r="J211" s="1125"/>
      <c r="K211" s="156"/>
      <c r="L211" s="1123"/>
      <c r="M211" s="1205"/>
      <c r="N211" s="1123"/>
      <c r="O211" s="1123"/>
      <c r="P211" s="1123"/>
      <c r="Q211" s="1123"/>
      <c r="R211" s="1189"/>
      <c r="S211" s="1189"/>
      <c r="T211" s="1208"/>
      <c r="U211" s="1208"/>
      <c r="V211" s="1189"/>
      <c r="W211" s="1189"/>
      <c r="X211" s="1189"/>
      <c r="Y211" s="1189"/>
      <c r="Z211" s="1189"/>
      <c r="AA211" s="1189"/>
      <c r="AB211" s="1189"/>
      <c r="AC211" s="1189"/>
      <c r="AD211" s="1189"/>
      <c r="AE211" s="1189"/>
      <c r="AF211" s="1189"/>
      <c r="AG211" s="1189"/>
      <c r="AH211" s="1189"/>
      <c r="AI211" s="1189"/>
      <c r="AJ211" s="1189"/>
      <c r="AK211" s="1189"/>
      <c r="AL211" s="1189"/>
      <c r="AM211" s="1189"/>
      <c r="AN211" s="1189"/>
      <c r="AO211" s="1189"/>
      <c r="AP211" s="1189"/>
      <c r="AQ211" s="1189"/>
      <c r="AR211" s="1189"/>
      <c r="AS211" s="1189"/>
      <c r="AT211" s="1189"/>
      <c r="AU211" s="1189"/>
      <c r="AV211" s="1189"/>
      <c r="AW211" s="1189"/>
      <c r="AX211" s="1189"/>
    </row>
    <row r="212" spans="1:50" ht="12" customHeight="1">
      <c r="A212" s="1123"/>
      <c r="B212" s="161"/>
      <c r="C212" s="1123"/>
      <c r="D212" s="1123"/>
      <c r="E212" s="1123"/>
      <c r="F212" s="1123"/>
      <c r="G212" s="1123"/>
      <c r="H212" s="1123"/>
      <c r="I212" s="1123"/>
      <c r="J212" s="1125"/>
      <c r="K212" s="156"/>
      <c r="L212" s="1123"/>
      <c r="M212" s="1205"/>
      <c r="N212" s="1123"/>
      <c r="O212" s="1123"/>
      <c r="P212" s="1123"/>
      <c r="Q212" s="1123"/>
      <c r="R212" s="1189"/>
      <c r="S212" s="1189"/>
      <c r="T212" s="1208"/>
      <c r="U212" s="1208"/>
      <c r="V212" s="1189"/>
      <c r="W212" s="1189"/>
      <c r="X212" s="1189"/>
      <c r="Y212" s="1189"/>
      <c r="Z212" s="1189"/>
      <c r="AA212" s="1189"/>
      <c r="AB212" s="1189"/>
      <c r="AC212" s="1189"/>
      <c r="AD212" s="1189"/>
      <c r="AE212" s="1189"/>
      <c r="AF212" s="1189"/>
      <c r="AG212" s="1189"/>
      <c r="AH212" s="1189"/>
      <c r="AI212" s="1189"/>
      <c r="AJ212" s="1189"/>
      <c r="AK212" s="1189"/>
      <c r="AL212" s="1189"/>
      <c r="AM212" s="1189"/>
      <c r="AN212" s="1189"/>
      <c r="AO212" s="1189"/>
      <c r="AP212" s="1189"/>
      <c r="AQ212" s="1189"/>
      <c r="AR212" s="1189"/>
      <c r="AS212" s="1189"/>
      <c r="AT212" s="1189"/>
      <c r="AU212" s="1189"/>
      <c r="AV212" s="1189"/>
      <c r="AW212" s="1189"/>
      <c r="AX212" s="1189"/>
    </row>
    <row r="213" spans="1:50" ht="12" customHeight="1">
      <c r="A213" s="1123"/>
      <c r="B213" s="161"/>
      <c r="C213" s="1123"/>
      <c r="D213" s="1123"/>
      <c r="E213" s="1123"/>
      <c r="F213" s="1123"/>
      <c r="G213" s="1123"/>
      <c r="H213" s="1123"/>
      <c r="I213" s="1123"/>
      <c r="J213" s="1125"/>
      <c r="K213" s="156"/>
      <c r="L213" s="1123"/>
      <c r="M213" s="1205"/>
      <c r="N213" s="1123"/>
      <c r="O213" s="1123"/>
      <c r="P213" s="1123"/>
      <c r="Q213" s="1123"/>
      <c r="R213" s="1189"/>
      <c r="S213" s="1189"/>
      <c r="T213" s="1208"/>
      <c r="U213" s="1208"/>
      <c r="V213" s="1189"/>
      <c r="W213" s="1189"/>
      <c r="X213" s="1189"/>
      <c r="Y213" s="1189"/>
      <c r="Z213" s="1189"/>
      <c r="AA213" s="1189"/>
      <c r="AB213" s="1189"/>
      <c r="AC213" s="1189"/>
      <c r="AD213" s="1189"/>
      <c r="AE213" s="1189"/>
      <c r="AF213" s="1189"/>
      <c r="AG213" s="1189"/>
      <c r="AH213" s="1189"/>
      <c r="AI213" s="1189"/>
      <c r="AJ213" s="1189"/>
      <c r="AK213" s="1189"/>
      <c r="AL213" s="1189"/>
      <c r="AM213" s="1189"/>
      <c r="AN213" s="1189"/>
      <c r="AO213" s="1189"/>
      <c r="AP213" s="1189"/>
      <c r="AQ213" s="1189"/>
      <c r="AR213" s="1189"/>
      <c r="AS213" s="1189"/>
      <c r="AT213" s="1189"/>
      <c r="AU213" s="1189"/>
      <c r="AV213" s="1189"/>
      <c r="AW213" s="1189"/>
      <c r="AX213" s="1189"/>
    </row>
    <row r="214" spans="1:50" ht="12" customHeight="1">
      <c r="A214" s="1123"/>
      <c r="B214" s="161"/>
      <c r="C214" s="1123"/>
      <c r="D214" s="1123"/>
      <c r="E214" s="1123"/>
      <c r="F214" s="1123"/>
      <c r="G214" s="1123"/>
      <c r="H214" s="1123"/>
      <c r="I214" s="1123"/>
      <c r="J214" s="1125"/>
      <c r="K214" s="156"/>
      <c r="L214" s="1123"/>
      <c r="M214" s="1205"/>
      <c r="N214" s="1123"/>
      <c r="O214" s="1123"/>
      <c r="P214" s="1123"/>
      <c r="Q214" s="1123"/>
      <c r="R214" s="1189"/>
      <c r="S214" s="1189"/>
      <c r="T214" s="1208"/>
      <c r="U214" s="1208"/>
      <c r="V214" s="1189"/>
      <c r="W214" s="1189"/>
      <c r="X214" s="1189"/>
      <c r="Y214" s="1189"/>
      <c r="Z214" s="1189"/>
      <c r="AA214" s="1189"/>
      <c r="AB214" s="1189"/>
      <c r="AC214" s="1189"/>
      <c r="AD214" s="1189"/>
      <c r="AE214" s="1189"/>
      <c r="AF214" s="1189"/>
      <c r="AG214" s="1189"/>
      <c r="AH214" s="1189"/>
      <c r="AI214" s="1189"/>
      <c r="AJ214" s="1189"/>
      <c r="AK214" s="1189"/>
      <c r="AL214" s="1189"/>
      <c r="AM214" s="1189"/>
      <c r="AN214" s="1189"/>
      <c r="AO214" s="1189"/>
      <c r="AP214" s="1189"/>
      <c r="AQ214" s="1189"/>
      <c r="AR214" s="1189"/>
      <c r="AS214" s="1189"/>
      <c r="AT214" s="1189"/>
      <c r="AU214" s="1189"/>
      <c r="AV214" s="1189"/>
      <c r="AW214" s="1189"/>
      <c r="AX214" s="1189"/>
    </row>
    <row r="215" spans="1:50" ht="12" customHeight="1">
      <c r="A215" s="1123"/>
      <c r="B215" s="161"/>
      <c r="C215" s="1123"/>
      <c r="D215" s="1123"/>
      <c r="E215" s="1123"/>
      <c r="F215" s="1123"/>
      <c r="G215" s="1123"/>
      <c r="H215" s="1123"/>
      <c r="I215" s="1123"/>
      <c r="J215" s="1125"/>
      <c r="K215" s="156"/>
      <c r="L215" s="1123"/>
      <c r="M215" s="1205"/>
      <c r="N215" s="1123"/>
      <c r="O215" s="1123"/>
      <c r="P215" s="1123"/>
      <c r="Q215" s="1123"/>
      <c r="R215" s="1189"/>
      <c r="S215" s="1189"/>
      <c r="T215" s="1208"/>
      <c r="U215" s="1208"/>
      <c r="V215" s="1189"/>
      <c r="W215" s="1189"/>
      <c r="X215" s="1189"/>
      <c r="Y215" s="1189"/>
      <c r="Z215" s="1189"/>
      <c r="AA215" s="1189"/>
      <c r="AB215" s="1189"/>
      <c r="AC215" s="1189"/>
      <c r="AD215" s="1189"/>
      <c r="AE215" s="1189"/>
      <c r="AF215" s="1189"/>
      <c r="AG215" s="1189"/>
      <c r="AH215" s="1189"/>
      <c r="AI215" s="1189"/>
      <c r="AJ215" s="1189"/>
      <c r="AK215" s="1189"/>
      <c r="AL215" s="1189"/>
      <c r="AM215" s="1189"/>
      <c r="AN215" s="1189"/>
      <c r="AO215" s="1189"/>
      <c r="AP215" s="1189"/>
      <c r="AQ215" s="1189"/>
      <c r="AR215" s="1189"/>
      <c r="AS215" s="1189"/>
      <c r="AT215" s="1189"/>
      <c r="AU215" s="1189"/>
      <c r="AV215" s="1189"/>
      <c r="AW215" s="1189"/>
      <c r="AX215" s="1189"/>
    </row>
    <row r="216" spans="1:50" ht="12" customHeight="1">
      <c r="A216" s="1123"/>
      <c r="B216" s="161"/>
      <c r="C216" s="1123"/>
      <c r="D216" s="1123"/>
      <c r="E216" s="1123"/>
      <c r="F216" s="1123"/>
      <c r="G216" s="1123"/>
      <c r="H216" s="1123"/>
      <c r="I216" s="1123"/>
      <c r="J216" s="1125"/>
      <c r="K216" s="156"/>
      <c r="L216" s="1123"/>
      <c r="M216" s="1205"/>
      <c r="N216" s="1123"/>
      <c r="O216" s="1123"/>
      <c r="P216" s="1123"/>
      <c r="Q216" s="1123"/>
      <c r="R216" s="1189"/>
      <c r="S216" s="1189"/>
      <c r="T216" s="1208"/>
      <c r="U216" s="1208"/>
      <c r="V216" s="1189"/>
      <c r="W216" s="1189"/>
      <c r="X216" s="1189"/>
      <c r="Y216" s="1189"/>
      <c r="Z216" s="1189"/>
      <c r="AA216" s="1189"/>
      <c r="AB216" s="1189"/>
      <c r="AC216" s="1189"/>
      <c r="AD216" s="1189"/>
      <c r="AE216" s="1189"/>
      <c r="AF216" s="1189"/>
      <c r="AG216" s="1189"/>
      <c r="AH216" s="1189"/>
      <c r="AI216" s="1189"/>
      <c r="AJ216" s="1189"/>
      <c r="AK216" s="1189"/>
      <c r="AL216" s="1189"/>
      <c r="AM216" s="1189"/>
      <c r="AN216" s="1189"/>
      <c r="AO216" s="1189"/>
      <c r="AP216" s="1189"/>
      <c r="AQ216" s="1189"/>
      <c r="AR216" s="1189"/>
      <c r="AS216" s="1189"/>
      <c r="AT216" s="1189"/>
      <c r="AU216" s="1189"/>
      <c r="AV216" s="1189"/>
      <c r="AW216" s="1189"/>
      <c r="AX216" s="1189"/>
    </row>
    <row r="217" spans="1:50" ht="12" customHeight="1">
      <c r="A217" s="1123"/>
      <c r="B217" s="161"/>
      <c r="C217" s="1123"/>
      <c r="D217" s="1123"/>
      <c r="E217" s="1123"/>
      <c r="F217" s="1123"/>
      <c r="G217" s="1123"/>
      <c r="H217" s="1123"/>
      <c r="I217" s="1123"/>
      <c r="J217" s="1125"/>
      <c r="K217" s="156"/>
      <c r="L217" s="1123"/>
      <c r="M217" s="1205"/>
      <c r="N217" s="1123"/>
      <c r="O217" s="1123"/>
      <c r="P217" s="1123"/>
      <c r="Q217" s="1123"/>
      <c r="R217" s="1189"/>
      <c r="S217" s="1189"/>
      <c r="T217" s="1208"/>
      <c r="U217" s="1208"/>
      <c r="V217" s="1189"/>
      <c r="W217" s="1189"/>
      <c r="X217" s="1189"/>
      <c r="Y217" s="1189"/>
      <c r="Z217" s="1189"/>
      <c r="AA217" s="1189"/>
      <c r="AB217" s="1189"/>
      <c r="AC217" s="1189"/>
      <c r="AD217" s="1189"/>
      <c r="AE217" s="1189"/>
      <c r="AF217" s="1189"/>
      <c r="AG217" s="1189"/>
      <c r="AH217" s="1189"/>
      <c r="AI217" s="1189"/>
      <c r="AJ217" s="1189"/>
      <c r="AK217" s="1189"/>
      <c r="AL217" s="1189"/>
      <c r="AM217" s="1189"/>
      <c r="AN217" s="1189"/>
      <c r="AO217" s="1189"/>
      <c r="AP217" s="1189"/>
      <c r="AQ217" s="1189"/>
      <c r="AR217" s="1189"/>
      <c r="AS217" s="1189"/>
      <c r="AT217" s="1189"/>
      <c r="AU217" s="1189"/>
      <c r="AV217" s="1189"/>
      <c r="AW217" s="1189"/>
      <c r="AX217" s="1189"/>
    </row>
    <row r="218" spans="1:50" ht="12" customHeight="1">
      <c r="A218" s="1123"/>
      <c r="B218" s="161"/>
      <c r="C218" s="1123"/>
      <c r="D218" s="1123"/>
      <c r="E218" s="1123"/>
      <c r="F218" s="1123"/>
      <c r="G218" s="1123"/>
      <c r="H218" s="1123"/>
      <c r="I218" s="1123"/>
      <c r="J218" s="1125"/>
      <c r="K218" s="156"/>
      <c r="L218" s="1123"/>
      <c r="M218" s="1205"/>
      <c r="N218" s="1123"/>
      <c r="O218" s="1123"/>
      <c r="P218" s="1123"/>
      <c r="Q218" s="1123"/>
      <c r="R218" s="1189"/>
      <c r="S218" s="1189"/>
      <c r="T218" s="1208"/>
      <c r="U218" s="1208"/>
      <c r="V218" s="1189"/>
      <c r="W218" s="1189"/>
      <c r="X218" s="1189"/>
      <c r="Y218" s="1189"/>
      <c r="Z218" s="1189"/>
      <c r="AA218" s="1189"/>
      <c r="AB218" s="1189"/>
      <c r="AC218" s="1189"/>
      <c r="AD218" s="1189"/>
      <c r="AE218" s="1189"/>
      <c r="AF218" s="1189"/>
      <c r="AG218" s="1189"/>
      <c r="AH218" s="1189"/>
      <c r="AI218" s="1189"/>
      <c r="AJ218" s="1189"/>
      <c r="AK218" s="1189"/>
      <c r="AL218" s="1189"/>
      <c r="AM218" s="1189"/>
      <c r="AN218" s="1189"/>
      <c r="AO218" s="1189"/>
      <c r="AP218" s="1189"/>
      <c r="AQ218" s="1189"/>
      <c r="AR218" s="1189"/>
      <c r="AS218" s="1189"/>
      <c r="AT218" s="1189"/>
      <c r="AU218" s="1189"/>
      <c r="AV218" s="1189"/>
      <c r="AW218" s="1189"/>
      <c r="AX218" s="1189"/>
    </row>
    <row r="219" spans="1:50" ht="13.5" customHeight="1">
      <c r="A219" s="1123"/>
      <c r="B219" s="161"/>
      <c r="C219" s="1123"/>
      <c r="D219" s="1123"/>
      <c r="E219" s="1123"/>
      <c r="F219" s="1123"/>
      <c r="G219" s="1123"/>
      <c r="H219" s="1123"/>
      <c r="I219" s="1123"/>
      <c r="J219" s="1125"/>
      <c r="K219" s="156"/>
      <c r="L219" s="1123"/>
      <c r="M219" s="1205"/>
      <c r="N219" s="1123"/>
      <c r="O219" s="1123"/>
      <c r="P219" s="1123"/>
      <c r="Q219" s="1123"/>
      <c r="R219" s="1189"/>
      <c r="S219" s="1189"/>
      <c r="T219" s="1208"/>
      <c r="U219" s="1208"/>
      <c r="V219" s="1189"/>
      <c r="W219" s="1189"/>
      <c r="X219" s="1189"/>
      <c r="Y219" s="1189"/>
      <c r="Z219" s="1189"/>
      <c r="AA219" s="1189"/>
      <c r="AB219" s="1189"/>
      <c r="AC219" s="1189"/>
      <c r="AD219" s="1189"/>
      <c r="AE219" s="1189"/>
      <c r="AF219" s="1189"/>
      <c r="AG219" s="1189"/>
      <c r="AH219" s="1189"/>
      <c r="AI219" s="1189"/>
      <c r="AJ219" s="1189"/>
      <c r="AK219" s="1189"/>
      <c r="AL219" s="1189"/>
      <c r="AM219" s="1189"/>
      <c r="AN219" s="1189"/>
      <c r="AO219" s="1189"/>
      <c r="AP219" s="1189"/>
      <c r="AQ219" s="1189"/>
      <c r="AR219" s="1189"/>
      <c r="AS219" s="1189"/>
      <c r="AT219" s="1189"/>
      <c r="AU219" s="1189"/>
      <c r="AV219" s="1189"/>
      <c r="AW219" s="1189"/>
      <c r="AX219" s="1189"/>
    </row>
    <row r="220" spans="1:50" ht="12" customHeight="1">
      <c r="A220" s="1123"/>
      <c r="B220" s="161"/>
      <c r="C220" s="1123"/>
      <c r="D220" s="1123"/>
      <c r="E220" s="1123"/>
      <c r="F220" s="1123"/>
      <c r="G220" s="1123"/>
      <c r="H220" s="1123"/>
      <c r="I220" s="1123"/>
      <c r="J220" s="1125"/>
      <c r="K220" s="156"/>
      <c r="L220" s="1123"/>
      <c r="M220" s="1205"/>
      <c r="N220" s="1123"/>
      <c r="O220" s="1123"/>
      <c r="P220" s="1123"/>
      <c r="Q220" s="1123"/>
      <c r="R220" s="1189"/>
      <c r="S220" s="1189"/>
      <c r="T220" s="1208"/>
      <c r="U220" s="1208"/>
      <c r="V220" s="1189"/>
      <c r="W220" s="1189"/>
      <c r="X220" s="1189"/>
      <c r="Y220" s="1189"/>
      <c r="Z220" s="1189"/>
      <c r="AA220" s="1189"/>
      <c r="AB220" s="1189"/>
      <c r="AC220" s="1189"/>
      <c r="AD220" s="1189"/>
      <c r="AE220" s="1189"/>
      <c r="AF220" s="1189"/>
      <c r="AG220" s="1189"/>
      <c r="AH220" s="1189"/>
      <c r="AI220" s="1189"/>
      <c r="AJ220" s="1189"/>
      <c r="AK220" s="1189"/>
      <c r="AL220" s="1189"/>
      <c r="AM220" s="1189"/>
      <c r="AN220" s="1189"/>
      <c r="AO220" s="1189"/>
      <c r="AP220" s="1189"/>
      <c r="AQ220" s="1189"/>
      <c r="AR220" s="1189"/>
      <c r="AS220" s="1189"/>
      <c r="AT220" s="1189"/>
      <c r="AU220" s="1189"/>
      <c r="AV220" s="1189"/>
      <c r="AW220" s="1189"/>
      <c r="AX220" s="1189"/>
    </row>
    <row r="221" spans="1:50" ht="12" customHeight="1">
      <c r="A221" s="1123"/>
      <c r="B221" s="161"/>
      <c r="C221" s="1123"/>
      <c r="D221" s="1123"/>
      <c r="E221" s="1123"/>
      <c r="F221" s="1123"/>
      <c r="G221" s="1123"/>
      <c r="H221" s="1123"/>
      <c r="I221" s="1123"/>
      <c r="J221" s="1125"/>
      <c r="K221" s="156"/>
      <c r="L221" s="1123"/>
      <c r="M221" s="1205"/>
      <c r="N221" s="1123"/>
      <c r="O221" s="1123"/>
      <c r="P221" s="1123"/>
      <c r="Q221" s="1123"/>
      <c r="R221" s="1189"/>
      <c r="S221" s="1189"/>
      <c r="T221" s="1208"/>
      <c r="U221" s="1208"/>
      <c r="V221" s="1189"/>
      <c r="W221" s="1189"/>
      <c r="X221" s="1189"/>
      <c r="Y221" s="1189"/>
      <c r="Z221" s="1189"/>
      <c r="AA221" s="1189"/>
      <c r="AB221" s="1189"/>
      <c r="AC221" s="1189"/>
      <c r="AD221" s="1189"/>
      <c r="AE221" s="1189"/>
      <c r="AF221" s="1189"/>
      <c r="AG221" s="1189"/>
      <c r="AH221" s="1189"/>
      <c r="AI221" s="1189"/>
      <c r="AJ221" s="1189"/>
      <c r="AK221" s="1189"/>
      <c r="AL221" s="1189"/>
      <c r="AM221" s="1189"/>
      <c r="AN221" s="1189"/>
      <c r="AO221" s="1189"/>
      <c r="AP221" s="1189"/>
      <c r="AQ221" s="1189"/>
      <c r="AR221" s="1189"/>
      <c r="AS221" s="1189"/>
      <c r="AT221" s="1189"/>
      <c r="AU221" s="1189"/>
      <c r="AV221" s="1189"/>
      <c r="AW221" s="1189"/>
      <c r="AX221" s="1189"/>
    </row>
    <row r="222" spans="1:50" ht="12" customHeight="1">
      <c r="A222" s="1123"/>
      <c r="B222" s="161"/>
      <c r="C222" s="1123"/>
      <c r="D222" s="1123"/>
      <c r="E222" s="1123"/>
      <c r="F222" s="1123"/>
      <c r="G222" s="1123"/>
      <c r="H222" s="1123"/>
      <c r="I222" s="1123"/>
      <c r="J222" s="1125"/>
      <c r="K222" s="156"/>
      <c r="L222" s="1123"/>
      <c r="M222" s="1205"/>
      <c r="N222" s="1123"/>
      <c r="O222" s="1123"/>
      <c r="P222" s="1123"/>
      <c r="Q222" s="1123"/>
      <c r="R222" s="1189"/>
      <c r="S222" s="1189"/>
      <c r="T222" s="1208"/>
      <c r="U222" s="1208"/>
      <c r="V222" s="1189"/>
      <c r="W222" s="1189"/>
      <c r="X222" s="1189"/>
      <c r="Y222" s="1189"/>
      <c r="Z222" s="1189"/>
      <c r="AA222" s="1189"/>
      <c r="AB222" s="1189"/>
      <c r="AC222" s="1189"/>
      <c r="AD222" s="1189"/>
      <c r="AE222" s="1189"/>
      <c r="AF222" s="1189"/>
      <c r="AG222" s="1189"/>
      <c r="AH222" s="1189"/>
      <c r="AI222" s="1189"/>
      <c r="AJ222" s="1189"/>
      <c r="AK222" s="1189"/>
      <c r="AL222" s="1189"/>
      <c r="AM222" s="1189"/>
      <c r="AN222" s="1189"/>
      <c r="AO222" s="1189"/>
      <c r="AP222" s="1189"/>
      <c r="AQ222" s="1189"/>
      <c r="AR222" s="1189"/>
      <c r="AS222" s="1189"/>
      <c r="AT222" s="1189"/>
      <c r="AU222" s="1189"/>
      <c r="AV222" s="1189"/>
      <c r="AW222" s="1189"/>
      <c r="AX222" s="1189"/>
    </row>
    <row r="223" spans="1:50" ht="12" customHeight="1">
      <c r="A223" s="1123"/>
      <c r="B223" s="161"/>
      <c r="C223" s="1123"/>
      <c r="D223" s="1123"/>
      <c r="E223" s="1123"/>
      <c r="F223" s="1123"/>
      <c r="G223" s="1123"/>
      <c r="H223" s="1123"/>
      <c r="I223" s="1123"/>
      <c r="J223" s="1125"/>
      <c r="K223" s="156"/>
      <c r="L223" s="1123"/>
      <c r="M223" s="1205"/>
      <c r="N223" s="1123"/>
      <c r="O223" s="1123"/>
      <c r="P223" s="1123"/>
      <c r="Q223" s="1123"/>
      <c r="R223" s="1189"/>
      <c r="S223" s="1189"/>
      <c r="T223" s="1208"/>
      <c r="U223" s="1208"/>
      <c r="V223" s="1189"/>
      <c r="W223" s="1189"/>
      <c r="X223" s="1189"/>
      <c r="Y223" s="1189"/>
      <c r="Z223" s="1189"/>
      <c r="AA223" s="1189"/>
      <c r="AB223" s="1189"/>
      <c r="AC223" s="1189"/>
      <c r="AD223" s="1189"/>
      <c r="AE223" s="1189"/>
      <c r="AF223" s="1189"/>
      <c r="AG223" s="1189"/>
      <c r="AH223" s="1189"/>
      <c r="AI223" s="1189"/>
      <c r="AJ223" s="1189"/>
      <c r="AK223" s="1189"/>
      <c r="AL223" s="1189"/>
      <c r="AM223" s="1189"/>
      <c r="AN223" s="1189"/>
      <c r="AO223" s="1189"/>
      <c r="AP223" s="1189"/>
      <c r="AQ223" s="1189"/>
      <c r="AR223" s="1189"/>
      <c r="AS223" s="1189"/>
      <c r="AT223" s="1189"/>
      <c r="AU223" s="1189"/>
      <c r="AV223" s="1189"/>
      <c r="AW223" s="1189"/>
      <c r="AX223" s="1189"/>
    </row>
    <row r="224" spans="1:50" ht="12" customHeight="1">
      <c r="A224" s="1123"/>
      <c r="B224" s="161"/>
      <c r="C224" s="1123"/>
      <c r="D224" s="1123"/>
      <c r="E224" s="1123"/>
      <c r="F224" s="1123"/>
      <c r="G224" s="1123"/>
      <c r="H224" s="1123"/>
      <c r="I224" s="1123"/>
      <c r="J224" s="1125"/>
      <c r="K224" s="156"/>
      <c r="L224" s="1123"/>
      <c r="M224" s="1205"/>
      <c r="N224" s="1123"/>
      <c r="O224" s="1123"/>
      <c r="P224" s="1123"/>
      <c r="Q224" s="1123"/>
      <c r="R224" s="1189"/>
      <c r="S224" s="1189"/>
      <c r="T224" s="1208"/>
      <c r="U224" s="1208"/>
      <c r="V224" s="1189"/>
      <c r="W224" s="1189"/>
      <c r="X224" s="1189"/>
      <c r="Y224" s="1189"/>
      <c r="Z224" s="1189"/>
      <c r="AA224" s="1189"/>
      <c r="AB224" s="1189"/>
      <c r="AC224" s="1189"/>
      <c r="AD224" s="1189"/>
      <c r="AE224" s="1189"/>
      <c r="AF224" s="1189"/>
      <c r="AG224" s="1189"/>
      <c r="AH224" s="1189"/>
      <c r="AI224" s="1189"/>
      <c r="AJ224" s="1189"/>
      <c r="AK224" s="1189"/>
      <c r="AL224" s="1189"/>
      <c r="AM224" s="1189"/>
      <c r="AN224" s="1189"/>
      <c r="AO224" s="1189"/>
      <c r="AP224" s="1189"/>
      <c r="AQ224" s="1189"/>
      <c r="AR224" s="1189"/>
      <c r="AS224" s="1189"/>
      <c r="AT224" s="1189"/>
      <c r="AU224" s="1189"/>
      <c r="AV224" s="1189"/>
      <c r="AW224" s="1189"/>
      <c r="AX224" s="1189"/>
    </row>
    <row r="225" spans="1:50" ht="12" customHeight="1">
      <c r="A225" s="1123"/>
      <c r="B225" s="161"/>
      <c r="C225" s="1123"/>
      <c r="D225" s="1123"/>
      <c r="E225" s="1123"/>
      <c r="F225" s="1123"/>
      <c r="G225" s="1123"/>
      <c r="H225" s="1123"/>
      <c r="I225" s="1123"/>
      <c r="J225" s="1125"/>
      <c r="K225" s="156"/>
      <c r="L225" s="1123"/>
      <c r="M225" s="1205"/>
      <c r="N225" s="1123"/>
      <c r="O225" s="1123"/>
      <c r="P225" s="1123"/>
      <c r="Q225" s="1123"/>
      <c r="R225" s="1189"/>
      <c r="S225" s="1189"/>
      <c r="T225" s="1208"/>
      <c r="U225" s="1208"/>
      <c r="V225" s="1189"/>
      <c r="W225" s="1189"/>
      <c r="X225" s="1189"/>
      <c r="Y225" s="1189"/>
      <c r="Z225" s="1189"/>
      <c r="AA225" s="1189"/>
      <c r="AB225" s="1189"/>
      <c r="AC225" s="1189"/>
      <c r="AD225" s="1189"/>
      <c r="AE225" s="1189"/>
      <c r="AF225" s="1189"/>
      <c r="AG225" s="1189"/>
      <c r="AH225" s="1189"/>
      <c r="AI225" s="1189"/>
      <c r="AJ225" s="1189"/>
      <c r="AK225" s="1189"/>
      <c r="AL225" s="1189"/>
      <c r="AM225" s="1189"/>
      <c r="AN225" s="1189"/>
      <c r="AO225" s="1189"/>
      <c r="AP225" s="1189"/>
      <c r="AQ225" s="1189"/>
      <c r="AR225" s="1189"/>
      <c r="AS225" s="1189"/>
      <c r="AT225" s="1189"/>
      <c r="AU225" s="1189"/>
      <c r="AV225" s="1189"/>
      <c r="AW225" s="1189"/>
      <c r="AX225" s="1189"/>
    </row>
    <row r="226" spans="1:50" ht="12" customHeight="1">
      <c r="A226" s="1123"/>
      <c r="B226" s="161"/>
      <c r="C226" s="1123"/>
      <c r="D226" s="1123"/>
      <c r="E226" s="1123"/>
      <c r="F226" s="1123"/>
      <c r="G226" s="1123"/>
      <c r="H226" s="1123"/>
      <c r="I226" s="1123"/>
      <c r="J226" s="1125"/>
      <c r="K226" s="156"/>
      <c r="L226" s="1123"/>
      <c r="M226" s="1205"/>
      <c r="N226" s="1123"/>
      <c r="O226" s="1123"/>
      <c r="P226" s="1123"/>
      <c r="Q226" s="1123"/>
      <c r="R226" s="1189"/>
      <c r="S226" s="1189"/>
      <c r="T226" s="1208"/>
      <c r="U226" s="1208"/>
      <c r="V226" s="1189"/>
      <c r="W226" s="1189"/>
      <c r="X226" s="1189"/>
      <c r="Y226" s="1189"/>
      <c r="Z226" s="1189"/>
      <c r="AA226" s="1189"/>
      <c r="AB226" s="1189"/>
      <c r="AC226" s="1189"/>
      <c r="AD226" s="1189"/>
      <c r="AE226" s="1189"/>
      <c r="AF226" s="1189"/>
      <c r="AG226" s="1189"/>
      <c r="AH226" s="1189"/>
      <c r="AI226" s="1189"/>
      <c r="AJ226" s="1189"/>
      <c r="AK226" s="1189"/>
      <c r="AL226" s="1189"/>
      <c r="AM226" s="1189"/>
      <c r="AN226" s="1189"/>
      <c r="AO226" s="1189"/>
      <c r="AP226" s="1189"/>
      <c r="AQ226" s="1189"/>
      <c r="AR226" s="1189"/>
      <c r="AS226" s="1189"/>
      <c r="AT226" s="1189"/>
      <c r="AU226" s="1189"/>
      <c r="AV226" s="1189"/>
      <c r="AW226" s="1189"/>
      <c r="AX226" s="1189"/>
    </row>
    <row r="227" spans="1:50" ht="12" customHeight="1">
      <c r="A227" s="1123"/>
      <c r="B227" s="161"/>
      <c r="C227" s="1123"/>
      <c r="D227" s="1123"/>
      <c r="E227" s="1123"/>
      <c r="F227" s="1123"/>
      <c r="G227" s="1123"/>
      <c r="H227" s="1123"/>
      <c r="I227" s="1123"/>
      <c r="J227" s="1125"/>
      <c r="K227" s="156"/>
      <c r="L227" s="1123"/>
      <c r="M227" s="1205"/>
      <c r="N227" s="1123"/>
      <c r="O227" s="1123"/>
      <c r="P227" s="1123"/>
      <c r="Q227" s="1123"/>
      <c r="R227" s="1189"/>
      <c r="S227" s="1189"/>
      <c r="T227" s="1208"/>
      <c r="U227" s="1208"/>
      <c r="V227" s="1189"/>
      <c r="W227" s="1189"/>
      <c r="X227" s="1189"/>
      <c r="Y227" s="1189"/>
      <c r="Z227" s="1189"/>
      <c r="AA227" s="1189"/>
      <c r="AB227" s="1189"/>
      <c r="AC227" s="1189"/>
      <c r="AD227" s="1189"/>
      <c r="AE227" s="1189"/>
      <c r="AF227" s="1189"/>
      <c r="AG227" s="1189"/>
      <c r="AH227" s="1189"/>
      <c r="AI227" s="1189"/>
      <c r="AJ227" s="1189"/>
      <c r="AK227" s="1189"/>
      <c r="AL227" s="1189"/>
      <c r="AM227" s="1189"/>
      <c r="AN227" s="1189"/>
      <c r="AO227" s="1189"/>
      <c r="AP227" s="1189"/>
      <c r="AQ227" s="1189"/>
      <c r="AR227" s="1189"/>
      <c r="AS227" s="1189"/>
      <c r="AT227" s="1189"/>
      <c r="AU227" s="1189"/>
      <c r="AV227" s="1189"/>
      <c r="AW227" s="1189"/>
      <c r="AX227" s="1189"/>
    </row>
    <row r="228" spans="1:50" ht="12" customHeight="1">
      <c r="A228" s="1123"/>
      <c r="B228" s="161"/>
      <c r="C228" s="1123"/>
      <c r="D228" s="1123"/>
      <c r="E228" s="1123"/>
      <c r="F228" s="1123"/>
      <c r="G228" s="1123"/>
      <c r="H228" s="1123"/>
      <c r="I228" s="1123"/>
      <c r="J228" s="1125"/>
      <c r="K228" s="156"/>
      <c r="L228" s="1123"/>
      <c r="M228" s="1205"/>
      <c r="N228" s="1123"/>
      <c r="O228" s="1123"/>
      <c r="P228" s="1123"/>
      <c r="Q228" s="1123"/>
      <c r="R228" s="1189"/>
      <c r="S228" s="1189"/>
      <c r="T228" s="1208"/>
      <c r="U228" s="1208"/>
      <c r="V228" s="1189"/>
      <c r="W228" s="1189"/>
      <c r="X228" s="1189"/>
      <c r="Y228" s="1189"/>
      <c r="Z228" s="1189"/>
      <c r="AA228" s="1189"/>
      <c r="AB228" s="1189"/>
      <c r="AC228" s="1189"/>
      <c r="AD228" s="1189"/>
      <c r="AE228" s="1189"/>
      <c r="AF228" s="1189"/>
      <c r="AG228" s="1189"/>
      <c r="AH228" s="1189"/>
      <c r="AI228" s="1189"/>
      <c r="AJ228" s="1189"/>
      <c r="AK228" s="1189"/>
      <c r="AL228" s="1189"/>
      <c r="AM228" s="1189"/>
      <c r="AN228" s="1189"/>
      <c r="AO228" s="1189"/>
      <c r="AP228" s="1189"/>
      <c r="AQ228" s="1189"/>
      <c r="AR228" s="1189"/>
      <c r="AS228" s="1189"/>
      <c r="AT228" s="1189"/>
      <c r="AU228" s="1189"/>
      <c r="AV228" s="1189"/>
      <c r="AW228" s="1189"/>
      <c r="AX228" s="1189"/>
    </row>
    <row r="229" spans="1:50" ht="12" customHeight="1">
      <c r="A229" s="1123"/>
      <c r="B229" s="161"/>
      <c r="C229" s="1123"/>
      <c r="D229" s="1123"/>
      <c r="E229" s="1123"/>
      <c r="F229" s="1123"/>
      <c r="G229" s="1123"/>
      <c r="H229" s="1123"/>
      <c r="I229" s="1123"/>
      <c r="J229" s="1125"/>
      <c r="K229" s="156"/>
      <c r="L229" s="1123"/>
      <c r="M229" s="1205"/>
      <c r="N229" s="1123"/>
      <c r="O229" s="1123"/>
      <c r="P229" s="1123"/>
      <c r="Q229" s="1123"/>
      <c r="R229" s="1189"/>
      <c r="S229" s="1189"/>
      <c r="T229" s="1208"/>
      <c r="U229" s="1208"/>
      <c r="V229" s="1189"/>
      <c r="W229" s="1189"/>
      <c r="X229" s="1189"/>
      <c r="Y229" s="1189"/>
      <c r="Z229" s="1189"/>
      <c r="AA229" s="1189"/>
      <c r="AB229" s="1189"/>
      <c r="AC229" s="1189"/>
      <c r="AD229" s="1189"/>
      <c r="AE229" s="1189"/>
      <c r="AF229" s="1189"/>
      <c r="AG229" s="1189"/>
      <c r="AH229" s="1189"/>
      <c r="AI229" s="1189"/>
      <c r="AJ229" s="1189"/>
      <c r="AK229" s="1189"/>
      <c r="AL229" s="1189"/>
      <c r="AM229" s="1189"/>
      <c r="AN229" s="1189"/>
      <c r="AO229" s="1189"/>
      <c r="AP229" s="1189"/>
      <c r="AQ229" s="1189"/>
      <c r="AR229" s="1189"/>
      <c r="AS229" s="1189"/>
      <c r="AT229" s="1189"/>
      <c r="AU229" s="1189"/>
      <c r="AV229" s="1189"/>
      <c r="AW229" s="1189"/>
      <c r="AX229" s="1189"/>
    </row>
    <row r="230" spans="1:50" ht="12" customHeight="1">
      <c r="A230" s="1123"/>
      <c r="B230" s="161"/>
      <c r="C230" s="1123"/>
      <c r="D230" s="1123"/>
      <c r="E230" s="1123"/>
      <c r="F230" s="1123"/>
      <c r="G230" s="1123"/>
      <c r="H230" s="1123"/>
      <c r="I230" s="1123"/>
      <c r="J230" s="1125"/>
      <c r="K230" s="156"/>
      <c r="L230" s="1123"/>
      <c r="M230" s="1205"/>
      <c r="N230" s="1123"/>
      <c r="O230" s="1123"/>
      <c r="P230" s="1123"/>
      <c r="Q230" s="1123"/>
      <c r="R230" s="1189"/>
      <c r="S230" s="1189"/>
      <c r="T230" s="1208"/>
      <c r="U230" s="1208"/>
      <c r="V230" s="1189"/>
      <c r="W230" s="1189"/>
      <c r="X230" s="1189"/>
      <c r="Y230" s="1189"/>
      <c r="Z230" s="1189"/>
      <c r="AA230" s="1189"/>
      <c r="AB230" s="1189"/>
      <c r="AC230" s="1189"/>
      <c r="AD230" s="1189"/>
      <c r="AE230" s="1189"/>
      <c r="AF230" s="1189"/>
      <c r="AG230" s="1189"/>
      <c r="AH230" s="1189"/>
      <c r="AI230" s="1189"/>
      <c r="AJ230" s="1189"/>
      <c r="AK230" s="1189"/>
      <c r="AL230" s="1189"/>
      <c r="AM230" s="1189"/>
      <c r="AN230" s="1189"/>
      <c r="AO230" s="1189"/>
      <c r="AP230" s="1189"/>
      <c r="AQ230" s="1189"/>
      <c r="AR230" s="1189"/>
      <c r="AS230" s="1189"/>
      <c r="AT230" s="1189"/>
      <c r="AU230" s="1189"/>
      <c r="AV230" s="1189"/>
      <c r="AW230" s="1189"/>
      <c r="AX230" s="1189"/>
    </row>
    <row r="231" spans="1:50" ht="12" customHeight="1">
      <c r="A231" s="88"/>
      <c r="B231" s="161"/>
      <c r="C231" s="1123"/>
      <c r="D231" s="1123"/>
      <c r="E231" s="1123"/>
      <c r="F231" s="1123"/>
      <c r="G231" s="1123"/>
      <c r="H231" s="1123"/>
      <c r="I231" s="1123"/>
      <c r="J231" s="1125"/>
      <c r="K231" s="156"/>
      <c r="L231" s="1123"/>
      <c r="M231" s="1205"/>
      <c r="N231" s="1123"/>
      <c r="O231" s="1123"/>
      <c r="P231" s="1123"/>
      <c r="Q231" s="1123"/>
      <c r="R231" s="1189"/>
      <c r="S231" s="1189"/>
      <c r="T231" s="1208"/>
      <c r="U231" s="1208"/>
      <c r="V231" s="1189"/>
      <c r="W231" s="1189"/>
      <c r="X231" s="1189"/>
      <c r="Y231" s="1189"/>
      <c r="Z231" s="1189"/>
      <c r="AA231" s="1189"/>
      <c r="AB231" s="1189"/>
      <c r="AC231" s="1189"/>
      <c r="AD231" s="1189"/>
      <c r="AE231" s="1189"/>
      <c r="AF231" s="1189"/>
      <c r="AG231" s="1189"/>
      <c r="AH231" s="1189"/>
      <c r="AI231" s="1189"/>
      <c r="AJ231" s="1189"/>
      <c r="AK231" s="1189"/>
      <c r="AL231" s="1189"/>
      <c r="AM231" s="1189"/>
      <c r="AN231" s="1189"/>
      <c r="AO231" s="1189"/>
      <c r="AP231" s="1189"/>
      <c r="AQ231" s="1189"/>
      <c r="AR231" s="1189"/>
      <c r="AS231" s="1189"/>
      <c r="AT231" s="1189"/>
      <c r="AU231" s="1189"/>
      <c r="AV231" s="1189"/>
      <c r="AW231" s="1189"/>
      <c r="AX231" s="1189"/>
    </row>
    <row r="232" spans="1:50" ht="12" customHeight="1">
      <c r="A232" s="88"/>
      <c r="B232" s="161"/>
      <c r="C232" s="1123"/>
      <c r="D232" s="1123"/>
      <c r="E232" s="1123"/>
      <c r="F232" s="1123"/>
      <c r="G232" s="1123"/>
      <c r="H232" s="1123"/>
      <c r="I232" s="1123"/>
      <c r="J232" s="1125"/>
      <c r="K232" s="156"/>
      <c r="L232" s="1123"/>
      <c r="M232" s="1205"/>
      <c r="N232" s="1123"/>
      <c r="O232" s="1123"/>
      <c r="P232" s="1123"/>
      <c r="Q232" s="1123"/>
      <c r="R232" s="1189"/>
      <c r="S232" s="1189"/>
      <c r="T232" s="1208"/>
      <c r="U232" s="1208"/>
      <c r="V232" s="1189"/>
      <c r="W232" s="1189"/>
      <c r="X232" s="1189"/>
      <c r="Y232" s="1189"/>
      <c r="Z232" s="1189"/>
      <c r="AA232" s="1189"/>
      <c r="AB232" s="1189"/>
      <c r="AC232" s="1189"/>
      <c r="AD232" s="1189"/>
      <c r="AE232" s="1189"/>
      <c r="AF232" s="1189"/>
      <c r="AG232" s="1189"/>
      <c r="AH232" s="1189"/>
      <c r="AI232" s="1189"/>
      <c r="AJ232" s="1189"/>
      <c r="AK232" s="1189"/>
      <c r="AL232" s="1189"/>
      <c r="AM232" s="1189"/>
      <c r="AN232" s="1189"/>
      <c r="AO232" s="1189"/>
      <c r="AP232" s="1189"/>
      <c r="AQ232" s="1189"/>
      <c r="AR232" s="1189"/>
      <c r="AS232" s="1189"/>
      <c r="AT232" s="1189"/>
      <c r="AU232" s="1189"/>
      <c r="AV232" s="1189"/>
      <c r="AW232" s="1189"/>
      <c r="AX232" s="1189"/>
    </row>
    <row r="233" spans="1:50" ht="12" customHeight="1">
      <c r="A233" s="88"/>
      <c r="B233" s="161"/>
      <c r="C233" s="1123"/>
      <c r="D233" s="1123"/>
      <c r="E233" s="1123"/>
      <c r="F233" s="1123"/>
      <c r="G233" s="1123"/>
      <c r="H233" s="1123"/>
      <c r="I233" s="1123"/>
      <c r="J233" s="1125"/>
      <c r="K233" s="156"/>
      <c r="L233" s="1123"/>
      <c r="M233" s="1205"/>
      <c r="N233" s="1123"/>
      <c r="O233" s="1123"/>
      <c r="P233" s="1123"/>
      <c r="Q233" s="1123"/>
      <c r="R233" s="1189"/>
      <c r="S233" s="1189"/>
      <c r="T233" s="1208"/>
      <c r="U233" s="1208"/>
      <c r="V233" s="1189"/>
      <c r="W233" s="1189"/>
      <c r="X233" s="1189"/>
      <c r="Y233" s="1189"/>
      <c r="Z233" s="1189"/>
      <c r="AA233" s="1189"/>
      <c r="AB233" s="1189"/>
      <c r="AC233" s="1189"/>
      <c r="AD233" s="1189"/>
      <c r="AE233" s="1189"/>
      <c r="AF233" s="1189"/>
      <c r="AG233" s="1189"/>
      <c r="AH233" s="1189"/>
      <c r="AI233" s="1189"/>
      <c r="AJ233" s="1189"/>
      <c r="AK233" s="1189"/>
      <c r="AL233" s="1189"/>
      <c r="AM233" s="1189"/>
      <c r="AN233" s="1189"/>
      <c r="AO233" s="1189"/>
      <c r="AP233" s="1189"/>
      <c r="AQ233" s="1189"/>
      <c r="AR233" s="1189"/>
      <c r="AS233" s="1189"/>
      <c r="AT233" s="1189"/>
      <c r="AU233" s="1189"/>
      <c r="AV233" s="1189"/>
      <c r="AW233" s="1189"/>
      <c r="AX233" s="1189"/>
    </row>
    <row r="234" spans="1:50" ht="12" customHeight="1">
      <c r="A234" s="88"/>
      <c r="B234" s="161"/>
      <c r="C234" s="1123"/>
      <c r="D234" s="1123"/>
      <c r="E234" s="1123"/>
      <c r="F234" s="1123"/>
      <c r="G234" s="1123"/>
      <c r="H234" s="1123"/>
      <c r="I234" s="1123"/>
      <c r="J234" s="1125"/>
      <c r="K234" s="156"/>
      <c r="L234" s="1123"/>
      <c r="M234" s="1205"/>
      <c r="N234" s="1123"/>
      <c r="O234" s="1123"/>
      <c r="P234" s="1123"/>
      <c r="Q234" s="1123"/>
      <c r="R234" s="1189"/>
      <c r="S234" s="1189"/>
      <c r="T234" s="1208"/>
      <c r="U234" s="1208"/>
      <c r="V234" s="1189"/>
      <c r="W234" s="1189"/>
      <c r="X234" s="1189"/>
      <c r="Y234" s="1189"/>
      <c r="Z234" s="1189"/>
      <c r="AA234" s="1189"/>
      <c r="AB234" s="1189"/>
      <c r="AC234" s="1189"/>
      <c r="AD234" s="1189"/>
      <c r="AE234" s="1189"/>
      <c r="AF234" s="1189"/>
      <c r="AG234" s="1189"/>
      <c r="AH234" s="1189"/>
      <c r="AI234" s="1189"/>
      <c r="AJ234" s="1189"/>
      <c r="AK234" s="1189"/>
      <c r="AL234" s="1189"/>
      <c r="AM234" s="1189"/>
      <c r="AN234" s="1189"/>
      <c r="AO234" s="1189"/>
      <c r="AP234" s="1189"/>
      <c r="AQ234" s="1189"/>
      <c r="AR234" s="1189"/>
      <c r="AS234" s="1189"/>
      <c r="AT234" s="1189"/>
      <c r="AU234" s="1189"/>
      <c r="AV234" s="1189"/>
      <c r="AW234" s="1189"/>
      <c r="AX234" s="1189"/>
    </row>
    <row r="235" spans="1:50" ht="12" customHeight="1">
      <c r="A235" s="88"/>
      <c r="B235" s="161"/>
      <c r="C235" s="1123"/>
      <c r="D235" s="1123"/>
      <c r="E235" s="1123"/>
      <c r="F235" s="1123"/>
      <c r="G235" s="1123"/>
      <c r="H235" s="1123"/>
      <c r="I235" s="1123"/>
      <c r="J235" s="1125"/>
      <c r="K235" s="156"/>
      <c r="L235" s="1123"/>
      <c r="M235" s="1205"/>
      <c r="N235" s="1123"/>
      <c r="O235" s="1123"/>
      <c r="P235" s="1123"/>
      <c r="Q235" s="1123"/>
      <c r="R235" s="1189"/>
      <c r="S235" s="1189"/>
      <c r="T235" s="1208"/>
      <c r="U235" s="1208"/>
      <c r="V235" s="1189"/>
      <c r="W235" s="1189"/>
      <c r="X235" s="1189"/>
      <c r="Y235" s="1189"/>
      <c r="Z235" s="1189"/>
      <c r="AA235" s="1189"/>
      <c r="AB235" s="1189"/>
      <c r="AC235" s="1189"/>
      <c r="AD235" s="1189"/>
      <c r="AE235" s="1189"/>
      <c r="AF235" s="1189"/>
      <c r="AG235" s="1189"/>
      <c r="AH235" s="1189"/>
      <c r="AI235" s="1189"/>
      <c r="AJ235" s="1189"/>
      <c r="AK235" s="1189"/>
      <c r="AL235" s="1189"/>
      <c r="AM235" s="1189"/>
      <c r="AN235" s="1189"/>
      <c r="AO235" s="1189"/>
      <c r="AP235" s="1189"/>
      <c r="AQ235" s="1189"/>
      <c r="AR235" s="1189"/>
      <c r="AS235" s="1189"/>
      <c r="AT235" s="1189"/>
      <c r="AU235" s="1189"/>
      <c r="AV235" s="1189"/>
      <c r="AW235" s="1189"/>
      <c r="AX235" s="1189"/>
    </row>
    <row r="236" spans="1:50" ht="12" customHeight="1">
      <c r="A236" s="88"/>
      <c r="B236" s="161"/>
      <c r="C236" s="1123"/>
      <c r="D236" s="1123"/>
      <c r="E236" s="1123"/>
      <c r="F236" s="1123"/>
      <c r="G236" s="1123"/>
      <c r="H236" s="1123"/>
      <c r="I236" s="1123"/>
      <c r="J236" s="1125"/>
      <c r="K236" s="156"/>
      <c r="L236" s="1123"/>
      <c r="M236" s="1205"/>
      <c r="N236" s="1123"/>
      <c r="O236" s="1123"/>
      <c r="P236" s="1123"/>
      <c r="Q236" s="1123"/>
      <c r="R236" s="1189"/>
      <c r="S236" s="1189"/>
      <c r="T236" s="1208"/>
      <c r="U236" s="1208"/>
      <c r="V236" s="1189"/>
      <c r="W236" s="1189"/>
      <c r="X236" s="1189"/>
      <c r="Y236" s="1189"/>
      <c r="Z236" s="1189"/>
      <c r="AA236" s="1189"/>
      <c r="AB236" s="1189"/>
      <c r="AC236" s="1189"/>
      <c r="AD236" s="1189"/>
      <c r="AE236" s="1189"/>
      <c r="AF236" s="1189"/>
      <c r="AG236" s="1189"/>
      <c r="AH236" s="1189"/>
      <c r="AI236" s="1189"/>
      <c r="AJ236" s="1189"/>
      <c r="AK236" s="1189"/>
      <c r="AL236" s="1189"/>
      <c r="AM236" s="1189"/>
      <c r="AN236" s="1189"/>
      <c r="AO236" s="1189"/>
      <c r="AP236" s="1189"/>
      <c r="AQ236" s="1189"/>
      <c r="AR236" s="1189"/>
      <c r="AS236" s="1189"/>
      <c r="AT236" s="1189"/>
      <c r="AU236" s="1189"/>
      <c r="AV236" s="1189"/>
      <c r="AW236" s="1189"/>
      <c r="AX236" s="1189"/>
    </row>
    <row r="237" spans="1:50" ht="12" customHeight="1">
      <c r="A237" s="88"/>
      <c r="B237" s="161"/>
      <c r="C237" s="1123"/>
      <c r="D237" s="1123"/>
      <c r="E237" s="1123"/>
      <c r="F237" s="1123"/>
      <c r="G237" s="1123"/>
      <c r="H237" s="1123"/>
      <c r="I237" s="1123"/>
      <c r="J237" s="1123"/>
      <c r="K237" s="156"/>
      <c r="L237" s="1123"/>
      <c r="M237" s="1205"/>
      <c r="N237" s="1123"/>
      <c r="O237" s="1123"/>
      <c r="P237" s="1123"/>
      <c r="Q237" s="1123"/>
      <c r="R237" s="1189"/>
      <c r="S237" s="1189"/>
      <c r="T237" s="1208"/>
      <c r="U237" s="1208"/>
      <c r="V237" s="1189"/>
      <c r="W237" s="1189"/>
      <c r="X237" s="1189"/>
      <c r="Y237" s="1189"/>
      <c r="Z237" s="1189"/>
      <c r="AA237" s="1189"/>
      <c r="AB237" s="1189"/>
      <c r="AC237" s="1189"/>
      <c r="AD237" s="1189"/>
      <c r="AE237" s="1189"/>
      <c r="AF237" s="1189"/>
      <c r="AG237" s="1189"/>
      <c r="AH237" s="1189"/>
      <c r="AI237" s="1189"/>
      <c r="AJ237" s="1189"/>
      <c r="AK237" s="1189"/>
      <c r="AL237" s="1189"/>
      <c r="AM237" s="1189"/>
      <c r="AN237" s="1189"/>
      <c r="AO237" s="1189"/>
      <c r="AP237" s="1189"/>
      <c r="AQ237" s="1189"/>
      <c r="AR237" s="1189"/>
      <c r="AS237" s="1189"/>
      <c r="AT237" s="1189"/>
      <c r="AU237" s="1189"/>
      <c r="AV237" s="1189"/>
      <c r="AW237" s="1189"/>
      <c r="AX237" s="1189"/>
    </row>
    <row r="238" spans="1:50" ht="12" customHeight="1">
      <c r="A238" s="86"/>
      <c r="B238" s="161"/>
      <c r="C238" s="1123"/>
      <c r="D238" s="1123"/>
      <c r="E238" s="1123"/>
      <c r="F238" s="1123"/>
      <c r="G238" s="1123"/>
      <c r="H238" s="1123"/>
      <c r="I238" s="1123"/>
      <c r="J238" s="1123"/>
      <c r="K238" s="156"/>
      <c r="L238" s="1123"/>
      <c r="M238" s="1205"/>
      <c r="N238" s="1123"/>
      <c r="O238" s="1123"/>
      <c r="P238" s="1123"/>
      <c r="Q238" s="1123"/>
      <c r="R238" s="1189"/>
      <c r="S238" s="1189"/>
      <c r="T238" s="1208"/>
      <c r="U238" s="1208"/>
      <c r="V238" s="1189"/>
      <c r="W238" s="1189"/>
      <c r="X238" s="1189"/>
      <c r="Y238" s="1189"/>
      <c r="Z238" s="1189"/>
      <c r="AA238" s="1189"/>
      <c r="AB238" s="1189"/>
      <c r="AC238" s="1189"/>
      <c r="AD238" s="1189"/>
      <c r="AE238" s="1189"/>
      <c r="AF238" s="1189"/>
      <c r="AG238" s="1189"/>
      <c r="AH238" s="1189"/>
      <c r="AI238" s="1189"/>
      <c r="AJ238" s="1189"/>
      <c r="AK238" s="1189"/>
      <c r="AL238" s="1189"/>
      <c r="AM238" s="1189"/>
      <c r="AN238" s="1189"/>
      <c r="AO238" s="1189"/>
      <c r="AP238" s="1189"/>
      <c r="AQ238" s="1189"/>
      <c r="AR238" s="1189"/>
      <c r="AS238" s="1189"/>
      <c r="AT238" s="1189"/>
      <c r="AU238" s="1189"/>
      <c r="AV238" s="1189"/>
      <c r="AW238" s="1189"/>
      <c r="AX238" s="1189"/>
    </row>
    <row r="239" spans="1:50" ht="12" customHeight="1">
      <c r="A239" s="254" t="e">
        <f>(F15-#REF!)*12%</f>
        <v>#REF!</v>
      </c>
      <c r="B239" s="161"/>
      <c r="C239" s="1123"/>
      <c r="D239" s="1123"/>
      <c r="E239" s="1123"/>
      <c r="F239" s="1123"/>
      <c r="G239" s="1123"/>
      <c r="H239" s="1123"/>
      <c r="I239" s="1123"/>
      <c r="J239" s="1123"/>
      <c r="K239" s="156"/>
      <c r="L239" s="1123"/>
      <c r="M239" s="1205"/>
      <c r="N239" s="1123"/>
      <c r="O239" s="1123"/>
      <c r="P239" s="1123"/>
      <c r="Q239" s="1123"/>
      <c r="R239" s="1189"/>
      <c r="S239" s="1189"/>
      <c r="T239" s="1208"/>
      <c r="U239" s="1208"/>
      <c r="V239" s="1189"/>
      <c r="W239" s="1189"/>
      <c r="X239" s="1189"/>
      <c r="Y239" s="1189"/>
      <c r="Z239" s="1189"/>
      <c r="AA239" s="1189"/>
      <c r="AB239" s="1189"/>
      <c r="AC239" s="1189"/>
      <c r="AD239" s="1189"/>
      <c r="AE239" s="1189"/>
      <c r="AF239" s="1189"/>
      <c r="AG239" s="1189"/>
      <c r="AH239" s="1189"/>
      <c r="AI239" s="1189"/>
      <c r="AJ239" s="1189"/>
      <c r="AK239" s="1189"/>
      <c r="AL239" s="1189"/>
      <c r="AM239" s="1189"/>
      <c r="AN239" s="1189"/>
      <c r="AO239" s="1189"/>
      <c r="AP239" s="1189"/>
      <c r="AQ239" s="1189"/>
      <c r="AR239" s="1189"/>
      <c r="AS239" s="1189"/>
      <c r="AT239" s="1189"/>
      <c r="AU239" s="1189"/>
      <c r="AV239" s="1189"/>
      <c r="AW239" s="1189"/>
      <c r="AX239" s="1189"/>
    </row>
    <row r="240" spans="1:50" ht="12" customHeight="1">
      <c r="A240" s="255"/>
      <c r="B240" s="161"/>
      <c r="C240" s="1123"/>
      <c r="D240" s="1123"/>
      <c r="E240" s="1123"/>
      <c r="F240" s="1123"/>
      <c r="G240" s="1123"/>
      <c r="H240" s="1123"/>
      <c r="I240" s="1123"/>
      <c r="J240" s="1123"/>
      <c r="K240" s="156"/>
      <c r="L240" s="1123"/>
      <c r="M240" s="1205"/>
      <c r="N240" s="1123"/>
      <c r="O240" s="1123"/>
      <c r="P240" s="1123"/>
      <c r="Q240" s="1123"/>
      <c r="R240" s="1189"/>
      <c r="S240" s="1189"/>
      <c r="T240" s="1208"/>
      <c r="U240" s="1208"/>
      <c r="V240" s="1189"/>
      <c r="W240" s="1189"/>
      <c r="X240" s="1189"/>
      <c r="Y240" s="1189"/>
      <c r="Z240" s="1189"/>
      <c r="AA240" s="1189"/>
      <c r="AB240" s="1189"/>
      <c r="AC240" s="1189"/>
      <c r="AD240" s="1189"/>
      <c r="AE240" s="1189"/>
      <c r="AF240" s="1189"/>
      <c r="AG240" s="1189"/>
      <c r="AH240" s="1189"/>
      <c r="AI240" s="1189"/>
      <c r="AJ240" s="1189"/>
      <c r="AK240" s="1189"/>
      <c r="AL240" s="1189"/>
      <c r="AM240" s="1189"/>
      <c r="AN240" s="1189"/>
      <c r="AO240" s="1189"/>
      <c r="AP240" s="1189"/>
      <c r="AQ240" s="1189"/>
      <c r="AR240" s="1189"/>
      <c r="AS240" s="1189"/>
      <c r="AT240" s="1189"/>
      <c r="AU240" s="1189"/>
      <c r="AV240" s="1189"/>
      <c r="AW240" s="1189"/>
      <c r="AX240" s="1189"/>
    </row>
    <row r="241" spans="1:50" ht="12" customHeight="1">
      <c r="A241" s="86"/>
      <c r="B241" s="161"/>
      <c r="C241" s="1123"/>
      <c r="D241" s="1123"/>
      <c r="E241" s="1123"/>
      <c r="F241" s="1123"/>
      <c r="G241" s="1123"/>
      <c r="H241" s="1123"/>
      <c r="I241" s="1123"/>
      <c r="J241" s="1123"/>
      <c r="K241" s="156"/>
      <c r="L241" s="1123"/>
      <c r="M241" s="1205"/>
      <c r="N241" s="1123"/>
      <c r="O241" s="1123"/>
      <c r="P241" s="1123"/>
      <c r="Q241" s="1123"/>
      <c r="R241" s="1189"/>
      <c r="S241" s="1189"/>
      <c r="T241" s="1208"/>
      <c r="U241" s="1208"/>
      <c r="V241" s="1189"/>
      <c r="W241" s="1189"/>
      <c r="X241" s="1189"/>
      <c r="Y241" s="1189"/>
      <c r="Z241" s="1189"/>
      <c r="AA241" s="1189"/>
      <c r="AB241" s="1189"/>
      <c r="AC241" s="1189"/>
      <c r="AD241" s="1189"/>
      <c r="AE241" s="1189"/>
      <c r="AF241" s="1189"/>
      <c r="AG241" s="1189"/>
      <c r="AH241" s="1189"/>
      <c r="AI241" s="1189"/>
      <c r="AJ241" s="1189"/>
      <c r="AK241" s="1189"/>
      <c r="AL241" s="1189"/>
      <c r="AM241" s="1189"/>
      <c r="AN241" s="1189"/>
      <c r="AO241" s="1189"/>
      <c r="AP241" s="1189"/>
      <c r="AQ241" s="1189"/>
      <c r="AR241" s="1189"/>
      <c r="AS241" s="1189"/>
      <c r="AT241" s="1189"/>
      <c r="AU241" s="1189"/>
      <c r="AV241" s="1189"/>
      <c r="AW241" s="1189"/>
      <c r="AX241" s="1189"/>
    </row>
    <row r="242" spans="1:50" ht="17.25" customHeight="1">
      <c r="A242" s="1189"/>
      <c r="B242" s="161"/>
      <c r="C242" s="1123"/>
      <c r="D242" s="1123"/>
      <c r="E242" s="1123"/>
      <c r="F242" s="1123"/>
      <c r="G242" s="1123"/>
      <c r="H242" s="1123"/>
      <c r="I242" s="1123"/>
      <c r="J242" s="1123"/>
      <c r="K242" s="156"/>
      <c r="L242" s="1123"/>
      <c r="M242" s="1205"/>
      <c r="N242" s="1123"/>
      <c r="O242" s="1123"/>
      <c r="P242" s="1123"/>
      <c r="Q242" s="1123"/>
      <c r="R242" s="1189"/>
      <c r="S242" s="1189"/>
      <c r="T242" s="1208"/>
      <c r="U242" s="1208"/>
      <c r="V242" s="1189"/>
      <c r="W242" s="1189"/>
      <c r="X242" s="1189"/>
      <c r="Y242" s="1189"/>
      <c r="Z242" s="1189"/>
      <c r="AA242" s="1189"/>
      <c r="AB242" s="1189"/>
      <c r="AC242" s="1189"/>
      <c r="AD242" s="1189"/>
      <c r="AE242" s="1189"/>
      <c r="AF242" s="1189"/>
      <c r="AG242" s="1189"/>
      <c r="AH242" s="1189"/>
      <c r="AI242" s="1189"/>
      <c r="AJ242" s="1189"/>
      <c r="AK242" s="1189"/>
      <c r="AL242" s="1189"/>
      <c r="AM242" s="1189"/>
      <c r="AN242" s="1189"/>
      <c r="AO242" s="1189"/>
      <c r="AP242" s="1189"/>
      <c r="AQ242" s="1189"/>
      <c r="AR242" s="1189"/>
      <c r="AS242" s="1189"/>
      <c r="AT242" s="1189"/>
      <c r="AU242" s="1189"/>
      <c r="AV242" s="1189"/>
      <c r="AW242" s="1189"/>
      <c r="AX242" s="1189"/>
    </row>
    <row r="243" spans="1:50" ht="15.75" customHeight="1">
      <c r="A243" s="1189"/>
      <c r="B243" s="161"/>
      <c r="C243" s="1123"/>
      <c r="D243" s="1123"/>
      <c r="E243" s="1123"/>
      <c r="F243" s="1123"/>
      <c r="G243" s="1123"/>
      <c r="H243" s="1123"/>
      <c r="I243" s="1123"/>
      <c r="J243" s="1123"/>
      <c r="K243" s="156"/>
      <c r="L243" s="1123"/>
      <c r="M243" s="1205"/>
      <c r="N243" s="1123"/>
      <c r="O243" s="1123"/>
      <c r="P243" s="1123"/>
      <c r="Q243" s="1123"/>
      <c r="R243" s="1189"/>
      <c r="S243" s="1189"/>
      <c r="T243" s="1208"/>
      <c r="U243" s="1208"/>
      <c r="V243" s="1189"/>
      <c r="W243" s="1189"/>
      <c r="X243" s="1189"/>
      <c r="Y243" s="1189"/>
      <c r="Z243" s="1189"/>
      <c r="AA243" s="1189"/>
      <c r="AB243" s="1189"/>
      <c r="AC243" s="1189"/>
      <c r="AD243" s="1189"/>
      <c r="AE243" s="1189"/>
      <c r="AF243" s="1189"/>
      <c r="AG243" s="1189"/>
      <c r="AH243" s="1189"/>
      <c r="AI243" s="1189"/>
      <c r="AJ243" s="1189"/>
      <c r="AK243" s="1189"/>
      <c r="AL243" s="1189"/>
      <c r="AM243" s="1189"/>
      <c r="AN243" s="1189"/>
      <c r="AO243" s="1189"/>
      <c r="AP243" s="1189"/>
      <c r="AQ243" s="1189"/>
      <c r="AR243" s="1189"/>
      <c r="AS243" s="1189"/>
      <c r="AT243" s="1189"/>
      <c r="AU243" s="1189"/>
      <c r="AV243" s="1189"/>
      <c r="AW243" s="1189"/>
      <c r="AX243" s="1189"/>
    </row>
    <row r="244" spans="1:50" ht="12.75" customHeight="1">
      <c r="A244" s="1189"/>
      <c r="B244" s="161"/>
      <c r="C244" s="1123"/>
      <c r="D244" s="1123"/>
      <c r="E244" s="1123"/>
      <c r="F244" s="1123"/>
      <c r="G244" s="1123"/>
      <c r="H244" s="1123"/>
      <c r="I244" s="1123"/>
      <c r="J244" s="1123"/>
      <c r="K244" s="156"/>
      <c r="L244" s="1123"/>
      <c r="M244" s="1205"/>
      <c r="N244" s="1123"/>
      <c r="O244" s="1123"/>
      <c r="P244" s="1123"/>
      <c r="Q244" s="1123"/>
      <c r="R244" s="1189"/>
      <c r="S244" s="1189"/>
      <c r="T244" s="1208"/>
      <c r="U244" s="1208"/>
      <c r="V244" s="1189"/>
      <c r="W244" s="1189"/>
      <c r="X244" s="1189"/>
      <c r="Y244" s="1189"/>
      <c r="Z244" s="1189"/>
      <c r="AA244" s="1189"/>
      <c r="AB244" s="1189"/>
      <c r="AC244" s="1189"/>
      <c r="AD244" s="1189"/>
      <c r="AE244" s="1189"/>
      <c r="AF244" s="1189"/>
      <c r="AG244" s="1189"/>
      <c r="AH244" s="1189"/>
      <c r="AI244" s="1189"/>
      <c r="AJ244" s="1189"/>
      <c r="AK244" s="1189"/>
      <c r="AL244" s="1189"/>
      <c r="AM244" s="1189"/>
      <c r="AN244" s="1189"/>
      <c r="AO244" s="1189"/>
      <c r="AP244" s="1189"/>
      <c r="AQ244" s="1189"/>
      <c r="AR244" s="1189"/>
      <c r="AS244" s="1189"/>
      <c r="AT244" s="1189"/>
      <c r="AU244" s="1189"/>
      <c r="AV244" s="1189"/>
      <c r="AW244" s="1189"/>
      <c r="AX244" s="1189"/>
    </row>
    <row r="245" spans="1:50" ht="12.75" customHeight="1">
      <c r="A245" s="1189"/>
      <c r="B245" s="88"/>
      <c r="C245" s="88"/>
      <c r="D245" s="92"/>
      <c r="E245" s="1123"/>
      <c r="F245" s="1123"/>
      <c r="G245" s="1123"/>
      <c r="H245" s="1123"/>
      <c r="I245" s="1123"/>
      <c r="J245" s="1189"/>
      <c r="K245" s="156"/>
      <c r="L245" s="1123"/>
      <c r="M245" s="1205"/>
      <c r="N245" s="1123"/>
      <c r="O245" s="1123"/>
      <c r="P245" s="1123"/>
      <c r="Q245" s="1123"/>
      <c r="R245" s="1189"/>
      <c r="S245" s="1189"/>
      <c r="T245" s="1208"/>
      <c r="U245" s="1208"/>
      <c r="V245" s="1189"/>
      <c r="W245" s="1189"/>
      <c r="X245" s="1189"/>
      <c r="Y245" s="1189"/>
      <c r="Z245" s="1189"/>
      <c r="AA245" s="1189"/>
      <c r="AB245" s="1189"/>
      <c r="AC245" s="1189"/>
      <c r="AD245" s="1189"/>
      <c r="AE245" s="1189"/>
      <c r="AF245" s="1189"/>
      <c r="AG245" s="1189"/>
      <c r="AH245" s="1189"/>
      <c r="AI245" s="1189"/>
      <c r="AJ245" s="1189"/>
      <c r="AK245" s="1189"/>
      <c r="AL245" s="1189"/>
      <c r="AM245" s="1189"/>
      <c r="AN245" s="1189"/>
      <c r="AO245" s="1189"/>
      <c r="AP245" s="1189"/>
      <c r="AQ245" s="1189"/>
      <c r="AR245" s="1189"/>
      <c r="AS245" s="1189"/>
      <c r="AT245" s="1189"/>
      <c r="AU245" s="1189"/>
      <c r="AV245" s="1189"/>
      <c r="AW245" s="1189"/>
      <c r="AX245" s="1189"/>
    </row>
    <row r="246" spans="1:50" ht="12.75" customHeight="1">
      <c r="A246" s="1189"/>
      <c r="B246" s="88"/>
      <c r="C246" s="88"/>
      <c r="D246" s="92"/>
      <c r="E246" s="1123"/>
      <c r="F246" s="1123"/>
      <c r="G246" s="1123"/>
      <c r="H246" s="1123"/>
      <c r="I246" s="1123"/>
      <c r="J246" s="1189"/>
      <c r="K246" s="156"/>
      <c r="L246" s="1123"/>
      <c r="M246" s="1205"/>
      <c r="N246" s="1123"/>
      <c r="O246" s="1123"/>
      <c r="P246" s="1123"/>
      <c r="Q246" s="1123"/>
      <c r="R246" s="1189"/>
      <c r="S246" s="1189"/>
      <c r="T246" s="1208"/>
      <c r="U246" s="1208"/>
      <c r="V246" s="1189"/>
      <c r="W246" s="1189"/>
      <c r="X246" s="1189"/>
      <c r="Y246" s="1189"/>
      <c r="Z246" s="1189"/>
      <c r="AA246" s="1189"/>
      <c r="AB246" s="1189"/>
      <c r="AC246" s="1189"/>
      <c r="AD246" s="1189"/>
      <c r="AE246" s="1189"/>
      <c r="AF246" s="1189"/>
      <c r="AG246" s="1189"/>
      <c r="AH246" s="1189"/>
      <c r="AI246" s="1189"/>
      <c r="AJ246" s="1189"/>
      <c r="AK246" s="1189"/>
      <c r="AL246" s="1189"/>
      <c r="AM246" s="1189"/>
      <c r="AN246" s="1189"/>
      <c r="AO246" s="1189"/>
      <c r="AP246" s="1189"/>
      <c r="AQ246" s="1189"/>
      <c r="AR246" s="1189"/>
      <c r="AS246" s="1189"/>
      <c r="AT246" s="1189"/>
      <c r="AU246" s="1189"/>
      <c r="AV246" s="1189"/>
      <c r="AW246" s="1189"/>
      <c r="AX246" s="1189"/>
    </row>
    <row r="247" spans="1:50" ht="12.75" customHeight="1">
      <c r="A247" s="1189"/>
      <c r="B247" s="88"/>
      <c r="C247" s="88"/>
      <c r="D247" s="92"/>
      <c r="E247" s="1123"/>
      <c r="F247" s="1123"/>
      <c r="G247" s="1123"/>
      <c r="H247" s="1123"/>
      <c r="I247" s="1123"/>
      <c r="J247" s="186"/>
      <c r="K247" s="156"/>
      <c r="L247" s="1123"/>
      <c r="M247" s="1205"/>
      <c r="N247" s="1123"/>
      <c r="O247" s="1123"/>
      <c r="P247" s="1123"/>
      <c r="Q247" s="1123"/>
      <c r="R247" s="1189"/>
      <c r="S247" s="1189"/>
      <c r="T247" s="1208"/>
      <c r="U247" s="1208"/>
      <c r="V247" s="1189"/>
      <c r="W247" s="1189"/>
      <c r="X247" s="1189"/>
      <c r="Y247" s="1189"/>
      <c r="Z247" s="1189"/>
      <c r="AA247" s="1189"/>
      <c r="AB247" s="1189"/>
      <c r="AC247" s="1189"/>
      <c r="AD247" s="1189"/>
      <c r="AE247" s="1189"/>
      <c r="AF247" s="1189"/>
      <c r="AG247" s="1189"/>
      <c r="AH247" s="1189"/>
      <c r="AI247" s="1189"/>
      <c r="AJ247" s="1189"/>
      <c r="AK247" s="1189"/>
      <c r="AL247" s="1189"/>
      <c r="AM247" s="1189"/>
      <c r="AN247" s="1189"/>
      <c r="AO247" s="1189"/>
      <c r="AP247" s="1189"/>
      <c r="AQ247" s="1189"/>
      <c r="AR247" s="1189"/>
      <c r="AS247" s="1189"/>
      <c r="AT247" s="1189"/>
      <c r="AU247" s="1189"/>
      <c r="AV247" s="1189"/>
      <c r="AW247" s="1189"/>
      <c r="AX247" s="1189"/>
    </row>
    <row r="248" spans="1:50" ht="12.75" customHeight="1">
      <c r="A248" s="1189"/>
      <c r="B248" s="88"/>
      <c r="C248" s="88"/>
      <c r="D248" s="92"/>
      <c r="E248" s="1123"/>
      <c r="F248" s="1123"/>
      <c r="G248" s="1123"/>
      <c r="H248" s="1123"/>
      <c r="I248" s="1123"/>
      <c r="J248" s="182"/>
      <c r="K248" s="156"/>
      <c r="L248" s="1123"/>
      <c r="M248" s="1205"/>
      <c r="N248" s="1123"/>
      <c r="O248" s="1123"/>
      <c r="P248" s="1123"/>
      <c r="Q248" s="1123"/>
      <c r="R248" s="1189"/>
      <c r="S248" s="1189"/>
      <c r="T248" s="1208"/>
      <c r="U248" s="1208"/>
      <c r="V248" s="1189"/>
      <c r="W248" s="1189"/>
      <c r="X248" s="1189"/>
      <c r="Y248" s="1189"/>
      <c r="Z248" s="1189"/>
      <c r="AA248" s="1189"/>
      <c r="AB248" s="1189"/>
      <c r="AC248" s="1189"/>
      <c r="AD248" s="1189"/>
      <c r="AE248" s="1189"/>
      <c r="AF248" s="1189"/>
      <c r="AG248" s="1189"/>
      <c r="AH248" s="1189"/>
      <c r="AI248" s="1189"/>
      <c r="AJ248" s="1189"/>
      <c r="AK248" s="1189"/>
      <c r="AL248" s="1189"/>
      <c r="AM248" s="1189"/>
      <c r="AN248" s="1189"/>
      <c r="AO248" s="1189"/>
      <c r="AP248" s="1189"/>
      <c r="AQ248" s="1189"/>
      <c r="AR248" s="1189"/>
      <c r="AS248" s="1189"/>
      <c r="AT248" s="1189"/>
      <c r="AU248" s="1189"/>
      <c r="AV248" s="1189"/>
      <c r="AW248" s="1189"/>
      <c r="AX248" s="1189"/>
    </row>
    <row r="249" spans="1:50" ht="12.75" customHeight="1">
      <c r="A249" s="1189"/>
      <c r="B249" s="88"/>
      <c r="C249" s="88"/>
      <c r="D249" s="88"/>
      <c r="E249" s="1123"/>
      <c r="F249" s="705"/>
      <c r="G249" s="705"/>
      <c r="H249" s="705"/>
      <c r="I249" s="705"/>
      <c r="J249" s="170"/>
      <c r="K249" s="156"/>
      <c r="L249" s="1123"/>
      <c r="M249" s="1205"/>
      <c r="N249" s="1123"/>
      <c r="O249" s="1123"/>
      <c r="P249" s="1123"/>
      <c r="Q249" s="1123"/>
      <c r="R249" s="1189"/>
      <c r="S249" s="1189"/>
      <c r="T249" s="1208"/>
      <c r="U249" s="1208"/>
      <c r="V249" s="1189"/>
      <c r="W249" s="1189"/>
      <c r="X249" s="1189"/>
      <c r="Y249" s="1189"/>
      <c r="Z249" s="1189"/>
      <c r="AA249" s="1189"/>
      <c r="AB249" s="1189"/>
      <c r="AC249" s="1189"/>
      <c r="AD249" s="1189"/>
      <c r="AE249" s="1189"/>
      <c r="AF249" s="1189"/>
      <c r="AG249" s="1189"/>
      <c r="AH249" s="1189"/>
      <c r="AI249" s="1189"/>
      <c r="AJ249" s="1189"/>
      <c r="AK249" s="1189"/>
      <c r="AL249" s="1189"/>
      <c r="AM249" s="1189"/>
      <c r="AN249" s="1189"/>
      <c r="AO249" s="1189"/>
      <c r="AP249" s="1189"/>
      <c r="AQ249" s="1189"/>
      <c r="AR249" s="1189"/>
      <c r="AS249" s="1189"/>
      <c r="AT249" s="1189"/>
      <c r="AU249" s="1189"/>
      <c r="AV249" s="1189"/>
      <c r="AW249" s="1189"/>
      <c r="AX249" s="1189"/>
    </row>
    <row r="250" spans="1:50" ht="12.75" customHeight="1">
      <c r="A250" s="1189"/>
      <c r="B250" s="88"/>
      <c r="C250" s="88"/>
      <c r="D250" s="88"/>
      <c r="E250" s="1123"/>
      <c r="F250" s="1123"/>
      <c r="G250" s="1123"/>
      <c r="H250" s="1123"/>
      <c r="I250" s="1123"/>
      <c r="J250" s="182"/>
      <c r="K250" s="156"/>
      <c r="L250" s="1123"/>
      <c r="M250" s="1205"/>
      <c r="N250" s="1123"/>
      <c r="O250" s="1123"/>
      <c r="P250" s="1123"/>
      <c r="Q250" s="1123"/>
      <c r="R250" s="1189"/>
      <c r="S250" s="1189"/>
      <c r="T250" s="1208"/>
      <c r="U250" s="1208"/>
      <c r="V250" s="1189"/>
      <c r="W250" s="1189"/>
      <c r="X250" s="1189"/>
      <c r="Y250" s="1189"/>
      <c r="Z250" s="1189"/>
      <c r="AA250" s="1189"/>
      <c r="AB250" s="1189"/>
      <c r="AC250" s="1189"/>
      <c r="AD250" s="1189"/>
      <c r="AE250" s="1189"/>
      <c r="AF250" s="1189"/>
      <c r="AG250" s="1189"/>
      <c r="AH250" s="1189"/>
      <c r="AI250" s="1189"/>
      <c r="AJ250" s="1189"/>
      <c r="AK250" s="1189"/>
      <c r="AL250" s="1189"/>
      <c r="AM250" s="1189"/>
      <c r="AN250" s="1189"/>
      <c r="AO250" s="1189"/>
      <c r="AP250" s="1189"/>
      <c r="AQ250" s="1189"/>
      <c r="AR250" s="1189"/>
      <c r="AS250" s="1189"/>
      <c r="AT250" s="1189"/>
      <c r="AU250" s="1189"/>
      <c r="AV250" s="1189"/>
      <c r="AW250" s="1189"/>
      <c r="AX250" s="1189"/>
    </row>
    <row r="251" spans="1:50" ht="12.75" customHeight="1">
      <c r="A251" s="1189"/>
      <c r="B251" s="88"/>
      <c r="C251" s="88"/>
      <c r="D251" s="180"/>
      <c r="E251" s="181"/>
      <c r="F251" s="181"/>
      <c r="G251" s="181"/>
      <c r="H251" s="181"/>
      <c r="I251" s="182"/>
      <c r="J251" s="185"/>
      <c r="K251" s="156"/>
      <c r="L251" s="1123"/>
      <c r="M251" s="1205"/>
      <c r="N251" s="1123"/>
      <c r="O251" s="1123"/>
      <c r="P251" s="1123"/>
      <c r="Q251" s="1123"/>
      <c r="R251" s="1189"/>
      <c r="S251" s="1189"/>
      <c r="T251" s="1208"/>
      <c r="U251" s="1208"/>
      <c r="V251" s="1189"/>
      <c r="W251" s="1189"/>
      <c r="X251" s="1189"/>
      <c r="Y251" s="1189"/>
      <c r="Z251" s="1189"/>
      <c r="AA251" s="1189"/>
      <c r="AB251" s="1189"/>
      <c r="AC251" s="1189"/>
      <c r="AD251" s="1189"/>
      <c r="AE251" s="1189"/>
      <c r="AF251" s="1189"/>
      <c r="AG251" s="1189"/>
      <c r="AH251" s="1189"/>
      <c r="AI251" s="1189"/>
      <c r="AJ251" s="1189"/>
      <c r="AK251" s="1189"/>
      <c r="AL251" s="1189"/>
      <c r="AM251" s="1189"/>
      <c r="AN251" s="1189"/>
      <c r="AO251" s="1189"/>
      <c r="AP251" s="1189"/>
      <c r="AQ251" s="1189"/>
      <c r="AR251" s="1189"/>
      <c r="AS251" s="1189"/>
      <c r="AT251" s="1189"/>
      <c r="AU251" s="1189"/>
      <c r="AV251" s="1189"/>
      <c r="AW251" s="1189"/>
      <c r="AX251" s="1189"/>
    </row>
    <row r="252" spans="1:50" ht="12.75" customHeight="1">
      <c r="A252" s="1189"/>
      <c r="B252" s="88"/>
      <c r="C252" s="88"/>
      <c r="D252" s="180"/>
      <c r="E252" s="181"/>
      <c r="F252" s="181"/>
      <c r="G252" s="181"/>
      <c r="H252" s="181"/>
      <c r="I252" s="170"/>
      <c r="J252" s="1189"/>
      <c r="K252" s="156"/>
      <c r="L252" s="1123"/>
      <c r="M252" s="1205"/>
      <c r="N252" s="1123"/>
      <c r="O252" s="1123"/>
      <c r="P252" s="1123"/>
      <c r="Q252" s="1123"/>
      <c r="R252" s="1189"/>
      <c r="S252" s="1189"/>
      <c r="T252" s="1208"/>
      <c r="U252" s="1208"/>
      <c r="V252" s="1189"/>
      <c r="W252" s="1189"/>
      <c r="X252" s="1189"/>
      <c r="Y252" s="1189"/>
      <c r="Z252" s="1189"/>
      <c r="AA252" s="1189"/>
      <c r="AB252" s="1189"/>
      <c r="AC252" s="1189"/>
      <c r="AD252" s="1189"/>
      <c r="AE252" s="1189"/>
      <c r="AF252" s="1189"/>
      <c r="AG252" s="1189"/>
      <c r="AH252" s="1189"/>
      <c r="AI252" s="1189"/>
      <c r="AJ252" s="1189"/>
      <c r="AK252" s="1189"/>
      <c r="AL252" s="1189"/>
      <c r="AM252" s="1189"/>
      <c r="AN252" s="1189"/>
      <c r="AO252" s="1189"/>
      <c r="AP252" s="1189"/>
      <c r="AQ252" s="1189"/>
      <c r="AR252" s="1189"/>
      <c r="AS252" s="1189"/>
      <c r="AT252" s="1189"/>
      <c r="AU252" s="1189"/>
      <c r="AV252" s="1189"/>
      <c r="AW252" s="1189"/>
      <c r="AX252" s="1189"/>
    </row>
    <row r="253" spans="1:50" ht="12.75" customHeight="1">
      <c r="A253" s="1189"/>
      <c r="B253" s="254"/>
      <c r="C253" s="86"/>
      <c r="D253" s="183"/>
      <c r="E253" s="1230"/>
      <c r="F253" s="184"/>
      <c r="G253" s="184"/>
      <c r="H253" s="184"/>
      <c r="I253" s="182"/>
      <c r="J253" s="1189"/>
      <c r="K253" s="1123"/>
      <c r="L253" s="1123"/>
      <c r="M253" s="1205"/>
      <c r="N253" s="1123"/>
      <c r="O253" s="1123"/>
      <c r="P253" s="1123"/>
      <c r="Q253" s="1123"/>
      <c r="R253" s="1189"/>
      <c r="S253" s="1189"/>
      <c r="T253" s="1208"/>
      <c r="U253" s="1208"/>
      <c r="V253" s="1189"/>
      <c r="W253" s="1189"/>
      <c r="X253" s="1189"/>
      <c r="Y253" s="1189"/>
      <c r="Z253" s="1189"/>
      <c r="AA253" s="1189"/>
      <c r="AB253" s="1189"/>
      <c r="AC253" s="1189"/>
      <c r="AD253" s="1189"/>
      <c r="AE253" s="1189"/>
      <c r="AF253" s="1189"/>
      <c r="AG253" s="1189"/>
      <c r="AH253" s="1189"/>
      <c r="AI253" s="1189"/>
      <c r="AJ253" s="1189"/>
      <c r="AK253" s="1189"/>
      <c r="AL253" s="1189"/>
      <c r="AM253" s="1189"/>
      <c r="AN253" s="1189"/>
      <c r="AO253" s="1189"/>
      <c r="AP253" s="1189"/>
      <c r="AQ253" s="1189"/>
      <c r="AR253" s="1189"/>
      <c r="AS253" s="1189"/>
      <c r="AT253" s="1189"/>
      <c r="AU253" s="1189"/>
      <c r="AV253" s="1189"/>
      <c r="AW253" s="1189"/>
      <c r="AX253" s="1189"/>
    </row>
    <row r="254" spans="1:50" ht="12.75" customHeight="1">
      <c r="A254" s="1189"/>
      <c r="B254" s="86"/>
      <c r="C254" s="86"/>
      <c r="D254" s="183"/>
      <c r="E254" s="1189"/>
      <c r="F254" s="184"/>
      <c r="G254" s="184"/>
      <c r="H254" s="184"/>
      <c r="I254" s="185"/>
      <c r="J254" s="1189"/>
      <c r="K254" s="1123"/>
      <c r="L254" s="1123"/>
      <c r="M254" s="705"/>
      <c r="N254" s="1123"/>
      <c r="O254" s="1123"/>
      <c r="P254" s="1123"/>
      <c r="Q254" s="1123"/>
      <c r="R254" s="1189"/>
      <c r="S254" s="1189"/>
      <c r="T254" s="1208"/>
      <c r="U254" s="1208"/>
      <c r="V254" s="1189"/>
      <c r="W254" s="1189"/>
      <c r="X254" s="1189"/>
      <c r="Y254" s="1189"/>
      <c r="Z254" s="1189"/>
      <c r="AA254" s="1189"/>
      <c r="AB254" s="1189"/>
      <c r="AC254" s="1189"/>
      <c r="AD254" s="1189"/>
      <c r="AE254" s="1189"/>
      <c r="AF254" s="1189"/>
      <c r="AG254" s="1189"/>
      <c r="AH254" s="1189"/>
      <c r="AI254" s="1189"/>
      <c r="AJ254" s="1189"/>
      <c r="AK254" s="1189"/>
      <c r="AL254" s="1189"/>
      <c r="AM254" s="1189"/>
      <c r="AN254" s="1189"/>
      <c r="AO254" s="1189"/>
      <c r="AP254" s="1189"/>
      <c r="AQ254" s="1189"/>
      <c r="AR254" s="1189"/>
      <c r="AS254" s="1189"/>
      <c r="AT254" s="1189"/>
      <c r="AU254" s="1189"/>
      <c r="AV254" s="1189"/>
      <c r="AW254" s="1189"/>
      <c r="AX254" s="1189"/>
    </row>
    <row r="255" spans="1:50" ht="12.75" customHeight="1">
      <c r="A255" s="1189"/>
      <c r="B255" s="86"/>
      <c r="C255" s="86"/>
      <c r="D255" s="183"/>
      <c r="E255" s="1230"/>
      <c r="F255" s="1230"/>
      <c r="G255" s="1230"/>
      <c r="H255" s="1230"/>
      <c r="I255" s="1189"/>
      <c r="J255" s="1189"/>
      <c r="K255" s="1123"/>
      <c r="L255" s="1123"/>
      <c r="M255" s="705"/>
      <c r="N255" s="1123"/>
      <c r="O255" s="1123"/>
      <c r="P255" s="1123"/>
      <c r="Q255" s="1123"/>
      <c r="R255" s="1189"/>
      <c r="S255" s="1189"/>
      <c r="T255" s="1208"/>
      <c r="U255" s="1208"/>
      <c r="V255" s="1189"/>
      <c r="W255" s="1189"/>
      <c r="X255" s="1189"/>
      <c r="Y255" s="1189"/>
      <c r="Z255" s="1189"/>
      <c r="AA255" s="1189"/>
      <c r="AB255" s="1189"/>
      <c r="AC255" s="1189"/>
      <c r="AD255" s="1189"/>
      <c r="AE255" s="1189"/>
      <c r="AF255" s="1189"/>
      <c r="AG255" s="1189"/>
      <c r="AH255" s="1189"/>
      <c r="AI255" s="1189"/>
      <c r="AJ255" s="1189"/>
      <c r="AK255" s="1189"/>
      <c r="AL255" s="1189"/>
      <c r="AM255" s="1189"/>
      <c r="AN255" s="1189"/>
      <c r="AO255" s="1189"/>
      <c r="AP255" s="1189"/>
      <c r="AQ255" s="1189"/>
      <c r="AR255" s="1189"/>
      <c r="AS255" s="1189"/>
      <c r="AT255" s="1189"/>
      <c r="AU255" s="1189"/>
      <c r="AV255" s="1189"/>
      <c r="AW255" s="1189"/>
      <c r="AX255" s="1189"/>
    </row>
    <row r="256" spans="1:50" ht="12.75" customHeight="1">
      <c r="A256" s="1189"/>
      <c r="B256" s="1189"/>
      <c r="C256" s="1189"/>
      <c r="D256" s="1231"/>
      <c r="E256" s="1230"/>
      <c r="F256" s="1230"/>
      <c r="G256" s="1230"/>
      <c r="H256" s="1230"/>
      <c r="I256" s="1189"/>
      <c r="J256" s="1189"/>
      <c r="K256" s="1123"/>
      <c r="L256" s="1123"/>
      <c r="M256" s="705"/>
      <c r="N256" s="1123"/>
      <c r="O256" s="1123"/>
      <c r="P256" s="1123"/>
      <c r="Q256" s="1123"/>
      <c r="R256" s="1189"/>
      <c r="S256" s="1189"/>
      <c r="T256" s="1208"/>
      <c r="U256" s="1208"/>
      <c r="V256" s="1189"/>
      <c r="W256" s="1189"/>
      <c r="X256" s="1189"/>
      <c r="Y256" s="1189"/>
      <c r="Z256" s="1189"/>
      <c r="AA256" s="1189"/>
      <c r="AB256" s="1189"/>
      <c r="AC256" s="1189"/>
      <c r="AD256" s="1189"/>
      <c r="AE256" s="1189"/>
      <c r="AF256" s="1189"/>
      <c r="AG256" s="1189"/>
      <c r="AH256" s="1189"/>
      <c r="AI256" s="1189"/>
      <c r="AJ256" s="1189"/>
      <c r="AK256" s="1189"/>
      <c r="AL256" s="1189"/>
      <c r="AM256" s="1189"/>
      <c r="AN256" s="1189"/>
      <c r="AO256" s="1189"/>
      <c r="AP256" s="1189"/>
      <c r="AQ256" s="1189"/>
      <c r="AR256" s="1189"/>
      <c r="AS256" s="1189"/>
      <c r="AT256" s="1189"/>
      <c r="AU256" s="1189"/>
      <c r="AV256" s="1189"/>
      <c r="AW256" s="1189"/>
      <c r="AX256" s="1189"/>
    </row>
    <row r="257" spans="4:50" ht="12.75" customHeight="1">
      <c r="D257" s="1231"/>
      <c r="E257" s="1230"/>
      <c r="F257" s="1230"/>
      <c r="G257" s="1230"/>
      <c r="H257" s="1230"/>
      <c r="I257" s="1189"/>
      <c r="J257" s="1189"/>
      <c r="K257" s="1567"/>
      <c r="L257" s="1567"/>
      <c r="M257" s="1567"/>
      <c r="N257" s="1123"/>
      <c r="O257" s="1123"/>
      <c r="P257" s="1567"/>
      <c r="Q257" s="1567"/>
      <c r="R257" s="1189"/>
      <c r="S257" s="1189"/>
      <c r="T257" s="1208"/>
      <c r="U257" s="1208"/>
      <c r="V257" s="1189"/>
      <c r="W257" s="1189"/>
      <c r="X257" s="1189"/>
      <c r="Y257" s="1189"/>
      <c r="Z257" s="1189"/>
      <c r="AA257" s="1189"/>
      <c r="AB257" s="1189"/>
      <c r="AC257" s="1189"/>
      <c r="AD257" s="1189"/>
      <c r="AE257" s="1189"/>
      <c r="AF257" s="1189"/>
      <c r="AG257" s="1189"/>
      <c r="AH257" s="1189"/>
      <c r="AI257" s="1189"/>
      <c r="AJ257" s="1189"/>
      <c r="AK257" s="1189"/>
      <c r="AL257" s="1189"/>
      <c r="AM257" s="1189"/>
      <c r="AN257" s="1189"/>
      <c r="AO257" s="1189"/>
      <c r="AP257" s="1189"/>
      <c r="AQ257" s="1189"/>
      <c r="AR257" s="1189"/>
      <c r="AS257" s="1189"/>
      <c r="AT257" s="1189"/>
      <c r="AU257" s="1189"/>
      <c r="AV257" s="1189"/>
      <c r="AW257" s="1189"/>
      <c r="AX257" s="1189"/>
    </row>
    <row r="258" spans="4:50" ht="12.75" customHeight="1">
      <c r="D258" s="1231"/>
      <c r="E258" s="1230"/>
      <c r="F258" s="1230"/>
      <c r="G258" s="1230"/>
      <c r="H258" s="1230"/>
      <c r="I258" s="1189"/>
      <c r="J258" s="1189"/>
      <c r="K258" s="1123"/>
      <c r="L258" s="1566"/>
      <c r="M258" s="1566"/>
      <c r="N258" s="1123"/>
      <c r="O258" s="1123"/>
      <c r="P258" s="1123"/>
      <c r="Q258" s="1123"/>
      <c r="R258" s="1189"/>
      <c r="S258" s="1189"/>
      <c r="T258" s="1208"/>
      <c r="U258" s="1208"/>
      <c r="V258" s="1189"/>
      <c r="W258" s="1189"/>
      <c r="X258" s="1189"/>
      <c r="Y258" s="1189"/>
      <c r="Z258" s="1189"/>
      <c r="AA258" s="1189"/>
      <c r="AB258" s="1189"/>
      <c r="AC258" s="1189"/>
      <c r="AD258" s="1189"/>
      <c r="AE258" s="1189"/>
      <c r="AF258" s="1189"/>
      <c r="AG258" s="1189"/>
      <c r="AH258" s="1189"/>
      <c r="AI258" s="1189"/>
      <c r="AJ258" s="1189"/>
      <c r="AK258" s="1189"/>
      <c r="AL258" s="1189"/>
      <c r="AM258" s="1189"/>
      <c r="AN258" s="1189"/>
      <c r="AO258" s="1189"/>
      <c r="AP258" s="1189"/>
      <c r="AQ258" s="1189"/>
      <c r="AR258" s="1189"/>
      <c r="AS258" s="1189"/>
      <c r="AT258" s="1189"/>
      <c r="AU258" s="1189"/>
      <c r="AV258" s="1189"/>
      <c r="AW258" s="1189"/>
      <c r="AX258" s="1189"/>
    </row>
    <row r="259" spans="4:50" ht="12.75" customHeight="1">
      <c r="D259" s="1231"/>
      <c r="E259" s="1230"/>
      <c r="F259" s="1230"/>
      <c r="G259" s="1230"/>
      <c r="H259" s="1230"/>
      <c r="I259" s="1189"/>
      <c r="J259" s="1189"/>
      <c r="K259" s="182"/>
      <c r="L259" s="94"/>
      <c r="M259" s="1123"/>
      <c r="N259" s="1123"/>
      <c r="O259" s="1123"/>
      <c r="P259" s="1123"/>
      <c r="Q259" s="1123"/>
      <c r="R259" s="1189"/>
      <c r="S259" s="1189"/>
      <c r="T259" s="1208"/>
      <c r="U259" s="1208"/>
      <c r="V259" s="1189"/>
      <c r="W259" s="1189"/>
      <c r="X259" s="1189"/>
      <c r="Y259" s="1189"/>
      <c r="Z259" s="1189"/>
      <c r="AA259" s="1189"/>
      <c r="AB259" s="1189"/>
      <c r="AC259" s="1189"/>
      <c r="AD259" s="1189"/>
      <c r="AE259" s="1189"/>
      <c r="AF259" s="1189"/>
      <c r="AG259" s="1189"/>
      <c r="AH259" s="1189"/>
      <c r="AI259" s="1189"/>
      <c r="AJ259" s="1189"/>
      <c r="AK259" s="1189"/>
      <c r="AL259" s="1189"/>
      <c r="AM259" s="1189"/>
      <c r="AN259" s="1189"/>
      <c r="AO259" s="1189"/>
      <c r="AP259" s="1189"/>
      <c r="AQ259" s="1189"/>
      <c r="AR259" s="1189"/>
      <c r="AS259" s="1189"/>
      <c r="AT259" s="1189"/>
      <c r="AU259" s="1189"/>
      <c r="AV259" s="1189"/>
      <c r="AW259" s="1189"/>
      <c r="AX259" s="1189"/>
    </row>
    <row r="260" spans="4:50" ht="12.75" customHeight="1">
      <c r="D260" s="1231"/>
      <c r="E260" s="1230"/>
      <c r="F260" s="1230"/>
      <c r="G260" s="1230"/>
      <c r="H260" s="1230"/>
      <c r="I260" s="1189"/>
      <c r="J260" s="1189"/>
      <c r="K260" s="170"/>
      <c r="L260" s="94"/>
      <c r="M260" s="1123"/>
      <c r="N260" s="1123"/>
      <c r="O260" s="1123"/>
      <c r="P260" s="1123"/>
      <c r="Q260" s="1123"/>
      <c r="R260" s="1189"/>
      <c r="S260" s="1189"/>
      <c r="T260" s="1208"/>
      <c r="U260" s="1208"/>
      <c r="V260" s="1189"/>
      <c r="W260" s="1189"/>
      <c r="X260" s="1189"/>
      <c r="Y260" s="1189"/>
      <c r="Z260" s="1189"/>
      <c r="AA260" s="1189"/>
      <c r="AB260" s="1189"/>
      <c r="AC260" s="1189"/>
      <c r="AD260" s="1189"/>
      <c r="AE260" s="1189"/>
      <c r="AF260" s="1189"/>
      <c r="AG260" s="1189"/>
      <c r="AH260" s="1189"/>
      <c r="AI260" s="1189"/>
      <c r="AJ260" s="1189"/>
      <c r="AK260" s="1189"/>
      <c r="AL260" s="1189"/>
      <c r="AM260" s="1189"/>
      <c r="AN260" s="1189"/>
      <c r="AO260" s="1189"/>
      <c r="AP260" s="1189"/>
      <c r="AQ260" s="1189"/>
      <c r="AR260" s="1189"/>
      <c r="AS260" s="1189"/>
      <c r="AT260" s="1189"/>
      <c r="AU260" s="1189"/>
      <c r="AV260" s="1189"/>
      <c r="AW260" s="1189"/>
      <c r="AX260" s="1189"/>
    </row>
    <row r="261" spans="4:50" ht="12.75" customHeight="1">
      <c r="D261" s="1231"/>
      <c r="E261" s="1230"/>
      <c r="F261" s="1230"/>
      <c r="G261" s="1230"/>
      <c r="H261" s="1230"/>
      <c r="I261" s="1189"/>
      <c r="J261" s="1189"/>
      <c r="K261" s="182"/>
      <c r="L261" s="185"/>
      <c r="M261" s="1189"/>
      <c r="N261" s="1189"/>
      <c r="O261" s="1189"/>
      <c r="P261" s="1189"/>
      <c r="Q261" s="1189"/>
      <c r="R261" s="1189"/>
      <c r="S261" s="1189"/>
      <c r="T261" s="1208"/>
      <c r="U261" s="1208"/>
      <c r="V261" s="1189"/>
      <c r="W261" s="1189"/>
      <c r="X261" s="1189"/>
      <c r="Y261" s="1189"/>
      <c r="Z261" s="1189"/>
      <c r="AA261" s="1189"/>
      <c r="AB261" s="1189"/>
      <c r="AC261" s="1189"/>
      <c r="AD261" s="1189"/>
      <c r="AE261" s="1189"/>
      <c r="AF261" s="1189"/>
      <c r="AG261" s="1189"/>
      <c r="AH261" s="1189"/>
      <c r="AI261" s="1189"/>
      <c r="AJ261" s="1189"/>
      <c r="AK261" s="1189"/>
      <c r="AL261" s="1189"/>
      <c r="AM261" s="1189"/>
      <c r="AN261" s="1189"/>
      <c r="AO261" s="1189"/>
      <c r="AP261" s="1189"/>
      <c r="AQ261" s="1189"/>
      <c r="AR261" s="1189"/>
      <c r="AS261" s="1189"/>
      <c r="AT261" s="1189"/>
      <c r="AU261" s="1189"/>
      <c r="AV261" s="1189"/>
      <c r="AW261" s="1189"/>
      <c r="AX261" s="1189"/>
    </row>
    <row r="262" spans="4:50" ht="12.75" customHeight="1">
      <c r="D262" s="1231"/>
      <c r="E262" s="1230"/>
      <c r="F262" s="1230"/>
      <c r="G262" s="1230"/>
      <c r="H262" s="1230"/>
      <c r="I262" s="1189"/>
      <c r="J262" s="1189"/>
      <c r="K262" s="186"/>
      <c r="L262" s="185"/>
      <c r="M262" s="1189"/>
      <c r="N262" s="1189"/>
      <c r="O262" s="1189"/>
      <c r="P262" s="1189"/>
      <c r="Q262" s="1189"/>
      <c r="R262" s="1189"/>
      <c r="S262" s="1189"/>
      <c r="T262" s="1208"/>
      <c r="U262" s="1208"/>
      <c r="V262" s="1189"/>
      <c r="W262" s="1189"/>
      <c r="X262" s="1189"/>
      <c r="Y262" s="1189"/>
      <c r="Z262" s="1189"/>
      <c r="AA262" s="1189"/>
      <c r="AB262" s="1189"/>
      <c r="AC262" s="1189"/>
      <c r="AD262" s="1189"/>
      <c r="AE262" s="1189"/>
      <c r="AF262" s="1189"/>
      <c r="AG262" s="1189"/>
      <c r="AH262" s="1189"/>
      <c r="AI262" s="1189"/>
      <c r="AJ262" s="1189"/>
      <c r="AK262" s="1189"/>
      <c r="AL262" s="1189"/>
      <c r="AM262" s="1189"/>
      <c r="AN262" s="1189"/>
      <c r="AO262" s="1189"/>
      <c r="AP262" s="1189"/>
      <c r="AQ262" s="1189"/>
      <c r="AR262" s="1189"/>
      <c r="AS262" s="1189"/>
      <c r="AT262" s="1189"/>
      <c r="AU262" s="1189"/>
      <c r="AV262" s="1189"/>
      <c r="AW262" s="1189"/>
      <c r="AX262" s="1189"/>
    </row>
    <row r="263" spans="4:50" ht="12.75" customHeight="1">
      <c r="D263" s="1231"/>
      <c r="E263" s="1230"/>
      <c r="F263" s="1230"/>
      <c r="G263" s="1230"/>
      <c r="H263" s="1230"/>
      <c r="I263" s="1189"/>
      <c r="J263" s="1189"/>
      <c r="K263" s="1225"/>
      <c r="L263" s="1189"/>
      <c r="M263" s="1189"/>
      <c r="N263" s="1189"/>
      <c r="O263" s="1189"/>
      <c r="P263" s="1189"/>
      <c r="Q263" s="1189"/>
      <c r="R263" s="1189"/>
      <c r="S263" s="1189"/>
      <c r="T263" s="1208"/>
      <c r="U263" s="1208"/>
      <c r="V263" s="1189"/>
      <c r="W263" s="1189"/>
      <c r="X263" s="1189"/>
      <c r="Y263" s="1189"/>
      <c r="Z263" s="1189"/>
      <c r="AA263" s="1189"/>
      <c r="AB263" s="1189"/>
      <c r="AC263" s="1189"/>
      <c r="AD263" s="1189"/>
      <c r="AE263" s="1189"/>
      <c r="AF263" s="1189"/>
      <c r="AG263" s="1189"/>
      <c r="AH263" s="1189"/>
      <c r="AI263" s="1189"/>
      <c r="AJ263" s="1189"/>
      <c r="AK263" s="1189"/>
      <c r="AL263" s="1189"/>
      <c r="AM263" s="1189"/>
      <c r="AN263" s="1189"/>
      <c r="AO263" s="1189"/>
      <c r="AP263" s="1189"/>
      <c r="AQ263" s="1189"/>
      <c r="AR263" s="1189"/>
      <c r="AS263" s="1189"/>
      <c r="AT263" s="1189"/>
      <c r="AU263" s="1189"/>
      <c r="AV263" s="1189"/>
      <c r="AW263" s="1189"/>
      <c r="AX263" s="1189"/>
    </row>
    <row r="264" spans="4:50" ht="12.75" customHeight="1">
      <c r="D264" s="1231"/>
      <c r="E264" s="1230"/>
      <c r="F264" s="1230"/>
      <c r="G264" s="1230"/>
      <c r="H264" s="1230"/>
      <c r="I264" s="1189"/>
      <c r="J264" s="1189"/>
      <c r="K264" s="1225"/>
      <c r="L264" s="1189"/>
      <c r="M264" s="1189"/>
      <c r="N264" s="1189"/>
      <c r="O264" s="1189"/>
      <c r="P264" s="1189"/>
      <c r="Q264" s="1189"/>
      <c r="R264" s="1189"/>
      <c r="S264" s="1189"/>
      <c r="T264" s="1208"/>
      <c r="U264" s="1208"/>
      <c r="V264" s="1189"/>
      <c r="W264" s="1189"/>
      <c r="X264" s="1189"/>
      <c r="Y264" s="1189"/>
      <c r="Z264" s="1189"/>
      <c r="AA264" s="1189"/>
      <c r="AB264" s="1189"/>
      <c r="AC264" s="1189"/>
      <c r="AD264" s="1189"/>
      <c r="AE264" s="1189"/>
      <c r="AF264" s="1189"/>
      <c r="AG264" s="1189"/>
      <c r="AH264" s="1189"/>
      <c r="AI264" s="1189"/>
      <c r="AJ264" s="1189"/>
      <c r="AK264" s="1189"/>
      <c r="AL264" s="1189"/>
      <c r="AM264" s="1189"/>
      <c r="AN264" s="1189"/>
      <c r="AO264" s="1189"/>
      <c r="AP264" s="1189"/>
      <c r="AQ264" s="1189"/>
      <c r="AR264" s="1189"/>
      <c r="AS264" s="1189"/>
      <c r="AT264" s="1189"/>
      <c r="AU264" s="1189"/>
      <c r="AV264" s="1189"/>
      <c r="AW264" s="1189"/>
      <c r="AX264" s="1189"/>
    </row>
    <row r="265" spans="4:50" ht="12.75" customHeight="1">
      <c r="D265" s="1231"/>
      <c r="E265" s="1230"/>
      <c r="F265" s="1230"/>
      <c r="G265" s="1230"/>
      <c r="H265" s="1230"/>
      <c r="I265" s="1189"/>
      <c r="J265" s="1189"/>
      <c r="K265" s="1225"/>
      <c r="L265" s="1189"/>
      <c r="M265" s="1189"/>
      <c r="N265" s="1189"/>
      <c r="O265" s="1189"/>
      <c r="P265" s="1189"/>
      <c r="Q265" s="1189"/>
      <c r="R265" s="1189"/>
      <c r="S265" s="1189"/>
      <c r="T265" s="1208"/>
      <c r="U265" s="1208"/>
      <c r="V265" s="1189"/>
      <c r="W265" s="1189"/>
      <c r="X265" s="1189"/>
      <c r="Y265" s="1189"/>
      <c r="Z265" s="1189"/>
      <c r="AA265" s="1189"/>
      <c r="AB265" s="1189"/>
      <c r="AC265" s="1189"/>
      <c r="AD265" s="1189"/>
      <c r="AE265" s="1189"/>
      <c r="AF265" s="1189"/>
      <c r="AG265" s="1189"/>
      <c r="AH265" s="1189"/>
      <c r="AI265" s="1189"/>
      <c r="AJ265" s="1189"/>
      <c r="AK265" s="1189"/>
      <c r="AL265" s="1189"/>
      <c r="AM265" s="1189"/>
      <c r="AN265" s="1189"/>
      <c r="AO265" s="1189"/>
      <c r="AP265" s="1189"/>
      <c r="AQ265" s="1189"/>
      <c r="AR265" s="1189"/>
      <c r="AS265" s="1189"/>
      <c r="AT265" s="1189"/>
      <c r="AU265" s="1189"/>
      <c r="AV265" s="1189"/>
      <c r="AW265" s="1189"/>
      <c r="AX265" s="1189"/>
    </row>
    <row r="266" spans="4:50" ht="12.75" customHeight="1">
      <c r="D266" s="1231"/>
      <c r="E266" s="1230"/>
      <c r="F266" s="1230"/>
      <c r="G266" s="1230"/>
      <c r="H266" s="1230"/>
      <c r="I266" s="1189"/>
      <c r="J266" s="1189"/>
      <c r="K266" s="1225"/>
      <c r="L266" s="1189"/>
      <c r="M266" s="1189"/>
      <c r="N266" s="1189"/>
      <c r="O266" s="1189"/>
      <c r="P266" s="1189"/>
      <c r="Q266" s="1189"/>
      <c r="R266" s="1189"/>
      <c r="S266" s="1189"/>
      <c r="T266" s="1208"/>
      <c r="U266" s="1208"/>
      <c r="V266" s="1189"/>
      <c r="W266" s="1189"/>
      <c r="X266" s="1189"/>
      <c r="Y266" s="1189"/>
      <c r="Z266" s="1189"/>
      <c r="AA266" s="1189"/>
      <c r="AB266" s="1189"/>
      <c r="AC266" s="1189"/>
      <c r="AD266" s="1189"/>
      <c r="AE266" s="1189"/>
      <c r="AF266" s="1189"/>
      <c r="AG266" s="1189"/>
      <c r="AH266" s="1189"/>
      <c r="AI266" s="1189"/>
      <c r="AJ266" s="1189"/>
      <c r="AK266" s="1189"/>
      <c r="AL266" s="1189"/>
      <c r="AM266" s="1189"/>
      <c r="AN266" s="1189"/>
      <c r="AO266" s="1189"/>
      <c r="AP266" s="1189"/>
      <c r="AQ266" s="1189"/>
      <c r="AR266" s="1189"/>
      <c r="AS266" s="1189"/>
      <c r="AT266" s="1189"/>
      <c r="AU266" s="1189"/>
      <c r="AV266" s="1189"/>
      <c r="AW266" s="1189"/>
      <c r="AX266" s="1189"/>
    </row>
    <row r="267" spans="4:50" ht="12.75" customHeight="1">
      <c r="D267" s="1231"/>
      <c r="E267" s="1230"/>
      <c r="F267" s="1230"/>
      <c r="G267" s="1230"/>
      <c r="H267" s="1230"/>
      <c r="I267" s="1189"/>
      <c r="J267" s="1189"/>
      <c r="K267" s="1225"/>
      <c r="L267" s="1189"/>
      <c r="M267" s="1189"/>
      <c r="N267" s="1189"/>
      <c r="O267" s="1189"/>
      <c r="P267" s="1189"/>
      <c r="Q267" s="1189"/>
      <c r="R267" s="1189"/>
      <c r="S267" s="1189"/>
      <c r="T267" s="1208"/>
      <c r="U267" s="1208"/>
      <c r="V267" s="1189"/>
      <c r="W267" s="1189"/>
      <c r="X267" s="1189"/>
      <c r="Y267" s="1189"/>
      <c r="Z267" s="1189"/>
      <c r="AA267" s="1189"/>
      <c r="AB267" s="1189"/>
      <c r="AC267" s="1189"/>
      <c r="AD267" s="1189"/>
      <c r="AE267" s="1189"/>
      <c r="AF267" s="1189"/>
      <c r="AG267" s="1189"/>
      <c r="AH267" s="1189"/>
      <c r="AI267" s="1189"/>
      <c r="AJ267" s="1189"/>
      <c r="AK267" s="1189"/>
      <c r="AL267" s="1189"/>
      <c r="AM267" s="1189"/>
      <c r="AN267" s="1189"/>
      <c r="AO267" s="1189"/>
      <c r="AP267" s="1189"/>
      <c r="AQ267" s="1189"/>
      <c r="AR267" s="1189"/>
      <c r="AS267" s="1189"/>
      <c r="AT267" s="1189"/>
      <c r="AU267" s="1189"/>
      <c r="AV267" s="1189"/>
      <c r="AW267" s="1189"/>
      <c r="AX267" s="1189"/>
    </row>
    <row r="268" spans="4:50" ht="12.75" customHeight="1">
      <c r="D268" s="1231"/>
      <c r="E268" s="1230"/>
      <c r="F268" s="1230"/>
      <c r="G268" s="1230"/>
      <c r="H268" s="1230"/>
      <c r="I268" s="1189"/>
      <c r="J268" s="1189"/>
      <c r="K268" s="1225"/>
      <c r="L268" s="1189"/>
      <c r="M268" s="1189"/>
      <c r="N268" s="1189"/>
      <c r="O268" s="1189"/>
      <c r="P268" s="1189"/>
      <c r="Q268" s="1189"/>
      <c r="R268" s="1189"/>
      <c r="S268" s="1189"/>
      <c r="T268" s="1208"/>
      <c r="U268" s="1208"/>
      <c r="V268" s="1189"/>
      <c r="W268" s="1189"/>
      <c r="X268" s="1189"/>
      <c r="Y268" s="1189"/>
      <c r="Z268" s="1189"/>
      <c r="AA268" s="1189"/>
      <c r="AB268" s="1189"/>
      <c r="AC268" s="1189"/>
      <c r="AD268" s="1189"/>
      <c r="AE268" s="1189"/>
      <c r="AF268" s="1189"/>
      <c r="AG268" s="1189"/>
      <c r="AH268" s="1189"/>
      <c r="AI268" s="1189"/>
      <c r="AJ268" s="1189"/>
      <c r="AK268" s="1189"/>
      <c r="AL268" s="1189"/>
      <c r="AM268" s="1189"/>
      <c r="AN268" s="1189"/>
      <c r="AO268" s="1189"/>
      <c r="AP268" s="1189"/>
      <c r="AQ268" s="1189"/>
      <c r="AR268" s="1189"/>
      <c r="AS268" s="1189"/>
      <c r="AT268" s="1189"/>
      <c r="AU268" s="1189"/>
      <c r="AV268" s="1189"/>
      <c r="AW268" s="1189"/>
      <c r="AX268" s="1189"/>
    </row>
    <row r="269" spans="4:50" ht="12.75" customHeight="1">
      <c r="D269" s="1231"/>
      <c r="E269" s="1230"/>
      <c r="F269" s="1230"/>
      <c r="G269" s="1230"/>
      <c r="H269" s="1230"/>
      <c r="I269" s="1189"/>
      <c r="J269" s="1189"/>
      <c r="K269" s="1225"/>
      <c r="L269" s="1189"/>
      <c r="M269" s="1189"/>
      <c r="N269" s="1189"/>
      <c r="O269" s="1189"/>
      <c r="P269" s="1189"/>
      <c r="Q269" s="1189"/>
      <c r="R269" s="1189"/>
      <c r="S269" s="1189"/>
      <c r="T269" s="1208"/>
      <c r="U269" s="1208"/>
      <c r="V269" s="1189"/>
      <c r="W269" s="1189"/>
      <c r="X269" s="1189"/>
      <c r="Y269" s="1189"/>
      <c r="Z269" s="1189"/>
      <c r="AA269" s="1189"/>
      <c r="AB269" s="1189"/>
      <c r="AC269" s="1189"/>
      <c r="AD269" s="1189"/>
      <c r="AE269" s="1189"/>
      <c r="AF269" s="1189"/>
      <c r="AG269" s="1189"/>
      <c r="AH269" s="1189"/>
      <c r="AI269" s="1189"/>
      <c r="AJ269" s="1189"/>
      <c r="AK269" s="1189"/>
      <c r="AL269" s="1189"/>
      <c r="AM269" s="1189"/>
      <c r="AN269" s="1189"/>
      <c r="AO269" s="1189"/>
      <c r="AP269" s="1189"/>
      <c r="AQ269" s="1189"/>
      <c r="AR269" s="1189"/>
      <c r="AS269" s="1189"/>
      <c r="AT269" s="1189"/>
      <c r="AU269" s="1189"/>
      <c r="AV269" s="1189"/>
      <c r="AW269" s="1189"/>
      <c r="AX269" s="1189"/>
    </row>
    <row r="270" spans="4:50" ht="12.75" customHeight="1">
      <c r="D270" s="1231"/>
      <c r="E270" s="1230"/>
      <c r="F270" s="1230"/>
      <c r="G270" s="1230"/>
      <c r="H270" s="1230"/>
      <c r="I270" s="1189"/>
      <c r="J270" s="1189"/>
      <c r="K270" s="1225"/>
      <c r="L270" s="1189"/>
      <c r="M270" s="1189"/>
      <c r="N270" s="1189"/>
      <c r="O270" s="1189"/>
      <c r="P270" s="1189"/>
      <c r="Q270" s="1189"/>
      <c r="R270" s="1189"/>
      <c r="S270" s="1189"/>
      <c r="T270" s="1208"/>
      <c r="U270" s="1208"/>
      <c r="V270" s="1189"/>
      <c r="W270" s="1189"/>
      <c r="X270" s="1189"/>
      <c r="Y270" s="1189"/>
      <c r="Z270" s="1189"/>
      <c r="AA270" s="1189"/>
      <c r="AB270" s="1189"/>
      <c r="AC270" s="1189"/>
      <c r="AD270" s="1189"/>
      <c r="AE270" s="1189"/>
      <c r="AF270" s="1189"/>
      <c r="AG270" s="1189"/>
      <c r="AH270" s="1189"/>
      <c r="AI270" s="1189"/>
      <c r="AJ270" s="1189"/>
      <c r="AK270" s="1189"/>
      <c r="AL270" s="1189"/>
      <c r="AM270" s="1189"/>
      <c r="AN270" s="1189"/>
      <c r="AO270" s="1189"/>
      <c r="AP270" s="1189"/>
      <c r="AQ270" s="1189"/>
      <c r="AR270" s="1189"/>
      <c r="AS270" s="1189"/>
      <c r="AT270" s="1189"/>
      <c r="AU270" s="1189"/>
      <c r="AV270" s="1189"/>
      <c r="AW270" s="1189"/>
      <c r="AX270" s="1189"/>
    </row>
    <row r="271" spans="4:50" ht="12.75" customHeight="1">
      <c r="D271" s="1231"/>
      <c r="E271" s="1230"/>
      <c r="F271" s="1230"/>
      <c r="G271" s="1230"/>
      <c r="H271" s="1230"/>
      <c r="I271" s="1189"/>
      <c r="J271" s="1189"/>
      <c r="K271" s="1225"/>
      <c r="L271" s="1189"/>
      <c r="M271" s="1189"/>
      <c r="N271" s="1189"/>
      <c r="O271" s="1189"/>
      <c r="P271" s="1189"/>
      <c r="Q271" s="1189"/>
      <c r="R271" s="1189"/>
      <c r="S271" s="1189"/>
      <c r="T271" s="1208"/>
      <c r="U271" s="1208"/>
      <c r="V271" s="1189"/>
      <c r="W271" s="1189"/>
      <c r="X271" s="1189"/>
      <c r="Y271" s="1189"/>
      <c r="Z271" s="1189"/>
      <c r="AA271" s="1189"/>
      <c r="AB271" s="1189"/>
      <c r="AC271" s="1189"/>
      <c r="AD271" s="1189"/>
      <c r="AE271" s="1189"/>
      <c r="AF271" s="1189"/>
      <c r="AG271" s="1189"/>
      <c r="AH271" s="1189"/>
      <c r="AI271" s="1189"/>
      <c r="AJ271" s="1189"/>
      <c r="AK271" s="1189"/>
      <c r="AL271" s="1189"/>
      <c r="AM271" s="1189"/>
      <c r="AN271" s="1189"/>
      <c r="AO271" s="1189"/>
      <c r="AP271" s="1189"/>
      <c r="AQ271" s="1189"/>
      <c r="AR271" s="1189"/>
      <c r="AS271" s="1189"/>
      <c r="AT271" s="1189"/>
      <c r="AU271" s="1189"/>
      <c r="AV271" s="1189"/>
      <c r="AW271" s="1189"/>
      <c r="AX271" s="1189"/>
    </row>
    <row r="272" spans="4:50" ht="12.75" customHeight="1">
      <c r="D272" s="1231"/>
      <c r="E272" s="1230"/>
      <c r="F272" s="1230"/>
      <c r="G272" s="1230"/>
      <c r="H272" s="1230"/>
      <c r="I272" s="1189"/>
      <c r="J272" s="1189"/>
      <c r="K272" s="1225"/>
      <c r="L272" s="1189"/>
      <c r="M272" s="1189"/>
      <c r="N272" s="1189"/>
      <c r="O272" s="1189"/>
      <c r="P272" s="1189"/>
      <c r="Q272" s="1189"/>
      <c r="R272" s="1189"/>
      <c r="S272" s="1189"/>
      <c r="T272" s="1208"/>
      <c r="U272" s="1208"/>
      <c r="V272" s="1189"/>
      <c r="W272" s="1189"/>
      <c r="X272" s="1189"/>
      <c r="Y272" s="1189"/>
      <c r="Z272" s="1189"/>
      <c r="AA272" s="1189"/>
      <c r="AB272" s="1189"/>
      <c r="AC272" s="1189"/>
      <c r="AD272" s="1189"/>
      <c r="AE272" s="1189"/>
      <c r="AF272" s="1189"/>
      <c r="AG272" s="1189"/>
      <c r="AH272" s="1189"/>
      <c r="AI272" s="1189"/>
      <c r="AJ272" s="1189"/>
      <c r="AK272" s="1189"/>
      <c r="AL272" s="1189"/>
      <c r="AM272" s="1189"/>
      <c r="AN272" s="1189"/>
      <c r="AO272" s="1189"/>
      <c r="AP272" s="1189"/>
      <c r="AQ272" s="1189"/>
      <c r="AR272" s="1189"/>
      <c r="AS272" s="1189"/>
      <c r="AT272" s="1189"/>
      <c r="AU272" s="1189"/>
      <c r="AV272" s="1189"/>
      <c r="AW272" s="1189"/>
      <c r="AX272" s="1189"/>
    </row>
    <row r="273" spans="4:50" ht="12.75" customHeight="1">
      <c r="D273" s="1231"/>
      <c r="E273" s="1230"/>
      <c r="F273" s="1230"/>
      <c r="G273" s="1230"/>
      <c r="H273" s="1230"/>
      <c r="I273" s="1189"/>
      <c r="J273" s="1189"/>
      <c r="K273" s="1225"/>
      <c r="L273" s="1189"/>
      <c r="M273" s="1189"/>
      <c r="N273" s="1189"/>
      <c r="O273" s="1189"/>
      <c r="P273" s="1189"/>
      <c r="Q273" s="1189"/>
      <c r="R273" s="1189"/>
      <c r="S273" s="1189"/>
      <c r="T273" s="1208"/>
      <c r="U273" s="1208"/>
      <c r="V273" s="1189"/>
      <c r="W273" s="1189"/>
      <c r="X273" s="1189"/>
      <c r="Y273" s="1189"/>
      <c r="Z273" s="1189"/>
      <c r="AA273" s="1189"/>
      <c r="AB273" s="1189"/>
      <c r="AC273" s="1189"/>
      <c r="AD273" s="1189"/>
      <c r="AE273" s="1189"/>
      <c r="AF273" s="1189"/>
      <c r="AG273" s="1189"/>
      <c r="AH273" s="1189"/>
      <c r="AI273" s="1189"/>
      <c r="AJ273" s="1189"/>
      <c r="AK273" s="1189"/>
      <c r="AL273" s="1189"/>
      <c r="AM273" s="1189"/>
      <c r="AN273" s="1189"/>
      <c r="AO273" s="1189"/>
      <c r="AP273" s="1189"/>
      <c r="AQ273" s="1189"/>
      <c r="AR273" s="1189"/>
      <c r="AS273" s="1189"/>
      <c r="AT273" s="1189"/>
      <c r="AU273" s="1189"/>
      <c r="AV273" s="1189"/>
      <c r="AW273" s="1189"/>
      <c r="AX273" s="1189"/>
    </row>
    <row r="274" spans="4:50" ht="12.75" customHeight="1">
      <c r="D274" s="1231"/>
      <c r="E274" s="1230"/>
      <c r="F274" s="1230"/>
      <c r="G274" s="1230"/>
      <c r="H274" s="1230"/>
      <c r="I274" s="1189"/>
      <c r="J274" s="1189"/>
      <c r="K274" s="1225"/>
      <c r="L274" s="1189"/>
      <c r="M274" s="1189"/>
      <c r="N274" s="1189"/>
      <c r="O274" s="1189"/>
      <c r="P274" s="1189"/>
      <c r="Q274" s="1189"/>
      <c r="R274" s="1189"/>
      <c r="S274" s="1189"/>
      <c r="T274" s="1208"/>
      <c r="U274" s="1208"/>
      <c r="V274" s="1189"/>
      <c r="W274" s="1189"/>
      <c r="X274" s="1189"/>
      <c r="Y274" s="1189"/>
      <c r="Z274" s="1189"/>
      <c r="AA274" s="1189"/>
      <c r="AB274" s="1189"/>
      <c r="AC274" s="1189"/>
      <c r="AD274" s="1189"/>
      <c r="AE274" s="1189"/>
      <c r="AF274" s="1189"/>
      <c r="AG274" s="1189"/>
      <c r="AH274" s="1189"/>
      <c r="AI274" s="1189"/>
      <c r="AJ274" s="1189"/>
      <c r="AK274" s="1189"/>
      <c r="AL274" s="1189"/>
      <c r="AM274" s="1189"/>
      <c r="AN274" s="1189"/>
      <c r="AO274" s="1189"/>
      <c r="AP274" s="1189"/>
      <c r="AQ274" s="1189"/>
      <c r="AR274" s="1189"/>
      <c r="AS274" s="1189"/>
      <c r="AT274" s="1189"/>
      <c r="AU274" s="1189"/>
      <c r="AV274" s="1189"/>
      <c r="AW274" s="1189"/>
      <c r="AX274" s="1189"/>
    </row>
    <row r="275" spans="4:50" ht="12.75" customHeight="1">
      <c r="D275" s="1231"/>
      <c r="E275" s="1230"/>
      <c r="F275" s="1230"/>
      <c r="G275" s="1230"/>
      <c r="H275" s="1230"/>
      <c r="I275" s="1189"/>
      <c r="J275" s="1189"/>
      <c r="K275" s="1189"/>
      <c r="L275" s="1225"/>
      <c r="M275" s="1189"/>
      <c r="N275" s="1189"/>
      <c r="O275" s="1189"/>
      <c r="P275" s="1189"/>
      <c r="Q275" s="1189"/>
      <c r="R275" s="1189"/>
      <c r="S275" s="1189"/>
      <c r="T275" s="1208"/>
      <c r="U275" s="1208"/>
      <c r="V275" s="1189"/>
      <c r="W275" s="1189"/>
      <c r="X275" s="1189"/>
      <c r="Y275" s="1189"/>
      <c r="Z275" s="1189"/>
      <c r="AA275" s="1189"/>
      <c r="AB275" s="1189"/>
      <c r="AC275" s="1189"/>
      <c r="AD275" s="1189"/>
      <c r="AE275" s="1189"/>
      <c r="AF275" s="1189"/>
      <c r="AG275" s="1189"/>
      <c r="AH275" s="1189"/>
      <c r="AI275" s="1189"/>
      <c r="AJ275" s="1189"/>
      <c r="AK275" s="1189"/>
      <c r="AL275" s="1189"/>
      <c r="AM275" s="1189"/>
      <c r="AN275" s="1189"/>
      <c r="AO275" s="1189"/>
      <c r="AP275" s="1189"/>
      <c r="AQ275" s="1189"/>
      <c r="AR275" s="1189"/>
      <c r="AS275" s="1189"/>
      <c r="AT275" s="1189"/>
      <c r="AU275" s="1189"/>
      <c r="AV275" s="1189"/>
      <c r="AW275" s="1189"/>
      <c r="AX275" s="1189"/>
    </row>
    <row r="276" spans="4:50" ht="12.75" customHeight="1">
      <c r="D276" s="1231"/>
      <c r="E276" s="1230"/>
      <c r="F276" s="1230"/>
      <c r="G276" s="1230"/>
      <c r="H276" s="1230"/>
      <c r="I276" s="1189"/>
      <c r="J276" s="1189"/>
      <c r="K276" s="1189"/>
      <c r="L276" s="1225"/>
      <c r="M276" s="1189"/>
      <c r="N276" s="1189"/>
      <c r="O276" s="1189"/>
      <c r="P276" s="1189"/>
      <c r="Q276" s="1189"/>
      <c r="R276" s="1189"/>
      <c r="S276" s="1189"/>
      <c r="T276" s="1208"/>
      <c r="U276" s="1208"/>
      <c r="V276" s="1189"/>
      <c r="W276" s="1189"/>
      <c r="X276" s="1189"/>
      <c r="Y276" s="1189"/>
      <c r="Z276" s="1189"/>
      <c r="AA276" s="1189"/>
      <c r="AB276" s="1189"/>
      <c r="AC276" s="1189"/>
      <c r="AD276" s="1189"/>
      <c r="AE276" s="1189"/>
      <c r="AF276" s="1189"/>
      <c r="AG276" s="1189"/>
      <c r="AH276" s="1189"/>
      <c r="AI276" s="1189"/>
      <c r="AJ276" s="1189"/>
      <c r="AK276" s="1189"/>
      <c r="AL276" s="1189"/>
      <c r="AM276" s="1189"/>
      <c r="AN276" s="1189"/>
      <c r="AO276" s="1189"/>
      <c r="AP276" s="1189"/>
      <c r="AQ276" s="1189"/>
      <c r="AR276" s="1189"/>
      <c r="AS276" s="1189"/>
      <c r="AT276" s="1189"/>
      <c r="AU276" s="1189"/>
      <c r="AV276" s="1189"/>
      <c r="AW276" s="1189"/>
      <c r="AX276" s="1189"/>
    </row>
    <row r="277" spans="4:50" ht="12.75" customHeight="1">
      <c r="D277" s="1231"/>
      <c r="E277" s="1230"/>
      <c r="F277" s="1230"/>
      <c r="G277" s="1230"/>
      <c r="H277" s="1230"/>
      <c r="I277" s="1189"/>
      <c r="J277" s="1189"/>
      <c r="K277" s="1189"/>
      <c r="L277" s="1225"/>
      <c r="M277" s="1189"/>
      <c r="N277" s="1189"/>
      <c r="O277" s="1189"/>
      <c r="P277" s="1189"/>
      <c r="Q277" s="1189"/>
      <c r="R277" s="1189"/>
      <c r="S277" s="1189"/>
      <c r="T277" s="1208"/>
      <c r="U277" s="1208"/>
      <c r="V277" s="1189"/>
      <c r="W277" s="1189"/>
      <c r="X277" s="1189"/>
      <c r="Y277" s="1189"/>
      <c r="Z277" s="1189"/>
      <c r="AA277" s="1189"/>
      <c r="AB277" s="1189"/>
      <c r="AC277" s="1189"/>
      <c r="AD277" s="1189"/>
      <c r="AE277" s="1189"/>
      <c r="AF277" s="1189"/>
      <c r="AG277" s="1189"/>
      <c r="AH277" s="1189"/>
      <c r="AI277" s="1189"/>
      <c r="AJ277" s="1189"/>
      <c r="AK277" s="1189"/>
      <c r="AL277" s="1189"/>
      <c r="AM277" s="1189"/>
      <c r="AN277" s="1189"/>
      <c r="AO277" s="1189"/>
      <c r="AP277" s="1189"/>
      <c r="AQ277" s="1189"/>
      <c r="AR277" s="1189"/>
      <c r="AS277" s="1189"/>
      <c r="AT277" s="1189"/>
      <c r="AU277" s="1189"/>
      <c r="AV277" s="1189"/>
      <c r="AW277" s="1189"/>
      <c r="AX277" s="1189"/>
    </row>
    <row r="278" spans="4:50" ht="12.75" customHeight="1">
      <c r="D278" s="1231"/>
      <c r="E278" s="1230"/>
      <c r="F278" s="1230"/>
      <c r="G278" s="1230"/>
      <c r="H278" s="1230"/>
      <c r="I278" s="1189"/>
      <c r="J278" s="1189"/>
      <c r="K278" s="1189"/>
      <c r="L278" s="1225"/>
      <c r="M278" s="1189"/>
      <c r="N278" s="1189"/>
      <c r="O278" s="1189"/>
      <c r="P278" s="1189"/>
      <c r="Q278" s="1189"/>
      <c r="R278" s="1189"/>
      <c r="S278" s="1189"/>
      <c r="T278" s="1208"/>
      <c r="U278" s="1208"/>
      <c r="V278" s="1189"/>
      <c r="W278" s="1189"/>
      <c r="X278" s="1189"/>
      <c r="Y278" s="1189"/>
      <c r="Z278" s="1189"/>
      <c r="AA278" s="1189"/>
      <c r="AB278" s="1189"/>
      <c r="AC278" s="1189"/>
      <c r="AD278" s="1189"/>
      <c r="AE278" s="1189"/>
      <c r="AF278" s="1189"/>
      <c r="AG278" s="1189"/>
      <c r="AH278" s="1189"/>
      <c r="AI278" s="1189"/>
      <c r="AJ278" s="1189"/>
      <c r="AK278" s="1189"/>
      <c r="AL278" s="1189"/>
      <c r="AM278" s="1189"/>
      <c r="AN278" s="1189"/>
      <c r="AO278" s="1189"/>
      <c r="AP278" s="1189"/>
      <c r="AQ278" s="1189"/>
      <c r="AR278" s="1189"/>
      <c r="AS278" s="1189"/>
      <c r="AT278" s="1189"/>
      <c r="AU278" s="1189"/>
      <c r="AV278" s="1189"/>
      <c r="AW278" s="1189"/>
      <c r="AX278" s="1189"/>
    </row>
    <row r="279" spans="4:50" ht="12.75" customHeight="1">
      <c r="D279" s="1231"/>
      <c r="E279" s="1230"/>
      <c r="F279" s="1230"/>
      <c r="G279" s="1230"/>
      <c r="H279" s="1230"/>
      <c r="I279" s="1189"/>
      <c r="J279" s="1189"/>
      <c r="K279" s="1189"/>
      <c r="L279" s="1225"/>
      <c r="M279" s="1189"/>
      <c r="N279" s="1189"/>
      <c r="O279" s="1189"/>
      <c r="P279" s="1189"/>
      <c r="Q279" s="1189"/>
      <c r="R279" s="1189"/>
      <c r="S279" s="1189"/>
      <c r="T279" s="1208"/>
      <c r="U279" s="1208"/>
      <c r="V279" s="1189"/>
      <c r="W279" s="1189"/>
      <c r="X279" s="1189"/>
      <c r="Y279" s="1189"/>
      <c r="Z279" s="1189"/>
      <c r="AA279" s="1189"/>
      <c r="AB279" s="1189"/>
      <c r="AC279" s="1189"/>
      <c r="AD279" s="1189"/>
      <c r="AE279" s="1189"/>
      <c r="AF279" s="1189"/>
      <c r="AG279" s="1189"/>
      <c r="AH279" s="1189"/>
      <c r="AI279" s="1189"/>
      <c r="AJ279" s="1189"/>
      <c r="AK279" s="1189"/>
      <c r="AL279" s="1189"/>
      <c r="AM279" s="1189"/>
      <c r="AN279" s="1189"/>
      <c r="AO279" s="1189"/>
      <c r="AP279" s="1189"/>
      <c r="AQ279" s="1189"/>
      <c r="AR279" s="1189"/>
      <c r="AS279" s="1189"/>
      <c r="AT279" s="1189"/>
      <c r="AU279" s="1189"/>
      <c r="AV279" s="1189"/>
      <c r="AW279" s="1189"/>
      <c r="AX279" s="1189"/>
    </row>
    <row r="280" spans="4:50" ht="12.75" customHeight="1">
      <c r="D280" s="1231"/>
      <c r="E280" s="1230"/>
      <c r="F280" s="1230"/>
      <c r="G280" s="1230"/>
      <c r="H280" s="1230"/>
      <c r="I280" s="1189"/>
      <c r="J280" s="1189"/>
      <c r="K280" s="1189"/>
      <c r="L280" s="1225"/>
      <c r="M280" s="1189"/>
      <c r="N280" s="1189"/>
      <c r="O280" s="1189"/>
      <c r="P280" s="1189"/>
      <c r="Q280" s="1189"/>
      <c r="R280" s="1189"/>
      <c r="S280" s="1189"/>
      <c r="T280" s="1208"/>
      <c r="U280" s="1208"/>
      <c r="V280" s="1189"/>
      <c r="W280" s="1189"/>
      <c r="X280" s="1189"/>
      <c r="Y280" s="1189"/>
      <c r="Z280" s="1189"/>
      <c r="AA280" s="1189"/>
      <c r="AB280" s="1189"/>
      <c r="AC280" s="1189"/>
      <c r="AD280" s="1189"/>
      <c r="AE280" s="1189"/>
      <c r="AF280" s="1189"/>
      <c r="AG280" s="1189"/>
      <c r="AH280" s="1189"/>
      <c r="AI280" s="1189"/>
      <c r="AJ280" s="1189"/>
      <c r="AK280" s="1189"/>
      <c r="AL280" s="1189"/>
      <c r="AM280" s="1189"/>
      <c r="AN280" s="1189"/>
      <c r="AO280" s="1189"/>
      <c r="AP280" s="1189"/>
      <c r="AQ280" s="1189"/>
      <c r="AR280" s="1189"/>
      <c r="AS280" s="1189"/>
      <c r="AT280" s="1189"/>
      <c r="AU280" s="1189"/>
      <c r="AV280" s="1189"/>
      <c r="AW280" s="1189"/>
      <c r="AX280" s="1189"/>
    </row>
    <row r="281" spans="4:50" ht="12.75" customHeight="1">
      <c r="D281" s="1231"/>
      <c r="E281" s="1230"/>
      <c r="F281" s="1230"/>
      <c r="G281" s="1230"/>
      <c r="H281" s="1230"/>
      <c r="I281" s="1189"/>
      <c r="J281" s="1189"/>
      <c r="K281" s="1189"/>
      <c r="L281" s="1225"/>
      <c r="M281" s="1189"/>
      <c r="N281" s="1189"/>
      <c r="O281" s="1189"/>
      <c r="P281" s="1189"/>
      <c r="Q281" s="1189"/>
      <c r="R281" s="1189"/>
      <c r="S281" s="1189"/>
      <c r="T281" s="1208"/>
      <c r="U281" s="1208"/>
      <c r="V281" s="1189"/>
      <c r="W281" s="1189"/>
      <c r="X281" s="1189"/>
      <c r="Y281" s="1189"/>
      <c r="Z281" s="1189"/>
      <c r="AA281" s="1189"/>
      <c r="AB281" s="1189"/>
      <c r="AC281" s="1189"/>
      <c r="AD281" s="1189"/>
      <c r="AE281" s="1189"/>
      <c r="AF281" s="1189"/>
      <c r="AG281" s="1189"/>
      <c r="AH281" s="1189"/>
      <c r="AI281" s="1189"/>
      <c r="AJ281" s="1189"/>
      <c r="AK281" s="1189"/>
      <c r="AL281" s="1189"/>
      <c r="AM281" s="1189"/>
      <c r="AN281" s="1189"/>
      <c r="AO281" s="1189"/>
      <c r="AP281" s="1189"/>
      <c r="AQ281" s="1189"/>
      <c r="AR281" s="1189"/>
      <c r="AS281" s="1189"/>
      <c r="AT281" s="1189"/>
      <c r="AU281" s="1189"/>
      <c r="AV281" s="1189"/>
      <c r="AW281" s="1189"/>
      <c r="AX281" s="1189"/>
    </row>
    <row r="282" spans="4:50" ht="12.75" customHeight="1">
      <c r="D282" s="1231"/>
      <c r="E282" s="1230"/>
      <c r="F282" s="1230"/>
      <c r="G282" s="1230"/>
      <c r="H282" s="1230"/>
      <c r="I282" s="1189"/>
      <c r="J282" s="1189"/>
      <c r="K282" s="1189"/>
      <c r="L282" s="1225"/>
      <c r="M282" s="1189"/>
      <c r="N282" s="1189"/>
      <c r="O282" s="1189"/>
      <c r="P282" s="1189"/>
      <c r="Q282" s="1189"/>
      <c r="R282" s="1189"/>
      <c r="S282" s="1189"/>
      <c r="T282" s="1208"/>
      <c r="U282" s="1208"/>
      <c r="V282" s="1189"/>
      <c r="W282" s="1189"/>
      <c r="X282" s="1189"/>
      <c r="Y282" s="1189"/>
      <c r="Z282" s="1189"/>
      <c r="AA282" s="1189"/>
      <c r="AB282" s="1189"/>
      <c r="AC282" s="1189"/>
      <c r="AD282" s="1189"/>
      <c r="AE282" s="1189"/>
      <c r="AF282" s="1189"/>
      <c r="AG282" s="1189"/>
      <c r="AH282" s="1189"/>
      <c r="AI282" s="1189"/>
      <c r="AJ282" s="1189"/>
      <c r="AK282" s="1189"/>
      <c r="AL282" s="1189"/>
      <c r="AM282" s="1189"/>
      <c r="AN282" s="1189"/>
      <c r="AO282" s="1189"/>
      <c r="AP282" s="1189"/>
      <c r="AQ282" s="1189"/>
      <c r="AR282" s="1189"/>
      <c r="AS282" s="1189"/>
      <c r="AT282" s="1189"/>
      <c r="AU282" s="1189"/>
      <c r="AV282" s="1189"/>
      <c r="AW282" s="1189"/>
      <c r="AX282" s="1189"/>
    </row>
    <row r="283" spans="4:50" ht="12.75" customHeight="1">
      <c r="D283" s="1231"/>
      <c r="E283" s="1230"/>
      <c r="F283" s="1230"/>
      <c r="G283" s="1230"/>
      <c r="H283" s="1230"/>
      <c r="I283" s="1189"/>
      <c r="J283" s="1189"/>
      <c r="K283" s="1189"/>
      <c r="L283" s="1225"/>
      <c r="M283" s="1189"/>
      <c r="N283" s="1189"/>
      <c r="O283" s="1189"/>
      <c r="P283" s="1189"/>
      <c r="Q283" s="1189"/>
      <c r="R283" s="1189"/>
      <c r="S283" s="1189"/>
      <c r="T283" s="1208"/>
      <c r="U283" s="1208"/>
      <c r="V283" s="1189"/>
      <c r="W283" s="1189"/>
      <c r="X283" s="1189"/>
      <c r="Y283" s="1189"/>
      <c r="Z283" s="1189"/>
      <c r="AA283" s="1189"/>
      <c r="AB283" s="1189"/>
      <c r="AC283" s="1189"/>
      <c r="AD283" s="1189"/>
      <c r="AE283" s="1189"/>
      <c r="AF283" s="1189"/>
      <c r="AG283" s="1189"/>
      <c r="AH283" s="1189"/>
      <c r="AI283" s="1189"/>
      <c r="AJ283" s="1189"/>
      <c r="AK283" s="1189"/>
      <c r="AL283" s="1189"/>
      <c r="AM283" s="1189"/>
      <c r="AN283" s="1189"/>
      <c r="AO283" s="1189"/>
      <c r="AP283" s="1189"/>
      <c r="AQ283" s="1189"/>
      <c r="AR283" s="1189"/>
      <c r="AS283" s="1189"/>
      <c r="AT283" s="1189"/>
      <c r="AU283" s="1189"/>
      <c r="AV283" s="1189"/>
      <c r="AW283" s="1189"/>
      <c r="AX283" s="1189"/>
    </row>
    <row r="284" spans="4:50" ht="12.75" customHeight="1">
      <c r="D284" s="1231"/>
      <c r="E284" s="1230"/>
      <c r="F284" s="1230"/>
      <c r="G284" s="1230"/>
      <c r="H284" s="1230"/>
      <c r="I284" s="1189"/>
      <c r="J284" s="1189"/>
      <c r="K284" s="1189"/>
      <c r="L284" s="1225"/>
      <c r="M284" s="1189"/>
      <c r="N284" s="1189"/>
      <c r="O284" s="1189"/>
      <c r="P284" s="1189"/>
      <c r="Q284" s="1189"/>
      <c r="R284" s="1189"/>
      <c r="S284" s="1189"/>
      <c r="T284" s="1208"/>
      <c r="U284" s="1208"/>
      <c r="V284" s="1189"/>
      <c r="W284" s="1189"/>
      <c r="X284" s="1189"/>
      <c r="Y284" s="1189"/>
      <c r="Z284" s="1189"/>
      <c r="AA284" s="1189"/>
      <c r="AB284" s="1189"/>
      <c r="AC284" s="1189"/>
      <c r="AD284" s="1189"/>
      <c r="AE284" s="1189"/>
      <c r="AF284" s="1189"/>
      <c r="AG284" s="1189"/>
      <c r="AH284" s="1189"/>
      <c r="AI284" s="1189"/>
      <c r="AJ284" s="1189"/>
      <c r="AK284" s="1189"/>
      <c r="AL284" s="1189"/>
      <c r="AM284" s="1189"/>
      <c r="AN284" s="1189"/>
      <c r="AO284" s="1189"/>
      <c r="AP284" s="1189"/>
      <c r="AQ284" s="1189"/>
      <c r="AR284" s="1189"/>
      <c r="AS284" s="1189"/>
      <c r="AT284" s="1189"/>
      <c r="AU284" s="1189"/>
      <c r="AV284" s="1189"/>
      <c r="AW284" s="1189"/>
      <c r="AX284" s="1189"/>
    </row>
    <row r="285" spans="4:50" ht="12.75" customHeight="1">
      <c r="D285" s="1231"/>
      <c r="E285" s="1230"/>
      <c r="F285" s="1230"/>
      <c r="G285" s="1230"/>
      <c r="H285" s="1230"/>
      <c r="I285" s="1189"/>
      <c r="J285" s="1189"/>
      <c r="K285" s="1189"/>
      <c r="L285" s="1225"/>
      <c r="M285" s="1189"/>
      <c r="N285" s="1189"/>
      <c r="O285" s="1189"/>
      <c r="P285" s="1189"/>
      <c r="Q285" s="1189"/>
      <c r="R285" s="1189"/>
      <c r="S285" s="1189"/>
      <c r="T285" s="1208"/>
      <c r="U285" s="1208"/>
      <c r="V285" s="1189"/>
      <c r="W285" s="1189"/>
      <c r="X285" s="1189"/>
      <c r="Y285" s="1189"/>
      <c r="Z285" s="1189"/>
      <c r="AA285" s="1189"/>
      <c r="AB285" s="1189"/>
      <c r="AC285" s="1189"/>
      <c r="AD285" s="1189"/>
      <c r="AE285" s="1189"/>
      <c r="AF285" s="1189"/>
      <c r="AG285" s="1189"/>
      <c r="AH285" s="1189"/>
      <c r="AI285" s="1189"/>
      <c r="AJ285" s="1189"/>
      <c r="AK285" s="1189"/>
      <c r="AL285" s="1189"/>
      <c r="AM285" s="1189"/>
      <c r="AN285" s="1189"/>
      <c r="AO285" s="1189"/>
      <c r="AP285" s="1189"/>
      <c r="AQ285" s="1189"/>
      <c r="AR285" s="1189"/>
      <c r="AS285" s="1189"/>
      <c r="AT285" s="1189"/>
      <c r="AU285" s="1189"/>
      <c r="AV285" s="1189"/>
      <c r="AW285" s="1189"/>
      <c r="AX285" s="1189"/>
    </row>
    <row r="286" spans="4:50" ht="12.75" customHeight="1">
      <c r="D286" s="1231"/>
      <c r="E286" s="1230"/>
      <c r="F286" s="1230"/>
      <c r="G286" s="1230"/>
      <c r="H286" s="1230"/>
      <c r="I286" s="1189"/>
      <c r="J286" s="1189"/>
      <c r="K286" s="1189"/>
      <c r="L286" s="1225"/>
      <c r="M286" s="1189"/>
      <c r="N286" s="1189"/>
      <c r="O286" s="1189"/>
      <c r="P286" s="1189"/>
      <c r="Q286" s="1189"/>
      <c r="R286" s="1189"/>
      <c r="S286" s="1189"/>
      <c r="T286" s="1208"/>
      <c r="U286" s="1208"/>
      <c r="V286" s="1189"/>
      <c r="W286" s="1189"/>
      <c r="X286" s="1189"/>
      <c r="Y286" s="1189"/>
      <c r="Z286" s="1189"/>
      <c r="AA286" s="1189"/>
      <c r="AB286" s="1189"/>
      <c r="AC286" s="1189"/>
      <c r="AD286" s="1189"/>
      <c r="AE286" s="1189"/>
      <c r="AF286" s="1189"/>
      <c r="AG286" s="1189"/>
      <c r="AH286" s="1189"/>
      <c r="AI286" s="1189"/>
      <c r="AJ286" s="1189"/>
      <c r="AK286" s="1189"/>
      <c r="AL286" s="1189"/>
      <c r="AM286" s="1189"/>
      <c r="AN286" s="1189"/>
      <c r="AO286" s="1189"/>
      <c r="AP286" s="1189"/>
      <c r="AQ286" s="1189"/>
      <c r="AR286" s="1189"/>
      <c r="AS286" s="1189"/>
      <c r="AT286" s="1189"/>
      <c r="AU286" s="1189"/>
      <c r="AV286" s="1189"/>
      <c r="AW286" s="1189"/>
      <c r="AX286" s="1189"/>
    </row>
    <row r="287" spans="4:50" ht="12.75" customHeight="1">
      <c r="D287" s="1231"/>
      <c r="E287" s="1230"/>
      <c r="F287" s="1230"/>
      <c r="G287" s="1230"/>
      <c r="H287" s="1230"/>
      <c r="I287" s="1189"/>
      <c r="J287" s="1189"/>
      <c r="K287" s="1189"/>
      <c r="L287" s="1225"/>
      <c r="M287" s="1189"/>
      <c r="N287" s="1189"/>
      <c r="O287" s="1189"/>
      <c r="P287" s="1189"/>
      <c r="Q287" s="1189"/>
      <c r="R287" s="1189"/>
      <c r="S287" s="1189"/>
      <c r="T287" s="1208"/>
      <c r="U287" s="1208"/>
      <c r="V287" s="1189"/>
      <c r="W287" s="1189"/>
      <c r="X287" s="1189"/>
      <c r="Y287" s="1189"/>
      <c r="Z287" s="1189"/>
      <c r="AA287" s="1189"/>
      <c r="AB287" s="1189"/>
      <c r="AC287" s="1189"/>
      <c r="AD287" s="1189"/>
      <c r="AE287" s="1189"/>
      <c r="AF287" s="1189"/>
      <c r="AG287" s="1189"/>
      <c r="AH287" s="1189"/>
      <c r="AI287" s="1189"/>
      <c r="AJ287" s="1189"/>
      <c r="AK287" s="1189"/>
      <c r="AL287" s="1189"/>
      <c r="AM287" s="1189"/>
      <c r="AN287" s="1189"/>
      <c r="AO287" s="1189"/>
      <c r="AP287" s="1189"/>
      <c r="AQ287" s="1189"/>
      <c r="AR287" s="1189"/>
      <c r="AS287" s="1189"/>
      <c r="AT287" s="1189"/>
      <c r="AU287" s="1189"/>
      <c r="AV287" s="1189"/>
      <c r="AW287" s="1189"/>
      <c r="AX287" s="1189"/>
    </row>
    <row r="288" spans="4:50" ht="12.75" customHeight="1">
      <c r="D288" s="1231"/>
      <c r="E288" s="1230"/>
      <c r="F288" s="1230"/>
      <c r="G288" s="1230"/>
      <c r="H288" s="1230"/>
      <c r="I288" s="1189"/>
      <c r="J288" s="1189"/>
      <c r="K288" s="1189"/>
      <c r="L288" s="1225"/>
      <c r="M288" s="1189"/>
      <c r="N288" s="1189"/>
      <c r="O288" s="1189"/>
      <c r="P288" s="1189"/>
      <c r="Q288" s="1189"/>
      <c r="R288" s="1189"/>
      <c r="S288" s="1189"/>
      <c r="T288" s="1208"/>
      <c r="U288" s="1208"/>
      <c r="V288" s="1189"/>
      <c r="W288" s="1189"/>
      <c r="X288" s="1189"/>
      <c r="Y288" s="1189"/>
      <c r="Z288" s="1189"/>
      <c r="AA288" s="1189"/>
      <c r="AB288" s="1189"/>
      <c r="AC288" s="1189"/>
      <c r="AD288" s="1189"/>
      <c r="AE288" s="1189"/>
      <c r="AF288" s="1189"/>
      <c r="AG288" s="1189"/>
      <c r="AH288" s="1189"/>
      <c r="AI288" s="1189"/>
      <c r="AJ288" s="1189"/>
      <c r="AK288" s="1189"/>
      <c r="AL288" s="1189"/>
      <c r="AM288" s="1189"/>
      <c r="AN288" s="1189"/>
      <c r="AO288" s="1189"/>
      <c r="AP288" s="1189"/>
      <c r="AQ288" s="1189"/>
      <c r="AR288" s="1189"/>
      <c r="AS288" s="1189"/>
      <c r="AT288" s="1189"/>
      <c r="AU288" s="1189"/>
      <c r="AV288" s="1189"/>
      <c r="AW288" s="1189"/>
      <c r="AX288" s="1189"/>
    </row>
    <row r="289" spans="4:50" ht="12.75" customHeight="1">
      <c r="D289" s="1231"/>
      <c r="E289" s="1230"/>
      <c r="F289" s="1230"/>
      <c r="G289" s="1230"/>
      <c r="H289" s="1230"/>
      <c r="I289" s="1189"/>
      <c r="J289" s="1189"/>
      <c r="K289" s="1189"/>
      <c r="L289" s="1225"/>
      <c r="M289" s="1189"/>
      <c r="N289" s="1189"/>
      <c r="O289" s="1189"/>
      <c r="P289" s="1189"/>
      <c r="Q289" s="1189"/>
      <c r="R289" s="1189"/>
      <c r="S289" s="1189"/>
      <c r="T289" s="1208"/>
      <c r="U289" s="1208"/>
      <c r="V289" s="1189"/>
      <c r="W289" s="1189"/>
      <c r="X289" s="1189"/>
      <c r="Y289" s="1189"/>
      <c r="Z289" s="1189"/>
      <c r="AA289" s="1189"/>
      <c r="AB289" s="1189"/>
      <c r="AC289" s="1189"/>
      <c r="AD289" s="1189"/>
      <c r="AE289" s="1189"/>
      <c r="AF289" s="1189"/>
      <c r="AG289" s="1189"/>
      <c r="AH289" s="1189"/>
      <c r="AI289" s="1189"/>
      <c r="AJ289" s="1189"/>
      <c r="AK289" s="1189"/>
      <c r="AL289" s="1189"/>
      <c r="AM289" s="1189"/>
      <c r="AN289" s="1189"/>
      <c r="AO289" s="1189"/>
      <c r="AP289" s="1189"/>
      <c r="AQ289" s="1189"/>
      <c r="AR289" s="1189"/>
      <c r="AS289" s="1189"/>
      <c r="AT289" s="1189"/>
      <c r="AU289" s="1189"/>
      <c r="AV289" s="1189"/>
      <c r="AW289" s="1189"/>
      <c r="AX289" s="1189"/>
    </row>
    <row r="290" spans="4:50" ht="12.75" customHeight="1">
      <c r="D290" s="1231"/>
      <c r="E290" s="1230"/>
      <c r="F290" s="1230"/>
      <c r="G290" s="1230"/>
      <c r="H290" s="1230"/>
      <c r="I290" s="1189"/>
      <c r="J290" s="1189"/>
      <c r="K290" s="1189"/>
      <c r="L290" s="1225"/>
      <c r="M290" s="1189"/>
      <c r="N290" s="1189"/>
      <c r="O290" s="1189"/>
      <c r="P290" s="1189"/>
      <c r="Q290" s="1189"/>
      <c r="R290" s="1189"/>
      <c r="S290" s="1189"/>
      <c r="T290" s="1208"/>
      <c r="U290" s="1208"/>
      <c r="V290" s="1189"/>
      <c r="W290" s="1189"/>
      <c r="X290" s="1189"/>
      <c r="Y290" s="1189"/>
      <c r="Z290" s="1189"/>
      <c r="AA290" s="1189"/>
      <c r="AB290" s="1189"/>
      <c r="AC290" s="1189"/>
      <c r="AD290" s="1189"/>
      <c r="AE290" s="1189"/>
      <c r="AF290" s="1189"/>
      <c r="AG290" s="1189"/>
      <c r="AH290" s="1189"/>
      <c r="AI290" s="1189"/>
      <c r="AJ290" s="1189"/>
      <c r="AK290" s="1189"/>
      <c r="AL290" s="1189"/>
      <c r="AM290" s="1189"/>
      <c r="AN290" s="1189"/>
      <c r="AO290" s="1189"/>
      <c r="AP290" s="1189"/>
      <c r="AQ290" s="1189"/>
      <c r="AR290" s="1189"/>
      <c r="AS290" s="1189"/>
      <c r="AT290" s="1189"/>
      <c r="AU290" s="1189"/>
      <c r="AV290" s="1189"/>
      <c r="AW290" s="1189"/>
      <c r="AX290" s="1189"/>
    </row>
    <row r="291" spans="4:50" ht="12.75" customHeight="1">
      <c r="D291" s="1231"/>
      <c r="E291" s="1230"/>
      <c r="F291" s="1230"/>
      <c r="G291" s="1230"/>
      <c r="H291" s="1230"/>
      <c r="I291" s="1189"/>
      <c r="J291" s="1189"/>
      <c r="K291" s="1189"/>
      <c r="L291" s="1225"/>
      <c r="M291" s="1189"/>
      <c r="N291" s="1189"/>
      <c r="O291" s="1189"/>
      <c r="P291" s="1189"/>
      <c r="Q291" s="1189"/>
      <c r="R291" s="1189"/>
      <c r="S291" s="1189"/>
      <c r="T291" s="1208"/>
      <c r="U291" s="1208"/>
      <c r="V291" s="1189"/>
      <c r="W291" s="1189"/>
      <c r="X291" s="1189"/>
      <c r="Y291" s="1189"/>
      <c r="Z291" s="1189"/>
      <c r="AA291" s="1189"/>
      <c r="AB291" s="1189"/>
      <c r="AC291" s="1189"/>
      <c r="AD291" s="1189"/>
      <c r="AE291" s="1189"/>
      <c r="AF291" s="1189"/>
      <c r="AG291" s="1189"/>
      <c r="AH291" s="1189"/>
      <c r="AI291" s="1189"/>
      <c r="AJ291" s="1189"/>
      <c r="AK291" s="1189"/>
      <c r="AL291" s="1189"/>
      <c r="AM291" s="1189"/>
      <c r="AN291" s="1189"/>
      <c r="AO291" s="1189"/>
      <c r="AP291" s="1189"/>
      <c r="AQ291" s="1189"/>
      <c r="AR291" s="1189"/>
      <c r="AS291" s="1189"/>
      <c r="AT291" s="1189"/>
      <c r="AU291" s="1189"/>
      <c r="AV291" s="1189"/>
      <c r="AW291" s="1189"/>
      <c r="AX291" s="1189"/>
    </row>
    <row r="292" spans="4:50" ht="12.75" customHeight="1">
      <c r="D292" s="1231"/>
      <c r="E292" s="1230"/>
      <c r="F292" s="1230"/>
      <c r="G292" s="1230"/>
      <c r="H292" s="1230"/>
      <c r="I292" s="1189"/>
      <c r="J292" s="1189"/>
      <c r="K292" s="1189"/>
      <c r="L292" s="1225"/>
      <c r="M292" s="1189"/>
      <c r="N292" s="1189"/>
      <c r="O292" s="1189"/>
      <c r="P292" s="1189"/>
      <c r="Q292" s="1189"/>
      <c r="R292" s="1189"/>
      <c r="S292" s="1189"/>
      <c r="T292" s="1208"/>
      <c r="U292" s="1208"/>
      <c r="V292" s="1189"/>
      <c r="W292" s="1189"/>
      <c r="X292" s="1189"/>
      <c r="Y292" s="1189"/>
      <c r="Z292" s="1189"/>
      <c r="AA292" s="1189"/>
      <c r="AB292" s="1189"/>
      <c r="AC292" s="1189"/>
      <c r="AD292" s="1189"/>
      <c r="AE292" s="1189"/>
      <c r="AF292" s="1189"/>
      <c r="AG292" s="1189"/>
      <c r="AH292" s="1189"/>
      <c r="AI292" s="1189"/>
      <c r="AJ292" s="1189"/>
      <c r="AK292" s="1189"/>
      <c r="AL292" s="1189"/>
      <c r="AM292" s="1189"/>
      <c r="AN292" s="1189"/>
      <c r="AO292" s="1189"/>
      <c r="AP292" s="1189"/>
      <c r="AQ292" s="1189"/>
      <c r="AR292" s="1189"/>
      <c r="AS292" s="1189"/>
      <c r="AT292" s="1189"/>
      <c r="AU292" s="1189"/>
      <c r="AV292" s="1189"/>
      <c r="AW292" s="1189"/>
      <c r="AX292" s="1189"/>
    </row>
    <row r="293" spans="4:50" ht="12.75" customHeight="1">
      <c r="D293" s="1231"/>
      <c r="E293" s="1230"/>
      <c r="F293" s="1230"/>
      <c r="G293" s="1230"/>
      <c r="H293" s="1230"/>
      <c r="I293" s="1189"/>
      <c r="J293" s="1189"/>
      <c r="K293" s="1189"/>
      <c r="L293" s="1225"/>
      <c r="M293" s="1189"/>
      <c r="N293" s="1189"/>
      <c r="O293" s="1189"/>
      <c r="P293" s="1189"/>
      <c r="Q293" s="1189"/>
      <c r="R293" s="1189"/>
      <c r="S293" s="1189"/>
      <c r="T293" s="1208"/>
      <c r="U293" s="1208"/>
      <c r="V293" s="1189"/>
      <c r="W293" s="1189"/>
      <c r="X293" s="1189"/>
      <c r="Y293" s="1189"/>
      <c r="Z293" s="1189"/>
      <c r="AA293" s="1189"/>
      <c r="AB293" s="1189"/>
      <c r="AC293" s="1189"/>
      <c r="AD293" s="1189"/>
      <c r="AE293" s="1189"/>
      <c r="AF293" s="1189"/>
      <c r="AG293" s="1189"/>
      <c r="AH293" s="1189"/>
      <c r="AI293" s="1189"/>
      <c r="AJ293" s="1189"/>
      <c r="AK293" s="1189"/>
      <c r="AL293" s="1189"/>
      <c r="AM293" s="1189"/>
      <c r="AN293" s="1189"/>
      <c r="AO293" s="1189"/>
      <c r="AP293" s="1189"/>
      <c r="AQ293" s="1189"/>
      <c r="AR293" s="1189"/>
      <c r="AS293" s="1189"/>
      <c r="AT293" s="1189"/>
      <c r="AU293" s="1189"/>
      <c r="AV293" s="1189"/>
      <c r="AW293" s="1189"/>
      <c r="AX293" s="1189"/>
    </row>
    <row r="294" spans="4:50" ht="12.75" customHeight="1">
      <c r="D294" s="1231"/>
      <c r="E294" s="1230"/>
      <c r="F294" s="1230"/>
      <c r="G294" s="1230"/>
      <c r="H294" s="1230"/>
      <c r="I294" s="1189"/>
      <c r="J294" s="1189"/>
      <c r="K294" s="1189"/>
      <c r="L294" s="1225"/>
      <c r="M294" s="1189"/>
      <c r="N294" s="1189"/>
      <c r="O294" s="1189"/>
      <c r="P294" s="1189"/>
      <c r="Q294" s="1189"/>
      <c r="R294" s="1189"/>
      <c r="S294" s="1189"/>
      <c r="T294" s="1208"/>
      <c r="U294" s="1208"/>
      <c r="V294" s="1189"/>
      <c r="W294" s="1189"/>
      <c r="X294" s="1189"/>
      <c r="Y294" s="1189"/>
      <c r="Z294" s="1189"/>
      <c r="AA294" s="1189"/>
      <c r="AB294" s="1189"/>
      <c r="AC294" s="1189"/>
      <c r="AD294" s="1189"/>
      <c r="AE294" s="1189"/>
      <c r="AF294" s="1189"/>
      <c r="AG294" s="1189"/>
      <c r="AH294" s="1189"/>
      <c r="AI294" s="1189"/>
      <c r="AJ294" s="1189"/>
      <c r="AK294" s="1189"/>
      <c r="AL294" s="1189"/>
      <c r="AM294" s="1189"/>
      <c r="AN294" s="1189"/>
      <c r="AO294" s="1189"/>
      <c r="AP294" s="1189"/>
      <c r="AQ294" s="1189"/>
      <c r="AR294" s="1189"/>
      <c r="AS294" s="1189"/>
      <c r="AT294" s="1189"/>
      <c r="AU294" s="1189"/>
      <c r="AV294" s="1189"/>
      <c r="AW294" s="1189"/>
      <c r="AX294" s="1189"/>
    </row>
    <row r="295" spans="4:50" ht="12.75" customHeight="1">
      <c r="D295" s="1231"/>
      <c r="E295" s="1230"/>
      <c r="F295" s="1230"/>
      <c r="G295" s="1230"/>
      <c r="H295" s="1230"/>
      <c r="I295" s="1189"/>
      <c r="J295" s="1189"/>
      <c r="K295" s="1189"/>
      <c r="L295" s="1225"/>
      <c r="M295" s="1189"/>
      <c r="N295" s="1189"/>
      <c r="O295" s="1189"/>
      <c r="P295" s="1189"/>
      <c r="Q295" s="1189"/>
      <c r="R295" s="1189"/>
      <c r="S295" s="1189"/>
      <c r="T295" s="1208"/>
      <c r="U295" s="1208"/>
      <c r="V295" s="1189"/>
      <c r="W295" s="1189"/>
      <c r="X295" s="1189"/>
      <c r="Y295" s="1189"/>
      <c r="Z295" s="1189"/>
      <c r="AA295" s="1189"/>
      <c r="AB295" s="1189"/>
      <c r="AC295" s="1189"/>
      <c r="AD295" s="1189"/>
      <c r="AE295" s="1189"/>
      <c r="AF295" s="1189"/>
      <c r="AG295" s="1189"/>
      <c r="AH295" s="1189"/>
      <c r="AI295" s="1189"/>
      <c r="AJ295" s="1189"/>
      <c r="AK295" s="1189"/>
      <c r="AL295" s="1189"/>
      <c r="AM295" s="1189"/>
      <c r="AN295" s="1189"/>
      <c r="AO295" s="1189"/>
      <c r="AP295" s="1189"/>
      <c r="AQ295" s="1189"/>
      <c r="AR295" s="1189"/>
      <c r="AS295" s="1189"/>
      <c r="AT295" s="1189"/>
      <c r="AU295" s="1189"/>
      <c r="AV295" s="1189"/>
      <c r="AW295" s="1189"/>
      <c r="AX295" s="1189"/>
    </row>
    <row r="296" spans="4:50" ht="12.75" customHeight="1">
      <c r="D296" s="1231"/>
      <c r="E296" s="1230"/>
      <c r="F296" s="1230"/>
      <c r="G296" s="1230"/>
      <c r="H296" s="1230"/>
      <c r="I296" s="1189"/>
      <c r="J296" s="1189"/>
      <c r="K296" s="1189"/>
      <c r="L296" s="1225"/>
      <c r="M296" s="1189"/>
      <c r="N296" s="1189"/>
      <c r="O296" s="1189"/>
      <c r="P296" s="1189"/>
      <c r="Q296" s="1189"/>
      <c r="R296" s="1189"/>
      <c r="S296" s="1189"/>
      <c r="T296" s="1208"/>
      <c r="U296" s="1208"/>
      <c r="V296" s="1189"/>
      <c r="W296" s="1189"/>
      <c r="X296" s="1189"/>
      <c r="Y296" s="1189"/>
      <c r="Z296" s="1189"/>
      <c r="AA296" s="1189"/>
      <c r="AB296" s="1189"/>
      <c r="AC296" s="1189"/>
      <c r="AD296" s="1189"/>
      <c r="AE296" s="1189"/>
      <c r="AF296" s="1189"/>
      <c r="AG296" s="1189"/>
      <c r="AH296" s="1189"/>
      <c r="AI296" s="1189"/>
      <c r="AJ296" s="1189"/>
      <c r="AK296" s="1189"/>
      <c r="AL296" s="1189"/>
      <c r="AM296" s="1189"/>
      <c r="AN296" s="1189"/>
      <c r="AO296" s="1189"/>
      <c r="AP296" s="1189"/>
      <c r="AQ296" s="1189"/>
      <c r="AR296" s="1189"/>
      <c r="AS296" s="1189"/>
      <c r="AT296" s="1189"/>
      <c r="AU296" s="1189"/>
      <c r="AV296" s="1189"/>
      <c r="AW296" s="1189"/>
      <c r="AX296" s="1189"/>
    </row>
    <row r="297" spans="4:50" ht="12.75" customHeight="1">
      <c r="D297" s="1231"/>
      <c r="E297" s="1230"/>
      <c r="F297" s="1230"/>
      <c r="G297" s="1230"/>
      <c r="H297" s="1230"/>
      <c r="I297" s="1189"/>
      <c r="J297" s="1189"/>
      <c r="K297" s="1189"/>
      <c r="L297" s="1225"/>
      <c r="M297" s="1189"/>
      <c r="N297" s="1189"/>
      <c r="O297" s="1189"/>
      <c r="P297" s="1189"/>
      <c r="Q297" s="1189"/>
      <c r="R297" s="1189"/>
      <c r="S297" s="1189"/>
      <c r="T297" s="1208"/>
      <c r="U297" s="1208"/>
      <c r="V297" s="1189"/>
      <c r="W297" s="1189"/>
      <c r="X297" s="1189"/>
      <c r="Y297" s="1189"/>
      <c r="Z297" s="1189"/>
      <c r="AA297" s="1189"/>
      <c r="AB297" s="1189"/>
      <c r="AC297" s="1189"/>
      <c r="AD297" s="1189"/>
      <c r="AE297" s="1189"/>
      <c r="AF297" s="1189"/>
      <c r="AG297" s="1189"/>
      <c r="AH297" s="1189"/>
      <c r="AI297" s="1189"/>
      <c r="AJ297" s="1189"/>
      <c r="AK297" s="1189"/>
      <c r="AL297" s="1189"/>
      <c r="AM297" s="1189"/>
      <c r="AN297" s="1189"/>
      <c r="AO297" s="1189"/>
      <c r="AP297" s="1189"/>
      <c r="AQ297" s="1189"/>
      <c r="AR297" s="1189"/>
      <c r="AS297" s="1189"/>
      <c r="AT297" s="1189"/>
      <c r="AU297" s="1189"/>
      <c r="AV297" s="1189"/>
      <c r="AW297" s="1189"/>
      <c r="AX297" s="1189"/>
    </row>
    <row r="298" spans="4:50" ht="12.75" customHeight="1">
      <c r="D298" s="1231"/>
      <c r="E298" s="1230"/>
      <c r="F298" s="1230"/>
      <c r="G298" s="1230"/>
      <c r="H298" s="1230"/>
      <c r="I298" s="1189"/>
      <c r="J298" s="1189"/>
      <c r="K298" s="1189"/>
      <c r="L298" s="1225"/>
      <c r="M298" s="1189"/>
      <c r="N298" s="1189"/>
      <c r="O298" s="1189"/>
      <c r="P298" s="1189"/>
      <c r="Q298" s="1189"/>
      <c r="R298" s="1189"/>
      <c r="S298" s="1189"/>
      <c r="T298" s="1208"/>
      <c r="U298" s="1208"/>
      <c r="V298" s="1189"/>
      <c r="W298" s="1189"/>
      <c r="X298" s="1189"/>
      <c r="Y298" s="1189"/>
      <c r="Z298" s="1189"/>
      <c r="AA298" s="1189"/>
      <c r="AB298" s="1189"/>
      <c r="AC298" s="1189"/>
      <c r="AD298" s="1189"/>
      <c r="AE298" s="1189"/>
      <c r="AF298" s="1189"/>
      <c r="AG298" s="1189"/>
      <c r="AH298" s="1189"/>
      <c r="AI298" s="1189"/>
      <c r="AJ298" s="1189"/>
      <c r="AK298" s="1189"/>
      <c r="AL298" s="1189"/>
      <c r="AM298" s="1189"/>
      <c r="AN298" s="1189"/>
      <c r="AO298" s="1189"/>
      <c r="AP298" s="1189"/>
      <c r="AQ298" s="1189"/>
      <c r="AR298" s="1189"/>
      <c r="AS298" s="1189"/>
      <c r="AT298" s="1189"/>
      <c r="AU298" s="1189"/>
      <c r="AV298" s="1189"/>
      <c r="AW298" s="1189"/>
      <c r="AX298" s="1189"/>
    </row>
    <row r="299" spans="4:50" ht="12.75" customHeight="1">
      <c r="D299" s="1231"/>
      <c r="E299" s="1230"/>
      <c r="F299" s="1230"/>
      <c r="G299" s="1230"/>
      <c r="H299" s="1230"/>
      <c r="I299" s="1189"/>
      <c r="J299" s="1189"/>
      <c r="K299" s="1189"/>
      <c r="L299" s="1225"/>
      <c r="M299" s="1189"/>
      <c r="N299" s="1189"/>
      <c r="O299" s="1189"/>
      <c r="P299" s="1189"/>
      <c r="Q299" s="1189"/>
      <c r="R299" s="1189"/>
      <c r="S299" s="1189"/>
      <c r="T299" s="1208"/>
      <c r="U299" s="1208"/>
      <c r="V299" s="1189"/>
      <c r="W299" s="1189"/>
      <c r="X299" s="1189"/>
      <c r="Y299" s="1189"/>
      <c r="Z299" s="1189"/>
      <c r="AA299" s="1189"/>
      <c r="AB299" s="1189"/>
      <c r="AC299" s="1189"/>
      <c r="AD299" s="1189"/>
      <c r="AE299" s="1189"/>
      <c r="AF299" s="1189"/>
      <c r="AG299" s="1189"/>
      <c r="AH299" s="1189"/>
      <c r="AI299" s="1189"/>
      <c r="AJ299" s="1189"/>
      <c r="AK299" s="1189"/>
      <c r="AL299" s="1189"/>
      <c r="AM299" s="1189"/>
      <c r="AN299" s="1189"/>
      <c r="AO299" s="1189"/>
      <c r="AP299" s="1189"/>
      <c r="AQ299" s="1189"/>
      <c r="AR299" s="1189"/>
      <c r="AS299" s="1189"/>
      <c r="AT299" s="1189"/>
      <c r="AU299" s="1189"/>
      <c r="AV299" s="1189"/>
      <c r="AW299" s="1189"/>
      <c r="AX299" s="1189"/>
    </row>
    <row r="300" spans="4:50" ht="12.75" customHeight="1">
      <c r="D300" s="1231"/>
      <c r="E300" s="1230"/>
      <c r="F300" s="1230"/>
      <c r="G300" s="1230"/>
      <c r="H300" s="1230"/>
      <c r="I300" s="1189"/>
      <c r="J300" s="1189"/>
      <c r="K300" s="1189"/>
      <c r="L300" s="1225"/>
      <c r="M300" s="1189"/>
      <c r="N300" s="1189"/>
      <c r="O300" s="1189"/>
      <c r="P300" s="1189"/>
      <c r="Q300" s="1189"/>
      <c r="R300" s="1189"/>
      <c r="S300" s="1189"/>
      <c r="T300" s="1208"/>
      <c r="U300" s="1208"/>
      <c r="V300" s="1189"/>
      <c r="W300" s="1189"/>
      <c r="X300" s="1189"/>
      <c r="Y300" s="1189"/>
      <c r="Z300" s="1189"/>
      <c r="AA300" s="1189"/>
      <c r="AB300" s="1189"/>
      <c r="AC300" s="1189"/>
      <c r="AD300" s="1189"/>
      <c r="AE300" s="1189"/>
      <c r="AF300" s="1189"/>
      <c r="AG300" s="1189"/>
      <c r="AH300" s="1189"/>
      <c r="AI300" s="1189"/>
      <c r="AJ300" s="1189"/>
      <c r="AK300" s="1189"/>
      <c r="AL300" s="1189"/>
      <c r="AM300" s="1189"/>
      <c r="AN300" s="1189"/>
      <c r="AO300" s="1189"/>
      <c r="AP300" s="1189"/>
      <c r="AQ300" s="1189"/>
      <c r="AR300" s="1189"/>
      <c r="AS300" s="1189"/>
      <c r="AT300" s="1189"/>
      <c r="AU300" s="1189"/>
      <c r="AV300" s="1189"/>
      <c r="AW300" s="1189"/>
      <c r="AX300" s="1189"/>
    </row>
    <row r="301" spans="4:50" ht="12.75" customHeight="1">
      <c r="D301" s="1231"/>
      <c r="E301" s="1230"/>
      <c r="F301" s="1230"/>
      <c r="G301" s="1230"/>
      <c r="H301" s="1230"/>
      <c r="I301" s="1189"/>
      <c r="J301" s="1189"/>
      <c r="K301" s="1189"/>
      <c r="L301" s="1225"/>
      <c r="M301" s="1189"/>
      <c r="N301" s="1189"/>
      <c r="O301" s="1189"/>
      <c r="P301" s="1189"/>
      <c r="Q301" s="1189"/>
      <c r="R301" s="1189"/>
      <c r="S301" s="1189"/>
      <c r="T301" s="1208"/>
      <c r="U301" s="1208"/>
      <c r="V301" s="1189"/>
      <c r="W301" s="1189"/>
      <c r="X301" s="1189"/>
      <c r="Y301" s="1189"/>
      <c r="Z301" s="1189"/>
      <c r="AA301" s="1189"/>
      <c r="AB301" s="1189"/>
      <c r="AC301" s="1189"/>
      <c r="AD301" s="1189"/>
      <c r="AE301" s="1189"/>
      <c r="AF301" s="1189"/>
      <c r="AG301" s="1189"/>
      <c r="AH301" s="1189"/>
      <c r="AI301" s="1189"/>
      <c r="AJ301" s="1189"/>
      <c r="AK301" s="1189"/>
      <c r="AL301" s="1189"/>
      <c r="AM301" s="1189"/>
      <c r="AN301" s="1189"/>
      <c r="AO301" s="1189"/>
      <c r="AP301" s="1189"/>
      <c r="AQ301" s="1189"/>
      <c r="AR301" s="1189"/>
      <c r="AS301" s="1189"/>
      <c r="AT301" s="1189"/>
      <c r="AU301" s="1189"/>
      <c r="AV301" s="1189"/>
      <c r="AW301" s="1189"/>
      <c r="AX301" s="1189"/>
    </row>
    <row r="302" spans="4:50" ht="12.75" customHeight="1">
      <c r="D302" s="1231"/>
      <c r="E302" s="1230"/>
      <c r="F302" s="1230"/>
      <c r="G302" s="1230"/>
      <c r="H302" s="1230"/>
      <c r="I302" s="1189"/>
      <c r="J302" s="1189"/>
      <c r="K302" s="1189"/>
      <c r="L302" s="1225"/>
      <c r="M302" s="1189"/>
      <c r="N302" s="1189"/>
      <c r="O302" s="1189"/>
      <c r="P302" s="1189"/>
      <c r="Q302" s="1189"/>
      <c r="R302" s="1189"/>
      <c r="S302" s="1189"/>
      <c r="T302" s="1208"/>
      <c r="U302" s="1208"/>
      <c r="V302" s="1189"/>
      <c r="W302" s="1189"/>
      <c r="X302" s="1189"/>
      <c r="Y302" s="1189"/>
      <c r="Z302" s="1189"/>
      <c r="AA302" s="1189"/>
      <c r="AB302" s="1189"/>
      <c r="AC302" s="1189"/>
      <c r="AD302" s="1189"/>
      <c r="AE302" s="1189"/>
      <c r="AF302" s="1189"/>
      <c r="AG302" s="1189"/>
      <c r="AH302" s="1189"/>
      <c r="AI302" s="1189"/>
      <c r="AJ302" s="1189"/>
      <c r="AK302" s="1189"/>
      <c r="AL302" s="1189"/>
      <c r="AM302" s="1189"/>
      <c r="AN302" s="1189"/>
      <c r="AO302" s="1189"/>
      <c r="AP302" s="1189"/>
      <c r="AQ302" s="1189"/>
      <c r="AR302" s="1189"/>
      <c r="AS302" s="1189"/>
      <c r="AT302" s="1189"/>
      <c r="AU302" s="1189"/>
      <c r="AV302" s="1189"/>
      <c r="AW302" s="1189"/>
      <c r="AX302" s="1189"/>
    </row>
    <row r="303" spans="4:50" ht="12.75" customHeight="1">
      <c r="D303" s="1231"/>
      <c r="E303" s="1230"/>
      <c r="F303" s="1230"/>
      <c r="G303" s="1230"/>
      <c r="H303" s="1230"/>
      <c r="I303" s="1189"/>
      <c r="J303" s="1189"/>
      <c r="K303" s="1189"/>
      <c r="L303" s="1225"/>
      <c r="M303" s="1189"/>
      <c r="N303" s="1189"/>
      <c r="O303" s="1189"/>
      <c r="P303" s="1189"/>
      <c r="Q303" s="1189"/>
      <c r="R303" s="1189"/>
      <c r="S303" s="1189"/>
      <c r="T303" s="1208"/>
      <c r="U303" s="1208"/>
      <c r="V303" s="1189"/>
      <c r="W303" s="1189"/>
      <c r="X303" s="1189"/>
      <c r="Y303" s="1189"/>
      <c r="Z303" s="1189"/>
      <c r="AA303" s="1189"/>
      <c r="AB303" s="1189"/>
      <c r="AC303" s="1189"/>
      <c r="AD303" s="1189"/>
      <c r="AE303" s="1189"/>
      <c r="AF303" s="1189"/>
      <c r="AG303" s="1189"/>
      <c r="AH303" s="1189"/>
      <c r="AI303" s="1189"/>
      <c r="AJ303" s="1189"/>
      <c r="AK303" s="1189"/>
      <c r="AL303" s="1189"/>
      <c r="AM303" s="1189"/>
      <c r="AN303" s="1189"/>
      <c r="AO303" s="1189"/>
      <c r="AP303" s="1189"/>
      <c r="AQ303" s="1189"/>
      <c r="AR303" s="1189"/>
      <c r="AS303" s="1189"/>
      <c r="AT303" s="1189"/>
      <c r="AU303" s="1189"/>
      <c r="AV303" s="1189"/>
      <c r="AW303" s="1189"/>
      <c r="AX303" s="1189"/>
    </row>
    <row r="304" spans="4:50" ht="12.75" customHeight="1">
      <c r="D304" s="1231"/>
      <c r="E304" s="1230"/>
      <c r="F304" s="1230"/>
      <c r="G304" s="1230"/>
      <c r="H304" s="1230"/>
      <c r="I304" s="1189"/>
      <c r="J304" s="1189"/>
      <c r="K304" s="1189"/>
      <c r="L304" s="1225"/>
      <c r="M304" s="1189"/>
      <c r="N304" s="1189"/>
      <c r="O304" s="1189"/>
      <c r="P304" s="1189"/>
      <c r="Q304" s="1189"/>
      <c r="R304" s="1189"/>
      <c r="S304" s="1189"/>
      <c r="T304" s="1208"/>
      <c r="U304" s="1208"/>
      <c r="V304" s="1189"/>
      <c r="W304" s="1189"/>
      <c r="X304" s="1189"/>
      <c r="Y304" s="1189"/>
      <c r="Z304" s="1189"/>
      <c r="AA304" s="1189"/>
      <c r="AB304" s="1189"/>
      <c r="AC304" s="1189"/>
      <c r="AD304" s="1189"/>
      <c r="AE304" s="1189"/>
      <c r="AF304" s="1189"/>
      <c r="AG304" s="1189"/>
      <c r="AH304" s="1189"/>
      <c r="AI304" s="1189"/>
      <c r="AJ304" s="1189"/>
      <c r="AK304" s="1189"/>
      <c r="AL304" s="1189"/>
      <c r="AM304" s="1189"/>
      <c r="AN304" s="1189"/>
      <c r="AO304" s="1189"/>
      <c r="AP304" s="1189"/>
      <c r="AQ304" s="1189"/>
      <c r="AR304" s="1189"/>
      <c r="AS304" s="1189"/>
      <c r="AT304" s="1189"/>
      <c r="AU304" s="1189"/>
      <c r="AV304" s="1189"/>
      <c r="AW304" s="1189"/>
      <c r="AX304" s="1189"/>
    </row>
    <row r="305" spans="4:50" ht="12.75" customHeight="1">
      <c r="D305" s="1231"/>
      <c r="E305" s="1230"/>
      <c r="F305" s="1230"/>
      <c r="G305" s="1230"/>
      <c r="H305" s="1230"/>
      <c r="I305" s="1189"/>
      <c r="J305" s="1189"/>
      <c r="K305" s="1189"/>
      <c r="L305" s="1225"/>
      <c r="M305" s="1189"/>
      <c r="N305" s="1189"/>
      <c r="O305" s="1189"/>
      <c r="P305" s="1189"/>
      <c r="Q305" s="1189"/>
      <c r="R305" s="1189"/>
      <c r="S305" s="1189"/>
      <c r="T305" s="1208"/>
      <c r="U305" s="1208"/>
      <c r="V305" s="1189"/>
      <c r="W305" s="1189"/>
      <c r="X305" s="1189"/>
      <c r="Y305" s="1189"/>
      <c r="Z305" s="1189"/>
      <c r="AA305" s="1189"/>
      <c r="AB305" s="1189"/>
      <c r="AC305" s="1189"/>
      <c r="AD305" s="1189"/>
      <c r="AE305" s="1189"/>
      <c r="AF305" s="1189"/>
      <c r="AG305" s="1189"/>
      <c r="AH305" s="1189"/>
      <c r="AI305" s="1189"/>
      <c r="AJ305" s="1189"/>
      <c r="AK305" s="1189"/>
      <c r="AL305" s="1189"/>
      <c r="AM305" s="1189"/>
      <c r="AN305" s="1189"/>
      <c r="AO305" s="1189"/>
      <c r="AP305" s="1189"/>
      <c r="AQ305" s="1189"/>
      <c r="AR305" s="1189"/>
      <c r="AS305" s="1189"/>
      <c r="AT305" s="1189"/>
      <c r="AU305" s="1189"/>
      <c r="AV305" s="1189"/>
      <c r="AW305" s="1189"/>
      <c r="AX305" s="1189"/>
    </row>
    <row r="306" spans="4:50" ht="12.75" customHeight="1">
      <c r="D306" s="1231"/>
      <c r="E306" s="1230"/>
      <c r="F306" s="1230"/>
      <c r="G306" s="1230"/>
      <c r="H306" s="1230"/>
      <c r="I306" s="1189"/>
      <c r="J306" s="1189"/>
      <c r="K306" s="1189"/>
      <c r="L306" s="1225"/>
      <c r="M306" s="1189"/>
      <c r="N306" s="1189"/>
      <c r="O306" s="1189"/>
      <c r="P306" s="1189"/>
      <c r="Q306" s="1189"/>
      <c r="R306" s="1189"/>
      <c r="S306" s="1189"/>
      <c r="T306" s="1208"/>
      <c r="U306" s="1208"/>
      <c r="V306" s="1189"/>
      <c r="W306" s="1189"/>
      <c r="X306" s="1189"/>
      <c r="Y306" s="1189"/>
      <c r="Z306" s="1189"/>
      <c r="AA306" s="1189"/>
      <c r="AB306" s="1189"/>
      <c r="AC306" s="1189"/>
      <c r="AD306" s="1189"/>
      <c r="AE306" s="1189"/>
      <c r="AF306" s="1189"/>
      <c r="AG306" s="1189"/>
      <c r="AH306" s="1189"/>
      <c r="AI306" s="1189"/>
      <c r="AJ306" s="1189"/>
      <c r="AK306" s="1189"/>
      <c r="AL306" s="1189"/>
      <c r="AM306" s="1189"/>
      <c r="AN306" s="1189"/>
      <c r="AO306" s="1189"/>
      <c r="AP306" s="1189"/>
      <c r="AQ306" s="1189"/>
      <c r="AR306" s="1189"/>
      <c r="AS306" s="1189"/>
      <c r="AT306" s="1189"/>
      <c r="AU306" s="1189"/>
      <c r="AV306" s="1189"/>
      <c r="AW306" s="1189"/>
      <c r="AX306" s="1189"/>
    </row>
    <row r="307" spans="4:50" ht="12.75" customHeight="1">
      <c r="D307" s="1231"/>
      <c r="E307" s="1230"/>
      <c r="F307" s="1230"/>
      <c r="G307" s="1230"/>
      <c r="H307" s="1230"/>
      <c r="I307" s="1189"/>
      <c r="J307" s="1189"/>
      <c r="K307" s="1189"/>
      <c r="L307" s="1225"/>
      <c r="M307" s="1189"/>
      <c r="N307" s="1189"/>
      <c r="O307" s="1189"/>
      <c r="P307" s="1189"/>
      <c r="Q307" s="1189"/>
      <c r="R307" s="1189"/>
      <c r="S307" s="1189"/>
      <c r="T307" s="1208"/>
      <c r="U307" s="1208"/>
      <c r="V307" s="1189"/>
      <c r="W307" s="1189"/>
      <c r="X307" s="1189"/>
      <c r="Y307" s="1189"/>
      <c r="Z307" s="1189"/>
      <c r="AA307" s="1189"/>
      <c r="AB307" s="1189"/>
      <c r="AC307" s="1189"/>
      <c r="AD307" s="1189"/>
      <c r="AE307" s="1189"/>
      <c r="AF307" s="1189"/>
      <c r="AG307" s="1189"/>
      <c r="AH307" s="1189"/>
      <c r="AI307" s="1189"/>
      <c r="AJ307" s="1189"/>
      <c r="AK307" s="1189"/>
      <c r="AL307" s="1189"/>
      <c r="AM307" s="1189"/>
      <c r="AN307" s="1189"/>
      <c r="AO307" s="1189"/>
      <c r="AP307" s="1189"/>
      <c r="AQ307" s="1189"/>
      <c r="AR307" s="1189"/>
      <c r="AS307" s="1189"/>
      <c r="AT307" s="1189"/>
      <c r="AU307" s="1189"/>
      <c r="AV307" s="1189"/>
      <c r="AW307" s="1189"/>
      <c r="AX307" s="1189"/>
    </row>
    <row r="308" spans="4:50" ht="12.75" customHeight="1">
      <c r="D308" s="1231"/>
      <c r="E308" s="1230"/>
      <c r="F308" s="1230"/>
      <c r="G308" s="1230"/>
      <c r="H308" s="1230"/>
      <c r="I308" s="1189"/>
      <c r="J308" s="1189"/>
      <c r="K308" s="1189"/>
      <c r="L308" s="1225"/>
      <c r="M308" s="1189"/>
      <c r="N308" s="1189"/>
      <c r="O308" s="1189"/>
      <c r="P308" s="1189"/>
      <c r="Q308" s="1189"/>
      <c r="R308" s="1189"/>
      <c r="S308" s="1189"/>
      <c r="T308" s="1208"/>
      <c r="U308" s="1208"/>
      <c r="V308" s="1189"/>
      <c r="W308" s="1189"/>
      <c r="X308" s="1189"/>
      <c r="Y308" s="1189"/>
      <c r="Z308" s="1189"/>
      <c r="AA308" s="1189"/>
      <c r="AB308" s="1189"/>
      <c r="AC308" s="1189"/>
      <c r="AD308" s="1189"/>
      <c r="AE308" s="1189"/>
      <c r="AF308" s="1189"/>
      <c r="AG308" s="1189"/>
      <c r="AH308" s="1189"/>
      <c r="AI308" s="1189"/>
      <c r="AJ308" s="1189"/>
      <c r="AK308" s="1189"/>
      <c r="AL308" s="1189"/>
      <c r="AM308" s="1189"/>
      <c r="AN308" s="1189"/>
      <c r="AO308" s="1189"/>
      <c r="AP308" s="1189"/>
      <c r="AQ308" s="1189"/>
      <c r="AR308" s="1189"/>
      <c r="AS308" s="1189"/>
      <c r="AT308" s="1189"/>
      <c r="AU308" s="1189"/>
      <c r="AV308" s="1189"/>
      <c r="AW308" s="1189"/>
      <c r="AX308" s="1189"/>
    </row>
    <row r="309" spans="4:50" ht="12.75" customHeight="1">
      <c r="D309" s="1231"/>
      <c r="E309" s="1230"/>
      <c r="F309" s="1230"/>
      <c r="G309" s="1230"/>
      <c r="H309" s="1230"/>
      <c r="I309" s="1189"/>
      <c r="J309" s="1189"/>
      <c r="K309" s="1189"/>
      <c r="L309" s="1225"/>
      <c r="M309" s="1189"/>
      <c r="N309" s="1189"/>
      <c r="O309" s="1189"/>
      <c r="P309" s="1189"/>
      <c r="Q309" s="1189"/>
      <c r="R309" s="1189"/>
      <c r="S309" s="1189"/>
      <c r="T309" s="1208"/>
      <c r="U309" s="1208"/>
      <c r="V309" s="1189"/>
      <c r="W309" s="1189"/>
      <c r="X309" s="1189"/>
      <c r="Y309" s="1189"/>
      <c r="Z309" s="1189"/>
      <c r="AA309" s="1189"/>
      <c r="AB309" s="1189"/>
      <c r="AC309" s="1189"/>
      <c r="AD309" s="1189"/>
      <c r="AE309" s="1189"/>
      <c r="AF309" s="1189"/>
      <c r="AG309" s="1189"/>
      <c r="AH309" s="1189"/>
      <c r="AI309" s="1189"/>
      <c r="AJ309" s="1189"/>
      <c r="AK309" s="1189"/>
      <c r="AL309" s="1189"/>
      <c r="AM309" s="1189"/>
      <c r="AN309" s="1189"/>
      <c r="AO309" s="1189"/>
      <c r="AP309" s="1189"/>
      <c r="AQ309" s="1189"/>
      <c r="AR309" s="1189"/>
      <c r="AS309" s="1189"/>
      <c r="AT309" s="1189"/>
      <c r="AU309" s="1189"/>
      <c r="AV309" s="1189"/>
      <c r="AW309" s="1189"/>
      <c r="AX309" s="1189"/>
    </row>
    <row r="310" spans="4:50" ht="12.75" customHeight="1">
      <c r="D310" s="1231"/>
      <c r="E310" s="1230"/>
      <c r="F310" s="1230"/>
      <c r="G310" s="1230"/>
      <c r="H310" s="1230"/>
      <c r="I310" s="1189"/>
      <c r="J310" s="1189"/>
      <c r="K310" s="1189"/>
      <c r="L310" s="1225"/>
      <c r="M310" s="1189"/>
      <c r="N310" s="1189"/>
      <c r="O310" s="1189"/>
      <c r="P310" s="1189"/>
      <c r="Q310" s="1189"/>
      <c r="R310" s="1189"/>
      <c r="S310" s="1189"/>
      <c r="T310" s="1208"/>
      <c r="U310" s="1208"/>
      <c r="V310" s="1189"/>
      <c r="W310" s="1189"/>
      <c r="X310" s="1189"/>
      <c r="Y310" s="1189"/>
      <c r="Z310" s="1189"/>
      <c r="AA310" s="1189"/>
      <c r="AB310" s="1189"/>
      <c r="AC310" s="1189"/>
      <c r="AD310" s="1189"/>
      <c r="AE310" s="1189"/>
      <c r="AF310" s="1189"/>
      <c r="AG310" s="1189"/>
      <c r="AH310" s="1189"/>
      <c r="AI310" s="1189"/>
      <c r="AJ310" s="1189"/>
      <c r="AK310" s="1189"/>
      <c r="AL310" s="1189"/>
      <c r="AM310" s="1189"/>
      <c r="AN310" s="1189"/>
      <c r="AO310" s="1189"/>
      <c r="AP310" s="1189"/>
      <c r="AQ310" s="1189"/>
      <c r="AR310" s="1189"/>
      <c r="AS310" s="1189"/>
      <c r="AT310" s="1189"/>
      <c r="AU310" s="1189"/>
      <c r="AV310" s="1189"/>
      <c r="AW310" s="1189"/>
      <c r="AX310" s="1189"/>
    </row>
    <row r="311" spans="4:50" ht="12.75" customHeight="1">
      <c r="D311" s="1231"/>
      <c r="E311" s="1230"/>
      <c r="F311" s="1230"/>
      <c r="G311" s="1230"/>
      <c r="H311" s="1230"/>
      <c r="I311" s="1189"/>
      <c r="J311" s="1189"/>
      <c r="K311" s="1189"/>
      <c r="L311" s="1225"/>
      <c r="M311" s="1189"/>
      <c r="N311" s="1189"/>
      <c r="O311" s="1189"/>
      <c r="P311" s="1189"/>
      <c r="Q311" s="1189"/>
      <c r="R311" s="1189"/>
      <c r="S311" s="1189"/>
      <c r="T311" s="1208"/>
      <c r="U311" s="1208"/>
      <c r="V311" s="1189"/>
      <c r="W311" s="1189"/>
      <c r="X311" s="1189"/>
      <c r="Y311" s="1189"/>
      <c r="Z311" s="1189"/>
      <c r="AA311" s="1189"/>
      <c r="AB311" s="1189"/>
      <c r="AC311" s="1189"/>
      <c r="AD311" s="1189"/>
      <c r="AE311" s="1189"/>
      <c r="AF311" s="1189"/>
      <c r="AG311" s="1189"/>
      <c r="AH311" s="1189"/>
      <c r="AI311" s="1189"/>
      <c r="AJ311" s="1189"/>
      <c r="AK311" s="1189"/>
      <c r="AL311" s="1189"/>
      <c r="AM311" s="1189"/>
      <c r="AN311" s="1189"/>
      <c r="AO311" s="1189"/>
      <c r="AP311" s="1189"/>
      <c r="AQ311" s="1189"/>
      <c r="AR311" s="1189"/>
      <c r="AS311" s="1189"/>
      <c r="AT311" s="1189"/>
      <c r="AU311" s="1189"/>
      <c r="AV311" s="1189"/>
      <c r="AW311" s="1189"/>
      <c r="AX311" s="1189"/>
    </row>
    <row r="312" spans="4:50" ht="12.75" customHeight="1">
      <c r="D312" s="1231"/>
      <c r="E312" s="1230"/>
      <c r="F312" s="1230"/>
      <c r="G312" s="1230"/>
      <c r="H312" s="1230"/>
      <c r="I312" s="1189"/>
      <c r="J312" s="1189"/>
      <c r="K312" s="1189"/>
      <c r="L312" s="1225"/>
      <c r="M312" s="1189"/>
      <c r="N312" s="1189"/>
      <c r="O312" s="1189"/>
      <c r="P312" s="1189"/>
      <c r="Q312" s="1189"/>
      <c r="R312" s="1189"/>
      <c r="S312" s="1189"/>
      <c r="T312" s="1208"/>
      <c r="U312" s="1208"/>
      <c r="V312" s="1189"/>
      <c r="W312" s="1189"/>
      <c r="X312" s="1189"/>
      <c r="Y312" s="1189"/>
      <c r="Z312" s="1189"/>
      <c r="AA312" s="1189"/>
      <c r="AB312" s="1189"/>
      <c r="AC312" s="1189"/>
      <c r="AD312" s="1189"/>
      <c r="AE312" s="1189"/>
      <c r="AF312" s="1189"/>
      <c r="AG312" s="1189"/>
      <c r="AH312" s="1189"/>
      <c r="AI312" s="1189"/>
      <c r="AJ312" s="1189"/>
      <c r="AK312" s="1189"/>
      <c r="AL312" s="1189"/>
      <c r="AM312" s="1189"/>
      <c r="AN312" s="1189"/>
      <c r="AO312" s="1189"/>
      <c r="AP312" s="1189"/>
      <c r="AQ312" s="1189"/>
      <c r="AR312" s="1189"/>
      <c r="AS312" s="1189"/>
      <c r="AT312" s="1189"/>
      <c r="AU312" s="1189"/>
      <c r="AV312" s="1189"/>
      <c r="AW312" s="1189"/>
      <c r="AX312" s="1189"/>
    </row>
    <row r="313" spans="4:50" ht="12.75" customHeight="1">
      <c r="D313" s="1231"/>
      <c r="E313" s="1230"/>
      <c r="F313" s="1230"/>
      <c r="G313" s="1230"/>
      <c r="H313" s="1230"/>
      <c r="I313" s="1189"/>
      <c r="J313" s="1189"/>
      <c r="K313" s="1189"/>
      <c r="L313" s="1225"/>
      <c r="M313" s="1189"/>
      <c r="N313" s="1189"/>
      <c r="O313" s="1189"/>
      <c r="P313" s="1189"/>
      <c r="Q313" s="1189"/>
      <c r="R313" s="1189"/>
      <c r="S313" s="1189"/>
      <c r="T313" s="1208"/>
      <c r="U313" s="1208"/>
      <c r="V313" s="1189"/>
      <c r="W313" s="1189"/>
      <c r="X313" s="1189"/>
      <c r="Y313" s="1189"/>
      <c r="Z313" s="1189"/>
      <c r="AA313" s="1189"/>
      <c r="AB313" s="1189"/>
      <c r="AC313" s="1189"/>
      <c r="AD313" s="1189"/>
      <c r="AE313" s="1189"/>
      <c r="AF313" s="1189"/>
      <c r="AG313" s="1189"/>
      <c r="AH313" s="1189"/>
      <c r="AI313" s="1189"/>
      <c r="AJ313" s="1189"/>
      <c r="AK313" s="1189"/>
      <c r="AL313" s="1189"/>
      <c r="AM313" s="1189"/>
      <c r="AN313" s="1189"/>
      <c r="AO313" s="1189"/>
      <c r="AP313" s="1189"/>
      <c r="AQ313" s="1189"/>
      <c r="AR313" s="1189"/>
      <c r="AS313" s="1189"/>
      <c r="AT313" s="1189"/>
      <c r="AU313" s="1189"/>
      <c r="AV313" s="1189"/>
      <c r="AW313" s="1189"/>
      <c r="AX313" s="1189"/>
    </row>
    <row r="314" spans="4:50" ht="12.75" customHeight="1">
      <c r="D314" s="1231"/>
      <c r="E314" s="1230"/>
      <c r="F314" s="1230"/>
      <c r="G314" s="1230"/>
      <c r="H314" s="1230"/>
      <c r="I314" s="1189"/>
      <c r="J314" s="1189"/>
      <c r="K314" s="1189"/>
      <c r="L314" s="1225"/>
      <c r="M314" s="1189"/>
      <c r="N314" s="1189"/>
      <c r="O314" s="1189"/>
      <c r="P314" s="1189"/>
      <c r="Q314" s="1189"/>
      <c r="R314" s="1189"/>
      <c r="S314" s="1189"/>
      <c r="T314" s="1208"/>
      <c r="U314" s="1208"/>
      <c r="V314" s="1189"/>
      <c r="W314" s="1189"/>
      <c r="X314" s="1189"/>
      <c r="Y314" s="1189"/>
      <c r="Z314" s="1189"/>
      <c r="AA314" s="1189"/>
      <c r="AB314" s="1189"/>
      <c r="AC314" s="1189"/>
      <c r="AD314" s="1189"/>
      <c r="AE314" s="1189"/>
      <c r="AF314" s="1189"/>
      <c r="AG314" s="1189"/>
      <c r="AH314" s="1189"/>
      <c r="AI314" s="1189"/>
      <c r="AJ314" s="1189"/>
      <c r="AK314" s="1189"/>
      <c r="AL314" s="1189"/>
      <c r="AM314" s="1189"/>
      <c r="AN314" s="1189"/>
      <c r="AO314" s="1189"/>
      <c r="AP314" s="1189"/>
      <c r="AQ314" s="1189"/>
      <c r="AR314" s="1189"/>
      <c r="AS314" s="1189"/>
      <c r="AT314" s="1189"/>
      <c r="AU314" s="1189"/>
      <c r="AV314" s="1189"/>
      <c r="AW314" s="1189"/>
      <c r="AX314" s="1189"/>
    </row>
    <row r="315" spans="4:50" ht="12.75" customHeight="1">
      <c r="D315" s="1231"/>
      <c r="E315" s="1230"/>
      <c r="F315" s="1230"/>
      <c r="G315" s="1230"/>
      <c r="H315" s="1230"/>
      <c r="I315" s="1189"/>
      <c r="J315" s="1189"/>
      <c r="K315" s="1189"/>
      <c r="L315" s="1225"/>
      <c r="M315" s="1189"/>
      <c r="N315" s="1189"/>
      <c r="O315" s="1189"/>
      <c r="P315" s="1189"/>
      <c r="Q315" s="1189"/>
      <c r="R315" s="1189"/>
      <c r="S315" s="1189"/>
      <c r="T315" s="1208"/>
      <c r="U315" s="1208"/>
      <c r="V315" s="1189"/>
      <c r="W315" s="1189"/>
      <c r="X315" s="1189"/>
      <c r="Y315" s="1189"/>
      <c r="Z315" s="1189"/>
      <c r="AA315" s="1189"/>
      <c r="AB315" s="1189"/>
      <c r="AC315" s="1189"/>
      <c r="AD315" s="1189"/>
      <c r="AE315" s="1189"/>
      <c r="AF315" s="1189"/>
      <c r="AG315" s="1189"/>
      <c r="AH315" s="1189"/>
      <c r="AI315" s="1189"/>
      <c r="AJ315" s="1189"/>
      <c r="AK315" s="1189"/>
      <c r="AL315" s="1189"/>
      <c r="AM315" s="1189"/>
      <c r="AN315" s="1189"/>
      <c r="AO315" s="1189"/>
      <c r="AP315" s="1189"/>
      <c r="AQ315" s="1189"/>
      <c r="AR315" s="1189"/>
      <c r="AS315" s="1189"/>
      <c r="AT315" s="1189"/>
      <c r="AU315" s="1189"/>
      <c r="AV315" s="1189"/>
      <c r="AW315" s="1189"/>
      <c r="AX315" s="1189"/>
    </row>
    <row r="316" spans="4:50" ht="12.75" customHeight="1">
      <c r="D316" s="1231"/>
      <c r="E316" s="1230"/>
      <c r="F316" s="1230"/>
      <c r="G316" s="1230"/>
      <c r="H316" s="1230"/>
      <c r="I316" s="1189"/>
      <c r="J316" s="1189"/>
      <c r="K316" s="1189"/>
      <c r="L316" s="1225"/>
      <c r="M316" s="1189"/>
      <c r="N316" s="1189"/>
      <c r="O316" s="1189"/>
      <c r="P316" s="1189"/>
      <c r="Q316" s="1189"/>
      <c r="R316" s="1189"/>
      <c r="S316" s="1189"/>
      <c r="T316" s="1208"/>
      <c r="U316" s="1208"/>
      <c r="V316" s="1189"/>
      <c r="W316" s="1189"/>
      <c r="X316" s="1189"/>
      <c r="Y316" s="1189"/>
      <c r="Z316" s="1189"/>
      <c r="AA316" s="1189"/>
      <c r="AB316" s="1189"/>
      <c r="AC316" s="1189"/>
      <c r="AD316" s="1189"/>
      <c r="AE316" s="1189"/>
      <c r="AF316" s="1189"/>
      <c r="AG316" s="1189"/>
      <c r="AH316" s="1189"/>
      <c r="AI316" s="1189"/>
      <c r="AJ316" s="1189"/>
      <c r="AK316" s="1189"/>
      <c r="AL316" s="1189"/>
      <c r="AM316" s="1189"/>
      <c r="AN316" s="1189"/>
      <c r="AO316" s="1189"/>
      <c r="AP316" s="1189"/>
      <c r="AQ316" s="1189"/>
      <c r="AR316" s="1189"/>
      <c r="AS316" s="1189"/>
      <c r="AT316" s="1189"/>
      <c r="AU316" s="1189"/>
      <c r="AV316" s="1189"/>
      <c r="AW316" s="1189"/>
      <c r="AX316" s="1189"/>
    </row>
    <row r="317" spans="4:50" ht="12.75" customHeight="1">
      <c r="D317" s="1231"/>
      <c r="E317" s="1230"/>
      <c r="F317" s="1230"/>
      <c r="G317" s="1230"/>
      <c r="H317" s="1230"/>
      <c r="I317" s="1189"/>
      <c r="J317" s="1189"/>
      <c r="K317" s="1189"/>
      <c r="L317" s="1225"/>
      <c r="M317" s="1189"/>
      <c r="N317" s="1189"/>
      <c r="O317" s="1189"/>
      <c r="P317" s="1189"/>
      <c r="Q317" s="1189"/>
      <c r="R317" s="1189"/>
      <c r="S317" s="1189"/>
      <c r="T317" s="1208"/>
      <c r="U317" s="1208"/>
      <c r="V317" s="1189"/>
      <c r="W317" s="1189"/>
      <c r="X317" s="1189"/>
      <c r="Y317" s="1189"/>
      <c r="Z317" s="1189"/>
      <c r="AA317" s="1189"/>
      <c r="AB317" s="1189"/>
      <c r="AC317" s="1189"/>
      <c r="AD317" s="1189"/>
      <c r="AE317" s="1189"/>
      <c r="AF317" s="1189"/>
      <c r="AG317" s="1189"/>
      <c r="AH317" s="1189"/>
      <c r="AI317" s="1189"/>
      <c r="AJ317" s="1189"/>
      <c r="AK317" s="1189"/>
      <c r="AL317" s="1189"/>
      <c r="AM317" s="1189"/>
      <c r="AN317" s="1189"/>
      <c r="AO317" s="1189"/>
      <c r="AP317" s="1189"/>
      <c r="AQ317" s="1189"/>
      <c r="AR317" s="1189"/>
      <c r="AS317" s="1189"/>
      <c r="AT317" s="1189"/>
      <c r="AU317" s="1189"/>
      <c r="AV317" s="1189"/>
      <c r="AW317" s="1189"/>
      <c r="AX317" s="1189"/>
    </row>
    <row r="318" spans="4:50" ht="12.75" customHeight="1">
      <c r="D318" s="1231"/>
      <c r="E318" s="1230"/>
      <c r="F318" s="1230"/>
      <c r="G318" s="1230"/>
      <c r="H318" s="1230"/>
      <c r="I318" s="1189"/>
      <c r="J318" s="1189"/>
      <c r="K318" s="1189"/>
      <c r="L318" s="1225"/>
      <c r="M318" s="1189"/>
      <c r="N318" s="1189"/>
      <c r="O318" s="1189"/>
      <c r="P318" s="1189"/>
      <c r="Q318" s="1189"/>
      <c r="R318" s="1189"/>
      <c r="S318" s="1189"/>
      <c r="T318" s="1208"/>
      <c r="U318" s="1208"/>
      <c r="V318" s="1189"/>
      <c r="W318" s="1189"/>
      <c r="X318" s="1189"/>
      <c r="Y318" s="1189"/>
      <c r="Z318" s="1189"/>
      <c r="AA318" s="1189"/>
      <c r="AB318" s="1189"/>
      <c r="AC318" s="1189"/>
      <c r="AD318" s="1189"/>
      <c r="AE318" s="1189"/>
      <c r="AF318" s="1189"/>
      <c r="AG318" s="1189"/>
      <c r="AH318" s="1189"/>
      <c r="AI318" s="1189"/>
      <c r="AJ318" s="1189"/>
      <c r="AK318" s="1189"/>
      <c r="AL318" s="1189"/>
      <c r="AM318" s="1189"/>
      <c r="AN318" s="1189"/>
      <c r="AO318" s="1189"/>
      <c r="AP318" s="1189"/>
      <c r="AQ318" s="1189"/>
      <c r="AR318" s="1189"/>
      <c r="AS318" s="1189"/>
      <c r="AT318" s="1189"/>
      <c r="AU318" s="1189"/>
      <c r="AV318" s="1189"/>
      <c r="AW318" s="1189"/>
      <c r="AX318" s="1189"/>
    </row>
    <row r="319" spans="4:50" ht="12.75" customHeight="1">
      <c r="D319" s="1231"/>
      <c r="E319" s="1230"/>
      <c r="F319" s="1230"/>
      <c r="G319" s="1230"/>
      <c r="H319" s="1230"/>
      <c r="I319" s="1189"/>
      <c r="J319" s="1189"/>
      <c r="K319" s="1189"/>
      <c r="L319" s="1225"/>
      <c r="M319" s="1189"/>
      <c r="N319" s="1189"/>
      <c r="O319" s="1189"/>
      <c r="P319" s="1189"/>
      <c r="Q319" s="1189"/>
      <c r="R319" s="1189"/>
      <c r="S319" s="1189"/>
      <c r="T319" s="1208"/>
      <c r="U319" s="1208"/>
      <c r="V319" s="1189"/>
      <c r="W319" s="1189"/>
      <c r="X319" s="1189"/>
      <c r="Y319" s="1189"/>
      <c r="Z319" s="1189"/>
      <c r="AA319" s="1189"/>
      <c r="AB319" s="1189"/>
      <c r="AC319" s="1189"/>
      <c r="AD319" s="1189"/>
      <c r="AE319" s="1189"/>
      <c r="AF319" s="1189"/>
      <c r="AG319" s="1189"/>
      <c r="AH319" s="1189"/>
      <c r="AI319" s="1189"/>
      <c r="AJ319" s="1189"/>
      <c r="AK319" s="1189"/>
      <c r="AL319" s="1189"/>
      <c r="AM319" s="1189"/>
      <c r="AN319" s="1189"/>
      <c r="AO319" s="1189"/>
      <c r="AP319" s="1189"/>
      <c r="AQ319" s="1189"/>
      <c r="AR319" s="1189"/>
      <c r="AS319" s="1189"/>
      <c r="AT319" s="1189"/>
      <c r="AU319" s="1189"/>
      <c r="AV319" s="1189"/>
      <c r="AW319" s="1189"/>
      <c r="AX319" s="1189"/>
    </row>
    <row r="320" spans="4:50" ht="12.75" customHeight="1">
      <c r="D320" s="1231"/>
      <c r="E320" s="1230"/>
      <c r="F320" s="1230"/>
      <c r="G320" s="1230"/>
      <c r="H320" s="1230"/>
      <c r="I320" s="1189"/>
      <c r="J320" s="1189"/>
      <c r="K320" s="1189"/>
      <c r="L320" s="1225"/>
      <c r="M320" s="1189"/>
      <c r="N320" s="1189"/>
      <c r="O320" s="1189"/>
      <c r="P320" s="1189"/>
      <c r="Q320" s="1189"/>
      <c r="R320" s="1189"/>
      <c r="S320" s="1189"/>
      <c r="T320" s="1208"/>
      <c r="U320" s="1208"/>
      <c r="V320" s="1189"/>
      <c r="W320" s="1189"/>
      <c r="X320" s="1189"/>
      <c r="Y320" s="1189"/>
      <c r="Z320" s="1189"/>
      <c r="AA320" s="1189"/>
      <c r="AB320" s="1189"/>
      <c r="AC320" s="1189"/>
      <c r="AD320" s="1189"/>
      <c r="AE320" s="1189"/>
      <c r="AF320" s="1189"/>
      <c r="AG320" s="1189"/>
      <c r="AH320" s="1189"/>
      <c r="AI320" s="1189"/>
      <c r="AJ320" s="1189"/>
      <c r="AK320" s="1189"/>
      <c r="AL320" s="1189"/>
      <c r="AM320" s="1189"/>
      <c r="AN320" s="1189"/>
      <c r="AO320" s="1189"/>
      <c r="AP320" s="1189"/>
      <c r="AQ320" s="1189"/>
      <c r="AR320" s="1189"/>
      <c r="AS320" s="1189"/>
      <c r="AT320" s="1189"/>
      <c r="AU320" s="1189"/>
      <c r="AV320" s="1189"/>
      <c r="AW320" s="1189"/>
      <c r="AX320" s="1189"/>
    </row>
    <row r="321" spans="4:50" ht="12.75" customHeight="1">
      <c r="D321" s="1231"/>
      <c r="E321" s="1230"/>
      <c r="F321" s="1230"/>
      <c r="G321" s="1230"/>
      <c r="H321" s="1230"/>
      <c r="I321" s="1189"/>
      <c r="J321" s="1189"/>
      <c r="K321" s="1189"/>
      <c r="L321" s="1225"/>
      <c r="M321" s="1189"/>
      <c r="N321" s="1189"/>
      <c r="O321" s="1189"/>
      <c r="P321" s="1189"/>
      <c r="Q321" s="1189"/>
      <c r="R321" s="1189"/>
      <c r="S321" s="1189"/>
      <c r="T321" s="1208"/>
      <c r="U321" s="1208"/>
      <c r="V321" s="1189"/>
      <c r="W321" s="1189"/>
      <c r="X321" s="1189"/>
      <c r="Y321" s="1189"/>
      <c r="Z321" s="1189"/>
      <c r="AA321" s="1189"/>
      <c r="AB321" s="1189"/>
      <c r="AC321" s="1189"/>
      <c r="AD321" s="1189"/>
      <c r="AE321" s="1189"/>
      <c r="AF321" s="1189"/>
      <c r="AG321" s="1189"/>
      <c r="AH321" s="1189"/>
      <c r="AI321" s="1189"/>
      <c r="AJ321" s="1189"/>
      <c r="AK321" s="1189"/>
      <c r="AL321" s="1189"/>
      <c r="AM321" s="1189"/>
      <c r="AN321" s="1189"/>
      <c r="AO321" s="1189"/>
      <c r="AP321" s="1189"/>
      <c r="AQ321" s="1189"/>
      <c r="AR321" s="1189"/>
      <c r="AS321" s="1189"/>
      <c r="AT321" s="1189"/>
      <c r="AU321" s="1189"/>
      <c r="AV321" s="1189"/>
      <c r="AW321" s="1189"/>
      <c r="AX321" s="1189"/>
    </row>
    <row r="322" spans="4:50" ht="12.75" customHeight="1">
      <c r="D322" s="1231"/>
      <c r="E322" s="1230"/>
      <c r="F322" s="1230"/>
      <c r="G322" s="1230"/>
      <c r="H322" s="1230"/>
      <c r="I322" s="1189"/>
      <c r="J322" s="1189"/>
      <c r="K322" s="1189"/>
      <c r="L322" s="1225"/>
      <c r="M322" s="1189"/>
      <c r="N322" s="1189"/>
      <c r="O322" s="1189"/>
      <c r="P322" s="1189"/>
      <c r="Q322" s="1189"/>
      <c r="R322" s="1189"/>
      <c r="S322" s="1189"/>
      <c r="T322" s="1208"/>
      <c r="U322" s="1208"/>
      <c r="V322" s="1189"/>
      <c r="W322" s="1189"/>
      <c r="X322" s="1189"/>
      <c r="Y322" s="1189"/>
      <c r="Z322" s="1189"/>
      <c r="AA322" s="1189"/>
      <c r="AB322" s="1189"/>
      <c r="AC322" s="1189"/>
      <c r="AD322" s="1189"/>
      <c r="AE322" s="1189"/>
      <c r="AF322" s="1189"/>
      <c r="AG322" s="1189"/>
      <c r="AH322" s="1189"/>
      <c r="AI322" s="1189"/>
      <c r="AJ322" s="1189"/>
      <c r="AK322" s="1189"/>
      <c r="AL322" s="1189"/>
      <c r="AM322" s="1189"/>
      <c r="AN322" s="1189"/>
      <c r="AO322" s="1189"/>
      <c r="AP322" s="1189"/>
      <c r="AQ322" s="1189"/>
      <c r="AR322" s="1189"/>
      <c r="AS322" s="1189"/>
      <c r="AT322" s="1189"/>
      <c r="AU322" s="1189"/>
      <c r="AV322" s="1189"/>
      <c r="AW322" s="1189"/>
      <c r="AX322" s="1189"/>
    </row>
    <row r="323" spans="4:50" ht="12.75" customHeight="1">
      <c r="D323" s="1231"/>
      <c r="E323" s="1230"/>
      <c r="F323" s="1230"/>
      <c r="G323" s="1230"/>
      <c r="H323" s="1230"/>
      <c r="I323" s="1189"/>
      <c r="J323" s="1189"/>
      <c r="K323" s="1189"/>
      <c r="L323" s="1225"/>
      <c r="M323" s="1189"/>
      <c r="N323" s="1189"/>
      <c r="O323" s="1189"/>
      <c r="P323" s="1189"/>
      <c r="Q323" s="1189"/>
      <c r="R323" s="1189"/>
      <c r="S323" s="1189"/>
      <c r="T323" s="1208"/>
      <c r="U323" s="1208"/>
      <c r="V323" s="1189"/>
      <c r="W323" s="1189"/>
      <c r="X323" s="1189"/>
      <c r="Y323" s="1189"/>
      <c r="Z323" s="1189"/>
      <c r="AA323" s="1189"/>
      <c r="AB323" s="1189"/>
      <c r="AC323" s="1189"/>
      <c r="AD323" s="1189"/>
      <c r="AE323" s="1189"/>
      <c r="AF323" s="1189"/>
      <c r="AG323" s="1189"/>
      <c r="AH323" s="1189"/>
      <c r="AI323" s="1189"/>
      <c r="AJ323" s="1189"/>
      <c r="AK323" s="1189"/>
      <c r="AL323" s="1189"/>
      <c r="AM323" s="1189"/>
      <c r="AN323" s="1189"/>
      <c r="AO323" s="1189"/>
      <c r="AP323" s="1189"/>
      <c r="AQ323" s="1189"/>
      <c r="AR323" s="1189"/>
      <c r="AS323" s="1189"/>
      <c r="AT323" s="1189"/>
      <c r="AU323" s="1189"/>
      <c r="AV323" s="1189"/>
      <c r="AW323" s="1189"/>
      <c r="AX323" s="1189"/>
    </row>
    <row r="324" spans="4:50" ht="12.75" customHeight="1">
      <c r="D324" s="1231"/>
      <c r="E324" s="1230"/>
      <c r="F324" s="1230"/>
      <c r="G324" s="1230"/>
      <c r="H324" s="1230"/>
      <c r="I324" s="1189"/>
      <c r="J324" s="1189"/>
      <c r="K324" s="1189"/>
      <c r="L324" s="1225"/>
      <c r="M324" s="1189"/>
      <c r="N324" s="1189"/>
      <c r="O324" s="1189"/>
      <c r="P324" s="1189"/>
      <c r="Q324" s="1189"/>
      <c r="R324" s="1189"/>
      <c r="S324" s="1189"/>
      <c r="T324" s="1208"/>
      <c r="U324" s="1208"/>
      <c r="V324" s="1189"/>
      <c r="W324" s="1189"/>
      <c r="X324" s="1189"/>
      <c r="Y324" s="1189"/>
      <c r="Z324" s="1189"/>
      <c r="AA324" s="1189"/>
      <c r="AB324" s="1189"/>
      <c r="AC324" s="1189"/>
      <c r="AD324" s="1189"/>
      <c r="AE324" s="1189"/>
      <c r="AF324" s="1189"/>
      <c r="AG324" s="1189"/>
      <c r="AH324" s="1189"/>
      <c r="AI324" s="1189"/>
      <c r="AJ324" s="1189"/>
      <c r="AK324" s="1189"/>
      <c r="AL324" s="1189"/>
      <c r="AM324" s="1189"/>
      <c r="AN324" s="1189"/>
      <c r="AO324" s="1189"/>
      <c r="AP324" s="1189"/>
      <c r="AQ324" s="1189"/>
      <c r="AR324" s="1189"/>
      <c r="AS324" s="1189"/>
      <c r="AT324" s="1189"/>
      <c r="AU324" s="1189"/>
      <c r="AV324" s="1189"/>
      <c r="AW324" s="1189"/>
      <c r="AX324" s="1189"/>
    </row>
    <row r="325" spans="4:50" ht="12.75" customHeight="1">
      <c r="D325" s="1231"/>
      <c r="E325" s="1230"/>
      <c r="F325" s="1230"/>
      <c r="G325" s="1230"/>
      <c r="H325" s="1230"/>
      <c r="I325" s="1189"/>
      <c r="J325" s="1189"/>
      <c r="K325" s="1189"/>
      <c r="L325" s="1225"/>
      <c r="M325" s="1189"/>
      <c r="N325" s="1189"/>
      <c r="O325" s="1189"/>
      <c r="P325" s="1189"/>
      <c r="Q325" s="1189"/>
      <c r="R325" s="1189"/>
      <c r="S325" s="1189"/>
      <c r="T325" s="1208"/>
      <c r="U325" s="1208"/>
      <c r="V325" s="1189"/>
      <c r="W325" s="1189"/>
      <c r="X325" s="1189"/>
      <c r="Y325" s="1189"/>
      <c r="Z325" s="1189"/>
      <c r="AA325" s="1189"/>
      <c r="AB325" s="1189"/>
      <c r="AC325" s="1189"/>
      <c r="AD325" s="1189"/>
      <c r="AE325" s="1189"/>
      <c r="AF325" s="1189"/>
      <c r="AG325" s="1189"/>
      <c r="AH325" s="1189"/>
      <c r="AI325" s="1189"/>
      <c r="AJ325" s="1189"/>
      <c r="AK325" s="1189"/>
      <c r="AL325" s="1189"/>
      <c r="AM325" s="1189"/>
      <c r="AN325" s="1189"/>
      <c r="AO325" s="1189"/>
      <c r="AP325" s="1189"/>
      <c r="AQ325" s="1189"/>
      <c r="AR325" s="1189"/>
      <c r="AS325" s="1189"/>
      <c r="AT325" s="1189"/>
      <c r="AU325" s="1189"/>
      <c r="AV325" s="1189"/>
      <c r="AW325" s="1189"/>
      <c r="AX325" s="1189"/>
    </row>
    <row r="326" spans="4:50" ht="12.75" customHeight="1">
      <c r="D326" s="1231"/>
      <c r="E326" s="1230"/>
      <c r="F326" s="1230"/>
      <c r="G326" s="1230"/>
      <c r="H326" s="1230"/>
      <c r="I326" s="1189"/>
      <c r="J326" s="1189"/>
      <c r="K326" s="1189"/>
      <c r="L326" s="1225"/>
      <c r="M326" s="1189"/>
      <c r="N326" s="1189"/>
      <c r="O326" s="1189"/>
      <c r="P326" s="1189"/>
      <c r="Q326" s="1189"/>
      <c r="R326" s="1189"/>
      <c r="S326" s="1189"/>
      <c r="T326" s="1208"/>
      <c r="U326" s="1208"/>
      <c r="V326" s="1189"/>
      <c r="W326" s="1189"/>
      <c r="X326" s="1189"/>
      <c r="Y326" s="1189"/>
      <c r="Z326" s="1189"/>
      <c r="AA326" s="1189"/>
      <c r="AB326" s="1189"/>
      <c r="AC326" s="1189"/>
      <c r="AD326" s="1189"/>
      <c r="AE326" s="1189"/>
      <c r="AF326" s="1189"/>
      <c r="AG326" s="1189"/>
      <c r="AH326" s="1189"/>
      <c r="AI326" s="1189"/>
      <c r="AJ326" s="1189"/>
      <c r="AK326" s="1189"/>
      <c r="AL326" s="1189"/>
      <c r="AM326" s="1189"/>
      <c r="AN326" s="1189"/>
      <c r="AO326" s="1189"/>
      <c r="AP326" s="1189"/>
      <c r="AQ326" s="1189"/>
      <c r="AR326" s="1189"/>
      <c r="AS326" s="1189"/>
      <c r="AT326" s="1189"/>
      <c r="AU326" s="1189"/>
      <c r="AV326" s="1189"/>
      <c r="AW326" s="1189"/>
      <c r="AX326" s="1189"/>
    </row>
    <row r="327" spans="4:50" ht="12.75" customHeight="1">
      <c r="D327" s="1231"/>
      <c r="E327" s="1230"/>
      <c r="F327" s="1230"/>
      <c r="G327" s="1230"/>
      <c r="H327" s="1230"/>
      <c r="I327" s="1189"/>
      <c r="J327" s="1189"/>
      <c r="K327" s="1189"/>
      <c r="L327" s="1225"/>
      <c r="M327" s="1189"/>
      <c r="N327" s="1189"/>
      <c r="O327" s="1189"/>
      <c r="P327" s="1189"/>
      <c r="Q327" s="1189"/>
      <c r="R327" s="1189"/>
      <c r="S327" s="1189"/>
      <c r="T327" s="1208"/>
      <c r="U327" s="1208"/>
      <c r="V327" s="1189"/>
      <c r="W327" s="1189"/>
      <c r="X327" s="1189"/>
      <c r="Y327" s="1189"/>
      <c r="Z327" s="1189"/>
      <c r="AA327" s="1189"/>
      <c r="AB327" s="1189"/>
      <c r="AC327" s="1189"/>
      <c r="AD327" s="1189"/>
      <c r="AE327" s="1189"/>
      <c r="AF327" s="1189"/>
      <c r="AG327" s="1189"/>
      <c r="AH327" s="1189"/>
      <c r="AI327" s="1189"/>
      <c r="AJ327" s="1189"/>
      <c r="AK327" s="1189"/>
      <c r="AL327" s="1189"/>
      <c r="AM327" s="1189"/>
      <c r="AN327" s="1189"/>
      <c r="AO327" s="1189"/>
      <c r="AP327" s="1189"/>
      <c r="AQ327" s="1189"/>
      <c r="AR327" s="1189"/>
      <c r="AS327" s="1189"/>
      <c r="AT327" s="1189"/>
      <c r="AU327" s="1189"/>
      <c r="AV327" s="1189"/>
      <c r="AW327" s="1189"/>
      <c r="AX327" s="1189"/>
    </row>
    <row r="328" spans="4:50" ht="12.75" customHeight="1">
      <c r="D328" s="1231"/>
      <c r="E328" s="1230"/>
      <c r="F328" s="1230"/>
      <c r="G328" s="1230"/>
      <c r="H328" s="1230"/>
      <c r="I328" s="1189"/>
      <c r="J328" s="1189"/>
      <c r="K328" s="1189"/>
      <c r="L328" s="1225"/>
      <c r="M328" s="1189"/>
      <c r="N328" s="1189"/>
      <c r="O328" s="1189"/>
      <c r="P328" s="1189"/>
      <c r="Q328" s="1189"/>
      <c r="R328" s="1189"/>
      <c r="S328" s="1189"/>
      <c r="T328" s="1208"/>
      <c r="U328" s="1208"/>
      <c r="V328" s="1189"/>
      <c r="W328" s="1189"/>
      <c r="X328" s="1189"/>
      <c r="Y328" s="1189"/>
      <c r="Z328" s="1189"/>
      <c r="AA328" s="1189"/>
      <c r="AB328" s="1189"/>
      <c r="AC328" s="1189"/>
      <c r="AD328" s="1189"/>
      <c r="AE328" s="1189"/>
      <c r="AF328" s="1189"/>
      <c r="AG328" s="1189"/>
      <c r="AH328" s="1189"/>
      <c r="AI328" s="1189"/>
      <c r="AJ328" s="1189"/>
      <c r="AK328" s="1189"/>
      <c r="AL328" s="1189"/>
      <c r="AM328" s="1189"/>
      <c r="AN328" s="1189"/>
      <c r="AO328" s="1189"/>
      <c r="AP328" s="1189"/>
      <c r="AQ328" s="1189"/>
      <c r="AR328" s="1189"/>
      <c r="AS328" s="1189"/>
      <c r="AT328" s="1189"/>
      <c r="AU328" s="1189"/>
      <c r="AV328" s="1189"/>
      <c r="AW328" s="1189"/>
      <c r="AX328" s="1189"/>
    </row>
    <row r="329" spans="4:50" ht="12.75" customHeight="1">
      <c r="D329" s="1231"/>
      <c r="E329" s="1230"/>
      <c r="F329" s="1230"/>
      <c r="G329" s="1230"/>
      <c r="H329" s="1230"/>
      <c r="I329" s="1189"/>
      <c r="J329" s="1189"/>
      <c r="K329" s="1189"/>
      <c r="L329" s="1225"/>
      <c r="M329" s="1189"/>
      <c r="N329" s="1189"/>
      <c r="O329" s="1189"/>
      <c r="P329" s="1189"/>
      <c r="Q329" s="1189"/>
      <c r="R329" s="1189"/>
      <c r="S329" s="1189"/>
      <c r="T329" s="1208"/>
      <c r="U329" s="1208"/>
      <c r="V329" s="1189"/>
      <c r="W329" s="1189"/>
      <c r="X329" s="1189"/>
      <c r="Y329" s="1189"/>
      <c r="Z329" s="1189"/>
      <c r="AA329" s="1189"/>
      <c r="AB329" s="1189"/>
      <c r="AC329" s="1189"/>
      <c r="AD329" s="1189"/>
      <c r="AE329" s="1189"/>
      <c r="AF329" s="1189"/>
      <c r="AG329" s="1189"/>
      <c r="AH329" s="1189"/>
      <c r="AI329" s="1189"/>
      <c r="AJ329" s="1189"/>
      <c r="AK329" s="1189"/>
      <c r="AL329" s="1189"/>
      <c r="AM329" s="1189"/>
      <c r="AN329" s="1189"/>
      <c r="AO329" s="1189"/>
      <c r="AP329" s="1189"/>
      <c r="AQ329" s="1189"/>
      <c r="AR329" s="1189"/>
      <c r="AS329" s="1189"/>
      <c r="AT329" s="1189"/>
      <c r="AU329" s="1189"/>
      <c r="AV329" s="1189"/>
      <c r="AW329" s="1189"/>
      <c r="AX329" s="1189"/>
    </row>
    <row r="330" spans="4:50" ht="12.75" customHeight="1">
      <c r="D330" s="1231"/>
      <c r="E330" s="1230"/>
      <c r="F330" s="1230"/>
      <c r="G330" s="1230"/>
      <c r="H330" s="1230"/>
      <c r="I330" s="1189"/>
      <c r="J330" s="1189"/>
      <c r="K330" s="1189"/>
      <c r="L330" s="1225"/>
      <c r="M330" s="1189"/>
      <c r="N330" s="1189"/>
      <c r="O330" s="1189"/>
      <c r="P330" s="1189"/>
      <c r="Q330" s="1189"/>
      <c r="R330" s="1189"/>
      <c r="S330" s="1189"/>
      <c r="T330" s="1208"/>
      <c r="U330" s="1208"/>
      <c r="V330" s="1189"/>
      <c r="W330" s="1189"/>
      <c r="X330" s="1189"/>
      <c r="Y330" s="1189"/>
      <c r="Z330" s="1189"/>
      <c r="AA330" s="1189"/>
      <c r="AB330" s="1189"/>
      <c r="AC330" s="1189"/>
      <c r="AD330" s="1189"/>
      <c r="AE330" s="1189"/>
      <c r="AF330" s="1189"/>
      <c r="AG330" s="1189"/>
      <c r="AH330" s="1189"/>
      <c r="AI330" s="1189"/>
      <c r="AJ330" s="1189"/>
      <c r="AK330" s="1189"/>
      <c r="AL330" s="1189"/>
      <c r="AM330" s="1189"/>
      <c r="AN330" s="1189"/>
      <c r="AO330" s="1189"/>
      <c r="AP330" s="1189"/>
      <c r="AQ330" s="1189"/>
      <c r="AR330" s="1189"/>
      <c r="AS330" s="1189"/>
      <c r="AT330" s="1189"/>
      <c r="AU330" s="1189"/>
      <c r="AV330" s="1189"/>
      <c r="AW330" s="1189"/>
      <c r="AX330" s="1189"/>
    </row>
    <row r="331" spans="4:50" ht="12.75" customHeight="1">
      <c r="D331" s="1231"/>
      <c r="E331" s="1230"/>
      <c r="F331" s="1230"/>
      <c r="G331" s="1230"/>
      <c r="H331" s="1230"/>
      <c r="I331" s="1189"/>
      <c r="J331" s="1189"/>
      <c r="K331" s="1189"/>
      <c r="L331" s="1225"/>
      <c r="M331" s="1189"/>
      <c r="N331" s="1189"/>
      <c r="O331" s="1189"/>
      <c r="P331" s="1189"/>
      <c r="Q331" s="1189"/>
      <c r="R331" s="1189"/>
      <c r="S331" s="1189"/>
      <c r="T331" s="1208"/>
      <c r="U331" s="1208"/>
      <c r="V331" s="1189"/>
      <c r="W331" s="1189"/>
      <c r="X331" s="1189"/>
      <c r="Y331" s="1189"/>
      <c r="Z331" s="1189"/>
      <c r="AA331" s="1189"/>
      <c r="AB331" s="1189"/>
      <c r="AC331" s="1189"/>
      <c r="AD331" s="1189"/>
      <c r="AE331" s="1189"/>
      <c r="AF331" s="1189"/>
      <c r="AG331" s="1189"/>
      <c r="AH331" s="1189"/>
      <c r="AI331" s="1189"/>
      <c r="AJ331" s="1189"/>
      <c r="AK331" s="1189"/>
      <c r="AL331" s="1189"/>
      <c r="AM331" s="1189"/>
      <c r="AN331" s="1189"/>
      <c r="AO331" s="1189"/>
      <c r="AP331" s="1189"/>
      <c r="AQ331" s="1189"/>
      <c r="AR331" s="1189"/>
      <c r="AS331" s="1189"/>
      <c r="AT331" s="1189"/>
      <c r="AU331" s="1189"/>
      <c r="AV331" s="1189"/>
      <c r="AW331" s="1189"/>
      <c r="AX331" s="1189"/>
    </row>
    <row r="332" spans="4:50" ht="12.75" customHeight="1">
      <c r="D332" s="1231"/>
      <c r="E332" s="1230"/>
      <c r="F332" s="1230"/>
      <c r="G332" s="1230"/>
      <c r="H332" s="1230"/>
      <c r="I332" s="1189"/>
      <c r="J332" s="1189"/>
      <c r="K332" s="1189"/>
      <c r="L332" s="1225"/>
      <c r="M332" s="1189"/>
      <c r="N332" s="1189"/>
      <c r="O332" s="1189"/>
      <c r="P332" s="1189"/>
      <c r="Q332" s="1189"/>
      <c r="R332" s="1189"/>
      <c r="S332" s="1189"/>
      <c r="T332" s="1208"/>
      <c r="U332" s="1208"/>
      <c r="V332" s="1189"/>
      <c r="W332" s="1189"/>
      <c r="X332" s="1189"/>
      <c r="Y332" s="1189"/>
      <c r="Z332" s="1189"/>
      <c r="AA332" s="1189"/>
      <c r="AB332" s="1189"/>
      <c r="AC332" s="1189"/>
      <c r="AD332" s="1189"/>
      <c r="AE332" s="1189"/>
      <c r="AF332" s="1189"/>
      <c r="AG332" s="1189"/>
      <c r="AH332" s="1189"/>
      <c r="AI332" s="1189"/>
      <c r="AJ332" s="1189"/>
      <c r="AK332" s="1189"/>
      <c r="AL332" s="1189"/>
      <c r="AM332" s="1189"/>
      <c r="AN332" s="1189"/>
      <c r="AO332" s="1189"/>
      <c r="AP332" s="1189"/>
      <c r="AQ332" s="1189"/>
      <c r="AR332" s="1189"/>
      <c r="AS332" s="1189"/>
      <c r="AT332" s="1189"/>
      <c r="AU332" s="1189"/>
      <c r="AV332" s="1189"/>
      <c r="AW332" s="1189"/>
      <c r="AX332" s="1189"/>
    </row>
    <row r="333" spans="4:50" ht="12.75" customHeight="1">
      <c r="D333" s="1231"/>
      <c r="E333" s="1230"/>
      <c r="F333" s="1230"/>
      <c r="G333" s="1230"/>
      <c r="H333" s="1230"/>
      <c r="I333" s="1189"/>
      <c r="J333" s="1189"/>
      <c r="K333" s="1189"/>
      <c r="L333" s="1225"/>
      <c r="M333" s="1189"/>
      <c r="N333" s="1189"/>
      <c r="O333" s="1189"/>
      <c r="P333" s="1189"/>
      <c r="Q333" s="1189"/>
      <c r="R333" s="1189"/>
      <c r="S333" s="1189"/>
      <c r="T333" s="1208"/>
      <c r="U333" s="1208"/>
      <c r="V333" s="1189"/>
      <c r="W333" s="1189"/>
      <c r="X333" s="1189"/>
      <c r="Y333" s="1189"/>
      <c r="Z333" s="1189"/>
      <c r="AA333" s="1189"/>
      <c r="AB333" s="1189"/>
      <c r="AC333" s="1189"/>
      <c r="AD333" s="1189"/>
      <c r="AE333" s="1189"/>
      <c r="AF333" s="1189"/>
      <c r="AG333" s="1189"/>
      <c r="AH333" s="1189"/>
      <c r="AI333" s="1189"/>
      <c r="AJ333" s="1189"/>
      <c r="AK333" s="1189"/>
      <c r="AL333" s="1189"/>
      <c r="AM333" s="1189"/>
      <c r="AN333" s="1189"/>
      <c r="AO333" s="1189"/>
      <c r="AP333" s="1189"/>
      <c r="AQ333" s="1189"/>
      <c r="AR333" s="1189"/>
      <c r="AS333" s="1189"/>
      <c r="AT333" s="1189"/>
      <c r="AU333" s="1189"/>
      <c r="AV333" s="1189"/>
      <c r="AW333" s="1189"/>
      <c r="AX333" s="1189"/>
    </row>
    <row r="334" spans="4:50" ht="12.75" customHeight="1">
      <c r="D334" s="1231"/>
      <c r="E334" s="1230"/>
      <c r="F334" s="1230"/>
      <c r="G334" s="1230"/>
      <c r="H334" s="1230"/>
      <c r="I334" s="1189"/>
      <c r="J334" s="1189"/>
      <c r="K334" s="1189"/>
      <c r="L334" s="1225"/>
      <c r="M334" s="1189"/>
      <c r="N334" s="1189"/>
      <c r="O334" s="1189"/>
      <c r="P334" s="1189"/>
      <c r="Q334" s="1189"/>
      <c r="R334" s="1189"/>
      <c r="S334" s="1189"/>
      <c r="T334" s="1208"/>
      <c r="U334" s="1208"/>
      <c r="V334" s="1189"/>
      <c r="W334" s="1189"/>
      <c r="X334" s="1189"/>
      <c r="Y334" s="1189"/>
      <c r="Z334" s="1189"/>
      <c r="AA334" s="1189"/>
      <c r="AB334" s="1189"/>
      <c r="AC334" s="1189"/>
      <c r="AD334" s="1189"/>
      <c r="AE334" s="1189"/>
      <c r="AF334" s="1189"/>
      <c r="AG334" s="1189"/>
      <c r="AH334" s="1189"/>
      <c r="AI334" s="1189"/>
      <c r="AJ334" s="1189"/>
      <c r="AK334" s="1189"/>
      <c r="AL334" s="1189"/>
      <c r="AM334" s="1189"/>
      <c r="AN334" s="1189"/>
      <c r="AO334" s="1189"/>
      <c r="AP334" s="1189"/>
      <c r="AQ334" s="1189"/>
      <c r="AR334" s="1189"/>
      <c r="AS334" s="1189"/>
      <c r="AT334" s="1189"/>
      <c r="AU334" s="1189"/>
      <c r="AV334" s="1189"/>
      <c r="AW334" s="1189"/>
      <c r="AX334" s="1189"/>
    </row>
    <row r="335" spans="4:50" ht="12.75" customHeight="1">
      <c r="D335" s="1231"/>
      <c r="E335" s="1230"/>
      <c r="F335" s="1230"/>
      <c r="G335" s="1230"/>
      <c r="H335" s="1230"/>
      <c r="I335" s="1189"/>
      <c r="J335" s="1189"/>
      <c r="K335" s="1189"/>
      <c r="L335" s="1225"/>
      <c r="M335" s="1189"/>
      <c r="N335" s="1189"/>
      <c r="O335" s="1189"/>
      <c r="P335" s="1189"/>
      <c r="Q335" s="1189"/>
      <c r="R335" s="1189"/>
      <c r="S335" s="1189"/>
      <c r="T335" s="1208"/>
      <c r="U335" s="1208"/>
      <c r="V335" s="1189"/>
      <c r="W335" s="1189"/>
      <c r="X335" s="1189"/>
      <c r="Y335" s="1189"/>
      <c r="Z335" s="1189"/>
      <c r="AA335" s="1189"/>
      <c r="AB335" s="1189"/>
      <c r="AC335" s="1189"/>
      <c r="AD335" s="1189"/>
      <c r="AE335" s="1189"/>
      <c r="AF335" s="1189"/>
      <c r="AG335" s="1189"/>
      <c r="AH335" s="1189"/>
      <c r="AI335" s="1189"/>
      <c r="AJ335" s="1189"/>
      <c r="AK335" s="1189"/>
      <c r="AL335" s="1189"/>
      <c r="AM335" s="1189"/>
      <c r="AN335" s="1189"/>
      <c r="AO335" s="1189"/>
      <c r="AP335" s="1189"/>
      <c r="AQ335" s="1189"/>
      <c r="AR335" s="1189"/>
      <c r="AS335" s="1189"/>
      <c r="AT335" s="1189"/>
      <c r="AU335" s="1189"/>
      <c r="AV335" s="1189"/>
      <c r="AW335" s="1189"/>
      <c r="AX335" s="1189"/>
    </row>
    <row r="336" spans="4:50" ht="12.75" customHeight="1">
      <c r="D336" s="1231"/>
      <c r="E336" s="1230"/>
      <c r="F336" s="1230"/>
      <c r="G336" s="1230"/>
      <c r="H336" s="1230"/>
      <c r="I336" s="1189"/>
      <c r="J336" s="1189"/>
      <c r="K336" s="1189"/>
      <c r="L336" s="1225"/>
      <c r="M336" s="1189"/>
      <c r="N336" s="1189"/>
      <c r="O336" s="1189"/>
      <c r="P336" s="1189"/>
      <c r="Q336" s="1189"/>
      <c r="R336" s="1189"/>
      <c r="S336" s="1189"/>
      <c r="T336" s="1208"/>
      <c r="U336" s="1208"/>
      <c r="V336" s="1189"/>
      <c r="W336" s="1189"/>
      <c r="X336" s="1189"/>
      <c r="Y336" s="1189"/>
      <c r="Z336" s="1189"/>
      <c r="AA336" s="1189"/>
      <c r="AB336" s="1189"/>
      <c r="AC336" s="1189"/>
      <c r="AD336" s="1189"/>
      <c r="AE336" s="1189"/>
      <c r="AF336" s="1189"/>
      <c r="AG336" s="1189"/>
      <c r="AH336" s="1189"/>
      <c r="AI336" s="1189"/>
      <c r="AJ336" s="1189"/>
      <c r="AK336" s="1189"/>
      <c r="AL336" s="1189"/>
      <c r="AM336" s="1189"/>
      <c r="AN336" s="1189"/>
      <c r="AO336" s="1189"/>
      <c r="AP336" s="1189"/>
      <c r="AQ336" s="1189"/>
      <c r="AR336" s="1189"/>
      <c r="AS336" s="1189"/>
      <c r="AT336" s="1189"/>
      <c r="AU336" s="1189"/>
      <c r="AV336" s="1189"/>
      <c r="AW336" s="1189"/>
      <c r="AX336" s="1189"/>
    </row>
    <row r="337" spans="4:50" ht="12.75" customHeight="1">
      <c r="D337" s="1231"/>
      <c r="E337" s="1230"/>
      <c r="F337" s="1230"/>
      <c r="G337" s="1230"/>
      <c r="H337" s="1230"/>
      <c r="I337" s="1189"/>
      <c r="J337" s="1189"/>
      <c r="K337" s="1189"/>
      <c r="L337" s="1225"/>
      <c r="M337" s="1189"/>
      <c r="N337" s="1189"/>
      <c r="O337" s="1189"/>
      <c r="P337" s="1189"/>
      <c r="Q337" s="1189"/>
      <c r="R337" s="1189"/>
      <c r="S337" s="1189"/>
      <c r="T337" s="1208"/>
      <c r="U337" s="1208"/>
      <c r="V337" s="1189"/>
      <c r="W337" s="1189"/>
      <c r="X337" s="1189"/>
      <c r="Y337" s="1189"/>
      <c r="Z337" s="1189"/>
      <c r="AA337" s="1189"/>
      <c r="AB337" s="1189"/>
      <c r="AC337" s="1189"/>
      <c r="AD337" s="1189"/>
      <c r="AE337" s="1189"/>
      <c r="AF337" s="1189"/>
      <c r="AG337" s="1189"/>
      <c r="AH337" s="1189"/>
      <c r="AI337" s="1189"/>
      <c r="AJ337" s="1189"/>
      <c r="AK337" s="1189"/>
      <c r="AL337" s="1189"/>
      <c r="AM337" s="1189"/>
      <c r="AN337" s="1189"/>
      <c r="AO337" s="1189"/>
      <c r="AP337" s="1189"/>
      <c r="AQ337" s="1189"/>
      <c r="AR337" s="1189"/>
      <c r="AS337" s="1189"/>
      <c r="AT337" s="1189"/>
      <c r="AU337" s="1189"/>
      <c r="AV337" s="1189"/>
      <c r="AW337" s="1189"/>
      <c r="AX337" s="1189"/>
    </row>
    <row r="338" spans="4:50" ht="12.75" customHeight="1">
      <c r="D338" s="1231"/>
      <c r="E338" s="1230"/>
      <c r="F338" s="1230"/>
      <c r="G338" s="1230"/>
      <c r="H338" s="1230"/>
      <c r="I338" s="1189"/>
      <c r="J338" s="1189"/>
      <c r="K338" s="1189"/>
      <c r="L338" s="1225"/>
      <c r="M338" s="1189"/>
      <c r="N338" s="1189"/>
      <c r="O338" s="1189"/>
      <c r="P338" s="1189"/>
      <c r="Q338" s="1189"/>
      <c r="R338" s="1189"/>
      <c r="S338" s="1189"/>
      <c r="T338" s="1208"/>
      <c r="U338" s="1208"/>
      <c r="V338" s="1189"/>
      <c r="W338" s="1189"/>
      <c r="X338" s="1189"/>
      <c r="Y338" s="1189"/>
      <c r="Z338" s="1189"/>
      <c r="AA338" s="1189"/>
      <c r="AB338" s="1189"/>
      <c r="AC338" s="1189"/>
      <c r="AD338" s="1189"/>
      <c r="AE338" s="1189"/>
      <c r="AF338" s="1189"/>
      <c r="AG338" s="1189"/>
      <c r="AH338" s="1189"/>
      <c r="AI338" s="1189"/>
      <c r="AJ338" s="1189"/>
      <c r="AK338" s="1189"/>
      <c r="AL338" s="1189"/>
      <c r="AM338" s="1189"/>
      <c r="AN338" s="1189"/>
      <c r="AO338" s="1189"/>
      <c r="AP338" s="1189"/>
      <c r="AQ338" s="1189"/>
      <c r="AR338" s="1189"/>
      <c r="AS338" s="1189"/>
      <c r="AT338" s="1189"/>
      <c r="AU338" s="1189"/>
      <c r="AV338" s="1189"/>
      <c r="AW338" s="1189"/>
      <c r="AX338" s="1189"/>
    </row>
    <row r="339" spans="4:50" ht="12.75" customHeight="1">
      <c r="D339" s="1231"/>
      <c r="E339" s="1230"/>
      <c r="F339" s="1230"/>
      <c r="G339" s="1230"/>
      <c r="H339" s="1230"/>
      <c r="I339" s="1189"/>
      <c r="J339" s="1189"/>
      <c r="K339" s="1189"/>
      <c r="L339" s="1225"/>
      <c r="M339" s="1189"/>
      <c r="N339" s="1189"/>
      <c r="O339" s="1189"/>
      <c r="P339" s="1189"/>
      <c r="Q339" s="1189"/>
      <c r="R339" s="1189"/>
      <c r="S339" s="1189"/>
      <c r="T339" s="1208"/>
      <c r="U339" s="1208"/>
      <c r="V339" s="1189"/>
      <c r="W339" s="1189"/>
      <c r="X339" s="1189"/>
      <c r="Y339" s="1189"/>
      <c r="Z339" s="1189"/>
      <c r="AA339" s="1189"/>
      <c r="AB339" s="1189"/>
      <c r="AC339" s="1189"/>
      <c r="AD339" s="1189"/>
      <c r="AE339" s="1189"/>
      <c r="AF339" s="1189"/>
      <c r="AG339" s="1189"/>
      <c r="AH339" s="1189"/>
      <c r="AI339" s="1189"/>
      <c r="AJ339" s="1189"/>
      <c r="AK339" s="1189"/>
      <c r="AL339" s="1189"/>
      <c r="AM339" s="1189"/>
      <c r="AN339" s="1189"/>
      <c r="AO339" s="1189"/>
      <c r="AP339" s="1189"/>
      <c r="AQ339" s="1189"/>
      <c r="AR339" s="1189"/>
      <c r="AS339" s="1189"/>
      <c r="AT339" s="1189"/>
      <c r="AU339" s="1189"/>
      <c r="AV339" s="1189"/>
      <c r="AW339" s="1189"/>
      <c r="AX339" s="1189"/>
    </row>
    <row r="340" spans="4:50" ht="12.75" customHeight="1">
      <c r="D340" s="1231"/>
      <c r="E340" s="1230"/>
      <c r="F340" s="1230"/>
      <c r="G340" s="1230"/>
      <c r="H340" s="1230"/>
      <c r="I340" s="1189"/>
      <c r="J340" s="1189"/>
      <c r="K340" s="1189"/>
      <c r="L340" s="1225"/>
      <c r="M340" s="1189"/>
      <c r="N340" s="1189"/>
      <c r="O340" s="1189"/>
      <c r="P340" s="1189"/>
      <c r="Q340" s="1189"/>
      <c r="R340" s="1189"/>
      <c r="S340" s="1189"/>
      <c r="T340" s="1208"/>
      <c r="U340" s="1208"/>
      <c r="V340" s="1189"/>
      <c r="W340" s="1189"/>
      <c r="X340" s="1189"/>
      <c r="Y340" s="1189"/>
      <c r="Z340" s="1189"/>
      <c r="AA340" s="1189"/>
      <c r="AB340" s="1189"/>
      <c r="AC340" s="1189"/>
      <c r="AD340" s="1189"/>
      <c r="AE340" s="1189"/>
      <c r="AF340" s="1189"/>
      <c r="AG340" s="1189"/>
      <c r="AH340" s="1189"/>
      <c r="AI340" s="1189"/>
      <c r="AJ340" s="1189"/>
      <c r="AK340" s="1189"/>
      <c r="AL340" s="1189"/>
      <c r="AM340" s="1189"/>
      <c r="AN340" s="1189"/>
      <c r="AO340" s="1189"/>
      <c r="AP340" s="1189"/>
      <c r="AQ340" s="1189"/>
      <c r="AR340" s="1189"/>
      <c r="AS340" s="1189"/>
      <c r="AT340" s="1189"/>
      <c r="AU340" s="1189"/>
      <c r="AV340" s="1189"/>
      <c r="AW340" s="1189"/>
      <c r="AX340" s="1189"/>
    </row>
    <row r="341" spans="4:50" ht="12.75" customHeight="1">
      <c r="D341" s="1231"/>
      <c r="E341" s="1230"/>
      <c r="F341" s="1230"/>
      <c r="G341" s="1230"/>
      <c r="H341" s="1230"/>
      <c r="I341" s="1189"/>
      <c r="J341" s="1189"/>
      <c r="K341" s="1189"/>
      <c r="L341" s="1225"/>
      <c r="M341" s="1189"/>
      <c r="N341" s="1189"/>
      <c r="O341" s="1189"/>
      <c r="P341" s="1189"/>
      <c r="Q341" s="1189"/>
      <c r="R341" s="1189"/>
      <c r="S341" s="1189"/>
      <c r="T341" s="1208"/>
      <c r="U341" s="1208"/>
      <c r="V341" s="1189"/>
      <c r="W341" s="1189"/>
      <c r="X341" s="1189"/>
      <c r="Y341" s="1189"/>
      <c r="Z341" s="1189"/>
      <c r="AA341" s="1189"/>
      <c r="AB341" s="1189"/>
      <c r="AC341" s="1189"/>
      <c r="AD341" s="1189"/>
      <c r="AE341" s="1189"/>
      <c r="AF341" s="1189"/>
      <c r="AG341" s="1189"/>
      <c r="AH341" s="1189"/>
      <c r="AI341" s="1189"/>
      <c r="AJ341" s="1189"/>
      <c r="AK341" s="1189"/>
      <c r="AL341" s="1189"/>
      <c r="AM341" s="1189"/>
      <c r="AN341" s="1189"/>
      <c r="AO341" s="1189"/>
      <c r="AP341" s="1189"/>
      <c r="AQ341" s="1189"/>
      <c r="AR341" s="1189"/>
      <c r="AS341" s="1189"/>
      <c r="AT341" s="1189"/>
      <c r="AU341" s="1189"/>
      <c r="AV341" s="1189"/>
      <c r="AW341" s="1189"/>
      <c r="AX341" s="1189"/>
    </row>
    <row r="342" spans="4:50" ht="12.75" customHeight="1">
      <c r="D342" s="1231"/>
      <c r="E342" s="1230"/>
      <c r="F342" s="1230"/>
      <c r="G342" s="1230"/>
      <c r="H342" s="1230"/>
      <c r="I342" s="1189"/>
      <c r="J342" s="1189"/>
      <c r="K342" s="1189"/>
      <c r="L342" s="1225"/>
      <c r="M342" s="1189"/>
      <c r="N342" s="1189"/>
      <c r="O342" s="1189"/>
      <c r="P342" s="1189"/>
      <c r="Q342" s="1189"/>
      <c r="R342" s="1189"/>
      <c r="S342" s="1189"/>
      <c r="T342" s="1208"/>
      <c r="U342" s="1208"/>
      <c r="V342" s="1189"/>
      <c r="W342" s="1189"/>
      <c r="X342" s="1189"/>
      <c r="Y342" s="1189"/>
      <c r="Z342" s="1189"/>
      <c r="AA342" s="1189"/>
      <c r="AB342" s="1189"/>
      <c r="AC342" s="1189"/>
      <c r="AD342" s="1189"/>
      <c r="AE342" s="1189"/>
      <c r="AF342" s="1189"/>
      <c r="AG342" s="1189"/>
      <c r="AH342" s="1189"/>
      <c r="AI342" s="1189"/>
      <c r="AJ342" s="1189"/>
      <c r="AK342" s="1189"/>
      <c r="AL342" s="1189"/>
      <c r="AM342" s="1189"/>
      <c r="AN342" s="1189"/>
      <c r="AO342" s="1189"/>
      <c r="AP342" s="1189"/>
      <c r="AQ342" s="1189"/>
      <c r="AR342" s="1189"/>
      <c r="AS342" s="1189"/>
      <c r="AT342" s="1189"/>
      <c r="AU342" s="1189"/>
      <c r="AV342" s="1189"/>
      <c r="AW342" s="1189"/>
      <c r="AX342" s="1189"/>
    </row>
    <row r="343" spans="4:50" ht="12.75" customHeight="1">
      <c r="D343" s="1231"/>
      <c r="E343" s="1230"/>
      <c r="F343" s="1230"/>
      <c r="G343" s="1230"/>
      <c r="H343" s="1230"/>
      <c r="I343" s="1189"/>
      <c r="J343" s="1189"/>
      <c r="K343" s="1189"/>
      <c r="L343" s="1225"/>
      <c r="M343" s="1189"/>
      <c r="N343" s="1189"/>
      <c r="O343" s="1189"/>
      <c r="P343" s="1189"/>
      <c r="Q343" s="1189"/>
      <c r="R343" s="1189"/>
      <c r="S343" s="1189"/>
      <c r="T343" s="1208"/>
      <c r="U343" s="1208"/>
      <c r="V343" s="1189"/>
      <c r="W343" s="1189"/>
      <c r="X343" s="1189"/>
      <c r="Y343" s="1189"/>
      <c r="Z343" s="1189"/>
      <c r="AA343" s="1189"/>
      <c r="AB343" s="1189"/>
      <c r="AC343" s="1189"/>
      <c r="AD343" s="1189"/>
      <c r="AE343" s="1189"/>
      <c r="AF343" s="1189"/>
      <c r="AG343" s="1189"/>
      <c r="AH343" s="1189"/>
      <c r="AI343" s="1189"/>
      <c r="AJ343" s="1189"/>
      <c r="AK343" s="1189"/>
      <c r="AL343" s="1189"/>
      <c r="AM343" s="1189"/>
      <c r="AN343" s="1189"/>
      <c r="AO343" s="1189"/>
      <c r="AP343" s="1189"/>
      <c r="AQ343" s="1189"/>
      <c r="AR343" s="1189"/>
      <c r="AS343" s="1189"/>
      <c r="AT343" s="1189"/>
      <c r="AU343" s="1189"/>
      <c r="AV343" s="1189"/>
      <c r="AW343" s="1189"/>
      <c r="AX343" s="1189"/>
    </row>
    <row r="344" spans="4:50" ht="12.75" customHeight="1">
      <c r="D344" s="1231"/>
      <c r="E344" s="1230"/>
      <c r="F344" s="1230"/>
      <c r="G344" s="1230"/>
      <c r="H344" s="1230"/>
      <c r="I344" s="1189"/>
      <c r="J344" s="1189"/>
      <c r="K344" s="1189"/>
      <c r="L344" s="1225"/>
      <c r="M344" s="1189"/>
      <c r="N344" s="1189"/>
      <c r="O344" s="1189"/>
      <c r="P344" s="1189"/>
      <c r="Q344" s="1189"/>
      <c r="R344" s="1189"/>
      <c r="S344" s="1189"/>
      <c r="T344" s="1208"/>
      <c r="U344" s="1208"/>
      <c r="V344" s="1189"/>
      <c r="W344" s="1189"/>
      <c r="X344" s="1189"/>
      <c r="Y344" s="1189"/>
      <c r="Z344" s="1189"/>
      <c r="AA344" s="1189"/>
      <c r="AB344" s="1189"/>
      <c r="AC344" s="1189"/>
      <c r="AD344" s="1189"/>
      <c r="AE344" s="1189"/>
      <c r="AF344" s="1189"/>
      <c r="AG344" s="1189"/>
      <c r="AH344" s="1189"/>
      <c r="AI344" s="1189"/>
      <c r="AJ344" s="1189"/>
      <c r="AK344" s="1189"/>
      <c r="AL344" s="1189"/>
      <c r="AM344" s="1189"/>
      <c r="AN344" s="1189"/>
      <c r="AO344" s="1189"/>
      <c r="AP344" s="1189"/>
      <c r="AQ344" s="1189"/>
      <c r="AR344" s="1189"/>
      <c r="AS344" s="1189"/>
      <c r="AT344" s="1189"/>
      <c r="AU344" s="1189"/>
      <c r="AV344" s="1189"/>
      <c r="AW344" s="1189"/>
      <c r="AX344" s="1189"/>
    </row>
    <row r="345" spans="4:50" ht="12.75" customHeight="1">
      <c r="D345" s="1231"/>
      <c r="E345" s="1230"/>
      <c r="F345" s="1230"/>
      <c r="G345" s="1230"/>
      <c r="H345" s="1230"/>
      <c r="I345" s="1189"/>
      <c r="J345" s="1189"/>
      <c r="K345" s="1189"/>
      <c r="L345" s="1225"/>
      <c r="M345" s="1189"/>
      <c r="N345" s="1189"/>
      <c r="O345" s="1189"/>
      <c r="P345" s="1189"/>
      <c r="Q345" s="1189"/>
      <c r="R345" s="1189"/>
      <c r="S345" s="1189"/>
      <c r="T345" s="1208"/>
      <c r="U345" s="1208"/>
      <c r="V345" s="1189"/>
      <c r="W345" s="1189"/>
      <c r="X345" s="1189"/>
      <c r="Y345" s="1189"/>
      <c r="Z345" s="1189"/>
      <c r="AA345" s="1189"/>
      <c r="AB345" s="1189"/>
      <c r="AC345" s="1189"/>
      <c r="AD345" s="1189"/>
      <c r="AE345" s="1189"/>
      <c r="AF345" s="1189"/>
      <c r="AG345" s="1189"/>
      <c r="AH345" s="1189"/>
      <c r="AI345" s="1189"/>
      <c r="AJ345" s="1189"/>
      <c r="AK345" s="1189"/>
      <c r="AL345" s="1189"/>
      <c r="AM345" s="1189"/>
      <c r="AN345" s="1189"/>
      <c r="AO345" s="1189"/>
      <c r="AP345" s="1189"/>
      <c r="AQ345" s="1189"/>
      <c r="AR345" s="1189"/>
      <c r="AS345" s="1189"/>
      <c r="AT345" s="1189"/>
      <c r="AU345" s="1189"/>
      <c r="AV345" s="1189"/>
      <c r="AW345" s="1189"/>
      <c r="AX345" s="1189"/>
    </row>
    <row r="346" spans="4:50" ht="12.75" customHeight="1">
      <c r="D346" s="1231"/>
      <c r="E346" s="1230"/>
      <c r="F346" s="1230"/>
      <c r="G346" s="1230"/>
      <c r="H346" s="1230"/>
      <c r="I346" s="1189"/>
      <c r="J346" s="1189"/>
      <c r="K346" s="1189"/>
      <c r="L346" s="1225"/>
      <c r="M346" s="1189"/>
      <c r="N346" s="1189"/>
      <c r="O346" s="1189"/>
      <c r="P346" s="1189"/>
      <c r="Q346" s="1189"/>
      <c r="R346" s="1189"/>
      <c r="S346" s="1189"/>
      <c r="T346" s="1208"/>
      <c r="U346" s="1208"/>
      <c r="V346" s="1189"/>
      <c r="W346" s="1189"/>
      <c r="X346" s="1189"/>
      <c r="Y346" s="1189"/>
      <c r="Z346" s="1189"/>
      <c r="AA346" s="1189"/>
      <c r="AB346" s="1189"/>
      <c r="AC346" s="1189"/>
      <c r="AD346" s="1189"/>
      <c r="AE346" s="1189"/>
      <c r="AF346" s="1189"/>
      <c r="AG346" s="1189"/>
      <c r="AH346" s="1189"/>
      <c r="AI346" s="1189"/>
      <c r="AJ346" s="1189"/>
      <c r="AK346" s="1189"/>
      <c r="AL346" s="1189"/>
      <c r="AM346" s="1189"/>
      <c r="AN346" s="1189"/>
      <c r="AO346" s="1189"/>
      <c r="AP346" s="1189"/>
      <c r="AQ346" s="1189"/>
      <c r="AR346" s="1189"/>
      <c r="AS346" s="1189"/>
      <c r="AT346" s="1189"/>
      <c r="AU346" s="1189"/>
      <c r="AV346" s="1189"/>
      <c r="AW346" s="1189"/>
      <c r="AX346" s="1189"/>
    </row>
    <row r="347" spans="4:50" ht="12.75" customHeight="1">
      <c r="D347" s="1231"/>
      <c r="E347" s="1230"/>
      <c r="F347" s="1230"/>
      <c r="G347" s="1230"/>
      <c r="H347" s="1230"/>
      <c r="I347" s="1189"/>
      <c r="J347" s="1189"/>
      <c r="K347" s="1189"/>
      <c r="L347" s="1225"/>
      <c r="M347" s="1189"/>
      <c r="N347" s="1189"/>
      <c r="O347" s="1189"/>
      <c r="P347" s="1189"/>
      <c r="Q347" s="1189"/>
      <c r="R347" s="1189"/>
      <c r="S347" s="1189"/>
      <c r="T347" s="1208"/>
      <c r="U347" s="1208"/>
      <c r="V347" s="1189"/>
      <c r="W347" s="1189"/>
      <c r="X347" s="1189"/>
      <c r="Y347" s="1189"/>
      <c r="Z347" s="1189"/>
      <c r="AA347" s="1189"/>
      <c r="AB347" s="1189"/>
      <c r="AC347" s="1189"/>
      <c r="AD347" s="1189"/>
      <c r="AE347" s="1189"/>
      <c r="AF347" s="1189"/>
      <c r="AG347" s="1189"/>
      <c r="AH347" s="1189"/>
      <c r="AI347" s="1189"/>
      <c r="AJ347" s="1189"/>
      <c r="AK347" s="1189"/>
      <c r="AL347" s="1189"/>
      <c r="AM347" s="1189"/>
      <c r="AN347" s="1189"/>
      <c r="AO347" s="1189"/>
      <c r="AP347" s="1189"/>
      <c r="AQ347" s="1189"/>
      <c r="AR347" s="1189"/>
      <c r="AS347" s="1189"/>
      <c r="AT347" s="1189"/>
      <c r="AU347" s="1189"/>
      <c r="AV347" s="1189"/>
      <c r="AW347" s="1189"/>
      <c r="AX347" s="1189"/>
    </row>
    <row r="348" spans="4:50" ht="12.75" customHeight="1">
      <c r="D348" s="1231"/>
      <c r="E348" s="1230"/>
      <c r="F348" s="1230"/>
      <c r="G348" s="1230"/>
      <c r="H348" s="1230"/>
      <c r="I348" s="1189"/>
      <c r="J348" s="1189"/>
      <c r="K348" s="1189"/>
      <c r="L348" s="1225"/>
      <c r="M348" s="1189"/>
      <c r="N348" s="1189"/>
      <c r="O348" s="1189"/>
      <c r="P348" s="1189"/>
      <c r="Q348" s="1189"/>
      <c r="R348" s="1189"/>
      <c r="S348" s="1189"/>
      <c r="T348" s="1208"/>
      <c r="U348" s="1208"/>
      <c r="V348" s="1189"/>
      <c r="W348" s="1189"/>
      <c r="X348" s="1189"/>
      <c r="Y348" s="1189"/>
      <c r="Z348" s="1189"/>
      <c r="AA348" s="1189"/>
      <c r="AB348" s="1189"/>
      <c r="AC348" s="1189"/>
      <c r="AD348" s="1189"/>
      <c r="AE348" s="1189"/>
      <c r="AF348" s="1189"/>
      <c r="AG348" s="1189"/>
      <c r="AH348" s="1189"/>
      <c r="AI348" s="1189"/>
      <c r="AJ348" s="1189"/>
      <c r="AK348" s="1189"/>
      <c r="AL348" s="1189"/>
      <c r="AM348" s="1189"/>
      <c r="AN348" s="1189"/>
      <c r="AO348" s="1189"/>
      <c r="AP348" s="1189"/>
      <c r="AQ348" s="1189"/>
      <c r="AR348" s="1189"/>
      <c r="AS348" s="1189"/>
      <c r="AT348" s="1189"/>
      <c r="AU348" s="1189"/>
      <c r="AV348" s="1189"/>
      <c r="AW348" s="1189"/>
      <c r="AX348" s="1189"/>
    </row>
    <row r="349" spans="4:50" ht="12.75" customHeight="1">
      <c r="D349" s="1231"/>
      <c r="E349" s="1230"/>
      <c r="F349" s="1230"/>
      <c r="G349" s="1230"/>
      <c r="H349" s="1230"/>
      <c r="I349" s="1189"/>
      <c r="J349" s="1189"/>
      <c r="K349" s="1189"/>
      <c r="L349" s="1225"/>
      <c r="M349" s="1189"/>
      <c r="N349" s="1189"/>
      <c r="O349" s="1189"/>
      <c r="P349" s="1189"/>
      <c r="Q349" s="1189"/>
      <c r="R349" s="1189"/>
      <c r="S349" s="1189"/>
      <c r="T349" s="1208"/>
      <c r="U349" s="1208"/>
      <c r="V349" s="1189"/>
      <c r="W349" s="1189"/>
      <c r="X349" s="1189"/>
      <c r="Y349" s="1189"/>
      <c r="Z349" s="1189"/>
      <c r="AA349" s="1189"/>
      <c r="AB349" s="1189"/>
      <c r="AC349" s="1189"/>
      <c r="AD349" s="1189"/>
      <c r="AE349" s="1189"/>
      <c r="AF349" s="1189"/>
      <c r="AG349" s="1189"/>
      <c r="AH349" s="1189"/>
      <c r="AI349" s="1189"/>
      <c r="AJ349" s="1189"/>
      <c r="AK349" s="1189"/>
      <c r="AL349" s="1189"/>
      <c r="AM349" s="1189"/>
      <c r="AN349" s="1189"/>
      <c r="AO349" s="1189"/>
      <c r="AP349" s="1189"/>
      <c r="AQ349" s="1189"/>
      <c r="AR349" s="1189"/>
      <c r="AS349" s="1189"/>
      <c r="AT349" s="1189"/>
      <c r="AU349" s="1189"/>
      <c r="AV349" s="1189"/>
      <c r="AW349" s="1189"/>
      <c r="AX349" s="1189"/>
    </row>
    <row r="350" spans="4:50" ht="12.75" customHeight="1">
      <c r="D350" s="1231"/>
      <c r="E350" s="1230"/>
      <c r="F350" s="1230"/>
      <c r="G350" s="1230"/>
      <c r="H350" s="1230"/>
      <c r="I350" s="1189"/>
      <c r="J350" s="1189"/>
      <c r="K350" s="1189"/>
      <c r="L350" s="1225"/>
      <c r="M350" s="1189"/>
      <c r="N350" s="1189"/>
      <c r="O350" s="1189"/>
      <c r="P350" s="1189"/>
      <c r="Q350" s="1189"/>
      <c r="R350" s="1189"/>
      <c r="S350" s="1189"/>
      <c r="T350" s="1208"/>
      <c r="U350" s="1208"/>
      <c r="V350" s="1189"/>
      <c r="W350" s="1189"/>
      <c r="X350" s="1189"/>
      <c r="Y350" s="1189"/>
      <c r="Z350" s="1189"/>
      <c r="AA350" s="1189"/>
      <c r="AB350" s="1189"/>
      <c r="AC350" s="1189"/>
      <c r="AD350" s="1189"/>
      <c r="AE350" s="1189"/>
      <c r="AF350" s="1189"/>
      <c r="AG350" s="1189"/>
      <c r="AH350" s="1189"/>
      <c r="AI350" s="1189"/>
      <c r="AJ350" s="1189"/>
      <c r="AK350" s="1189"/>
      <c r="AL350" s="1189"/>
      <c r="AM350" s="1189"/>
      <c r="AN350" s="1189"/>
      <c r="AO350" s="1189"/>
      <c r="AP350" s="1189"/>
      <c r="AQ350" s="1189"/>
      <c r="AR350" s="1189"/>
      <c r="AS350" s="1189"/>
      <c r="AT350" s="1189"/>
      <c r="AU350" s="1189"/>
      <c r="AV350" s="1189"/>
      <c r="AW350" s="1189"/>
      <c r="AX350" s="1189"/>
    </row>
    <row r="351" spans="4:50" ht="12.75" customHeight="1">
      <c r="D351" s="1231"/>
      <c r="E351" s="1230"/>
      <c r="F351" s="1230"/>
      <c r="G351" s="1230"/>
      <c r="H351" s="1230"/>
      <c r="I351" s="1189"/>
      <c r="J351" s="1189"/>
      <c r="K351" s="1189"/>
      <c r="L351" s="1225"/>
      <c r="M351" s="1189"/>
      <c r="N351" s="1189"/>
      <c r="O351" s="1189"/>
      <c r="P351" s="1189"/>
      <c r="Q351" s="1189"/>
      <c r="R351" s="1189"/>
      <c r="S351" s="1189"/>
      <c r="T351" s="1208"/>
      <c r="U351" s="1208"/>
      <c r="V351" s="1189"/>
      <c r="W351" s="1189"/>
      <c r="X351" s="1189"/>
      <c r="Y351" s="1189"/>
      <c r="Z351" s="1189"/>
      <c r="AA351" s="1189"/>
      <c r="AB351" s="1189"/>
      <c r="AC351" s="1189"/>
      <c r="AD351" s="1189"/>
      <c r="AE351" s="1189"/>
      <c r="AF351" s="1189"/>
      <c r="AG351" s="1189"/>
      <c r="AH351" s="1189"/>
      <c r="AI351" s="1189"/>
      <c r="AJ351" s="1189"/>
      <c r="AK351" s="1189"/>
      <c r="AL351" s="1189"/>
      <c r="AM351" s="1189"/>
      <c r="AN351" s="1189"/>
      <c r="AO351" s="1189"/>
      <c r="AP351" s="1189"/>
      <c r="AQ351" s="1189"/>
      <c r="AR351" s="1189"/>
      <c r="AS351" s="1189"/>
      <c r="AT351" s="1189"/>
      <c r="AU351" s="1189"/>
      <c r="AV351" s="1189"/>
      <c r="AW351" s="1189"/>
      <c r="AX351" s="1189"/>
    </row>
    <row r="352" spans="4:50" ht="12.75" customHeight="1">
      <c r="D352" s="1231"/>
      <c r="E352" s="1230"/>
      <c r="F352" s="1230"/>
      <c r="G352" s="1230"/>
      <c r="H352" s="1230"/>
      <c r="I352" s="1189"/>
      <c r="J352" s="1189"/>
      <c r="K352" s="1189"/>
      <c r="L352" s="1225"/>
      <c r="M352" s="1189"/>
      <c r="N352" s="1189"/>
      <c r="O352" s="1189"/>
      <c r="P352" s="1189"/>
      <c r="Q352" s="1189"/>
      <c r="R352" s="1189"/>
      <c r="S352" s="1189"/>
      <c r="T352" s="1208"/>
      <c r="U352" s="1208"/>
      <c r="V352" s="1189"/>
      <c r="W352" s="1189"/>
      <c r="X352" s="1189"/>
      <c r="Y352" s="1189"/>
      <c r="Z352" s="1189"/>
      <c r="AA352" s="1189"/>
      <c r="AB352" s="1189"/>
      <c r="AC352" s="1189"/>
      <c r="AD352" s="1189"/>
      <c r="AE352" s="1189"/>
      <c r="AF352" s="1189"/>
      <c r="AG352" s="1189"/>
      <c r="AH352" s="1189"/>
      <c r="AI352" s="1189"/>
      <c r="AJ352" s="1189"/>
      <c r="AK352" s="1189"/>
      <c r="AL352" s="1189"/>
      <c r="AM352" s="1189"/>
      <c r="AN352" s="1189"/>
      <c r="AO352" s="1189"/>
      <c r="AP352" s="1189"/>
      <c r="AQ352" s="1189"/>
      <c r="AR352" s="1189"/>
      <c r="AS352" s="1189"/>
      <c r="AT352" s="1189"/>
      <c r="AU352" s="1189"/>
      <c r="AV352" s="1189"/>
      <c r="AW352" s="1189"/>
      <c r="AX352" s="1189"/>
    </row>
    <row r="353" spans="4:50" ht="12.75" customHeight="1">
      <c r="D353" s="1231"/>
      <c r="E353" s="1230"/>
      <c r="F353" s="1230"/>
      <c r="G353" s="1230"/>
      <c r="H353" s="1230"/>
      <c r="I353" s="1189"/>
      <c r="J353" s="1189"/>
      <c r="K353" s="1189"/>
      <c r="L353" s="1225"/>
      <c r="M353" s="1189"/>
      <c r="N353" s="1189"/>
      <c r="O353" s="1189"/>
      <c r="P353" s="1189"/>
      <c r="Q353" s="1189"/>
      <c r="R353" s="1189"/>
      <c r="S353" s="1189"/>
      <c r="T353" s="1208"/>
      <c r="U353" s="1208"/>
      <c r="V353" s="1189"/>
      <c r="W353" s="1189"/>
      <c r="X353" s="1189"/>
      <c r="Y353" s="1189"/>
      <c r="Z353" s="1189"/>
      <c r="AA353" s="1189"/>
      <c r="AB353" s="1189"/>
      <c r="AC353" s="1189"/>
      <c r="AD353" s="1189"/>
      <c r="AE353" s="1189"/>
      <c r="AF353" s="1189"/>
      <c r="AG353" s="1189"/>
      <c r="AH353" s="1189"/>
      <c r="AI353" s="1189"/>
      <c r="AJ353" s="1189"/>
      <c r="AK353" s="1189"/>
      <c r="AL353" s="1189"/>
      <c r="AM353" s="1189"/>
      <c r="AN353" s="1189"/>
      <c r="AO353" s="1189"/>
      <c r="AP353" s="1189"/>
      <c r="AQ353" s="1189"/>
      <c r="AR353" s="1189"/>
      <c r="AS353" s="1189"/>
      <c r="AT353" s="1189"/>
      <c r="AU353" s="1189"/>
      <c r="AV353" s="1189"/>
      <c r="AW353" s="1189"/>
      <c r="AX353" s="1189"/>
    </row>
    <row r="354" spans="4:50" ht="12.75" customHeight="1">
      <c r="D354" s="1231"/>
      <c r="E354" s="1230"/>
      <c r="F354" s="1230"/>
      <c r="G354" s="1230"/>
      <c r="H354" s="1230"/>
      <c r="I354" s="1189"/>
      <c r="J354" s="1189"/>
      <c r="K354" s="1189"/>
      <c r="L354" s="1225"/>
      <c r="M354" s="1189"/>
      <c r="N354" s="1189"/>
      <c r="O354" s="1189"/>
      <c r="P354" s="1189"/>
      <c r="Q354" s="1189"/>
      <c r="R354" s="1189"/>
      <c r="S354" s="1189"/>
      <c r="T354" s="1208"/>
      <c r="U354" s="1208"/>
      <c r="V354" s="1189"/>
      <c r="W354" s="1189"/>
      <c r="X354" s="1189"/>
      <c r="Y354" s="1189"/>
      <c r="Z354" s="1189"/>
      <c r="AA354" s="1189"/>
      <c r="AB354" s="1189"/>
      <c r="AC354" s="1189"/>
      <c r="AD354" s="1189"/>
      <c r="AE354" s="1189"/>
      <c r="AF354" s="1189"/>
      <c r="AG354" s="1189"/>
      <c r="AH354" s="1189"/>
      <c r="AI354" s="1189"/>
      <c r="AJ354" s="1189"/>
      <c r="AK354" s="1189"/>
      <c r="AL354" s="1189"/>
      <c r="AM354" s="1189"/>
      <c r="AN354" s="1189"/>
      <c r="AO354" s="1189"/>
      <c r="AP354" s="1189"/>
      <c r="AQ354" s="1189"/>
      <c r="AR354" s="1189"/>
      <c r="AS354" s="1189"/>
      <c r="AT354" s="1189"/>
      <c r="AU354" s="1189"/>
      <c r="AV354" s="1189"/>
      <c r="AW354" s="1189"/>
      <c r="AX354" s="1189"/>
    </row>
    <row r="355" spans="4:50" ht="12.75" customHeight="1">
      <c r="D355" s="1231"/>
      <c r="E355" s="1230"/>
      <c r="F355" s="1230"/>
      <c r="G355" s="1230"/>
      <c r="H355" s="1230"/>
      <c r="I355" s="1189"/>
      <c r="J355" s="1189"/>
      <c r="K355" s="1189"/>
      <c r="L355" s="1225"/>
      <c r="M355" s="1189"/>
      <c r="N355" s="1189"/>
      <c r="O355" s="1189"/>
      <c r="P355" s="1189"/>
      <c r="Q355" s="1189"/>
      <c r="R355" s="1189"/>
      <c r="S355" s="1189"/>
      <c r="T355" s="1208"/>
      <c r="U355" s="1208"/>
      <c r="V355" s="1189"/>
      <c r="W355" s="1189"/>
      <c r="X355" s="1189"/>
      <c r="Y355" s="1189"/>
      <c r="Z355" s="1189"/>
      <c r="AA355" s="1189"/>
      <c r="AB355" s="1189"/>
      <c r="AC355" s="1189"/>
      <c r="AD355" s="1189"/>
      <c r="AE355" s="1189"/>
      <c r="AF355" s="1189"/>
      <c r="AG355" s="1189"/>
      <c r="AH355" s="1189"/>
      <c r="AI355" s="1189"/>
      <c r="AJ355" s="1189"/>
      <c r="AK355" s="1189"/>
      <c r="AL355" s="1189"/>
      <c r="AM355" s="1189"/>
      <c r="AN355" s="1189"/>
      <c r="AO355" s="1189"/>
      <c r="AP355" s="1189"/>
      <c r="AQ355" s="1189"/>
      <c r="AR355" s="1189"/>
      <c r="AS355" s="1189"/>
      <c r="AT355" s="1189"/>
      <c r="AU355" s="1189"/>
      <c r="AV355" s="1189"/>
      <c r="AW355" s="1189"/>
      <c r="AX355" s="1189"/>
    </row>
    <row r="356" spans="4:50" ht="12.75" customHeight="1">
      <c r="D356" s="1231"/>
      <c r="E356" s="1230"/>
      <c r="F356" s="1230"/>
      <c r="G356" s="1230"/>
      <c r="H356" s="1230"/>
      <c r="I356" s="1189"/>
      <c r="J356" s="1189"/>
      <c r="K356" s="1189"/>
      <c r="L356" s="1225"/>
      <c r="M356" s="1189"/>
      <c r="N356" s="1189"/>
      <c r="O356" s="1189"/>
      <c r="P356" s="1189"/>
      <c r="Q356" s="1189"/>
      <c r="R356" s="1189"/>
      <c r="S356" s="1189"/>
      <c r="T356" s="1208"/>
      <c r="U356" s="1208"/>
      <c r="V356" s="1189"/>
      <c r="W356" s="1189"/>
      <c r="X356" s="1189"/>
      <c r="Y356" s="1189"/>
      <c r="Z356" s="1189"/>
      <c r="AA356" s="1189"/>
      <c r="AB356" s="1189"/>
      <c r="AC356" s="1189"/>
      <c r="AD356" s="1189"/>
      <c r="AE356" s="1189"/>
      <c r="AF356" s="1189"/>
      <c r="AG356" s="1189"/>
      <c r="AH356" s="1189"/>
      <c r="AI356" s="1189"/>
      <c r="AJ356" s="1189"/>
      <c r="AK356" s="1189"/>
      <c r="AL356" s="1189"/>
      <c r="AM356" s="1189"/>
      <c r="AN356" s="1189"/>
      <c r="AO356" s="1189"/>
      <c r="AP356" s="1189"/>
      <c r="AQ356" s="1189"/>
      <c r="AR356" s="1189"/>
      <c r="AS356" s="1189"/>
      <c r="AT356" s="1189"/>
      <c r="AU356" s="1189"/>
      <c r="AV356" s="1189"/>
      <c r="AW356" s="1189"/>
      <c r="AX356" s="1189"/>
    </row>
    <row r="357" spans="4:50" ht="12.75" customHeight="1">
      <c r="D357" s="1231"/>
      <c r="E357" s="1230"/>
      <c r="F357" s="1230"/>
      <c r="G357" s="1230"/>
      <c r="H357" s="1230"/>
      <c r="I357" s="1189"/>
      <c r="J357" s="1189"/>
      <c r="K357" s="1189"/>
      <c r="L357" s="1225"/>
      <c r="M357" s="1189"/>
      <c r="N357" s="1189"/>
      <c r="O357" s="1189"/>
      <c r="P357" s="1189"/>
      <c r="Q357" s="1189"/>
      <c r="R357" s="1189"/>
      <c r="S357" s="1189"/>
      <c r="T357" s="1208"/>
      <c r="U357" s="1208"/>
      <c r="V357" s="1189"/>
      <c r="W357" s="1189"/>
      <c r="X357" s="1189"/>
      <c r="Y357" s="1189"/>
      <c r="Z357" s="1189"/>
      <c r="AA357" s="1189"/>
      <c r="AB357" s="1189"/>
      <c r="AC357" s="1189"/>
      <c r="AD357" s="1189"/>
      <c r="AE357" s="1189"/>
      <c r="AF357" s="1189"/>
      <c r="AG357" s="1189"/>
      <c r="AH357" s="1189"/>
      <c r="AI357" s="1189"/>
      <c r="AJ357" s="1189"/>
      <c r="AK357" s="1189"/>
      <c r="AL357" s="1189"/>
      <c r="AM357" s="1189"/>
      <c r="AN357" s="1189"/>
      <c r="AO357" s="1189"/>
      <c r="AP357" s="1189"/>
      <c r="AQ357" s="1189"/>
      <c r="AR357" s="1189"/>
      <c r="AS357" s="1189"/>
      <c r="AT357" s="1189"/>
      <c r="AU357" s="1189"/>
      <c r="AV357" s="1189"/>
      <c r="AW357" s="1189"/>
      <c r="AX357" s="1189"/>
    </row>
    <row r="358" spans="4:50" ht="12.75" customHeight="1">
      <c r="D358" s="1231"/>
      <c r="E358" s="1230"/>
      <c r="F358" s="1230"/>
      <c r="G358" s="1230"/>
      <c r="H358" s="1230"/>
      <c r="I358" s="1189"/>
      <c r="J358" s="1189"/>
      <c r="K358" s="1189"/>
      <c r="L358" s="1225"/>
      <c r="M358" s="1189"/>
      <c r="N358" s="1189"/>
      <c r="O358" s="1189"/>
      <c r="P358" s="1189"/>
      <c r="Q358" s="1189"/>
      <c r="R358" s="1189"/>
      <c r="S358" s="1189"/>
      <c r="T358" s="1208"/>
      <c r="U358" s="1208"/>
      <c r="V358" s="1189"/>
      <c r="W358" s="1189"/>
      <c r="X358" s="1189"/>
      <c r="Y358" s="1189"/>
      <c r="Z358" s="1189"/>
      <c r="AA358" s="1189"/>
      <c r="AB358" s="1189"/>
      <c r="AC358" s="1189"/>
      <c r="AD358" s="1189"/>
      <c r="AE358" s="1189"/>
      <c r="AF358" s="1189"/>
      <c r="AG358" s="1189"/>
      <c r="AH358" s="1189"/>
      <c r="AI358" s="1189"/>
      <c r="AJ358" s="1189"/>
      <c r="AK358" s="1189"/>
      <c r="AL358" s="1189"/>
      <c r="AM358" s="1189"/>
      <c r="AN358" s="1189"/>
      <c r="AO358" s="1189"/>
      <c r="AP358" s="1189"/>
      <c r="AQ358" s="1189"/>
      <c r="AR358" s="1189"/>
      <c r="AS358" s="1189"/>
      <c r="AT358" s="1189"/>
      <c r="AU358" s="1189"/>
      <c r="AV358" s="1189"/>
      <c r="AW358" s="1189"/>
      <c r="AX358" s="1189"/>
    </row>
    <row r="359" spans="4:50" ht="12.75" customHeight="1">
      <c r="D359" s="1231"/>
      <c r="E359" s="1230"/>
      <c r="F359" s="1230"/>
      <c r="G359" s="1230"/>
      <c r="H359" s="1230"/>
      <c r="I359" s="1189"/>
      <c r="J359" s="1189"/>
      <c r="K359" s="1189"/>
      <c r="L359" s="1225"/>
      <c r="M359" s="1189"/>
      <c r="N359" s="1189"/>
      <c r="O359" s="1189"/>
      <c r="P359" s="1189"/>
      <c r="Q359" s="1189"/>
      <c r="R359" s="1189"/>
      <c r="S359" s="1189"/>
      <c r="T359" s="1208"/>
      <c r="U359" s="1208"/>
      <c r="V359" s="1189"/>
      <c r="W359" s="1189"/>
      <c r="X359" s="1189"/>
      <c r="Y359" s="1189"/>
      <c r="Z359" s="1189"/>
      <c r="AA359" s="1189"/>
      <c r="AB359" s="1189"/>
      <c r="AC359" s="1189"/>
      <c r="AD359" s="1189"/>
      <c r="AE359" s="1189"/>
      <c r="AF359" s="1189"/>
      <c r="AG359" s="1189"/>
      <c r="AH359" s="1189"/>
      <c r="AI359" s="1189"/>
      <c r="AJ359" s="1189"/>
      <c r="AK359" s="1189"/>
      <c r="AL359" s="1189"/>
      <c r="AM359" s="1189"/>
      <c r="AN359" s="1189"/>
      <c r="AO359" s="1189"/>
      <c r="AP359" s="1189"/>
      <c r="AQ359" s="1189"/>
      <c r="AR359" s="1189"/>
      <c r="AS359" s="1189"/>
      <c r="AT359" s="1189"/>
      <c r="AU359" s="1189"/>
      <c r="AV359" s="1189"/>
      <c r="AW359" s="1189"/>
      <c r="AX359" s="1189"/>
    </row>
    <row r="360" spans="4:50" ht="12.75" customHeight="1">
      <c r="D360" s="1231"/>
      <c r="E360" s="1230"/>
      <c r="F360" s="1230"/>
      <c r="G360" s="1230"/>
      <c r="H360" s="1230"/>
      <c r="I360" s="1189"/>
      <c r="J360" s="1189"/>
      <c r="K360" s="1189"/>
      <c r="L360" s="1225"/>
      <c r="M360" s="1189"/>
      <c r="N360" s="1189"/>
      <c r="O360" s="1189"/>
      <c r="P360" s="1189"/>
      <c r="Q360" s="1189"/>
      <c r="R360" s="1189"/>
      <c r="S360" s="1189"/>
      <c r="T360" s="1208"/>
      <c r="U360" s="1208"/>
      <c r="V360" s="1189"/>
      <c r="W360" s="1189"/>
      <c r="X360" s="1189"/>
      <c r="Y360" s="1189"/>
      <c r="Z360" s="1189"/>
      <c r="AA360" s="1189"/>
      <c r="AB360" s="1189"/>
      <c r="AC360" s="1189"/>
      <c r="AD360" s="1189"/>
      <c r="AE360" s="1189"/>
      <c r="AF360" s="1189"/>
      <c r="AG360" s="1189"/>
      <c r="AH360" s="1189"/>
      <c r="AI360" s="1189"/>
      <c r="AJ360" s="1189"/>
      <c r="AK360" s="1189"/>
      <c r="AL360" s="1189"/>
      <c r="AM360" s="1189"/>
      <c r="AN360" s="1189"/>
      <c r="AO360" s="1189"/>
      <c r="AP360" s="1189"/>
      <c r="AQ360" s="1189"/>
      <c r="AR360" s="1189"/>
      <c r="AS360" s="1189"/>
      <c r="AT360" s="1189"/>
      <c r="AU360" s="1189"/>
      <c r="AV360" s="1189"/>
      <c r="AW360" s="1189"/>
      <c r="AX360" s="1189"/>
    </row>
    <row r="361" spans="4:50" ht="12.75" customHeight="1">
      <c r="D361" s="1231"/>
      <c r="E361" s="1230"/>
      <c r="F361" s="1230"/>
      <c r="G361" s="1230"/>
      <c r="H361" s="1230"/>
      <c r="I361" s="1189"/>
      <c r="J361" s="1189"/>
      <c r="K361" s="1189"/>
      <c r="L361" s="1225"/>
      <c r="M361" s="1189"/>
      <c r="N361" s="1189"/>
      <c r="O361" s="1189"/>
      <c r="P361" s="1189"/>
      <c r="Q361" s="1189"/>
      <c r="R361" s="1189"/>
      <c r="S361" s="1189"/>
      <c r="T361" s="1208"/>
      <c r="U361" s="1208"/>
      <c r="V361" s="1189"/>
      <c r="W361" s="1189"/>
      <c r="X361" s="1189"/>
      <c r="Y361" s="1189"/>
      <c r="Z361" s="1189"/>
      <c r="AA361" s="1189"/>
      <c r="AB361" s="1189"/>
      <c r="AC361" s="1189"/>
      <c r="AD361" s="1189"/>
      <c r="AE361" s="1189"/>
      <c r="AF361" s="1189"/>
      <c r="AG361" s="1189"/>
      <c r="AH361" s="1189"/>
      <c r="AI361" s="1189"/>
      <c r="AJ361" s="1189"/>
      <c r="AK361" s="1189"/>
      <c r="AL361" s="1189"/>
      <c r="AM361" s="1189"/>
      <c r="AN361" s="1189"/>
      <c r="AO361" s="1189"/>
      <c r="AP361" s="1189"/>
      <c r="AQ361" s="1189"/>
      <c r="AR361" s="1189"/>
      <c r="AS361" s="1189"/>
      <c r="AT361" s="1189"/>
      <c r="AU361" s="1189"/>
      <c r="AV361" s="1189"/>
      <c r="AW361" s="1189"/>
      <c r="AX361" s="1189"/>
    </row>
    <row r="362" spans="4:50" ht="12.75" customHeight="1">
      <c r="D362" s="1231"/>
      <c r="E362" s="1230"/>
      <c r="F362" s="1230"/>
      <c r="G362" s="1230"/>
      <c r="H362" s="1230"/>
      <c r="I362" s="1189"/>
      <c r="J362" s="1189"/>
      <c r="K362" s="1189"/>
      <c r="L362" s="1225"/>
      <c r="M362" s="1189"/>
      <c r="N362" s="1189"/>
      <c r="O362" s="1189"/>
      <c r="P362" s="1189"/>
      <c r="Q362" s="1189"/>
      <c r="R362" s="1189"/>
      <c r="S362" s="1189"/>
      <c r="T362" s="1208"/>
      <c r="U362" s="1208"/>
      <c r="V362" s="1189"/>
      <c r="W362" s="1189"/>
      <c r="X362" s="1189"/>
      <c r="Y362" s="1189"/>
      <c r="Z362" s="1189"/>
      <c r="AA362" s="1189"/>
      <c r="AB362" s="1189"/>
      <c r="AC362" s="1189"/>
      <c r="AD362" s="1189"/>
      <c r="AE362" s="1189"/>
      <c r="AF362" s="1189"/>
      <c r="AG362" s="1189"/>
      <c r="AH362" s="1189"/>
      <c r="AI362" s="1189"/>
      <c r="AJ362" s="1189"/>
      <c r="AK362" s="1189"/>
      <c r="AL362" s="1189"/>
      <c r="AM362" s="1189"/>
      <c r="AN362" s="1189"/>
      <c r="AO362" s="1189"/>
      <c r="AP362" s="1189"/>
      <c r="AQ362" s="1189"/>
      <c r="AR362" s="1189"/>
      <c r="AS362" s="1189"/>
      <c r="AT362" s="1189"/>
      <c r="AU362" s="1189"/>
      <c r="AV362" s="1189"/>
      <c r="AW362" s="1189"/>
      <c r="AX362" s="1189"/>
    </row>
    <row r="363" spans="4:50" ht="12.75" customHeight="1">
      <c r="D363" s="1231"/>
      <c r="E363" s="1230"/>
      <c r="F363" s="1230"/>
      <c r="G363" s="1230"/>
      <c r="H363" s="1230"/>
      <c r="I363" s="1189"/>
      <c r="J363" s="1189"/>
      <c r="K363" s="1189"/>
      <c r="L363" s="1225"/>
      <c r="M363" s="1189"/>
      <c r="N363" s="1189"/>
      <c r="O363" s="1189"/>
      <c r="P363" s="1189"/>
      <c r="Q363" s="1189"/>
      <c r="R363" s="1189"/>
      <c r="S363" s="1189"/>
      <c r="T363" s="1208"/>
      <c r="U363" s="1208"/>
      <c r="V363" s="1189"/>
      <c r="W363" s="1189"/>
      <c r="X363" s="1189"/>
      <c r="Y363" s="1189"/>
      <c r="Z363" s="1189"/>
      <c r="AA363" s="1189"/>
      <c r="AB363" s="1189"/>
      <c r="AC363" s="1189"/>
      <c r="AD363" s="1189"/>
      <c r="AE363" s="1189"/>
      <c r="AF363" s="1189"/>
      <c r="AG363" s="1189"/>
      <c r="AH363" s="1189"/>
      <c r="AI363" s="1189"/>
      <c r="AJ363" s="1189"/>
      <c r="AK363" s="1189"/>
      <c r="AL363" s="1189"/>
      <c r="AM363" s="1189"/>
      <c r="AN363" s="1189"/>
      <c r="AO363" s="1189"/>
      <c r="AP363" s="1189"/>
      <c r="AQ363" s="1189"/>
      <c r="AR363" s="1189"/>
      <c r="AS363" s="1189"/>
      <c r="AT363" s="1189"/>
      <c r="AU363" s="1189"/>
      <c r="AV363" s="1189"/>
      <c r="AW363" s="1189"/>
      <c r="AX363" s="1189"/>
    </row>
    <row r="364" spans="4:50" ht="12.75" customHeight="1">
      <c r="D364" s="1231"/>
      <c r="E364" s="1230"/>
      <c r="F364" s="1230"/>
      <c r="G364" s="1230"/>
      <c r="H364" s="1230"/>
      <c r="I364" s="1189"/>
      <c r="J364" s="1189"/>
      <c r="K364" s="1189"/>
      <c r="L364" s="1225"/>
      <c r="M364" s="1189"/>
      <c r="N364" s="1189"/>
      <c r="O364" s="1189"/>
      <c r="P364" s="1189"/>
      <c r="Q364" s="1189"/>
      <c r="R364" s="1189"/>
      <c r="S364" s="1189"/>
      <c r="T364" s="1208"/>
      <c r="U364" s="1208"/>
      <c r="V364" s="1189"/>
      <c r="W364" s="1189"/>
      <c r="X364" s="1189"/>
      <c r="Y364" s="1189"/>
      <c r="Z364" s="1189"/>
      <c r="AA364" s="1189"/>
      <c r="AB364" s="1189"/>
      <c r="AC364" s="1189"/>
      <c r="AD364" s="1189"/>
      <c r="AE364" s="1189"/>
      <c r="AF364" s="1189"/>
      <c r="AG364" s="1189"/>
      <c r="AH364" s="1189"/>
      <c r="AI364" s="1189"/>
      <c r="AJ364" s="1189"/>
      <c r="AK364" s="1189"/>
      <c r="AL364" s="1189"/>
      <c r="AM364" s="1189"/>
      <c r="AN364" s="1189"/>
      <c r="AO364" s="1189"/>
      <c r="AP364" s="1189"/>
      <c r="AQ364" s="1189"/>
      <c r="AR364" s="1189"/>
      <c r="AS364" s="1189"/>
      <c r="AT364" s="1189"/>
      <c r="AU364" s="1189"/>
      <c r="AV364" s="1189"/>
      <c r="AW364" s="1189"/>
      <c r="AX364" s="1189"/>
    </row>
    <row r="365" spans="4:50" ht="12.75" customHeight="1">
      <c r="D365" s="1231"/>
      <c r="E365" s="1230"/>
      <c r="F365" s="1230"/>
      <c r="G365" s="1230"/>
      <c r="H365" s="1230"/>
      <c r="I365" s="1189"/>
      <c r="J365" s="1189"/>
      <c r="K365" s="1189"/>
      <c r="L365" s="1225"/>
      <c r="M365" s="1189"/>
      <c r="N365" s="1189"/>
      <c r="O365" s="1189"/>
      <c r="P365" s="1189"/>
      <c r="Q365" s="1189"/>
      <c r="R365" s="1189"/>
      <c r="S365" s="1189"/>
      <c r="T365" s="1208"/>
      <c r="U365" s="1208"/>
      <c r="V365" s="1189"/>
      <c r="W365" s="1189"/>
      <c r="X365" s="1189"/>
      <c r="Y365" s="1189"/>
      <c r="Z365" s="1189"/>
      <c r="AA365" s="1189"/>
      <c r="AB365" s="1189"/>
      <c r="AC365" s="1189"/>
      <c r="AD365" s="1189"/>
      <c r="AE365" s="1189"/>
      <c r="AF365" s="1189"/>
      <c r="AG365" s="1189"/>
      <c r="AH365" s="1189"/>
      <c r="AI365" s="1189"/>
      <c r="AJ365" s="1189"/>
      <c r="AK365" s="1189"/>
      <c r="AL365" s="1189"/>
      <c r="AM365" s="1189"/>
      <c r="AN365" s="1189"/>
      <c r="AO365" s="1189"/>
      <c r="AP365" s="1189"/>
      <c r="AQ365" s="1189"/>
      <c r="AR365" s="1189"/>
      <c r="AS365" s="1189"/>
      <c r="AT365" s="1189"/>
      <c r="AU365" s="1189"/>
      <c r="AV365" s="1189"/>
      <c r="AW365" s="1189"/>
      <c r="AX365" s="1189"/>
    </row>
    <row r="366" spans="4:50" ht="12.75" customHeight="1">
      <c r="D366" s="1231"/>
      <c r="E366" s="1230"/>
      <c r="F366" s="1230"/>
      <c r="G366" s="1230"/>
      <c r="H366" s="1230"/>
      <c r="I366" s="1189"/>
      <c r="J366" s="1189"/>
      <c r="K366" s="1189"/>
      <c r="L366" s="1225"/>
      <c r="M366" s="1189"/>
      <c r="N366" s="1189"/>
      <c r="O366" s="1189"/>
      <c r="P366" s="1189"/>
      <c r="Q366" s="1189"/>
      <c r="R366" s="1189"/>
      <c r="S366" s="1189"/>
      <c r="T366" s="1208"/>
      <c r="U366" s="1208"/>
      <c r="V366" s="1189"/>
      <c r="W366" s="1189"/>
      <c r="X366" s="1189"/>
      <c r="Y366" s="1189"/>
      <c r="Z366" s="1189"/>
      <c r="AA366" s="1189"/>
      <c r="AB366" s="1189"/>
      <c r="AC366" s="1189"/>
      <c r="AD366" s="1189"/>
      <c r="AE366" s="1189"/>
      <c r="AF366" s="1189"/>
      <c r="AG366" s="1189"/>
      <c r="AH366" s="1189"/>
      <c r="AI366" s="1189"/>
      <c r="AJ366" s="1189"/>
      <c r="AK366" s="1189"/>
      <c r="AL366" s="1189"/>
      <c r="AM366" s="1189"/>
      <c r="AN366" s="1189"/>
      <c r="AO366" s="1189"/>
      <c r="AP366" s="1189"/>
      <c r="AQ366" s="1189"/>
      <c r="AR366" s="1189"/>
      <c r="AS366" s="1189"/>
      <c r="AT366" s="1189"/>
      <c r="AU366" s="1189"/>
      <c r="AV366" s="1189"/>
      <c r="AW366" s="1189"/>
      <c r="AX366" s="1189"/>
    </row>
    <row r="367" spans="4:50" ht="12.75" customHeight="1">
      <c r="D367" s="1231"/>
      <c r="E367" s="1230"/>
      <c r="F367" s="1230"/>
      <c r="G367" s="1230"/>
      <c r="H367" s="1230"/>
      <c r="I367" s="1189"/>
      <c r="J367" s="1189"/>
      <c r="K367" s="1189"/>
      <c r="L367" s="1225"/>
      <c r="M367" s="1189"/>
      <c r="N367" s="1189"/>
      <c r="O367" s="1189"/>
      <c r="P367" s="1189"/>
      <c r="Q367" s="1189"/>
      <c r="R367" s="1189"/>
      <c r="S367" s="1189"/>
      <c r="T367" s="1208"/>
      <c r="U367" s="1208"/>
      <c r="V367" s="1189"/>
      <c r="W367" s="1189"/>
      <c r="X367" s="1189"/>
      <c r="Y367" s="1189"/>
      <c r="Z367" s="1189"/>
      <c r="AA367" s="1189"/>
      <c r="AB367" s="1189"/>
      <c r="AC367" s="1189"/>
      <c r="AD367" s="1189"/>
      <c r="AE367" s="1189"/>
      <c r="AF367" s="1189"/>
      <c r="AG367" s="1189"/>
      <c r="AH367" s="1189"/>
      <c r="AI367" s="1189"/>
      <c r="AJ367" s="1189"/>
      <c r="AK367" s="1189"/>
      <c r="AL367" s="1189"/>
      <c r="AM367" s="1189"/>
      <c r="AN367" s="1189"/>
      <c r="AO367" s="1189"/>
      <c r="AP367" s="1189"/>
      <c r="AQ367" s="1189"/>
      <c r="AR367" s="1189"/>
      <c r="AS367" s="1189"/>
      <c r="AT367" s="1189"/>
      <c r="AU367" s="1189"/>
      <c r="AV367" s="1189"/>
      <c r="AW367" s="1189"/>
      <c r="AX367" s="1189"/>
    </row>
    <row r="368" spans="4:50" ht="12.75" customHeight="1">
      <c r="D368" s="1231"/>
      <c r="E368" s="1230"/>
      <c r="F368" s="1230"/>
      <c r="G368" s="1230"/>
      <c r="H368" s="1230"/>
      <c r="I368" s="1189"/>
      <c r="J368" s="1189"/>
      <c r="K368" s="1189"/>
      <c r="L368" s="1225"/>
      <c r="M368" s="1189"/>
      <c r="N368" s="1189"/>
      <c r="O368" s="1189"/>
      <c r="P368" s="1189"/>
      <c r="Q368" s="1189"/>
      <c r="R368" s="1189"/>
      <c r="S368" s="1189"/>
      <c r="T368" s="1208"/>
      <c r="U368" s="1208"/>
      <c r="V368" s="1189"/>
      <c r="W368" s="1189"/>
      <c r="X368" s="1189"/>
      <c r="Y368" s="1189"/>
      <c r="Z368" s="1189"/>
      <c r="AA368" s="1189"/>
      <c r="AB368" s="1189"/>
      <c r="AC368" s="1189"/>
      <c r="AD368" s="1189"/>
      <c r="AE368" s="1189"/>
      <c r="AF368" s="1189"/>
      <c r="AG368" s="1189"/>
      <c r="AH368" s="1189"/>
      <c r="AI368" s="1189"/>
      <c r="AJ368" s="1189"/>
      <c r="AK368" s="1189"/>
      <c r="AL368" s="1189"/>
      <c r="AM368" s="1189"/>
      <c r="AN368" s="1189"/>
      <c r="AO368" s="1189"/>
      <c r="AP368" s="1189"/>
      <c r="AQ368" s="1189"/>
      <c r="AR368" s="1189"/>
      <c r="AS368" s="1189"/>
      <c r="AT368" s="1189"/>
      <c r="AU368" s="1189"/>
      <c r="AV368" s="1189"/>
      <c r="AW368" s="1189"/>
      <c r="AX368" s="1189"/>
    </row>
    <row r="369" spans="4:50" ht="12.75" customHeight="1">
      <c r="D369" s="1231"/>
      <c r="E369" s="1230"/>
      <c r="F369" s="1230"/>
      <c r="G369" s="1230"/>
      <c r="H369" s="1230"/>
      <c r="I369" s="1189"/>
      <c r="J369" s="1189"/>
      <c r="K369" s="1189"/>
      <c r="L369" s="1225"/>
      <c r="M369" s="1189"/>
      <c r="N369" s="1189"/>
      <c r="O369" s="1189"/>
      <c r="P369" s="1189"/>
      <c r="Q369" s="1189"/>
      <c r="R369" s="1189"/>
      <c r="S369" s="1189"/>
      <c r="T369" s="1208"/>
      <c r="U369" s="1208"/>
      <c r="V369" s="1189"/>
      <c r="W369" s="1189"/>
      <c r="X369" s="1189"/>
      <c r="Y369" s="1189"/>
      <c r="Z369" s="1189"/>
      <c r="AA369" s="1189"/>
      <c r="AB369" s="1189"/>
      <c r="AC369" s="1189"/>
      <c r="AD369" s="1189"/>
      <c r="AE369" s="1189"/>
      <c r="AF369" s="1189"/>
      <c r="AG369" s="1189"/>
      <c r="AH369" s="1189"/>
      <c r="AI369" s="1189"/>
      <c r="AJ369" s="1189"/>
      <c r="AK369" s="1189"/>
      <c r="AL369" s="1189"/>
      <c r="AM369" s="1189"/>
      <c r="AN369" s="1189"/>
      <c r="AO369" s="1189"/>
      <c r="AP369" s="1189"/>
      <c r="AQ369" s="1189"/>
      <c r="AR369" s="1189"/>
      <c r="AS369" s="1189"/>
      <c r="AT369" s="1189"/>
      <c r="AU369" s="1189"/>
      <c r="AV369" s="1189"/>
      <c r="AW369" s="1189"/>
      <c r="AX369" s="1189"/>
    </row>
    <row r="370" spans="4:50" ht="12.75" customHeight="1">
      <c r="D370" s="1231"/>
      <c r="E370" s="1230"/>
      <c r="F370" s="1230"/>
      <c r="G370" s="1230"/>
      <c r="H370" s="1230"/>
      <c r="I370" s="1189"/>
      <c r="J370" s="1189"/>
      <c r="K370" s="1189"/>
      <c r="L370" s="1225"/>
      <c r="M370" s="1189"/>
      <c r="N370" s="1189"/>
      <c r="O370" s="1189"/>
      <c r="P370" s="1189"/>
      <c r="Q370" s="1189"/>
      <c r="R370" s="1189"/>
      <c r="S370" s="1189"/>
      <c r="T370" s="1208"/>
      <c r="U370" s="1208"/>
      <c r="V370" s="1189"/>
      <c r="W370" s="1189"/>
      <c r="X370" s="1189"/>
      <c r="Y370" s="1189"/>
      <c r="Z370" s="1189"/>
      <c r="AA370" s="1189"/>
      <c r="AB370" s="1189"/>
      <c r="AC370" s="1189"/>
      <c r="AD370" s="1189"/>
      <c r="AE370" s="1189"/>
      <c r="AF370" s="1189"/>
      <c r="AG370" s="1189"/>
      <c r="AH370" s="1189"/>
      <c r="AI370" s="1189"/>
      <c r="AJ370" s="1189"/>
      <c r="AK370" s="1189"/>
      <c r="AL370" s="1189"/>
      <c r="AM370" s="1189"/>
      <c r="AN370" s="1189"/>
      <c r="AO370" s="1189"/>
      <c r="AP370" s="1189"/>
      <c r="AQ370" s="1189"/>
      <c r="AR370" s="1189"/>
      <c r="AS370" s="1189"/>
      <c r="AT370" s="1189"/>
      <c r="AU370" s="1189"/>
      <c r="AV370" s="1189"/>
      <c r="AW370" s="1189"/>
      <c r="AX370" s="1189"/>
    </row>
    <row r="371" spans="4:50" ht="12.75" customHeight="1">
      <c r="D371" s="1231"/>
      <c r="E371" s="1230"/>
      <c r="F371" s="1230"/>
      <c r="G371" s="1230"/>
      <c r="H371" s="1230"/>
      <c r="I371" s="1189"/>
      <c r="J371" s="1189"/>
      <c r="K371" s="1189"/>
      <c r="L371" s="1225"/>
      <c r="M371" s="1189"/>
      <c r="N371" s="1189"/>
      <c r="O371" s="1189"/>
      <c r="P371" s="1189"/>
      <c r="Q371" s="1189"/>
      <c r="R371" s="1189"/>
      <c r="S371" s="1189"/>
      <c r="T371" s="1208"/>
      <c r="U371" s="1208"/>
      <c r="V371" s="1189"/>
      <c r="W371" s="1189"/>
      <c r="X371" s="1189"/>
      <c r="Y371" s="1189"/>
      <c r="Z371" s="1189"/>
      <c r="AA371" s="1189"/>
      <c r="AB371" s="1189"/>
      <c r="AC371" s="1189"/>
      <c r="AD371" s="1189"/>
      <c r="AE371" s="1189"/>
      <c r="AF371" s="1189"/>
      <c r="AG371" s="1189"/>
      <c r="AH371" s="1189"/>
      <c r="AI371" s="1189"/>
      <c r="AJ371" s="1189"/>
      <c r="AK371" s="1189"/>
      <c r="AL371" s="1189"/>
      <c r="AM371" s="1189"/>
      <c r="AN371" s="1189"/>
      <c r="AO371" s="1189"/>
      <c r="AP371" s="1189"/>
      <c r="AQ371" s="1189"/>
      <c r="AR371" s="1189"/>
      <c r="AS371" s="1189"/>
      <c r="AT371" s="1189"/>
      <c r="AU371" s="1189"/>
      <c r="AV371" s="1189"/>
      <c r="AW371" s="1189"/>
      <c r="AX371" s="1189"/>
    </row>
    <row r="372" spans="4:50" ht="12.75" customHeight="1">
      <c r="D372" s="1231"/>
      <c r="E372" s="1230"/>
      <c r="F372" s="1230"/>
      <c r="G372" s="1230"/>
      <c r="H372" s="1230"/>
      <c r="I372" s="1189"/>
      <c r="J372" s="1189"/>
      <c r="K372" s="1189"/>
      <c r="L372" s="1225"/>
      <c r="M372" s="1189"/>
      <c r="N372" s="1189"/>
      <c r="O372" s="1189"/>
      <c r="P372" s="1189"/>
      <c r="Q372" s="1189"/>
      <c r="R372" s="1189"/>
      <c r="S372" s="1189"/>
      <c r="T372" s="1208"/>
      <c r="U372" s="1208"/>
      <c r="V372" s="1189"/>
      <c r="W372" s="1189"/>
      <c r="X372" s="1189"/>
      <c r="Y372" s="1189"/>
      <c r="Z372" s="1189"/>
      <c r="AA372" s="1189"/>
      <c r="AB372" s="1189"/>
      <c r="AC372" s="1189"/>
      <c r="AD372" s="1189"/>
      <c r="AE372" s="1189"/>
      <c r="AF372" s="1189"/>
      <c r="AG372" s="1189"/>
      <c r="AH372" s="1189"/>
      <c r="AI372" s="1189"/>
      <c r="AJ372" s="1189"/>
      <c r="AK372" s="1189"/>
      <c r="AL372" s="1189"/>
      <c r="AM372" s="1189"/>
      <c r="AN372" s="1189"/>
      <c r="AO372" s="1189"/>
      <c r="AP372" s="1189"/>
      <c r="AQ372" s="1189"/>
      <c r="AR372" s="1189"/>
      <c r="AS372" s="1189"/>
      <c r="AT372" s="1189"/>
      <c r="AU372" s="1189"/>
      <c r="AV372" s="1189"/>
      <c r="AW372" s="1189"/>
      <c r="AX372" s="1189"/>
    </row>
    <row r="373" spans="4:50" ht="12.75" customHeight="1">
      <c r="D373" s="1231"/>
      <c r="E373" s="1230"/>
      <c r="F373" s="1230"/>
      <c r="G373" s="1230"/>
      <c r="H373" s="1230"/>
      <c r="I373" s="1189"/>
      <c r="J373" s="1189"/>
      <c r="K373" s="1189"/>
      <c r="L373" s="1225"/>
      <c r="M373" s="1189"/>
      <c r="N373" s="1189"/>
      <c r="O373" s="1189"/>
      <c r="P373" s="1189"/>
      <c r="Q373" s="1189"/>
      <c r="R373" s="1189"/>
      <c r="S373" s="1189"/>
      <c r="T373" s="1208"/>
      <c r="U373" s="1208"/>
      <c r="V373" s="1189"/>
      <c r="W373" s="1189"/>
      <c r="X373" s="1189"/>
      <c r="Y373" s="1189"/>
      <c r="Z373" s="1189"/>
      <c r="AA373" s="1189"/>
      <c r="AB373" s="1189"/>
      <c r="AC373" s="1189"/>
      <c r="AD373" s="1189"/>
      <c r="AE373" s="1189"/>
      <c r="AF373" s="1189"/>
      <c r="AG373" s="1189"/>
      <c r="AH373" s="1189"/>
      <c r="AI373" s="1189"/>
      <c r="AJ373" s="1189"/>
      <c r="AK373" s="1189"/>
      <c r="AL373" s="1189"/>
      <c r="AM373" s="1189"/>
      <c r="AN373" s="1189"/>
      <c r="AO373" s="1189"/>
      <c r="AP373" s="1189"/>
      <c r="AQ373" s="1189"/>
      <c r="AR373" s="1189"/>
      <c r="AS373" s="1189"/>
      <c r="AT373" s="1189"/>
      <c r="AU373" s="1189"/>
      <c r="AV373" s="1189"/>
      <c r="AW373" s="1189"/>
      <c r="AX373" s="1189"/>
    </row>
    <row r="374" spans="4:50" ht="12.75" customHeight="1">
      <c r="D374" s="1231"/>
      <c r="E374" s="1230"/>
      <c r="F374" s="1230"/>
      <c r="G374" s="1230"/>
      <c r="H374" s="1230"/>
      <c r="I374" s="1189"/>
      <c r="J374" s="1189"/>
      <c r="K374" s="1189"/>
      <c r="L374" s="1225"/>
      <c r="M374" s="1189"/>
      <c r="N374" s="1189"/>
      <c r="O374" s="1189"/>
      <c r="P374" s="1189"/>
      <c r="Q374" s="1189"/>
      <c r="R374" s="1189"/>
      <c r="S374" s="1189"/>
      <c r="T374" s="1208"/>
      <c r="U374" s="1208"/>
      <c r="V374" s="1189"/>
      <c r="W374" s="1189"/>
      <c r="X374" s="1189"/>
      <c r="Y374" s="1189"/>
      <c r="Z374" s="1189"/>
      <c r="AA374" s="1189"/>
      <c r="AB374" s="1189"/>
      <c r="AC374" s="1189"/>
      <c r="AD374" s="1189"/>
      <c r="AE374" s="1189"/>
      <c r="AF374" s="1189"/>
      <c r="AG374" s="1189"/>
      <c r="AH374" s="1189"/>
      <c r="AI374" s="1189"/>
      <c r="AJ374" s="1189"/>
      <c r="AK374" s="1189"/>
      <c r="AL374" s="1189"/>
      <c r="AM374" s="1189"/>
      <c r="AN374" s="1189"/>
      <c r="AO374" s="1189"/>
      <c r="AP374" s="1189"/>
      <c r="AQ374" s="1189"/>
      <c r="AR374" s="1189"/>
      <c r="AS374" s="1189"/>
      <c r="AT374" s="1189"/>
      <c r="AU374" s="1189"/>
      <c r="AV374" s="1189"/>
      <c r="AW374" s="1189"/>
      <c r="AX374" s="1189"/>
    </row>
    <row r="375" spans="4:50" ht="12.75" customHeight="1">
      <c r="D375" s="1231"/>
      <c r="E375" s="1230"/>
      <c r="F375" s="1230"/>
      <c r="G375" s="1230"/>
      <c r="H375" s="1230"/>
      <c r="I375" s="1189"/>
      <c r="J375" s="1189"/>
      <c r="K375" s="1189"/>
      <c r="L375" s="1225"/>
      <c r="M375" s="1189"/>
      <c r="N375" s="1189"/>
      <c r="O375" s="1189"/>
      <c r="P375" s="1189"/>
      <c r="Q375" s="1189"/>
      <c r="R375" s="1189"/>
      <c r="S375" s="1189"/>
      <c r="T375" s="1208"/>
      <c r="U375" s="1208"/>
      <c r="V375" s="1189"/>
      <c r="W375" s="1189"/>
      <c r="X375" s="1189"/>
      <c r="Y375" s="1189"/>
      <c r="Z375" s="1189"/>
      <c r="AA375" s="1189"/>
      <c r="AB375" s="1189"/>
      <c r="AC375" s="1189"/>
      <c r="AD375" s="1189"/>
      <c r="AE375" s="1189"/>
      <c r="AF375" s="1189"/>
      <c r="AG375" s="1189"/>
      <c r="AH375" s="1189"/>
      <c r="AI375" s="1189"/>
      <c r="AJ375" s="1189"/>
      <c r="AK375" s="1189"/>
      <c r="AL375" s="1189"/>
      <c r="AM375" s="1189"/>
      <c r="AN375" s="1189"/>
      <c r="AO375" s="1189"/>
      <c r="AP375" s="1189"/>
      <c r="AQ375" s="1189"/>
      <c r="AR375" s="1189"/>
      <c r="AS375" s="1189"/>
      <c r="AT375" s="1189"/>
      <c r="AU375" s="1189"/>
      <c r="AV375" s="1189"/>
      <c r="AW375" s="1189"/>
      <c r="AX375" s="1189"/>
    </row>
    <row r="376" spans="4:50" ht="12.75" customHeight="1">
      <c r="D376" s="1231"/>
      <c r="E376" s="1230"/>
      <c r="F376" s="1230"/>
      <c r="G376" s="1230"/>
      <c r="H376" s="1230"/>
      <c r="I376" s="1189"/>
      <c r="J376" s="1189"/>
      <c r="K376" s="1189"/>
      <c r="L376" s="1225"/>
      <c r="M376" s="1189"/>
      <c r="N376" s="1189"/>
      <c r="O376" s="1189"/>
      <c r="P376" s="1189"/>
      <c r="Q376" s="1189"/>
      <c r="R376" s="1189"/>
      <c r="S376" s="1189"/>
      <c r="T376" s="1208"/>
      <c r="U376" s="1208"/>
      <c r="V376" s="1189"/>
      <c r="W376" s="1189"/>
      <c r="X376" s="1189"/>
      <c r="Y376" s="1189"/>
      <c r="Z376" s="1189"/>
      <c r="AA376" s="1189"/>
      <c r="AB376" s="1189"/>
      <c r="AC376" s="1189"/>
      <c r="AD376" s="1189"/>
      <c r="AE376" s="1189"/>
      <c r="AF376" s="1189"/>
      <c r="AG376" s="1189"/>
      <c r="AH376" s="1189"/>
      <c r="AI376" s="1189"/>
      <c r="AJ376" s="1189"/>
      <c r="AK376" s="1189"/>
      <c r="AL376" s="1189"/>
      <c r="AM376" s="1189"/>
      <c r="AN376" s="1189"/>
      <c r="AO376" s="1189"/>
      <c r="AP376" s="1189"/>
      <c r="AQ376" s="1189"/>
      <c r="AR376" s="1189"/>
      <c r="AS376" s="1189"/>
      <c r="AT376" s="1189"/>
      <c r="AU376" s="1189"/>
      <c r="AV376" s="1189"/>
      <c r="AW376" s="1189"/>
      <c r="AX376" s="1189"/>
    </row>
    <row r="377" spans="4:50" ht="12.75" customHeight="1">
      <c r="D377" s="1231"/>
      <c r="E377" s="1230"/>
      <c r="F377" s="1230"/>
      <c r="G377" s="1230"/>
      <c r="H377" s="1230"/>
      <c r="I377" s="1189"/>
      <c r="J377" s="1189"/>
      <c r="K377" s="1189"/>
      <c r="L377" s="1225"/>
      <c r="M377" s="1189"/>
      <c r="N377" s="1189"/>
      <c r="O377" s="1189"/>
      <c r="P377" s="1189"/>
      <c r="Q377" s="1189"/>
      <c r="R377" s="1189"/>
      <c r="S377" s="1189"/>
      <c r="T377" s="1208"/>
      <c r="U377" s="1208"/>
      <c r="V377" s="1189"/>
      <c r="W377" s="1189"/>
      <c r="X377" s="1189"/>
      <c r="Y377" s="1189"/>
      <c r="Z377" s="1189"/>
      <c r="AA377" s="1189"/>
      <c r="AB377" s="1189"/>
      <c r="AC377" s="1189"/>
      <c r="AD377" s="1189"/>
      <c r="AE377" s="1189"/>
      <c r="AF377" s="1189"/>
      <c r="AG377" s="1189"/>
      <c r="AH377" s="1189"/>
      <c r="AI377" s="1189"/>
      <c r="AJ377" s="1189"/>
      <c r="AK377" s="1189"/>
      <c r="AL377" s="1189"/>
      <c r="AM377" s="1189"/>
      <c r="AN377" s="1189"/>
      <c r="AO377" s="1189"/>
      <c r="AP377" s="1189"/>
      <c r="AQ377" s="1189"/>
      <c r="AR377" s="1189"/>
      <c r="AS377" s="1189"/>
      <c r="AT377" s="1189"/>
      <c r="AU377" s="1189"/>
      <c r="AV377" s="1189"/>
      <c r="AW377" s="1189"/>
      <c r="AX377" s="1189"/>
    </row>
    <row r="378" spans="4:50" ht="12.75" customHeight="1">
      <c r="D378" s="1231"/>
      <c r="E378" s="1230"/>
      <c r="F378" s="1230"/>
      <c r="G378" s="1230"/>
      <c r="H378" s="1230"/>
      <c r="I378" s="1189"/>
      <c r="J378" s="1189"/>
      <c r="K378" s="1189"/>
      <c r="L378" s="1225"/>
      <c r="M378" s="1189"/>
      <c r="N378" s="1189"/>
      <c r="O378" s="1189"/>
      <c r="P378" s="1189"/>
      <c r="Q378" s="1189"/>
      <c r="R378" s="1189"/>
      <c r="S378" s="1189"/>
      <c r="T378" s="1208"/>
      <c r="U378" s="1208"/>
      <c r="V378" s="1189"/>
      <c r="W378" s="1189"/>
      <c r="X378" s="1189"/>
      <c r="Y378" s="1189"/>
      <c r="Z378" s="1189"/>
      <c r="AA378" s="1189"/>
      <c r="AB378" s="1189"/>
      <c r="AC378" s="1189"/>
      <c r="AD378" s="1189"/>
      <c r="AE378" s="1189"/>
      <c r="AF378" s="1189"/>
      <c r="AG378" s="1189"/>
      <c r="AH378" s="1189"/>
      <c r="AI378" s="1189"/>
      <c r="AJ378" s="1189"/>
      <c r="AK378" s="1189"/>
      <c r="AL378" s="1189"/>
      <c r="AM378" s="1189"/>
      <c r="AN378" s="1189"/>
      <c r="AO378" s="1189"/>
      <c r="AP378" s="1189"/>
      <c r="AQ378" s="1189"/>
      <c r="AR378" s="1189"/>
      <c r="AS378" s="1189"/>
      <c r="AT378" s="1189"/>
      <c r="AU378" s="1189"/>
      <c r="AV378" s="1189"/>
      <c r="AW378" s="1189"/>
      <c r="AX378" s="1189"/>
    </row>
    <row r="379" spans="4:50" ht="12.75" customHeight="1">
      <c r="D379" s="1231"/>
      <c r="E379" s="1230"/>
      <c r="F379" s="1230"/>
      <c r="G379" s="1230"/>
      <c r="H379" s="1230"/>
      <c r="I379" s="1189"/>
      <c r="J379" s="1189"/>
      <c r="K379" s="1189"/>
      <c r="L379" s="1225"/>
      <c r="M379" s="1189"/>
      <c r="N379" s="1189"/>
      <c r="O379" s="1189"/>
      <c r="P379" s="1189"/>
      <c r="Q379" s="1189"/>
      <c r="R379" s="1189"/>
      <c r="S379" s="1189"/>
      <c r="T379" s="1208"/>
      <c r="U379" s="1208"/>
      <c r="V379" s="1189"/>
      <c r="W379" s="1189"/>
      <c r="X379" s="1189"/>
      <c r="Y379" s="1189"/>
      <c r="Z379" s="1189"/>
      <c r="AA379" s="1189"/>
      <c r="AB379" s="1189"/>
      <c r="AC379" s="1189"/>
      <c r="AD379" s="1189"/>
      <c r="AE379" s="1189"/>
      <c r="AF379" s="1189"/>
      <c r="AG379" s="1189"/>
      <c r="AH379" s="1189"/>
      <c r="AI379" s="1189"/>
      <c r="AJ379" s="1189"/>
      <c r="AK379" s="1189"/>
      <c r="AL379" s="1189"/>
      <c r="AM379" s="1189"/>
      <c r="AN379" s="1189"/>
      <c r="AO379" s="1189"/>
      <c r="AP379" s="1189"/>
      <c r="AQ379" s="1189"/>
      <c r="AR379" s="1189"/>
      <c r="AS379" s="1189"/>
      <c r="AT379" s="1189"/>
      <c r="AU379" s="1189"/>
      <c r="AV379" s="1189"/>
      <c r="AW379" s="1189"/>
      <c r="AX379" s="1189"/>
    </row>
    <row r="380" spans="4:50" ht="12.75" customHeight="1">
      <c r="D380" s="1231"/>
      <c r="E380" s="1230"/>
      <c r="F380" s="1230"/>
      <c r="G380" s="1230"/>
      <c r="H380" s="1230"/>
      <c r="I380" s="1189"/>
      <c r="J380" s="1189"/>
      <c r="K380" s="1189"/>
      <c r="L380" s="1225"/>
      <c r="M380" s="1189"/>
      <c r="N380" s="1189"/>
      <c r="O380" s="1189"/>
      <c r="P380" s="1189"/>
      <c r="Q380" s="1189"/>
      <c r="R380" s="1189"/>
      <c r="S380" s="1189"/>
      <c r="T380" s="1208"/>
      <c r="U380" s="1208"/>
      <c r="V380" s="1189"/>
      <c r="W380" s="1189"/>
      <c r="X380" s="1189"/>
      <c r="Y380" s="1189"/>
      <c r="Z380" s="1189"/>
      <c r="AA380" s="1189"/>
      <c r="AB380" s="1189"/>
      <c r="AC380" s="1189"/>
      <c r="AD380" s="1189"/>
      <c r="AE380" s="1189"/>
      <c r="AF380" s="1189"/>
      <c r="AG380" s="1189"/>
      <c r="AH380" s="1189"/>
      <c r="AI380" s="1189"/>
      <c r="AJ380" s="1189"/>
      <c r="AK380" s="1189"/>
      <c r="AL380" s="1189"/>
      <c r="AM380" s="1189"/>
      <c r="AN380" s="1189"/>
      <c r="AO380" s="1189"/>
      <c r="AP380" s="1189"/>
      <c r="AQ380" s="1189"/>
      <c r="AR380" s="1189"/>
      <c r="AS380" s="1189"/>
      <c r="AT380" s="1189"/>
      <c r="AU380" s="1189"/>
      <c r="AV380" s="1189"/>
      <c r="AW380" s="1189"/>
      <c r="AX380" s="1189"/>
    </row>
    <row r="381" spans="4:50" ht="12.75" customHeight="1">
      <c r="D381" s="1231"/>
      <c r="E381" s="1230"/>
      <c r="F381" s="1230"/>
      <c r="G381" s="1230"/>
      <c r="H381" s="1230"/>
      <c r="I381" s="1189"/>
      <c r="J381" s="1189"/>
      <c r="K381" s="1189"/>
      <c r="L381" s="1225"/>
      <c r="M381" s="1189"/>
      <c r="N381" s="1189"/>
      <c r="O381" s="1189"/>
      <c r="P381" s="1189"/>
      <c r="Q381" s="1189"/>
      <c r="R381" s="1189"/>
      <c r="S381" s="1189"/>
      <c r="T381" s="1208"/>
      <c r="U381" s="1208"/>
      <c r="V381" s="1189"/>
      <c r="W381" s="1189"/>
      <c r="X381" s="1189"/>
      <c r="Y381" s="1189"/>
      <c r="Z381" s="1189"/>
      <c r="AA381" s="1189"/>
      <c r="AB381" s="1189"/>
      <c r="AC381" s="1189"/>
      <c r="AD381" s="1189"/>
      <c r="AE381" s="1189"/>
      <c r="AF381" s="1189"/>
      <c r="AG381" s="1189"/>
      <c r="AH381" s="1189"/>
      <c r="AI381" s="1189"/>
      <c r="AJ381" s="1189"/>
      <c r="AK381" s="1189"/>
      <c r="AL381" s="1189"/>
      <c r="AM381" s="1189"/>
      <c r="AN381" s="1189"/>
      <c r="AO381" s="1189"/>
      <c r="AP381" s="1189"/>
      <c r="AQ381" s="1189"/>
      <c r="AR381" s="1189"/>
      <c r="AS381" s="1189"/>
      <c r="AT381" s="1189"/>
      <c r="AU381" s="1189"/>
      <c r="AV381" s="1189"/>
      <c r="AW381" s="1189"/>
      <c r="AX381" s="1189"/>
    </row>
    <row r="382" spans="4:50" ht="12.75" customHeight="1">
      <c r="D382" s="1231"/>
      <c r="E382" s="1230"/>
      <c r="F382" s="1230"/>
      <c r="G382" s="1230"/>
      <c r="H382" s="1230"/>
      <c r="I382" s="1189"/>
      <c r="J382" s="1189"/>
      <c r="K382" s="1189"/>
      <c r="L382" s="1225"/>
      <c r="M382" s="1189"/>
      <c r="N382" s="1189"/>
      <c r="O382" s="1189"/>
      <c r="P382" s="1189"/>
      <c r="Q382" s="1189"/>
      <c r="R382" s="1189"/>
      <c r="S382" s="1189"/>
      <c r="T382" s="1208"/>
      <c r="U382" s="1208"/>
      <c r="V382" s="1189"/>
      <c r="W382" s="1189"/>
      <c r="X382" s="1189"/>
      <c r="Y382" s="1189"/>
      <c r="Z382" s="1189"/>
      <c r="AA382" s="1189"/>
      <c r="AB382" s="1189"/>
      <c r="AC382" s="1189"/>
      <c r="AD382" s="1189"/>
      <c r="AE382" s="1189"/>
      <c r="AF382" s="1189"/>
      <c r="AG382" s="1189"/>
      <c r="AH382" s="1189"/>
      <c r="AI382" s="1189"/>
      <c r="AJ382" s="1189"/>
      <c r="AK382" s="1189"/>
      <c r="AL382" s="1189"/>
      <c r="AM382" s="1189"/>
      <c r="AN382" s="1189"/>
      <c r="AO382" s="1189"/>
      <c r="AP382" s="1189"/>
      <c r="AQ382" s="1189"/>
      <c r="AR382" s="1189"/>
      <c r="AS382" s="1189"/>
      <c r="AT382" s="1189"/>
      <c r="AU382" s="1189"/>
      <c r="AV382" s="1189"/>
      <c r="AW382" s="1189"/>
      <c r="AX382" s="1189"/>
    </row>
    <row r="383" spans="4:50" ht="12.75" customHeight="1">
      <c r="D383" s="1231"/>
      <c r="E383" s="1230"/>
      <c r="F383" s="1230"/>
      <c r="G383" s="1230"/>
      <c r="H383" s="1230"/>
      <c r="I383" s="1189"/>
      <c r="J383" s="1189"/>
      <c r="K383" s="1189"/>
      <c r="L383" s="1225"/>
      <c r="M383" s="1189"/>
      <c r="N383" s="1189"/>
      <c r="O383" s="1189"/>
      <c r="P383" s="1189"/>
      <c r="Q383" s="1189"/>
      <c r="R383" s="1189"/>
      <c r="S383" s="1189"/>
      <c r="T383" s="1208"/>
      <c r="U383" s="1208"/>
      <c r="V383" s="1189"/>
      <c r="W383" s="1189"/>
      <c r="X383" s="1189"/>
      <c r="Y383" s="1189"/>
      <c r="Z383" s="1189"/>
      <c r="AA383" s="1189"/>
      <c r="AB383" s="1189"/>
      <c r="AC383" s="1189"/>
      <c r="AD383" s="1189"/>
      <c r="AE383" s="1189"/>
      <c r="AF383" s="1189"/>
      <c r="AG383" s="1189"/>
      <c r="AH383" s="1189"/>
      <c r="AI383" s="1189"/>
      <c r="AJ383" s="1189"/>
      <c r="AK383" s="1189"/>
      <c r="AL383" s="1189"/>
      <c r="AM383" s="1189"/>
      <c r="AN383" s="1189"/>
      <c r="AO383" s="1189"/>
      <c r="AP383" s="1189"/>
      <c r="AQ383" s="1189"/>
      <c r="AR383" s="1189"/>
      <c r="AS383" s="1189"/>
      <c r="AT383" s="1189"/>
      <c r="AU383" s="1189"/>
      <c r="AV383" s="1189"/>
      <c r="AW383" s="1189"/>
      <c r="AX383" s="1189"/>
    </row>
    <row r="384" spans="4:50" ht="12.75" customHeight="1">
      <c r="D384" s="1231"/>
      <c r="E384" s="1230"/>
      <c r="F384" s="1230"/>
      <c r="G384" s="1230"/>
      <c r="H384" s="1230"/>
      <c r="I384" s="1189"/>
      <c r="J384" s="1189"/>
      <c r="K384" s="1189"/>
      <c r="L384" s="1225"/>
      <c r="M384" s="1189"/>
      <c r="N384" s="1189"/>
      <c r="O384" s="1189"/>
      <c r="P384" s="1189"/>
      <c r="Q384" s="1189"/>
      <c r="R384" s="1189"/>
      <c r="S384" s="1189"/>
      <c r="T384" s="1208"/>
      <c r="U384" s="1208"/>
      <c r="V384" s="1189"/>
      <c r="W384" s="1189"/>
      <c r="X384" s="1189"/>
      <c r="Y384" s="1189"/>
      <c r="Z384" s="1189"/>
      <c r="AA384" s="1189"/>
      <c r="AB384" s="1189"/>
      <c r="AC384" s="1189"/>
      <c r="AD384" s="1189"/>
      <c r="AE384" s="1189"/>
      <c r="AF384" s="1232"/>
      <c r="AG384" s="1233"/>
      <c r="AH384" s="1232"/>
      <c r="AI384" s="1189"/>
      <c r="AJ384" s="1189"/>
      <c r="AK384" s="1189"/>
      <c r="AL384" s="1189"/>
      <c r="AM384" s="1189"/>
      <c r="AN384" s="1189"/>
      <c r="AO384" s="1189"/>
      <c r="AP384" s="1189"/>
      <c r="AQ384" s="1189"/>
      <c r="AR384" s="1189"/>
      <c r="AS384" s="1189"/>
      <c r="AT384" s="1189"/>
      <c r="AU384" s="1189"/>
      <c r="AV384" s="1189"/>
      <c r="AW384" s="1189"/>
      <c r="AX384" s="1189"/>
    </row>
    <row r="385" spans="4:53" ht="12.75" customHeight="1">
      <c r="D385" s="1231"/>
      <c r="E385" s="1230"/>
      <c r="F385" s="1230"/>
      <c r="G385" s="1230"/>
      <c r="H385" s="1230"/>
      <c r="I385" s="1189"/>
      <c r="J385" s="1189"/>
      <c r="K385" s="1189"/>
      <c r="L385" s="1225"/>
      <c r="M385" s="1189"/>
      <c r="N385" s="1189"/>
      <c r="O385" s="1189"/>
      <c r="P385" s="1189"/>
      <c r="Q385" s="1189"/>
      <c r="R385" s="1189"/>
      <c r="S385" s="1189"/>
      <c r="T385" s="1208"/>
      <c r="U385" s="1208"/>
      <c r="V385" s="1189"/>
      <c r="W385" s="1189"/>
      <c r="X385" s="1189"/>
      <c r="Y385" s="1189"/>
      <c r="Z385" s="1189"/>
      <c r="AA385" s="1189"/>
      <c r="AB385" s="1189"/>
      <c r="AC385" s="1189"/>
      <c r="AD385" s="1189"/>
      <c r="AE385" s="1189"/>
      <c r="AF385" s="1234"/>
      <c r="AG385" s="1234"/>
      <c r="AH385" s="1232"/>
      <c r="AI385" s="1233"/>
      <c r="AJ385" s="1235"/>
      <c r="AK385" s="256"/>
      <c r="AL385" s="257"/>
      <c r="AM385" s="1236"/>
      <c r="AN385" s="1236"/>
      <c r="AO385" s="1237"/>
      <c r="AP385" s="1238"/>
      <c r="AQ385" s="1236"/>
      <c r="AR385" s="1236"/>
      <c r="AS385" s="1239">
        <v>20000</v>
      </c>
      <c r="AT385" s="1236"/>
      <c r="AU385" s="1232">
        <v>24</v>
      </c>
      <c r="AV385" s="1240"/>
      <c r="AW385" s="1241"/>
      <c r="AX385" s="1240"/>
      <c r="AY385" s="1236"/>
      <c r="AZ385" s="1236"/>
      <c r="BA385" s="1236"/>
    </row>
    <row r="386" spans="4:53" ht="12.75" customHeight="1">
      <c r="D386" s="1231"/>
      <c r="E386" s="1230"/>
      <c r="F386" s="1230"/>
      <c r="G386" s="1230"/>
      <c r="H386" s="1230"/>
      <c r="I386" s="1189"/>
      <c r="J386" s="1189"/>
      <c r="K386" s="1189"/>
      <c r="L386" s="1225"/>
      <c r="M386" s="1189"/>
      <c r="N386" s="1189"/>
      <c r="O386" s="1189"/>
      <c r="P386" s="1189"/>
      <c r="Q386" s="1189"/>
      <c r="R386" s="1189"/>
      <c r="S386" s="1189"/>
      <c r="T386" s="1208"/>
      <c r="U386" s="1208"/>
      <c r="V386" s="1189"/>
      <c r="W386" s="1189"/>
      <c r="X386" s="1189"/>
      <c r="Y386" s="1189"/>
      <c r="Z386" s="1189"/>
      <c r="AA386" s="1189"/>
      <c r="AB386" s="1189"/>
      <c r="AC386" s="1189"/>
      <c r="AD386" s="1189"/>
      <c r="AE386" s="1189"/>
      <c r="AF386" s="1234"/>
      <c r="AG386" s="1234"/>
      <c r="AH386" s="1232"/>
      <c r="AI386" s="1234"/>
      <c r="AJ386" s="1242"/>
      <c r="AK386" s="258"/>
      <c r="AL386" s="259"/>
      <c r="AM386" s="1239"/>
      <c r="AN386" s="1239"/>
      <c r="AO386" s="1243"/>
      <c r="AP386" s="1244"/>
      <c r="AQ386" s="1239"/>
      <c r="AR386" s="1239"/>
      <c r="AS386" s="1239">
        <v>15000</v>
      </c>
      <c r="AT386" s="1239"/>
      <c r="AU386" s="1234"/>
      <c r="AV386" s="1245"/>
      <c r="AW386" s="1246"/>
      <c r="AX386" s="1245"/>
      <c r="AY386" s="1239"/>
      <c r="AZ386" s="1239"/>
      <c r="BA386" s="1239"/>
    </row>
    <row r="387" spans="4:53" ht="12.75" customHeight="1">
      <c r="D387" s="1231"/>
      <c r="E387" s="1230"/>
      <c r="F387" s="1230"/>
      <c r="G387" s="1230"/>
      <c r="H387" s="1230"/>
      <c r="I387" s="1189"/>
      <c r="J387" s="1189"/>
      <c r="K387" s="1189"/>
      <c r="L387" s="1225"/>
      <c r="M387" s="1189"/>
      <c r="N387" s="1189"/>
      <c r="O387" s="1189"/>
      <c r="P387" s="1189"/>
      <c r="Q387" s="1189"/>
      <c r="R387" s="1189"/>
      <c r="S387" s="1189"/>
      <c r="T387" s="1208"/>
      <c r="U387" s="1208"/>
      <c r="V387" s="1189"/>
      <c r="W387" s="1189"/>
      <c r="X387" s="1189"/>
      <c r="Y387" s="1189"/>
      <c r="Z387" s="1189"/>
      <c r="AA387" s="1189"/>
      <c r="AB387" s="1189"/>
      <c r="AC387" s="1189"/>
      <c r="AD387" s="1189"/>
      <c r="AE387" s="1189"/>
      <c r="AF387" s="1234"/>
      <c r="AG387" s="1234"/>
      <c r="AH387" s="1232"/>
      <c r="AI387" s="1234"/>
      <c r="AJ387" s="1242"/>
      <c r="AK387" s="258"/>
      <c r="AL387" s="259"/>
      <c r="AM387" s="1239"/>
      <c r="AN387" s="1239"/>
      <c r="AO387" s="1243"/>
      <c r="AP387" s="1244"/>
      <c r="AQ387" s="1239"/>
      <c r="AR387" s="1239"/>
      <c r="AS387" s="1239"/>
      <c r="AT387" s="1239"/>
      <c r="AU387" s="1234"/>
      <c r="AV387" s="1245"/>
      <c r="AW387" s="1246"/>
      <c r="AX387" s="1245"/>
      <c r="AY387" s="1239"/>
      <c r="AZ387" s="1239"/>
      <c r="BA387" s="1239"/>
    </row>
    <row r="388" spans="4:53" ht="12.75" customHeight="1">
      <c r="D388" s="1231"/>
      <c r="E388" s="1230"/>
      <c r="F388" s="1230"/>
      <c r="G388" s="1230"/>
      <c r="H388" s="1230"/>
      <c r="I388" s="1189"/>
      <c r="J388" s="1189"/>
      <c r="K388" s="1189"/>
      <c r="L388" s="1225"/>
      <c r="M388" s="1189"/>
      <c r="N388" s="1189"/>
      <c r="O388" s="1189"/>
      <c r="P388" s="1189"/>
      <c r="Q388" s="1189"/>
      <c r="R388" s="1189"/>
      <c r="S388" s="1189"/>
      <c r="T388" s="1208"/>
      <c r="U388" s="1208"/>
      <c r="V388" s="1189"/>
      <c r="W388" s="1189"/>
      <c r="X388" s="1189"/>
      <c r="Y388" s="1189"/>
      <c r="Z388" s="1189"/>
      <c r="AA388" s="1189"/>
      <c r="AB388" s="1189"/>
      <c r="AC388" s="1189"/>
      <c r="AD388" s="1189"/>
      <c r="AE388" s="1189"/>
      <c r="AF388" s="1234"/>
      <c r="AG388" s="1234"/>
      <c r="AH388" s="1232"/>
      <c r="AI388" s="1234"/>
      <c r="AJ388" s="1242"/>
      <c r="AK388" s="258"/>
      <c r="AL388" s="259"/>
      <c r="AM388" s="1239"/>
      <c r="AN388" s="1239"/>
      <c r="AO388" s="1243"/>
      <c r="AP388" s="1244"/>
      <c r="AQ388" s="1239"/>
      <c r="AR388" s="1239"/>
      <c r="AS388" s="1239"/>
      <c r="AT388" s="1239"/>
      <c r="AU388" s="1234"/>
      <c r="AV388" s="1245"/>
      <c r="AW388" s="1246"/>
      <c r="AX388" s="1245"/>
      <c r="AY388" s="1239"/>
      <c r="AZ388" s="1239"/>
      <c r="BA388" s="1239"/>
    </row>
    <row r="389" spans="4:53" ht="12.75" customHeight="1">
      <c r="D389" s="1231"/>
      <c r="E389" s="1230"/>
      <c r="F389" s="1230"/>
      <c r="G389" s="1230"/>
      <c r="H389" s="1230"/>
      <c r="I389" s="1189"/>
      <c r="J389" s="1189"/>
      <c r="K389" s="1189"/>
      <c r="L389" s="1225"/>
      <c r="M389" s="1189"/>
      <c r="N389" s="1189"/>
      <c r="O389" s="1189"/>
      <c r="P389" s="1189"/>
      <c r="Q389" s="1189"/>
      <c r="R389" s="1189"/>
      <c r="S389" s="1189"/>
      <c r="T389" s="1208"/>
      <c r="U389" s="1208"/>
      <c r="V389" s="1189"/>
      <c r="W389" s="1189"/>
      <c r="X389" s="1189"/>
      <c r="Y389" s="1189"/>
      <c r="Z389" s="1189"/>
      <c r="AA389" s="1189"/>
      <c r="AB389" s="1189"/>
      <c r="AC389" s="1189"/>
      <c r="AD389" s="1189"/>
      <c r="AE389" s="1189"/>
      <c r="AF389" s="1234"/>
      <c r="AG389" s="1234"/>
      <c r="AH389" s="1232"/>
      <c r="AI389" s="1234"/>
      <c r="AJ389" s="1242"/>
      <c r="AK389" s="258"/>
      <c r="AL389" s="259"/>
      <c r="AM389" s="1239"/>
      <c r="AN389" s="1239"/>
      <c r="AO389" s="1243"/>
      <c r="AP389" s="1244"/>
      <c r="AQ389" s="1239"/>
      <c r="AR389" s="1239"/>
      <c r="AS389" s="1239"/>
      <c r="AT389" s="1239"/>
      <c r="AU389" s="1234"/>
      <c r="AV389" s="1245"/>
      <c r="AW389" s="1246"/>
      <c r="AX389" s="1245"/>
      <c r="AY389" s="1239"/>
      <c r="AZ389" s="1239"/>
      <c r="BA389" s="1239"/>
    </row>
    <row r="390" spans="4:53" ht="12.75" customHeight="1">
      <c r="D390" s="1231"/>
      <c r="E390" s="1230"/>
      <c r="F390" s="1230"/>
      <c r="G390" s="1230"/>
      <c r="H390" s="1230"/>
      <c r="I390" s="1189"/>
      <c r="J390" s="1189"/>
      <c r="K390" s="1189"/>
      <c r="L390" s="1225"/>
      <c r="M390" s="1189"/>
      <c r="N390" s="1189"/>
      <c r="O390" s="1189"/>
      <c r="P390" s="1189"/>
      <c r="Q390" s="1189"/>
      <c r="R390" s="1189"/>
      <c r="S390" s="1189"/>
      <c r="T390" s="1208"/>
      <c r="U390" s="1208"/>
      <c r="V390" s="1189"/>
      <c r="W390" s="1189"/>
      <c r="X390" s="1189"/>
      <c r="Y390" s="1189"/>
      <c r="Z390" s="1189"/>
      <c r="AA390" s="1189"/>
      <c r="AB390" s="1189"/>
      <c r="AC390" s="1189"/>
      <c r="AD390" s="1189"/>
      <c r="AE390" s="1189"/>
      <c r="AF390" s="1234"/>
      <c r="AG390" s="1234"/>
      <c r="AH390" s="1232"/>
      <c r="AI390" s="1234"/>
      <c r="AJ390" s="1242"/>
      <c r="AK390" s="258"/>
      <c r="AL390" s="259"/>
      <c r="AM390" s="1239"/>
      <c r="AN390" s="1239"/>
      <c r="AO390" s="1243"/>
      <c r="AP390" s="1244"/>
      <c r="AQ390" s="1239"/>
      <c r="AR390" s="1239"/>
      <c r="AS390" s="1239"/>
      <c r="AT390" s="1239"/>
      <c r="AU390" s="1234"/>
      <c r="AV390" s="1245"/>
      <c r="AW390" s="1246"/>
      <c r="AX390" s="1245"/>
      <c r="AY390" s="1239"/>
      <c r="AZ390" s="1239"/>
      <c r="BA390" s="1239"/>
    </row>
    <row r="391" spans="4:53" ht="12.75" customHeight="1">
      <c r="D391" s="1231"/>
      <c r="E391" s="1230"/>
      <c r="F391" s="1230"/>
      <c r="G391" s="1230"/>
      <c r="H391" s="1230"/>
      <c r="I391" s="1189"/>
      <c r="J391" s="1189"/>
      <c r="K391" s="1189"/>
      <c r="L391" s="1225"/>
      <c r="M391" s="1189"/>
      <c r="N391" s="1189"/>
      <c r="O391" s="1189"/>
      <c r="P391" s="1189"/>
      <c r="Q391" s="1189"/>
      <c r="R391" s="1189"/>
      <c r="S391" s="1189"/>
      <c r="T391" s="1208"/>
      <c r="U391" s="1208"/>
      <c r="V391" s="1189"/>
      <c r="W391" s="1189"/>
      <c r="X391" s="1189"/>
      <c r="Y391" s="1189"/>
      <c r="Z391" s="1189"/>
      <c r="AA391" s="1189"/>
      <c r="AB391" s="1189"/>
      <c r="AC391" s="1189"/>
      <c r="AD391" s="1189"/>
      <c r="AE391" s="1189"/>
      <c r="AF391" s="1234"/>
      <c r="AG391" s="1234"/>
      <c r="AH391" s="1232"/>
      <c r="AI391" s="1234"/>
      <c r="AJ391" s="1242"/>
      <c r="AK391" s="258"/>
      <c r="AL391" s="259"/>
      <c r="AM391" s="1239"/>
      <c r="AN391" s="1239"/>
      <c r="AO391" s="1243"/>
      <c r="AP391" s="1244"/>
      <c r="AQ391" s="1239"/>
      <c r="AR391" s="1239"/>
      <c r="AS391" s="1239"/>
      <c r="AT391" s="1239"/>
      <c r="AU391" s="1234"/>
      <c r="AV391" s="1245"/>
      <c r="AW391" s="1246"/>
      <c r="AX391" s="1245"/>
      <c r="AY391" s="1239"/>
      <c r="AZ391" s="1239"/>
      <c r="BA391" s="1239"/>
    </row>
    <row r="392" spans="4:53" ht="12.75" customHeight="1">
      <c r="D392" s="1231"/>
      <c r="E392" s="1230"/>
      <c r="F392" s="1230"/>
      <c r="G392" s="1230"/>
      <c r="H392" s="1230"/>
      <c r="I392" s="1189"/>
      <c r="J392" s="1189"/>
      <c r="K392" s="1189"/>
      <c r="L392" s="1225"/>
      <c r="M392" s="1189"/>
      <c r="N392" s="1189"/>
      <c r="O392" s="1189"/>
      <c r="P392" s="1189"/>
      <c r="Q392" s="1189"/>
      <c r="R392" s="1189"/>
      <c r="S392" s="1189"/>
      <c r="T392" s="1208"/>
      <c r="U392" s="1208"/>
      <c r="V392" s="1189"/>
      <c r="W392" s="1189"/>
      <c r="X392" s="1189"/>
      <c r="Y392" s="1189"/>
      <c r="Z392" s="1189"/>
      <c r="AA392" s="1189"/>
      <c r="AB392" s="1189"/>
      <c r="AC392" s="1189"/>
      <c r="AD392" s="1189"/>
      <c r="AE392" s="1189"/>
      <c r="AF392" s="1234"/>
      <c r="AG392" s="1234"/>
      <c r="AH392" s="1232"/>
      <c r="AI392" s="1234"/>
      <c r="AJ392" s="1242"/>
      <c r="AK392" s="258"/>
      <c r="AL392" s="259"/>
      <c r="AM392" s="1239"/>
      <c r="AN392" s="1239"/>
      <c r="AO392" s="1243"/>
      <c r="AP392" s="1244"/>
      <c r="AQ392" s="1239"/>
      <c r="AR392" s="1239"/>
      <c r="AS392" s="1239"/>
      <c r="AT392" s="1239"/>
      <c r="AU392" s="1234"/>
      <c r="AV392" s="1245"/>
      <c r="AW392" s="1246"/>
      <c r="AX392" s="1245"/>
      <c r="AY392" s="1239"/>
      <c r="AZ392" s="1239"/>
      <c r="BA392" s="1239"/>
    </row>
    <row r="393" spans="4:53" ht="12.75" customHeight="1">
      <c r="D393" s="1231"/>
      <c r="E393" s="1230"/>
      <c r="F393" s="1230"/>
      <c r="G393" s="1230"/>
      <c r="H393" s="1230"/>
      <c r="I393" s="1189"/>
      <c r="J393" s="1189"/>
      <c r="K393" s="1189"/>
      <c r="L393" s="1225"/>
      <c r="M393" s="1189"/>
      <c r="N393" s="1189"/>
      <c r="O393" s="1189"/>
      <c r="P393" s="1189"/>
      <c r="Q393" s="1189"/>
      <c r="R393" s="1189"/>
      <c r="S393" s="1189"/>
      <c r="T393" s="1208"/>
      <c r="U393" s="1208"/>
      <c r="V393" s="1189"/>
      <c r="W393" s="1189"/>
      <c r="X393" s="1189"/>
      <c r="Y393" s="1189"/>
      <c r="Z393" s="1189"/>
      <c r="AA393" s="1189"/>
      <c r="AB393" s="1189"/>
      <c r="AC393" s="1189"/>
      <c r="AD393" s="1189"/>
      <c r="AE393" s="1189"/>
      <c r="AF393" s="1234"/>
      <c r="AG393" s="1234"/>
      <c r="AH393" s="1232"/>
      <c r="AI393" s="1234"/>
      <c r="AJ393" s="1242"/>
      <c r="AK393" s="258"/>
      <c r="AL393" s="259"/>
      <c r="AM393" s="1239"/>
      <c r="AN393" s="1239"/>
      <c r="AO393" s="1243"/>
      <c r="AP393" s="1244"/>
      <c r="AQ393" s="1239"/>
      <c r="AR393" s="1239"/>
      <c r="AS393" s="1239"/>
      <c r="AT393" s="1239"/>
      <c r="AU393" s="1234"/>
      <c r="AV393" s="1245"/>
      <c r="AW393" s="1246"/>
      <c r="AX393" s="1245"/>
      <c r="AY393" s="1239"/>
      <c r="AZ393" s="1239"/>
      <c r="BA393" s="1239"/>
    </row>
    <row r="394" spans="4:53" ht="12.75" customHeight="1">
      <c r="D394" s="1231"/>
      <c r="E394" s="1230"/>
      <c r="F394" s="1230"/>
      <c r="G394" s="1230"/>
      <c r="H394" s="1230"/>
      <c r="I394" s="1189"/>
      <c r="J394" s="1189"/>
      <c r="K394" s="1189"/>
      <c r="L394" s="1225"/>
      <c r="M394" s="1189"/>
      <c r="N394" s="1189"/>
      <c r="O394" s="1189"/>
      <c r="P394" s="1189"/>
      <c r="Q394" s="1189"/>
      <c r="R394" s="1189"/>
      <c r="S394" s="1189"/>
      <c r="T394" s="1208"/>
      <c r="U394" s="1208"/>
      <c r="V394" s="1189"/>
      <c r="W394" s="1189"/>
      <c r="X394" s="1189"/>
      <c r="Y394" s="1189"/>
      <c r="Z394" s="1189"/>
      <c r="AA394" s="1189"/>
      <c r="AB394" s="1189"/>
      <c r="AC394" s="1189"/>
      <c r="AD394" s="1189"/>
      <c r="AE394" s="1189"/>
      <c r="AF394" s="1225"/>
      <c r="AG394" s="1189"/>
      <c r="AH394" s="1189"/>
      <c r="AI394" s="1234"/>
      <c r="AJ394" s="1242"/>
      <c r="AK394" s="258"/>
      <c r="AL394" s="259"/>
      <c r="AM394" s="1239"/>
      <c r="AN394" s="1239"/>
      <c r="AO394" s="1243"/>
      <c r="AP394" s="1244"/>
      <c r="AQ394" s="1239"/>
      <c r="AR394" s="1239"/>
      <c r="AS394" s="1239"/>
      <c r="AT394" s="1239"/>
      <c r="AU394" s="1234"/>
      <c r="AV394" s="1245"/>
      <c r="AW394" s="1246"/>
      <c r="AX394" s="1245"/>
      <c r="AY394" s="1239"/>
      <c r="AZ394" s="1239"/>
      <c r="BA394" s="1239"/>
    </row>
    <row r="395" spans="4:53" ht="12.75" customHeight="1">
      <c r="D395" s="1231"/>
      <c r="E395" s="1230"/>
      <c r="F395" s="1230"/>
      <c r="G395" s="1230"/>
      <c r="H395" s="1230"/>
      <c r="I395" s="1189"/>
      <c r="J395" s="1189"/>
      <c r="K395" s="1189"/>
      <c r="L395" s="1225"/>
      <c r="M395" s="1189"/>
      <c r="N395" s="1189"/>
      <c r="O395" s="1189"/>
      <c r="P395" s="1189"/>
      <c r="Q395" s="1189"/>
      <c r="R395" s="1189"/>
      <c r="S395" s="1189"/>
      <c r="T395" s="1208"/>
      <c r="U395" s="1208"/>
      <c r="V395" s="1189"/>
      <c r="W395" s="1189"/>
      <c r="X395" s="1189"/>
      <c r="Y395" s="1189"/>
      <c r="Z395" s="1189"/>
      <c r="AA395" s="1189"/>
      <c r="AB395" s="1189"/>
      <c r="AC395" s="1189"/>
      <c r="AD395" s="1189"/>
      <c r="AE395" s="1189"/>
      <c r="AF395" s="1225"/>
      <c r="AG395" s="1189"/>
      <c r="AH395" s="1189"/>
      <c r="AI395" s="1189"/>
      <c r="AJ395" s="1247"/>
      <c r="AK395" s="1189"/>
      <c r="AL395" s="1189"/>
      <c r="AM395" s="1189"/>
      <c r="AN395" s="1189"/>
      <c r="AO395" s="1189"/>
      <c r="AP395" s="1189"/>
      <c r="AQ395" s="1189"/>
      <c r="AR395" s="1189"/>
      <c r="AS395" s="1248"/>
      <c r="AT395" s="1189"/>
      <c r="AU395" s="1189"/>
      <c r="AV395" s="1189"/>
      <c r="AW395" s="1211"/>
      <c r="AX395" s="1212"/>
      <c r="AY395" s="1189"/>
      <c r="AZ395" s="1189"/>
      <c r="BA395" s="1189"/>
    </row>
    <row r="396" spans="4:53" ht="12.75" customHeight="1">
      <c r="D396" s="1231"/>
      <c r="E396" s="1230"/>
      <c r="F396" s="1230"/>
      <c r="G396" s="1230"/>
      <c r="H396" s="1230"/>
      <c r="I396" s="1189"/>
      <c r="J396" s="1189"/>
      <c r="K396" s="1189"/>
      <c r="L396" s="1225"/>
      <c r="M396" s="1189"/>
      <c r="N396" s="1189"/>
      <c r="O396" s="1189"/>
      <c r="P396" s="1189"/>
      <c r="Q396" s="1189"/>
      <c r="R396" s="1189"/>
      <c r="S396" s="1189"/>
      <c r="T396" s="1208"/>
      <c r="U396" s="1208"/>
      <c r="V396" s="1189"/>
      <c r="W396" s="1189"/>
      <c r="X396" s="1189"/>
      <c r="Y396" s="1189"/>
      <c r="Z396" s="1189"/>
      <c r="AA396" s="1189"/>
      <c r="AB396" s="1189"/>
      <c r="AC396" s="1189"/>
      <c r="AD396" s="1189"/>
      <c r="AE396" s="1189"/>
      <c r="AF396" s="1225"/>
      <c r="AG396" s="1189"/>
      <c r="AH396" s="1189"/>
      <c r="AI396" s="1189"/>
      <c r="AJ396" s="1247"/>
      <c r="AK396" s="1189"/>
      <c r="AL396" s="1189"/>
      <c r="AM396" s="1189"/>
      <c r="AN396" s="1189"/>
      <c r="AO396" s="1189"/>
      <c r="AP396" s="1189"/>
      <c r="AQ396" s="1189"/>
      <c r="AR396" s="1189"/>
      <c r="AS396" s="1248"/>
      <c r="AT396" s="1189"/>
      <c r="AU396" s="1189"/>
      <c r="AV396" s="1189"/>
      <c r="AW396" s="1211"/>
      <c r="AX396" s="1212"/>
      <c r="AY396" s="1189"/>
      <c r="AZ396" s="1189"/>
      <c r="BA396" s="1189"/>
    </row>
    <row r="397" spans="4:53" ht="12.75" customHeight="1">
      <c r="D397" s="1231"/>
      <c r="E397" s="1230"/>
      <c r="F397" s="1230"/>
      <c r="G397" s="1230"/>
      <c r="H397" s="1230"/>
      <c r="I397" s="1189"/>
      <c r="J397" s="1189"/>
      <c r="K397" s="1189"/>
      <c r="L397" s="1225"/>
      <c r="M397" s="1189"/>
      <c r="N397" s="1189"/>
      <c r="O397" s="1189"/>
      <c r="P397" s="1189"/>
      <c r="Q397" s="1189"/>
      <c r="R397" s="1189"/>
      <c r="S397" s="1189"/>
      <c r="T397" s="1208"/>
      <c r="U397" s="1208"/>
      <c r="V397" s="1189"/>
      <c r="W397" s="1189"/>
      <c r="X397" s="1189"/>
      <c r="Y397" s="1189"/>
      <c r="Z397" s="1189"/>
      <c r="AA397" s="1189"/>
      <c r="AB397" s="1189"/>
      <c r="AC397" s="1189"/>
      <c r="AD397" s="1189"/>
      <c r="AE397" s="1189"/>
      <c r="AF397" s="1225"/>
      <c r="AG397" s="1189"/>
      <c r="AH397" s="1189"/>
      <c r="AI397" s="1189"/>
      <c r="AJ397" s="1247"/>
      <c r="AK397" s="1189"/>
      <c r="AL397" s="1189"/>
      <c r="AM397" s="1189"/>
      <c r="AN397" s="1189"/>
      <c r="AO397" s="1189"/>
      <c r="AP397" s="1189"/>
      <c r="AQ397" s="1189"/>
      <c r="AR397" s="1189"/>
      <c r="AS397" s="1248"/>
      <c r="AT397" s="1189"/>
      <c r="AU397" s="1189"/>
      <c r="AV397" s="1189"/>
      <c r="AW397" s="1211"/>
      <c r="AX397" s="1212"/>
      <c r="AY397" s="1189"/>
      <c r="AZ397" s="1189"/>
      <c r="BA397" s="1189"/>
    </row>
    <row r="398" spans="4:53" ht="12.75" customHeight="1">
      <c r="D398" s="1231"/>
      <c r="E398" s="1230"/>
      <c r="F398" s="1230"/>
      <c r="G398" s="1230"/>
      <c r="H398" s="1230"/>
      <c r="I398" s="1189"/>
      <c r="J398" s="1189"/>
      <c r="K398" s="1189"/>
      <c r="L398" s="1225"/>
      <c r="M398" s="1189"/>
      <c r="N398" s="1189"/>
      <c r="O398" s="1189"/>
      <c r="P398" s="1189"/>
      <c r="Q398" s="1189"/>
      <c r="R398" s="1189"/>
      <c r="S398" s="1189"/>
      <c r="T398" s="1208"/>
      <c r="U398" s="1208"/>
      <c r="V398" s="1189"/>
      <c r="W398" s="1189"/>
      <c r="X398" s="1189"/>
      <c r="Y398" s="1189"/>
      <c r="Z398" s="1189"/>
      <c r="AA398" s="1189"/>
      <c r="AB398" s="1189"/>
      <c r="AC398" s="1189"/>
      <c r="AD398" s="1189"/>
      <c r="AE398" s="1189"/>
      <c r="AF398" s="1225"/>
      <c r="AG398" s="1189"/>
      <c r="AH398" s="1189"/>
      <c r="AI398" s="1189"/>
      <c r="AJ398" s="1247"/>
      <c r="AK398" s="1189"/>
      <c r="AL398" s="1189"/>
      <c r="AM398" s="1189"/>
      <c r="AN398" s="1189"/>
      <c r="AO398" s="1189"/>
      <c r="AP398" s="1189"/>
      <c r="AQ398" s="1189"/>
      <c r="AR398" s="1189"/>
      <c r="AS398" s="1248"/>
      <c r="AT398" s="1189"/>
      <c r="AU398" s="1189"/>
      <c r="AV398" s="1189"/>
      <c r="AW398" s="1211"/>
      <c r="AX398" s="1212"/>
      <c r="AY398" s="1189"/>
      <c r="AZ398" s="1189"/>
      <c r="BA398" s="1189"/>
    </row>
    <row r="399" spans="4:53" ht="12.75" customHeight="1">
      <c r="D399" s="1231"/>
      <c r="E399" s="1230"/>
      <c r="F399" s="1230"/>
      <c r="G399" s="1230"/>
      <c r="H399" s="1230"/>
      <c r="I399" s="1189"/>
      <c r="J399" s="1189"/>
      <c r="K399" s="1189"/>
      <c r="L399" s="1225"/>
      <c r="M399" s="1189"/>
      <c r="N399" s="1189"/>
      <c r="O399" s="1189"/>
      <c r="P399" s="1189"/>
      <c r="Q399" s="1189"/>
      <c r="R399" s="1189"/>
      <c r="S399" s="1189"/>
      <c r="T399" s="1208"/>
      <c r="U399" s="1208"/>
      <c r="V399" s="1189"/>
      <c r="W399" s="1189"/>
      <c r="X399" s="1189"/>
      <c r="Y399" s="1189"/>
      <c r="Z399" s="1189"/>
      <c r="AA399" s="1189"/>
      <c r="AB399" s="1189"/>
      <c r="AC399" s="1189"/>
      <c r="AD399" s="1189"/>
      <c r="AE399" s="1189"/>
      <c r="AF399" s="1225"/>
      <c r="AG399" s="1189"/>
      <c r="AH399" s="1189"/>
      <c r="AI399" s="1189"/>
      <c r="AJ399" s="1247"/>
      <c r="AK399" s="1189"/>
      <c r="AL399" s="1189"/>
      <c r="AM399" s="1189"/>
      <c r="AN399" s="1189"/>
      <c r="AO399" s="1189"/>
      <c r="AP399" s="1189"/>
      <c r="AQ399" s="1189"/>
      <c r="AR399" s="1189"/>
      <c r="AS399" s="1248"/>
      <c r="AT399" s="1189"/>
      <c r="AU399" s="1189"/>
      <c r="AV399" s="1189"/>
      <c r="AW399" s="1211"/>
      <c r="AX399" s="1212"/>
      <c r="AY399" s="1189"/>
      <c r="AZ399" s="1189"/>
      <c r="BA399" s="1189"/>
    </row>
    <row r="400" spans="4:53" ht="12.75" customHeight="1">
      <c r="D400" s="1231"/>
      <c r="E400" s="1230"/>
      <c r="F400" s="1230"/>
      <c r="G400" s="1230"/>
      <c r="H400" s="1230"/>
      <c r="I400" s="1189"/>
      <c r="J400" s="1189"/>
      <c r="K400" s="1189"/>
      <c r="L400" s="1225"/>
      <c r="M400" s="1189"/>
      <c r="N400" s="1189"/>
      <c r="O400" s="1189"/>
      <c r="P400" s="1189"/>
      <c r="Q400" s="1189"/>
      <c r="R400" s="1189"/>
      <c r="S400" s="1189"/>
      <c r="T400" s="1208"/>
      <c r="U400" s="1208"/>
      <c r="V400" s="1189"/>
      <c r="W400" s="1189"/>
      <c r="X400" s="1189"/>
      <c r="Y400" s="1189"/>
      <c r="Z400" s="1189"/>
      <c r="AA400" s="1189"/>
      <c r="AB400" s="1189"/>
      <c r="AC400" s="1189"/>
      <c r="AD400" s="1189"/>
      <c r="AE400" s="1189"/>
      <c r="AF400" s="1225"/>
      <c r="AG400" s="1189"/>
      <c r="AH400" s="1189"/>
      <c r="AI400" s="1189"/>
      <c r="AJ400" s="1247"/>
      <c r="AK400" s="1189"/>
      <c r="AL400" s="1189"/>
      <c r="AM400" s="1189"/>
      <c r="AN400" s="1189"/>
      <c r="AO400" s="1189"/>
      <c r="AP400" s="1189"/>
      <c r="AQ400" s="1189"/>
      <c r="AR400" s="1189"/>
      <c r="AS400" s="1248"/>
      <c r="AT400" s="1189"/>
      <c r="AU400" s="1189"/>
      <c r="AV400" s="1189"/>
      <c r="AW400" s="1211"/>
      <c r="AX400" s="1212"/>
      <c r="AY400" s="1189"/>
      <c r="AZ400" s="1189"/>
      <c r="BA400" s="1189"/>
    </row>
    <row r="401" spans="4:45" ht="12.75" customHeight="1">
      <c r="D401" s="1231"/>
      <c r="E401" s="1230"/>
      <c r="F401" s="1230"/>
      <c r="G401" s="1230"/>
      <c r="H401" s="1230"/>
      <c r="I401" s="1189"/>
      <c r="J401" s="1189"/>
      <c r="K401" s="1189"/>
      <c r="L401" s="1225"/>
      <c r="M401" s="1189"/>
      <c r="N401" s="1189"/>
      <c r="O401" s="1189"/>
      <c r="P401" s="1189"/>
      <c r="Q401" s="1189"/>
      <c r="R401" s="1189"/>
      <c r="S401" s="1189"/>
      <c r="T401" s="1208"/>
      <c r="U401" s="1208"/>
      <c r="V401" s="1189"/>
      <c r="W401" s="1189"/>
      <c r="X401" s="1189"/>
      <c r="Y401" s="1189"/>
      <c r="Z401" s="1189"/>
      <c r="AA401" s="1189"/>
      <c r="AB401" s="1189"/>
      <c r="AC401" s="1189"/>
      <c r="AD401" s="1189"/>
      <c r="AE401" s="1189"/>
      <c r="AF401" s="1225"/>
      <c r="AG401" s="1189"/>
      <c r="AH401" s="1189"/>
      <c r="AI401" s="1189"/>
      <c r="AJ401" s="1247"/>
      <c r="AK401" s="1189"/>
      <c r="AL401" s="1189"/>
      <c r="AM401" s="1189"/>
      <c r="AN401" s="1189"/>
      <c r="AO401" s="1189"/>
      <c r="AP401" s="1189"/>
      <c r="AQ401" s="1189"/>
      <c r="AR401" s="1189"/>
      <c r="AS401" s="1248"/>
    </row>
    <row r="402" spans="4:45" ht="12.75" customHeight="1">
      <c r="D402" s="1231"/>
      <c r="E402" s="1230"/>
      <c r="F402" s="1230"/>
      <c r="G402" s="1230"/>
      <c r="H402" s="1230"/>
      <c r="I402" s="1189"/>
      <c r="J402" s="1189"/>
      <c r="K402" s="1189"/>
      <c r="L402" s="1225"/>
      <c r="M402" s="1189"/>
      <c r="N402" s="1189"/>
      <c r="O402" s="1189"/>
      <c r="P402" s="1189"/>
      <c r="Q402" s="1189"/>
      <c r="R402" s="1189"/>
      <c r="S402" s="1189"/>
      <c r="T402" s="1208"/>
      <c r="U402" s="1208"/>
      <c r="V402" s="1189"/>
      <c r="W402" s="1189"/>
      <c r="X402" s="1189"/>
      <c r="Y402" s="1189"/>
      <c r="Z402" s="1189"/>
      <c r="AA402" s="1189"/>
      <c r="AB402" s="1189"/>
      <c r="AC402" s="1189"/>
      <c r="AD402" s="1189"/>
      <c r="AE402" s="1189"/>
      <c r="AF402" s="1189"/>
      <c r="AG402" s="1189"/>
      <c r="AH402" s="1189"/>
      <c r="AI402" s="1189"/>
      <c r="AJ402" s="1247"/>
      <c r="AK402" s="1189"/>
      <c r="AL402" s="1189"/>
      <c r="AM402" s="1189"/>
      <c r="AN402" s="1189"/>
      <c r="AO402" s="1189"/>
      <c r="AP402" s="1189"/>
      <c r="AQ402" s="1189"/>
      <c r="AR402" s="1189"/>
      <c r="AS402" s="1248"/>
    </row>
    <row r="403" spans="4:45" ht="12.75" customHeight="1">
      <c r="D403" s="1231"/>
      <c r="E403" s="1230"/>
      <c r="F403" s="1230"/>
      <c r="G403" s="1230"/>
      <c r="H403" s="1230"/>
      <c r="I403" s="1189"/>
      <c r="J403" s="1189"/>
      <c r="K403" s="1189"/>
      <c r="L403" s="1225"/>
      <c r="M403" s="1189"/>
      <c r="N403" s="1189"/>
      <c r="O403" s="1189"/>
      <c r="P403" s="1189"/>
      <c r="Q403" s="1189"/>
      <c r="R403" s="1189"/>
      <c r="S403" s="1189"/>
      <c r="T403" s="1208"/>
      <c r="U403" s="1208"/>
      <c r="V403" s="1189"/>
      <c r="W403" s="1189"/>
      <c r="X403" s="1189"/>
      <c r="Y403" s="1189"/>
      <c r="Z403" s="1189"/>
      <c r="AA403" s="1189"/>
      <c r="AB403" s="1189"/>
      <c r="AC403" s="1189"/>
      <c r="AD403" s="1189"/>
      <c r="AE403" s="1189"/>
      <c r="AF403" s="1189"/>
      <c r="AG403" s="1189"/>
      <c r="AH403" s="1189"/>
      <c r="AI403" s="1189"/>
      <c r="AJ403" s="1247"/>
      <c r="AK403" s="1189"/>
      <c r="AL403" s="1189"/>
      <c r="AM403" s="1189"/>
      <c r="AN403" s="1189"/>
      <c r="AO403" s="1189"/>
      <c r="AP403" s="1189"/>
      <c r="AQ403" s="1189"/>
      <c r="AR403" s="1189"/>
      <c r="AS403" s="1189"/>
    </row>
    <row r="404" spans="4:45" ht="12.75" customHeight="1">
      <c r="D404" s="1231"/>
      <c r="E404" s="1230"/>
      <c r="F404" s="1230"/>
      <c r="G404" s="1230"/>
      <c r="H404" s="1230"/>
      <c r="I404" s="1189"/>
      <c r="J404" s="1189"/>
      <c r="K404" s="1189"/>
      <c r="L404" s="1225"/>
      <c r="M404" s="1189"/>
      <c r="N404" s="1189"/>
      <c r="O404" s="1189"/>
      <c r="P404" s="1189"/>
      <c r="Q404" s="1189"/>
      <c r="R404" s="1189"/>
      <c r="S404" s="1189"/>
      <c r="T404" s="1208"/>
      <c r="U404" s="1208"/>
      <c r="V404" s="1189"/>
      <c r="W404" s="1189"/>
      <c r="X404" s="1189"/>
      <c r="Y404" s="1189"/>
      <c r="Z404" s="1189"/>
      <c r="AA404" s="1189"/>
      <c r="AB404" s="1189"/>
      <c r="AC404" s="1189"/>
      <c r="AD404" s="1189"/>
      <c r="AE404" s="1189"/>
      <c r="AF404" s="1189"/>
      <c r="AG404" s="1189"/>
      <c r="AH404" s="1189"/>
      <c r="AI404" s="1189"/>
      <c r="AJ404" s="1247"/>
      <c r="AK404" s="1189"/>
      <c r="AL404" s="1189"/>
      <c r="AM404" s="1189"/>
      <c r="AN404" s="1189"/>
      <c r="AO404" s="1189"/>
      <c r="AP404" s="1189"/>
      <c r="AQ404" s="1189"/>
      <c r="AR404" s="1189"/>
      <c r="AS404" s="1189"/>
    </row>
    <row r="405" spans="4:45" ht="12.75" customHeight="1">
      <c r="D405" s="1231"/>
      <c r="E405" s="1230"/>
      <c r="F405" s="1230"/>
      <c r="G405" s="1230"/>
      <c r="H405" s="1230"/>
      <c r="I405" s="1189"/>
      <c r="J405" s="1189"/>
      <c r="K405" s="1189"/>
      <c r="L405" s="1225"/>
      <c r="M405" s="1189"/>
      <c r="N405" s="1189"/>
      <c r="O405" s="1189"/>
      <c r="P405" s="1189"/>
      <c r="Q405" s="1189"/>
      <c r="R405" s="1189"/>
      <c r="S405" s="1189"/>
      <c r="T405" s="1208"/>
      <c r="U405" s="1208"/>
      <c r="V405" s="1189"/>
      <c r="W405" s="1189"/>
      <c r="X405" s="1189"/>
      <c r="Y405" s="1189"/>
      <c r="Z405" s="1189"/>
      <c r="AA405" s="1189"/>
      <c r="AB405" s="1189"/>
      <c r="AC405" s="1189"/>
      <c r="AD405" s="1189"/>
      <c r="AE405" s="1189"/>
      <c r="AF405" s="1189"/>
      <c r="AG405" s="1189"/>
      <c r="AH405" s="1189"/>
      <c r="AI405" s="1189"/>
      <c r="AJ405" s="1247"/>
      <c r="AK405" s="1189"/>
      <c r="AL405" s="1189"/>
      <c r="AM405" s="1189"/>
      <c r="AN405" s="1189"/>
      <c r="AO405" s="1189"/>
      <c r="AP405" s="1189"/>
      <c r="AQ405" s="1189"/>
      <c r="AR405" s="1189"/>
      <c r="AS405" s="1189"/>
    </row>
    <row r="406" spans="4:45" ht="12.75" customHeight="1">
      <c r="D406" s="1231"/>
      <c r="E406" s="1230"/>
      <c r="F406" s="1230"/>
      <c r="G406" s="1230"/>
      <c r="H406" s="1230"/>
      <c r="I406" s="1189"/>
      <c r="J406" s="1189"/>
      <c r="K406" s="1189"/>
      <c r="L406" s="1225"/>
      <c r="M406" s="1189"/>
      <c r="N406" s="1189"/>
      <c r="O406" s="1189"/>
      <c r="P406" s="1189"/>
      <c r="Q406" s="1189"/>
      <c r="R406" s="1189"/>
      <c r="S406" s="1189"/>
      <c r="T406" s="1208"/>
      <c r="U406" s="1208"/>
      <c r="V406" s="1189"/>
      <c r="W406" s="1189"/>
      <c r="X406" s="1189"/>
      <c r="Y406" s="1189"/>
      <c r="Z406" s="1189"/>
      <c r="AA406" s="1189"/>
      <c r="AB406" s="1189"/>
      <c r="AC406" s="1189"/>
      <c r="AD406" s="1189"/>
      <c r="AE406" s="1189"/>
      <c r="AF406" s="1189"/>
      <c r="AG406" s="1189"/>
      <c r="AH406" s="1189"/>
      <c r="AI406" s="1189"/>
      <c r="AJ406" s="1247"/>
      <c r="AK406" s="1189"/>
      <c r="AL406" s="1189"/>
      <c r="AM406" s="1189"/>
      <c r="AN406" s="1189"/>
      <c r="AO406" s="1189"/>
      <c r="AP406" s="1189"/>
      <c r="AQ406" s="1189"/>
      <c r="AR406" s="1189"/>
      <c r="AS406" s="1189"/>
    </row>
    <row r="407" spans="4:45" ht="12.75" customHeight="1">
      <c r="D407" s="1231"/>
      <c r="E407" s="1230"/>
      <c r="F407" s="1230"/>
      <c r="G407" s="1230"/>
      <c r="H407" s="1230"/>
      <c r="I407" s="1189"/>
      <c r="J407" s="1189"/>
      <c r="K407" s="1189"/>
      <c r="L407" s="1225"/>
      <c r="M407" s="1189"/>
      <c r="N407" s="1189"/>
      <c r="O407" s="1189"/>
      <c r="P407" s="1189"/>
      <c r="Q407" s="1189"/>
      <c r="R407" s="1189"/>
      <c r="S407" s="1189"/>
      <c r="T407" s="1208"/>
      <c r="U407" s="1208"/>
      <c r="V407" s="1189"/>
      <c r="W407" s="1189"/>
      <c r="X407" s="1189"/>
      <c r="Y407" s="1189"/>
      <c r="Z407" s="1189"/>
      <c r="AA407" s="1189"/>
      <c r="AB407" s="1189"/>
      <c r="AC407" s="1189"/>
      <c r="AD407" s="1189"/>
      <c r="AE407" s="1189"/>
      <c r="AF407" s="1189"/>
      <c r="AG407" s="1189"/>
      <c r="AH407" s="1189"/>
      <c r="AI407" s="1189"/>
      <c r="AJ407" s="1247"/>
      <c r="AK407" s="1189"/>
      <c r="AL407" s="1189"/>
      <c r="AM407" s="1189"/>
      <c r="AN407" s="1189"/>
      <c r="AO407" s="1189"/>
      <c r="AP407" s="1189"/>
      <c r="AQ407" s="1189"/>
      <c r="AR407" s="1189"/>
      <c r="AS407" s="1189"/>
    </row>
    <row r="408" spans="4:45" ht="12.75" customHeight="1">
      <c r="D408" s="1231"/>
      <c r="E408" s="1230"/>
      <c r="F408" s="1230"/>
      <c r="G408" s="1230"/>
      <c r="H408" s="1230"/>
      <c r="I408" s="1189"/>
      <c r="J408" s="1189"/>
      <c r="K408" s="1189"/>
      <c r="L408" s="1225"/>
      <c r="M408" s="1189"/>
      <c r="N408" s="1189"/>
      <c r="O408" s="1189"/>
      <c r="P408" s="1189"/>
      <c r="Q408" s="1189"/>
      <c r="R408" s="1189"/>
      <c r="S408" s="1189"/>
      <c r="T408" s="1208"/>
      <c r="U408" s="1208"/>
      <c r="V408" s="1189"/>
      <c r="W408" s="1189"/>
      <c r="X408" s="1189"/>
      <c r="Y408" s="1189"/>
      <c r="Z408" s="1189"/>
      <c r="AA408" s="1189"/>
      <c r="AB408" s="1189"/>
      <c r="AC408" s="1189"/>
      <c r="AD408" s="1189"/>
      <c r="AE408" s="1189"/>
      <c r="AF408" s="1189"/>
      <c r="AG408" s="1189"/>
      <c r="AH408" s="1189"/>
      <c r="AI408" s="1189"/>
      <c r="AJ408" s="1247"/>
      <c r="AK408" s="1189"/>
      <c r="AL408" s="1189"/>
      <c r="AM408" s="1189"/>
      <c r="AN408" s="1189"/>
      <c r="AO408" s="1189"/>
      <c r="AP408" s="1189"/>
      <c r="AQ408" s="1189"/>
      <c r="AR408" s="1189"/>
      <c r="AS408" s="1189"/>
    </row>
    <row r="409" spans="4:45" ht="12.75" customHeight="1">
      <c r="D409" s="1231"/>
      <c r="E409" s="1230"/>
      <c r="F409" s="1230"/>
      <c r="G409" s="1230"/>
      <c r="H409" s="1230"/>
      <c r="I409" s="1189"/>
      <c r="J409" s="1189"/>
      <c r="K409" s="1189"/>
      <c r="L409" s="1225"/>
      <c r="M409" s="1189"/>
      <c r="N409" s="1189"/>
      <c r="O409" s="1189"/>
      <c r="P409" s="1189"/>
      <c r="Q409" s="1189"/>
      <c r="R409" s="1189"/>
      <c r="S409" s="1189"/>
      <c r="T409" s="1208"/>
      <c r="U409" s="1208"/>
      <c r="V409" s="1189"/>
      <c r="W409" s="1189"/>
      <c r="X409" s="1189"/>
      <c r="Y409" s="1189"/>
      <c r="Z409" s="1189"/>
      <c r="AA409" s="1189"/>
      <c r="AB409" s="1189"/>
      <c r="AC409" s="1189"/>
      <c r="AD409" s="1189"/>
      <c r="AE409" s="1189"/>
      <c r="AF409" s="1189"/>
      <c r="AG409" s="1189"/>
      <c r="AH409" s="1189"/>
      <c r="AI409" s="1189"/>
      <c r="AJ409" s="1247"/>
      <c r="AK409" s="1189"/>
      <c r="AL409" s="1189"/>
      <c r="AM409" s="1189"/>
      <c r="AN409" s="1189"/>
      <c r="AO409" s="1189"/>
      <c r="AP409" s="1189"/>
      <c r="AQ409" s="1189"/>
      <c r="AR409" s="1189"/>
      <c r="AS409" s="1189"/>
    </row>
    <row r="410" spans="4:45" ht="12.75" customHeight="1">
      <c r="D410" s="1231"/>
      <c r="E410" s="1230"/>
      <c r="F410" s="1230"/>
      <c r="G410" s="1230"/>
      <c r="H410" s="1230"/>
      <c r="I410" s="1189"/>
      <c r="J410" s="1189"/>
      <c r="K410" s="1189"/>
      <c r="L410" s="1225"/>
      <c r="M410" s="1189"/>
      <c r="N410" s="1189"/>
      <c r="O410" s="1189"/>
      <c r="P410" s="1189"/>
      <c r="Q410" s="1189"/>
      <c r="R410" s="1189"/>
      <c r="S410" s="1189"/>
      <c r="T410" s="1208"/>
      <c r="U410" s="1208"/>
      <c r="V410" s="1189"/>
      <c r="W410" s="1189"/>
      <c r="X410" s="1189"/>
      <c r="Y410" s="1189"/>
      <c r="Z410" s="1189"/>
      <c r="AA410" s="1189"/>
      <c r="AB410" s="1189"/>
      <c r="AC410" s="1189"/>
      <c r="AD410" s="1189"/>
      <c r="AE410" s="1189"/>
      <c r="AF410" s="1189"/>
      <c r="AG410" s="1189"/>
      <c r="AH410" s="1189"/>
      <c r="AI410" s="1189"/>
      <c r="AJ410" s="1210"/>
      <c r="AK410" s="1189"/>
      <c r="AL410" s="1189"/>
      <c r="AM410" s="1189"/>
      <c r="AN410" s="1189"/>
      <c r="AO410" s="1189"/>
      <c r="AP410" s="1189"/>
      <c r="AQ410" s="1189"/>
      <c r="AR410" s="1189"/>
      <c r="AS410" s="1189"/>
    </row>
    <row r="411" spans="4:45" ht="12.75" customHeight="1">
      <c r="D411" s="1231"/>
      <c r="E411" s="1230"/>
      <c r="F411" s="1230"/>
      <c r="G411" s="1230"/>
      <c r="H411" s="1230"/>
      <c r="I411" s="1189"/>
      <c r="J411" s="1189"/>
      <c r="K411" s="1189"/>
      <c r="L411" s="1225"/>
      <c r="M411" s="1189"/>
      <c r="N411" s="1189"/>
      <c r="O411" s="1189"/>
      <c r="P411" s="1189"/>
      <c r="Q411" s="1189"/>
      <c r="R411" s="1189"/>
      <c r="S411" s="1189"/>
      <c r="T411" s="1208"/>
      <c r="U411" s="1208"/>
      <c r="V411" s="1189"/>
      <c r="W411" s="1189"/>
      <c r="X411" s="1189"/>
      <c r="Y411" s="1189"/>
      <c r="Z411" s="1189"/>
      <c r="AA411" s="1189"/>
      <c r="AB411" s="1189"/>
      <c r="AC411" s="1189"/>
      <c r="AD411" s="1189"/>
      <c r="AE411" s="1189"/>
      <c r="AF411" s="1189"/>
      <c r="AG411" s="1189"/>
      <c r="AH411" s="1189"/>
      <c r="AI411" s="1189"/>
      <c r="AJ411" s="1210"/>
      <c r="AK411" s="1189"/>
      <c r="AL411" s="1189"/>
      <c r="AM411" s="1189"/>
      <c r="AN411" s="1189"/>
      <c r="AO411" s="1189"/>
      <c r="AP411" s="1189"/>
      <c r="AQ411" s="1189"/>
      <c r="AR411" s="1189"/>
      <c r="AS411" s="1189"/>
    </row>
    <row r="412" spans="4:45" ht="12.75" customHeight="1">
      <c r="D412" s="1231"/>
      <c r="E412" s="1230"/>
      <c r="F412" s="1230"/>
      <c r="G412" s="1230"/>
      <c r="H412" s="1230"/>
      <c r="I412" s="1189"/>
      <c r="J412" s="1189"/>
      <c r="K412" s="1189"/>
      <c r="L412" s="1225"/>
      <c r="M412" s="1189"/>
      <c r="N412" s="1189"/>
      <c r="O412" s="1189"/>
      <c r="P412" s="1189"/>
      <c r="Q412" s="1189"/>
      <c r="R412" s="1189"/>
      <c r="S412" s="1189"/>
      <c r="T412" s="1208"/>
      <c r="U412" s="1208"/>
      <c r="V412" s="1189"/>
      <c r="W412" s="1189"/>
      <c r="X412" s="1189"/>
      <c r="Y412" s="1189"/>
      <c r="Z412" s="1189"/>
      <c r="AA412" s="1189"/>
      <c r="AB412" s="1189"/>
      <c r="AC412" s="1189"/>
      <c r="AD412" s="1189"/>
      <c r="AE412" s="1189"/>
      <c r="AF412" s="1189"/>
      <c r="AG412" s="1189"/>
      <c r="AH412" s="1189"/>
      <c r="AI412" s="1189"/>
      <c r="AJ412" s="1210"/>
      <c r="AK412" s="1189"/>
      <c r="AL412" s="1189"/>
      <c r="AM412" s="1189"/>
      <c r="AN412" s="1189"/>
      <c r="AO412" s="1189"/>
      <c r="AP412" s="1189"/>
      <c r="AQ412" s="1189"/>
      <c r="AR412" s="1189"/>
      <c r="AS412" s="1189"/>
    </row>
    <row r="413" spans="4:45" ht="12.75" customHeight="1">
      <c r="D413" s="1231"/>
      <c r="E413" s="1230"/>
      <c r="F413" s="1230"/>
      <c r="G413" s="1230"/>
      <c r="H413" s="1230"/>
      <c r="I413" s="1189"/>
      <c r="J413" s="1189"/>
      <c r="K413" s="1189"/>
      <c r="L413" s="1225"/>
      <c r="M413" s="1189"/>
      <c r="N413" s="1189"/>
      <c r="O413" s="1189"/>
      <c r="P413" s="1189"/>
      <c r="Q413" s="1189"/>
      <c r="R413" s="1189"/>
      <c r="S413" s="1189"/>
      <c r="T413" s="1208"/>
      <c r="U413" s="1208"/>
      <c r="V413" s="1189"/>
      <c r="W413" s="1189"/>
      <c r="X413" s="1189"/>
      <c r="Y413" s="1189"/>
      <c r="Z413" s="1189"/>
      <c r="AA413" s="1189"/>
      <c r="AB413" s="1189"/>
      <c r="AC413" s="1189"/>
      <c r="AD413" s="1189"/>
      <c r="AE413" s="1189"/>
      <c r="AF413" s="1189"/>
      <c r="AG413" s="1189"/>
      <c r="AH413" s="1189"/>
      <c r="AI413" s="1189"/>
      <c r="AJ413" s="1210"/>
      <c r="AK413" s="1189"/>
      <c r="AL413" s="1189"/>
      <c r="AM413" s="1189"/>
      <c r="AN413" s="1189"/>
      <c r="AO413" s="1189"/>
      <c r="AP413" s="1189"/>
      <c r="AQ413" s="1189"/>
      <c r="AR413" s="1189"/>
      <c r="AS413" s="1189"/>
    </row>
    <row r="414" spans="4:45" ht="12.75" customHeight="1">
      <c r="D414" s="1231"/>
      <c r="E414" s="1230"/>
      <c r="F414" s="1230"/>
      <c r="G414" s="1230"/>
      <c r="H414" s="1230"/>
      <c r="I414" s="1189"/>
      <c r="J414" s="1189"/>
      <c r="K414" s="1189"/>
      <c r="L414" s="1225"/>
      <c r="M414" s="1189"/>
      <c r="N414" s="1189"/>
      <c r="O414" s="1189"/>
      <c r="P414" s="1189"/>
      <c r="Q414" s="1189"/>
      <c r="R414" s="1189"/>
      <c r="S414" s="1189"/>
      <c r="T414" s="1208"/>
      <c r="U414" s="1208"/>
      <c r="V414" s="1189"/>
      <c r="W414" s="1189"/>
      <c r="X414" s="1189"/>
      <c r="Y414" s="1189"/>
      <c r="Z414" s="1189"/>
      <c r="AA414" s="1189"/>
      <c r="AB414" s="1189"/>
      <c r="AC414" s="1189"/>
      <c r="AD414" s="1189"/>
      <c r="AE414" s="1189"/>
      <c r="AF414" s="1189"/>
      <c r="AG414" s="1189"/>
      <c r="AH414" s="1189"/>
      <c r="AI414" s="1189"/>
      <c r="AJ414" s="1210"/>
      <c r="AK414" s="1189"/>
      <c r="AL414" s="1189"/>
      <c r="AM414" s="1189"/>
      <c r="AN414" s="1189"/>
      <c r="AO414" s="1189"/>
      <c r="AP414" s="1189"/>
      <c r="AQ414" s="1189"/>
      <c r="AR414" s="1189"/>
      <c r="AS414" s="1189"/>
    </row>
    <row r="415" spans="4:45" ht="12.75" customHeight="1">
      <c r="D415" s="1231"/>
      <c r="E415" s="1230"/>
      <c r="F415" s="1230"/>
      <c r="G415" s="1230"/>
      <c r="H415" s="1230"/>
      <c r="I415" s="1189"/>
      <c r="J415" s="1189"/>
      <c r="K415" s="1189"/>
      <c r="L415" s="1225"/>
      <c r="M415" s="1189"/>
      <c r="N415" s="1189"/>
      <c r="O415" s="1189"/>
      <c r="P415" s="1189"/>
      <c r="Q415" s="1189"/>
      <c r="R415" s="1189"/>
      <c r="S415" s="1189"/>
      <c r="T415" s="1208"/>
      <c r="U415" s="1208"/>
      <c r="V415" s="1189"/>
      <c r="W415" s="1189"/>
      <c r="X415" s="1189"/>
      <c r="Y415" s="1189"/>
      <c r="Z415" s="1189"/>
      <c r="AA415" s="1189"/>
      <c r="AB415" s="1189"/>
      <c r="AC415" s="1189"/>
      <c r="AD415" s="1189"/>
      <c r="AE415" s="1189"/>
      <c r="AF415" s="1189"/>
      <c r="AG415" s="1189"/>
      <c r="AH415" s="1189"/>
      <c r="AI415" s="1189"/>
      <c r="AJ415" s="1210"/>
      <c r="AK415" s="1189"/>
      <c r="AL415" s="1189"/>
      <c r="AM415" s="1189"/>
      <c r="AN415" s="1189"/>
      <c r="AO415" s="1189"/>
      <c r="AP415" s="1189"/>
      <c r="AQ415" s="1189"/>
      <c r="AR415" s="1189"/>
      <c r="AS415" s="1189"/>
    </row>
    <row r="416" spans="4:45" ht="12.75" customHeight="1">
      <c r="D416" s="1231"/>
      <c r="E416" s="1230"/>
      <c r="F416" s="1230"/>
      <c r="G416" s="1230"/>
      <c r="H416" s="1230"/>
      <c r="I416" s="1189"/>
      <c r="J416" s="1189"/>
      <c r="K416" s="1189"/>
      <c r="L416" s="1225"/>
      <c r="M416" s="1189"/>
      <c r="N416" s="1189"/>
      <c r="O416" s="1189"/>
      <c r="P416" s="1189"/>
      <c r="Q416" s="1189"/>
      <c r="R416" s="1189"/>
      <c r="S416" s="1189"/>
      <c r="T416" s="1208"/>
      <c r="U416" s="1208"/>
      <c r="V416" s="1189"/>
      <c r="W416" s="1189"/>
      <c r="X416" s="1189"/>
      <c r="Y416" s="1189"/>
      <c r="Z416" s="1189"/>
      <c r="AA416" s="1189"/>
      <c r="AB416" s="1189"/>
      <c r="AC416" s="1189"/>
      <c r="AD416" s="1189"/>
      <c r="AE416" s="1189"/>
      <c r="AF416" s="1189"/>
      <c r="AG416" s="1189"/>
      <c r="AH416" s="1189"/>
      <c r="AI416" s="1189"/>
      <c r="AJ416" s="1210"/>
      <c r="AK416" s="1189"/>
      <c r="AL416" s="1189"/>
      <c r="AM416" s="1189"/>
      <c r="AN416" s="1189"/>
      <c r="AO416" s="1189"/>
      <c r="AP416" s="1189"/>
      <c r="AQ416" s="1189"/>
      <c r="AR416" s="1189"/>
      <c r="AS416" s="1189"/>
    </row>
    <row r="417" spans="4:8" ht="12.75" customHeight="1">
      <c r="D417" s="1231"/>
      <c r="E417" s="1230"/>
      <c r="F417" s="1230"/>
      <c r="G417" s="1230"/>
      <c r="H417" s="1230"/>
    </row>
    <row r="418" spans="4:8" ht="12.75" customHeight="1">
      <c r="D418" s="1231"/>
      <c r="E418" s="1230"/>
      <c r="F418" s="1230"/>
      <c r="G418" s="1230"/>
      <c r="H418" s="1230"/>
    </row>
    <row r="419" spans="4:8" ht="12.75" customHeight="1">
      <c r="D419" s="1231"/>
      <c r="E419" s="1230"/>
      <c r="F419" s="1230"/>
      <c r="G419" s="1230"/>
      <c r="H419" s="1230"/>
    </row>
    <row r="420" spans="4:8" ht="12.75" customHeight="1">
      <c r="D420" s="1231"/>
      <c r="E420" s="1230"/>
      <c r="F420" s="1230"/>
      <c r="G420" s="1230"/>
      <c r="H420" s="1230"/>
    </row>
    <row r="421" spans="4:8" ht="12.75" customHeight="1">
      <c r="D421" s="1231"/>
      <c r="E421" s="1230"/>
      <c r="F421" s="1230"/>
      <c r="G421" s="1230"/>
      <c r="H421" s="1230"/>
    </row>
    <row r="422" spans="4:8" ht="12.75" customHeight="1">
      <c r="D422" s="1231"/>
      <c r="E422" s="1230"/>
      <c r="F422" s="1230"/>
      <c r="G422" s="1230"/>
      <c r="H422" s="1230"/>
    </row>
    <row r="423" spans="4:8" ht="12.75" customHeight="1">
      <c r="D423" s="1231"/>
      <c r="E423" s="1230"/>
      <c r="F423" s="1230"/>
      <c r="G423" s="1230"/>
      <c r="H423" s="1230"/>
    </row>
    <row r="424" spans="4:8" ht="12.75" customHeight="1">
      <c r="D424" s="1231"/>
      <c r="E424" s="1230"/>
      <c r="F424" s="1230"/>
      <c r="G424" s="1230"/>
      <c r="H424" s="1230"/>
    </row>
    <row r="425" spans="4:8" ht="12.75" customHeight="1">
      <c r="D425" s="1231"/>
      <c r="E425" s="1230"/>
      <c r="F425" s="1230"/>
      <c r="G425" s="1230"/>
      <c r="H425" s="1230"/>
    </row>
    <row r="426" spans="4:8" ht="12.75" customHeight="1">
      <c r="D426" s="1231"/>
      <c r="E426" s="1230"/>
      <c r="F426" s="1230"/>
      <c r="G426" s="1230"/>
      <c r="H426" s="1230"/>
    </row>
    <row r="427" spans="4:8" ht="12.75" customHeight="1">
      <c r="D427" s="1231"/>
      <c r="E427" s="1230"/>
      <c r="F427" s="1230"/>
      <c r="G427" s="1230"/>
      <c r="H427" s="1230"/>
    </row>
    <row r="428" spans="4:8" ht="12.75" customHeight="1">
      <c r="D428" s="1231"/>
      <c r="E428" s="1230"/>
      <c r="F428" s="1230"/>
      <c r="G428" s="1230"/>
      <c r="H428" s="1230"/>
    </row>
    <row r="429" spans="4:8" ht="12.75" customHeight="1">
      <c r="D429" s="1231"/>
      <c r="E429" s="1230"/>
      <c r="F429" s="1230"/>
      <c r="G429" s="1230"/>
      <c r="H429" s="1230"/>
    </row>
    <row r="430" spans="4:8" ht="12.75" customHeight="1">
      <c r="D430" s="1231"/>
      <c r="E430" s="1230"/>
      <c r="F430" s="1230"/>
      <c r="G430" s="1230"/>
      <c r="H430" s="1230"/>
    </row>
    <row r="431" spans="4:8" ht="12.75" customHeight="1">
      <c r="D431" s="1231"/>
      <c r="E431" s="1230"/>
      <c r="F431" s="1230"/>
      <c r="G431" s="1230"/>
      <c r="H431" s="1230"/>
    </row>
    <row r="432" spans="4:8" ht="12.75" customHeight="1">
      <c r="D432" s="1231"/>
      <c r="E432" s="1230"/>
      <c r="F432" s="1230"/>
      <c r="G432" s="1230"/>
      <c r="H432" s="1230"/>
    </row>
    <row r="433" spans="4:8" ht="12.75" customHeight="1">
      <c r="D433" s="1231"/>
      <c r="E433" s="1230"/>
      <c r="F433" s="1230"/>
      <c r="G433" s="1230"/>
      <c r="H433" s="1230"/>
    </row>
    <row r="434" spans="4:8" ht="12.75" customHeight="1">
      <c r="D434" s="1231"/>
      <c r="E434" s="1230"/>
      <c r="F434" s="1230"/>
      <c r="G434" s="1230"/>
      <c r="H434" s="1230"/>
    </row>
    <row r="435" spans="4:8" ht="12.75" customHeight="1">
      <c r="D435" s="1231"/>
      <c r="E435" s="1230"/>
      <c r="F435" s="1230"/>
      <c r="G435" s="1230"/>
      <c r="H435" s="1230"/>
    </row>
    <row r="436" spans="4:8" ht="12.75" customHeight="1">
      <c r="D436" s="1231"/>
      <c r="E436" s="1230"/>
      <c r="F436" s="1230"/>
      <c r="G436" s="1230"/>
      <c r="H436" s="1230"/>
    </row>
    <row r="437" spans="4:8" ht="12.75" customHeight="1">
      <c r="D437" s="1231"/>
      <c r="E437" s="1230"/>
      <c r="F437" s="1230"/>
      <c r="G437" s="1230"/>
      <c r="H437" s="1230"/>
    </row>
    <row r="438" spans="4:8" ht="12.75" customHeight="1">
      <c r="D438" s="1231"/>
      <c r="E438" s="1230"/>
      <c r="F438" s="1230"/>
      <c r="G438" s="1230"/>
      <c r="H438" s="1230"/>
    </row>
    <row r="439" spans="4:8" ht="12.75" customHeight="1">
      <c r="D439" s="1231"/>
      <c r="E439" s="1230"/>
      <c r="F439" s="1230"/>
      <c r="G439" s="1230"/>
      <c r="H439" s="1230"/>
    </row>
    <row r="440" spans="4:8" ht="12.75" customHeight="1">
      <c r="D440" s="1231"/>
      <c r="E440" s="1230"/>
      <c r="F440" s="1230"/>
      <c r="G440" s="1230"/>
      <c r="H440" s="1230"/>
    </row>
    <row r="441" spans="4:8" ht="12.75" customHeight="1">
      <c r="D441" s="1231"/>
      <c r="E441" s="1230"/>
      <c r="F441" s="1230"/>
      <c r="G441" s="1230"/>
      <c r="H441" s="1230"/>
    </row>
    <row r="442" spans="4:8" ht="12.75" customHeight="1">
      <c r="D442" s="1231"/>
      <c r="E442" s="1230"/>
      <c r="F442" s="1230"/>
      <c r="G442" s="1230"/>
      <c r="H442" s="1230"/>
    </row>
    <row r="443" spans="4:8" ht="12.75" customHeight="1">
      <c r="D443" s="1231"/>
      <c r="E443" s="1230"/>
      <c r="F443" s="1230"/>
      <c r="G443" s="1230"/>
      <c r="H443" s="1230"/>
    </row>
    <row r="444" spans="4:8" ht="12.75" customHeight="1">
      <c r="D444" s="1231"/>
      <c r="E444" s="1230"/>
      <c r="F444" s="1230"/>
      <c r="G444" s="1230"/>
      <c r="H444" s="1230"/>
    </row>
    <row r="445" spans="4:8" ht="12.75" customHeight="1">
      <c r="D445" s="1231"/>
      <c r="E445" s="1230"/>
      <c r="F445" s="1230"/>
      <c r="G445" s="1230"/>
      <c r="H445" s="1230"/>
    </row>
    <row r="446" spans="4:8" ht="12.75" customHeight="1">
      <c r="D446" s="1231"/>
      <c r="E446" s="1230"/>
      <c r="F446" s="1230"/>
      <c r="G446" s="1230"/>
      <c r="H446" s="1230"/>
    </row>
    <row r="447" spans="4:8" ht="12.75" customHeight="1">
      <c r="D447" s="1231"/>
      <c r="E447" s="1230"/>
      <c r="F447" s="1230"/>
      <c r="G447" s="1230"/>
      <c r="H447" s="1230"/>
    </row>
    <row r="448" spans="4:8" ht="12.75" customHeight="1">
      <c r="D448" s="1231"/>
      <c r="E448" s="1230"/>
      <c r="F448" s="1230"/>
      <c r="G448" s="1230"/>
      <c r="H448" s="1230"/>
    </row>
    <row r="449" spans="4:8" ht="12.75" customHeight="1">
      <c r="D449" s="1231"/>
      <c r="E449" s="1230"/>
      <c r="F449" s="1230"/>
      <c r="G449" s="1230"/>
      <c r="H449" s="1230"/>
    </row>
    <row r="450" spans="4:8" ht="12.75" customHeight="1">
      <c r="D450" s="1231"/>
      <c r="E450" s="1230"/>
      <c r="F450" s="1230"/>
      <c r="G450" s="1230"/>
      <c r="H450" s="1230"/>
    </row>
    <row r="451" spans="4:8" ht="12.75" customHeight="1">
      <c r="D451" s="1231"/>
      <c r="E451" s="1230"/>
      <c r="F451" s="1230"/>
      <c r="G451" s="1230"/>
      <c r="H451" s="1230"/>
    </row>
    <row r="452" spans="4:8" ht="12.75" customHeight="1">
      <c r="D452" s="1231"/>
      <c r="E452" s="1230"/>
      <c r="F452" s="1230"/>
      <c r="G452" s="1230"/>
      <c r="H452" s="1230"/>
    </row>
    <row r="453" spans="4:8" ht="12.75" customHeight="1">
      <c r="D453" s="1231"/>
      <c r="E453" s="1230"/>
      <c r="F453" s="1230"/>
      <c r="G453" s="1230"/>
      <c r="H453" s="1230"/>
    </row>
    <row r="454" spans="4:8" ht="12.75" customHeight="1">
      <c r="D454" s="1231"/>
      <c r="E454" s="1230"/>
      <c r="F454" s="1230"/>
      <c r="G454" s="1230"/>
      <c r="H454" s="1230"/>
    </row>
    <row r="455" spans="4:8" ht="12.75" customHeight="1">
      <c r="D455" s="1231"/>
      <c r="E455" s="1230"/>
      <c r="F455" s="1230"/>
      <c r="G455" s="1230"/>
      <c r="H455" s="1230"/>
    </row>
    <row r="456" spans="4:8" ht="12.75" customHeight="1">
      <c r="D456" s="1231"/>
      <c r="E456" s="1230"/>
      <c r="F456" s="1230"/>
      <c r="G456" s="1230"/>
      <c r="H456" s="1230"/>
    </row>
    <row r="457" spans="4:8" ht="12.75" customHeight="1">
      <c r="D457" s="1231"/>
      <c r="E457" s="1230"/>
      <c r="F457" s="1230"/>
      <c r="G457" s="1230"/>
      <c r="H457" s="1230"/>
    </row>
    <row r="458" spans="4:8" ht="12.75" customHeight="1">
      <c r="D458" s="1231"/>
      <c r="E458" s="1230"/>
      <c r="F458" s="1230"/>
      <c r="G458" s="1230"/>
      <c r="H458" s="1230"/>
    </row>
    <row r="459" spans="4:8" ht="12.75" customHeight="1">
      <c r="D459" s="1231"/>
      <c r="E459" s="1230"/>
      <c r="F459" s="1230"/>
      <c r="G459" s="1230"/>
      <c r="H459" s="1230"/>
    </row>
    <row r="460" spans="4:8" ht="12.75" customHeight="1">
      <c r="D460" s="1231"/>
      <c r="E460" s="1230"/>
      <c r="F460" s="1230"/>
      <c r="G460" s="1230"/>
      <c r="H460" s="1230"/>
    </row>
    <row r="461" spans="4:8" ht="12.75" customHeight="1">
      <c r="D461" s="1231"/>
      <c r="E461" s="1230"/>
      <c r="F461" s="1230"/>
      <c r="G461" s="1230"/>
      <c r="H461" s="1230"/>
    </row>
    <row r="462" spans="4:8" ht="12.75" customHeight="1">
      <c r="D462" s="1231"/>
      <c r="E462" s="1230"/>
      <c r="F462" s="1230"/>
      <c r="G462" s="1230"/>
      <c r="H462" s="1230"/>
    </row>
    <row r="463" spans="4:8" ht="12.75" customHeight="1">
      <c r="D463" s="1231"/>
      <c r="E463" s="1230"/>
      <c r="F463" s="1230"/>
      <c r="G463" s="1230"/>
      <c r="H463" s="1230"/>
    </row>
    <row r="464" spans="4:8" ht="12.75" customHeight="1">
      <c r="D464" s="1231"/>
      <c r="E464" s="1230"/>
      <c r="F464" s="1230"/>
      <c r="G464" s="1230"/>
      <c r="H464" s="1230"/>
    </row>
    <row r="465" spans="4:8" ht="12.75" customHeight="1">
      <c r="D465" s="1231"/>
      <c r="E465" s="1230"/>
      <c r="F465" s="1230"/>
      <c r="G465" s="1230"/>
      <c r="H465" s="1230"/>
    </row>
    <row r="466" spans="4:8" ht="12.75" customHeight="1">
      <c r="D466" s="1231"/>
      <c r="E466" s="1230"/>
      <c r="F466" s="1230"/>
      <c r="G466" s="1230"/>
      <c r="H466" s="1230"/>
    </row>
    <row r="467" spans="4:8" ht="12.75" customHeight="1">
      <c r="D467" s="1231"/>
      <c r="E467" s="1230"/>
      <c r="F467" s="1230"/>
      <c r="G467" s="1230"/>
      <c r="H467" s="1230"/>
    </row>
    <row r="468" spans="4:8" ht="12.75" customHeight="1">
      <c r="D468" s="1231"/>
      <c r="E468" s="1230"/>
      <c r="F468" s="1230"/>
      <c r="G468" s="1230"/>
      <c r="H468" s="1230"/>
    </row>
    <row r="469" spans="4:8" ht="12.75" customHeight="1">
      <c r="D469" s="1231"/>
      <c r="E469" s="1230"/>
      <c r="F469" s="1230"/>
      <c r="G469" s="1230"/>
      <c r="H469" s="1230"/>
    </row>
    <row r="470" spans="4:8" ht="12.75" customHeight="1">
      <c r="D470" s="1231"/>
      <c r="E470" s="1230"/>
      <c r="F470" s="1230"/>
      <c r="G470" s="1230"/>
      <c r="H470" s="1230"/>
    </row>
    <row r="471" spans="4:8" ht="12.75" customHeight="1">
      <c r="D471" s="1231"/>
      <c r="E471" s="1230"/>
      <c r="F471" s="1230"/>
      <c r="G471" s="1230"/>
      <c r="H471" s="1230"/>
    </row>
    <row r="472" spans="4:8" ht="12.75" customHeight="1">
      <c r="D472" s="1231"/>
      <c r="E472" s="1230"/>
      <c r="F472" s="1230"/>
      <c r="G472" s="1230"/>
      <c r="H472" s="1230"/>
    </row>
    <row r="473" spans="4:8" ht="12.75" customHeight="1">
      <c r="D473" s="1231"/>
      <c r="E473" s="1230"/>
      <c r="F473" s="1230"/>
      <c r="G473" s="1230"/>
      <c r="H473" s="1230"/>
    </row>
    <row r="474" spans="4:8" ht="12.75" customHeight="1">
      <c r="D474" s="1231"/>
      <c r="E474" s="1230"/>
      <c r="F474" s="1230"/>
      <c r="G474" s="1230"/>
      <c r="H474" s="1230"/>
    </row>
    <row r="475" spans="4:8" ht="12.75" customHeight="1">
      <c r="D475" s="1231"/>
      <c r="E475" s="1230"/>
      <c r="F475" s="1230"/>
      <c r="G475" s="1230"/>
      <c r="H475" s="1230"/>
    </row>
    <row r="476" spans="4:8" ht="12.75" customHeight="1">
      <c r="D476" s="1231"/>
      <c r="E476" s="1230"/>
      <c r="F476" s="1230"/>
      <c r="G476" s="1230"/>
      <c r="H476" s="1230"/>
    </row>
    <row r="477" spans="4:8" ht="12.75" customHeight="1">
      <c r="D477" s="1231"/>
      <c r="E477" s="1230"/>
      <c r="F477" s="1230"/>
      <c r="G477" s="1230"/>
      <c r="H477" s="1230"/>
    </row>
    <row r="478" spans="4:8" ht="12.75" customHeight="1">
      <c r="D478" s="1231"/>
      <c r="E478" s="1230"/>
      <c r="F478" s="1230"/>
      <c r="G478" s="1230"/>
      <c r="H478" s="1230"/>
    </row>
    <row r="479" spans="4:8" ht="12.75" customHeight="1">
      <c r="D479" s="1231"/>
      <c r="E479" s="1230"/>
      <c r="F479" s="1230"/>
      <c r="G479" s="1230"/>
      <c r="H479" s="1230"/>
    </row>
    <row r="480" spans="4:8" ht="12.75" customHeight="1">
      <c r="D480" s="1231"/>
      <c r="E480" s="1230"/>
      <c r="F480" s="1230"/>
      <c r="G480" s="1230"/>
      <c r="H480" s="1230"/>
    </row>
    <row r="481" spans="4:8" ht="12.75" customHeight="1">
      <c r="D481" s="1231"/>
      <c r="E481" s="1230"/>
      <c r="F481" s="1230"/>
      <c r="G481" s="1230"/>
      <c r="H481" s="1230"/>
    </row>
    <row r="482" spans="4:8" ht="12.75" customHeight="1">
      <c r="D482" s="1231"/>
      <c r="E482" s="1230"/>
      <c r="F482" s="1230"/>
      <c r="G482" s="1230"/>
      <c r="H482" s="1230"/>
    </row>
    <row r="483" spans="4:8" ht="12.75" customHeight="1">
      <c r="D483" s="1231"/>
      <c r="E483" s="1230"/>
      <c r="F483" s="1230"/>
      <c r="G483" s="1230"/>
      <c r="H483" s="1230"/>
    </row>
    <row r="484" spans="4:8" ht="12.75" customHeight="1">
      <c r="D484" s="1231"/>
      <c r="E484" s="1230"/>
      <c r="F484" s="1230"/>
      <c r="G484" s="1230"/>
      <c r="H484" s="1230"/>
    </row>
    <row r="485" spans="4:8" ht="12.75" customHeight="1">
      <c r="D485" s="1231"/>
      <c r="E485" s="1230"/>
      <c r="F485" s="1230"/>
      <c r="G485" s="1230"/>
      <c r="H485" s="1230"/>
    </row>
    <row r="486" spans="4:8" ht="12.75" customHeight="1">
      <c r="D486" s="1231"/>
      <c r="E486" s="1230"/>
      <c r="F486" s="1230"/>
      <c r="G486" s="1230"/>
      <c r="H486" s="1230"/>
    </row>
    <row r="487" spans="4:8" ht="12.75" customHeight="1">
      <c r="D487" s="1231"/>
      <c r="E487" s="1230"/>
      <c r="F487" s="1230"/>
      <c r="G487" s="1230"/>
      <c r="H487" s="1230"/>
    </row>
    <row r="488" spans="4:8" ht="12.75" customHeight="1">
      <c r="D488" s="1231"/>
      <c r="E488" s="1230"/>
      <c r="F488" s="1230"/>
      <c r="G488" s="1230"/>
      <c r="H488" s="1230"/>
    </row>
    <row r="489" spans="4:8" ht="12.75" customHeight="1">
      <c r="D489" s="1231"/>
      <c r="E489" s="1230"/>
      <c r="F489" s="1230"/>
      <c r="G489" s="1230"/>
      <c r="H489" s="1230"/>
    </row>
    <row r="490" spans="4:8" ht="12.75" customHeight="1">
      <c r="D490" s="1231"/>
      <c r="E490" s="1230"/>
      <c r="F490" s="1230"/>
      <c r="G490" s="1230"/>
      <c r="H490" s="1230"/>
    </row>
    <row r="491" spans="4:8" ht="12.75" customHeight="1">
      <c r="D491" s="1231"/>
      <c r="E491" s="1230"/>
      <c r="F491" s="1230"/>
      <c r="G491" s="1230"/>
      <c r="H491" s="1230"/>
    </row>
    <row r="492" spans="4:8" ht="12.75" customHeight="1">
      <c r="D492" s="1231"/>
      <c r="E492" s="1230"/>
      <c r="F492" s="1230"/>
      <c r="G492" s="1230"/>
      <c r="H492" s="1230"/>
    </row>
    <row r="493" spans="4:8" ht="12.75" customHeight="1">
      <c r="D493" s="1231"/>
      <c r="E493" s="1230"/>
      <c r="F493" s="1230"/>
      <c r="G493" s="1230"/>
      <c r="H493" s="1230"/>
    </row>
    <row r="494" spans="4:8" ht="12.75" customHeight="1">
      <c r="D494" s="1231"/>
      <c r="E494" s="1230"/>
      <c r="F494" s="1230"/>
      <c r="G494" s="1230"/>
      <c r="H494" s="1230"/>
    </row>
    <row r="495" spans="4:8" ht="12.75" customHeight="1">
      <c r="D495" s="1231"/>
      <c r="E495" s="1230"/>
      <c r="F495" s="1230"/>
      <c r="G495" s="1230"/>
      <c r="H495" s="1230"/>
    </row>
    <row r="496" spans="4:8" ht="12.75" customHeight="1">
      <c r="D496" s="1231"/>
      <c r="E496" s="1230"/>
      <c r="F496" s="1230"/>
      <c r="G496" s="1230"/>
      <c r="H496" s="1230"/>
    </row>
    <row r="497" spans="4:8" ht="12.75" customHeight="1">
      <c r="D497" s="1231"/>
      <c r="E497" s="1230"/>
      <c r="F497" s="1230"/>
      <c r="G497" s="1230"/>
      <c r="H497" s="1230"/>
    </row>
    <row r="498" spans="4:8" ht="12.75" customHeight="1">
      <c r="D498" s="1231"/>
      <c r="E498" s="1230"/>
      <c r="F498" s="1230"/>
      <c r="G498" s="1230"/>
      <c r="H498" s="1230"/>
    </row>
    <row r="499" spans="4:8" ht="12.75" customHeight="1">
      <c r="D499" s="1231"/>
      <c r="E499" s="1230"/>
      <c r="F499" s="1230"/>
      <c r="G499" s="1230"/>
      <c r="H499" s="1230"/>
    </row>
    <row r="500" spans="4:8" ht="12.75" customHeight="1">
      <c r="D500" s="1231"/>
      <c r="E500" s="1230"/>
      <c r="F500" s="1230"/>
      <c r="G500" s="1230"/>
      <c r="H500" s="1230"/>
    </row>
    <row r="501" spans="4:8" ht="12.75" customHeight="1">
      <c r="D501" s="1231"/>
      <c r="E501" s="1230"/>
      <c r="F501" s="1230"/>
      <c r="G501" s="1230"/>
      <c r="H501" s="1230"/>
    </row>
    <row r="502" spans="4:8" ht="12.75" customHeight="1">
      <c r="D502" s="1231"/>
      <c r="E502" s="1230"/>
      <c r="F502" s="1230"/>
      <c r="G502" s="1230"/>
      <c r="H502" s="1230"/>
    </row>
    <row r="503" spans="4:8" ht="12.75" customHeight="1">
      <c r="D503" s="1231"/>
      <c r="E503" s="1230"/>
      <c r="F503" s="1230"/>
      <c r="G503" s="1230"/>
      <c r="H503" s="1230"/>
    </row>
    <row r="504" spans="4:8" ht="12.75" customHeight="1">
      <c r="D504" s="1231"/>
      <c r="E504" s="1230"/>
      <c r="F504" s="1230"/>
      <c r="G504" s="1230"/>
      <c r="H504" s="1230"/>
    </row>
    <row r="505" spans="4:8" ht="12.75" customHeight="1">
      <c r="D505" s="1231"/>
      <c r="E505" s="1230"/>
      <c r="F505" s="1230"/>
      <c r="G505" s="1230"/>
      <c r="H505" s="1230"/>
    </row>
    <row r="506" spans="4:8" ht="12.75" customHeight="1">
      <c r="D506" s="1231"/>
      <c r="E506" s="1230"/>
      <c r="F506" s="1230"/>
      <c r="G506" s="1230"/>
      <c r="H506" s="1230"/>
    </row>
    <row r="507" spans="4:8" ht="12.75" customHeight="1">
      <c r="D507" s="1231"/>
      <c r="E507" s="1230"/>
      <c r="F507" s="1230"/>
      <c r="G507" s="1230"/>
      <c r="H507" s="1230"/>
    </row>
    <row r="508" spans="4:8" ht="12.75" customHeight="1">
      <c r="D508" s="1231"/>
      <c r="E508" s="1230"/>
      <c r="F508" s="1230"/>
      <c r="G508" s="1230"/>
      <c r="H508" s="1230"/>
    </row>
    <row r="509" spans="4:8" ht="12.75" customHeight="1">
      <c r="D509" s="1231"/>
      <c r="E509" s="1230"/>
      <c r="F509" s="1230"/>
      <c r="G509" s="1230"/>
      <c r="H509" s="1230"/>
    </row>
    <row r="510" spans="4:8" ht="12.75" customHeight="1">
      <c r="D510" s="1231"/>
      <c r="E510" s="1230"/>
      <c r="F510" s="1230"/>
      <c r="G510" s="1230"/>
      <c r="H510" s="1230"/>
    </row>
    <row r="511" spans="4:8" ht="12.75" customHeight="1">
      <c r="D511" s="1231"/>
      <c r="E511" s="1230"/>
      <c r="F511" s="1230"/>
      <c r="G511" s="1230"/>
      <c r="H511" s="1230"/>
    </row>
    <row r="512" spans="4:8" ht="12.75" customHeight="1">
      <c r="D512" s="1231"/>
      <c r="E512" s="1230"/>
      <c r="F512" s="1230"/>
      <c r="G512" s="1230"/>
      <c r="H512" s="1230"/>
    </row>
    <row r="513" spans="4:8" ht="12.75" customHeight="1">
      <c r="D513" s="1231"/>
      <c r="E513" s="1230"/>
      <c r="F513" s="1230"/>
      <c r="G513" s="1230"/>
      <c r="H513" s="1230"/>
    </row>
    <row r="514" spans="4:8" ht="12.75" customHeight="1">
      <c r="D514" s="1231"/>
      <c r="E514" s="1230"/>
      <c r="F514" s="1230"/>
      <c r="G514" s="1230"/>
      <c r="H514" s="1230"/>
    </row>
    <row r="515" spans="4:8" ht="12.75" customHeight="1">
      <c r="D515" s="1231"/>
      <c r="E515" s="1230"/>
      <c r="F515" s="1230"/>
      <c r="G515" s="1230"/>
      <c r="H515" s="1230"/>
    </row>
    <row r="516" spans="4:8" ht="12.75" customHeight="1">
      <c r="D516" s="1231"/>
      <c r="E516" s="1230"/>
      <c r="F516" s="1230"/>
      <c r="G516" s="1230"/>
      <c r="H516" s="1230"/>
    </row>
    <row r="517" spans="4:8" ht="12.75" customHeight="1">
      <c r="D517" s="1231"/>
      <c r="E517" s="1230"/>
      <c r="F517" s="1230"/>
      <c r="G517" s="1230"/>
      <c r="H517" s="1230"/>
    </row>
    <row r="518" spans="4:8" ht="12.75" customHeight="1">
      <c r="D518" s="1231"/>
      <c r="E518" s="1230"/>
      <c r="F518" s="1230"/>
      <c r="G518" s="1230"/>
      <c r="H518" s="1230"/>
    </row>
    <row r="519" spans="4:8" ht="12.75" customHeight="1">
      <c r="D519" s="1231"/>
      <c r="E519" s="1230"/>
      <c r="F519" s="1230"/>
      <c r="G519" s="1230"/>
      <c r="H519" s="1230"/>
    </row>
    <row r="520" spans="4:8" ht="12.75" customHeight="1">
      <c r="D520" s="1231"/>
      <c r="E520" s="1230"/>
      <c r="F520" s="1230"/>
      <c r="G520" s="1230"/>
      <c r="H520" s="1230"/>
    </row>
    <row r="521" spans="4:8" ht="12.75" customHeight="1">
      <c r="D521" s="1231"/>
      <c r="E521" s="1230"/>
      <c r="F521" s="1230"/>
      <c r="G521" s="1230"/>
      <c r="H521" s="1230"/>
    </row>
    <row r="522" spans="4:8" ht="12.75" customHeight="1">
      <c r="D522" s="1231"/>
      <c r="E522" s="1230"/>
      <c r="F522" s="1230"/>
      <c r="G522" s="1230"/>
      <c r="H522" s="1230"/>
    </row>
    <row r="523" spans="4:8" ht="12.75" customHeight="1">
      <c r="D523" s="1231"/>
      <c r="E523" s="1230"/>
      <c r="F523" s="1230"/>
      <c r="G523" s="1230"/>
      <c r="H523" s="1230"/>
    </row>
    <row r="524" spans="4:8" ht="12.75" customHeight="1">
      <c r="D524" s="1231"/>
      <c r="E524" s="1230"/>
      <c r="F524" s="1230"/>
      <c r="G524" s="1230"/>
      <c r="H524" s="1230"/>
    </row>
    <row r="525" spans="4:8" ht="12.75" customHeight="1">
      <c r="D525" s="1231"/>
      <c r="E525" s="1230"/>
      <c r="F525" s="1230"/>
      <c r="G525" s="1230"/>
      <c r="H525" s="1230"/>
    </row>
    <row r="526" spans="4:8" ht="12.75" customHeight="1">
      <c r="D526" s="1231"/>
      <c r="E526" s="1230"/>
      <c r="F526" s="1230"/>
      <c r="G526" s="1230"/>
      <c r="H526" s="1230"/>
    </row>
    <row r="527" spans="4:8" ht="12.75" customHeight="1">
      <c r="D527" s="1231"/>
      <c r="E527" s="1230"/>
      <c r="F527" s="1230"/>
      <c r="G527" s="1230"/>
      <c r="H527" s="1230"/>
    </row>
    <row r="528" spans="4:8" ht="12.75" customHeight="1">
      <c r="D528" s="1231"/>
      <c r="E528" s="1230"/>
      <c r="F528" s="1230"/>
      <c r="G528" s="1230"/>
      <c r="H528" s="1230"/>
    </row>
    <row r="529" spans="4:8" ht="12.75" customHeight="1">
      <c r="D529" s="1231"/>
      <c r="E529" s="1230"/>
      <c r="F529" s="1230"/>
      <c r="G529" s="1230"/>
      <c r="H529" s="1230"/>
    </row>
    <row r="530" spans="4:8" ht="12.75" customHeight="1">
      <c r="D530" s="1231"/>
      <c r="E530" s="1230"/>
      <c r="F530" s="1230"/>
      <c r="G530" s="1230"/>
      <c r="H530" s="1230"/>
    </row>
    <row r="531" spans="4:8" ht="12.75" customHeight="1">
      <c r="D531" s="1231"/>
      <c r="E531" s="1230"/>
      <c r="F531" s="1230"/>
      <c r="G531" s="1230"/>
      <c r="H531" s="1230"/>
    </row>
    <row r="532" spans="4:8" ht="12.75" customHeight="1">
      <c r="D532" s="1231"/>
      <c r="E532" s="1230"/>
      <c r="F532" s="1230"/>
      <c r="G532" s="1230"/>
      <c r="H532" s="1230"/>
    </row>
    <row r="533" spans="4:8" ht="12.75" customHeight="1">
      <c r="D533" s="1231"/>
      <c r="E533" s="1230"/>
      <c r="F533" s="1230"/>
      <c r="G533" s="1230"/>
      <c r="H533" s="1230"/>
    </row>
    <row r="534" spans="4:8" ht="12.75" customHeight="1">
      <c r="D534" s="1231"/>
      <c r="E534" s="1230"/>
      <c r="F534" s="1230"/>
      <c r="G534" s="1230"/>
      <c r="H534" s="1230"/>
    </row>
    <row r="535" spans="4:8" ht="12.75" customHeight="1">
      <c r="D535" s="1231"/>
      <c r="E535" s="1230"/>
      <c r="F535" s="1230"/>
      <c r="G535" s="1230"/>
      <c r="H535" s="1230"/>
    </row>
    <row r="536" spans="4:8" ht="12.75" customHeight="1">
      <c r="D536" s="1231"/>
      <c r="E536" s="1230"/>
      <c r="F536" s="1230"/>
      <c r="G536" s="1230"/>
      <c r="H536" s="1230"/>
    </row>
    <row r="537" spans="4:8" ht="12.75" customHeight="1">
      <c r="D537" s="1231"/>
      <c r="E537" s="1230"/>
      <c r="F537" s="1230"/>
      <c r="G537" s="1230"/>
      <c r="H537" s="1230"/>
    </row>
    <row r="538" spans="4:8" ht="12.75" customHeight="1">
      <c r="D538" s="1231"/>
      <c r="E538" s="1230"/>
      <c r="F538" s="1230"/>
      <c r="G538" s="1230"/>
      <c r="H538" s="1230"/>
    </row>
    <row r="539" spans="4:8" ht="12.75" customHeight="1">
      <c r="D539" s="1231"/>
      <c r="E539" s="1230"/>
      <c r="F539" s="1230"/>
      <c r="G539" s="1230"/>
      <c r="H539" s="1230"/>
    </row>
    <row r="540" spans="4:8" ht="12.75" customHeight="1">
      <c r="D540" s="1231"/>
      <c r="E540" s="1230"/>
      <c r="F540" s="1230"/>
      <c r="G540" s="1230"/>
      <c r="H540" s="1230"/>
    </row>
    <row r="541" spans="4:8" ht="12.75" customHeight="1">
      <c r="D541" s="1231"/>
      <c r="E541" s="1230"/>
      <c r="F541" s="1230"/>
      <c r="G541" s="1230"/>
      <c r="H541" s="1230"/>
    </row>
    <row r="542" spans="4:8" ht="12.75" customHeight="1">
      <c r="D542" s="1231"/>
      <c r="E542" s="1230"/>
      <c r="F542" s="1230"/>
      <c r="G542" s="1230"/>
      <c r="H542" s="1230"/>
    </row>
    <row r="543" spans="4:8" ht="12.75" customHeight="1">
      <c r="D543" s="1231"/>
      <c r="E543" s="1230"/>
      <c r="F543" s="1230"/>
      <c r="G543" s="1230"/>
      <c r="H543" s="1230"/>
    </row>
    <row r="544" spans="4:8" ht="12.75" customHeight="1">
      <c r="D544" s="1231"/>
      <c r="E544" s="1230"/>
      <c r="F544" s="1230"/>
      <c r="G544" s="1230"/>
      <c r="H544" s="1230"/>
    </row>
    <row r="545" spans="4:8" ht="12.75" customHeight="1">
      <c r="D545" s="1231"/>
      <c r="E545" s="1230"/>
      <c r="F545" s="1230"/>
      <c r="G545" s="1230"/>
      <c r="H545" s="1230"/>
    </row>
    <row r="546" spans="4:8" ht="12.75" customHeight="1">
      <c r="D546" s="1231"/>
      <c r="E546" s="1230"/>
      <c r="F546" s="1230"/>
      <c r="G546" s="1230"/>
      <c r="H546" s="1230"/>
    </row>
    <row r="547" spans="4:8" ht="12.75" customHeight="1">
      <c r="D547" s="1231"/>
      <c r="E547" s="1230"/>
      <c r="F547" s="1230"/>
      <c r="G547" s="1230"/>
      <c r="H547" s="1230"/>
    </row>
    <row r="548" spans="4:8" ht="12.75" customHeight="1">
      <c r="D548" s="1231"/>
      <c r="E548" s="1230"/>
      <c r="F548" s="1230"/>
      <c r="G548" s="1230"/>
      <c r="H548" s="1230"/>
    </row>
    <row r="549" spans="4:8" ht="12.75" customHeight="1">
      <c r="D549" s="1231"/>
      <c r="E549" s="1230"/>
      <c r="F549" s="1230"/>
      <c r="G549" s="1230"/>
      <c r="H549" s="1230"/>
    </row>
    <row r="550" spans="4:8" ht="12.75" customHeight="1">
      <c r="D550" s="1231"/>
      <c r="E550" s="1230"/>
      <c r="F550" s="1230"/>
      <c r="G550" s="1230"/>
      <c r="H550" s="1230"/>
    </row>
    <row r="551" spans="4:8" ht="12.75" customHeight="1">
      <c r="D551" s="1231"/>
      <c r="E551" s="1230"/>
      <c r="F551" s="1230"/>
      <c r="G551" s="1230"/>
      <c r="H551" s="1230"/>
    </row>
    <row r="552" spans="4:8" ht="12.75" customHeight="1">
      <c r="D552" s="1231"/>
      <c r="E552" s="1230"/>
      <c r="F552" s="1230"/>
      <c r="G552" s="1230"/>
      <c r="H552" s="1230"/>
    </row>
    <row r="553" spans="4:8" ht="12.75" customHeight="1">
      <c r="D553" s="1231"/>
      <c r="E553" s="1230"/>
      <c r="F553" s="1230"/>
      <c r="G553" s="1230"/>
      <c r="H553" s="1230"/>
    </row>
    <row r="554" spans="4:8" ht="12.75" customHeight="1">
      <c r="D554" s="1231"/>
      <c r="E554" s="1230"/>
      <c r="F554" s="1230"/>
      <c r="G554" s="1230"/>
      <c r="H554" s="1230"/>
    </row>
    <row r="555" spans="4:8" ht="12.75" customHeight="1">
      <c r="D555" s="1231"/>
      <c r="E555" s="1230"/>
      <c r="F555" s="1230"/>
      <c r="G555" s="1230"/>
      <c r="H555" s="1230"/>
    </row>
    <row r="556" spans="4:8" ht="12.75" customHeight="1">
      <c r="D556" s="1231"/>
      <c r="E556" s="1230"/>
      <c r="F556" s="1230"/>
      <c r="G556" s="1230"/>
      <c r="H556" s="1230"/>
    </row>
    <row r="557" spans="4:8" ht="12.75" customHeight="1">
      <c r="D557" s="1231"/>
      <c r="E557" s="1230"/>
      <c r="F557" s="1230"/>
      <c r="G557" s="1230"/>
      <c r="H557" s="1230"/>
    </row>
    <row r="558" spans="4:8" ht="12.75" customHeight="1">
      <c r="D558" s="1231"/>
      <c r="E558" s="1230"/>
      <c r="F558" s="1230"/>
      <c r="G558" s="1230"/>
      <c r="H558" s="1230"/>
    </row>
    <row r="559" spans="4:8" ht="12.75" customHeight="1">
      <c r="D559" s="1231"/>
      <c r="E559" s="1230"/>
      <c r="F559" s="1230"/>
      <c r="G559" s="1230"/>
      <c r="H559" s="1230"/>
    </row>
    <row r="560" spans="4:8" ht="12.75" customHeight="1">
      <c r="D560" s="1231"/>
      <c r="E560" s="1230"/>
      <c r="F560" s="1230"/>
      <c r="G560" s="1230"/>
      <c r="H560" s="1230"/>
    </row>
    <row r="561" spans="4:8" ht="12.75" customHeight="1">
      <c r="D561" s="1231"/>
      <c r="E561" s="1230"/>
      <c r="F561" s="1230"/>
      <c r="G561" s="1230"/>
      <c r="H561" s="1230"/>
    </row>
    <row r="562" spans="4:8" ht="12.75" customHeight="1">
      <c r="D562" s="1231"/>
      <c r="E562" s="1230"/>
      <c r="F562" s="1230"/>
      <c r="G562" s="1230"/>
      <c r="H562" s="1230"/>
    </row>
    <row r="563" spans="4:8" ht="12.75" customHeight="1">
      <c r="D563" s="1231"/>
      <c r="E563" s="1230"/>
      <c r="F563" s="1230"/>
      <c r="G563" s="1230"/>
      <c r="H563" s="1230"/>
    </row>
    <row r="564" spans="4:8" ht="12.75" customHeight="1">
      <c r="D564" s="1231"/>
      <c r="E564" s="1230"/>
      <c r="F564" s="1230"/>
      <c r="G564" s="1230"/>
      <c r="H564" s="1230"/>
    </row>
    <row r="565" spans="4:8" ht="12.75" customHeight="1">
      <c r="D565" s="1231"/>
      <c r="E565" s="1230"/>
      <c r="F565" s="1230"/>
      <c r="G565" s="1230"/>
      <c r="H565" s="1230"/>
    </row>
    <row r="566" spans="4:8" ht="12.75" customHeight="1">
      <c r="D566" s="1231"/>
      <c r="E566" s="1230"/>
      <c r="F566" s="1230"/>
      <c r="G566" s="1230"/>
      <c r="H566" s="1230"/>
    </row>
    <row r="567" spans="4:8" ht="12.75" customHeight="1">
      <c r="D567" s="1231"/>
      <c r="E567" s="1230"/>
      <c r="F567" s="1230"/>
      <c r="G567" s="1230"/>
      <c r="H567" s="1230"/>
    </row>
    <row r="568" spans="4:8" ht="12.75" customHeight="1">
      <c r="D568" s="1231"/>
      <c r="E568" s="1230"/>
      <c r="F568" s="1230"/>
      <c r="G568" s="1230"/>
      <c r="H568" s="1230"/>
    </row>
    <row r="569" spans="4:8" ht="12.75" customHeight="1">
      <c r="D569" s="1231"/>
      <c r="E569" s="1230"/>
      <c r="F569" s="1230"/>
      <c r="G569" s="1230"/>
      <c r="H569" s="1230"/>
    </row>
    <row r="570" spans="4:8" ht="12.75" customHeight="1">
      <c r="D570" s="1231"/>
      <c r="E570" s="1230"/>
      <c r="F570" s="1230"/>
      <c r="G570" s="1230"/>
      <c r="H570" s="1230"/>
    </row>
    <row r="571" spans="4:8" ht="12.75" customHeight="1">
      <c r="D571" s="1231"/>
      <c r="E571" s="1230"/>
      <c r="F571" s="1230"/>
      <c r="G571" s="1230"/>
      <c r="H571" s="1230"/>
    </row>
    <row r="572" spans="4:8" ht="12.75" customHeight="1">
      <c r="D572" s="1231"/>
      <c r="E572" s="1230"/>
      <c r="F572" s="1230"/>
      <c r="G572" s="1230"/>
      <c r="H572" s="1230"/>
    </row>
    <row r="573" spans="4:8" ht="12.75" customHeight="1">
      <c r="D573" s="1231"/>
      <c r="E573" s="1230"/>
      <c r="F573" s="1230"/>
      <c r="G573" s="1230"/>
      <c r="H573" s="1230"/>
    </row>
    <row r="574" spans="4:8" ht="12.75" customHeight="1">
      <c r="D574" s="1231"/>
      <c r="E574" s="1230"/>
      <c r="F574" s="1230"/>
      <c r="G574" s="1230"/>
      <c r="H574" s="1230"/>
    </row>
    <row r="575" spans="4:8" ht="12.75" customHeight="1">
      <c r="D575" s="1231"/>
      <c r="E575" s="1230"/>
      <c r="F575" s="1230"/>
      <c r="G575" s="1230"/>
      <c r="H575" s="1230"/>
    </row>
    <row r="576" spans="4:8" ht="12.75" customHeight="1">
      <c r="D576" s="1231"/>
      <c r="E576" s="1230"/>
      <c r="F576" s="1230"/>
      <c r="G576" s="1230"/>
      <c r="H576" s="1230"/>
    </row>
    <row r="577" spans="4:8" ht="12.75" customHeight="1">
      <c r="D577" s="1231"/>
      <c r="E577" s="1230"/>
      <c r="F577" s="1230"/>
      <c r="G577" s="1230"/>
      <c r="H577" s="1230"/>
    </row>
    <row r="578" spans="4:8" ht="12.75" customHeight="1">
      <c r="D578" s="1231"/>
      <c r="E578" s="1230"/>
      <c r="F578" s="1230"/>
      <c r="G578" s="1230"/>
      <c r="H578" s="1230"/>
    </row>
    <row r="579" spans="4:8" ht="12.75" customHeight="1">
      <c r="D579" s="1231"/>
      <c r="E579" s="1230"/>
      <c r="F579" s="1230"/>
      <c r="G579" s="1230"/>
      <c r="H579" s="1230"/>
    </row>
    <row r="580" spans="4:8" ht="12.75" customHeight="1">
      <c r="D580" s="1231"/>
      <c r="E580" s="1230"/>
      <c r="F580" s="1230"/>
      <c r="G580" s="1230"/>
      <c r="H580" s="1230"/>
    </row>
    <row r="581" spans="4:8" ht="12.75" customHeight="1">
      <c r="D581" s="1231"/>
      <c r="E581" s="1230"/>
      <c r="F581" s="1230"/>
      <c r="G581" s="1230"/>
      <c r="H581" s="1230"/>
    </row>
    <row r="582" spans="4:8" ht="12.75" customHeight="1">
      <c r="D582" s="1231"/>
      <c r="E582" s="1230"/>
      <c r="F582" s="1230"/>
      <c r="G582" s="1230"/>
      <c r="H582" s="1230"/>
    </row>
    <row r="583" spans="4:8" ht="12.75" customHeight="1">
      <c r="D583" s="1231"/>
      <c r="E583" s="1230"/>
      <c r="F583" s="1230"/>
      <c r="G583" s="1230"/>
      <c r="H583" s="1230"/>
    </row>
    <row r="584" spans="4:8" ht="12.75" customHeight="1">
      <c r="D584" s="1231"/>
      <c r="E584" s="1230"/>
      <c r="F584" s="1230"/>
      <c r="G584" s="1230"/>
      <c r="H584" s="1230"/>
    </row>
    <row r="585" spans="4:8" ht="12.75" customHeight="1">
      <c r="D585" s="1231"/>
      <c r="E585" s="1230"/>
      <c r="F585" s="1230"/>
      <c r="G585" s="1230"/>
      <c r="H585" s="1230"/>
    </row>
    <row r="586" spans="4:8" ht="12.75" customHeight="1">
      <c r="D586" s="1231"/>
      <c r="E586" s="1230"/>
      <c r="F586" s="1230"/>
      <c r="G586" s="1230"/>
      <c r="H586" s="1230"/>
    </row>
    <row r="587" spans="4:8" ht="12.75" customHeight="1">
      <c r="D587" s="1231"/>
      <c r="E587" s="1230"/>
      <c r="F587" s="1230"/>
      <c r="G587" s="1230"/>
      <c r="H587" s="1230"/>
    </row>
    <row r="588" spans="4:8" ht="12.75" customHeight="1">
      <c r="D588" s="1231"/>
      <c r="E588" s="1230"/>
      <c r="F588" s="1230"/>
      <c r="G588" s="1230"/>
      <c r="H588" s="1230"/>
    </row>
    <row r="589" spans="4:8" ht="12.75" customHeight="1">
      <c r="D589" s="1231"/>
      <c r="E589" s="1230"/>
      <c r="F589" s="1230"/>
      <c r="G589" s="1230"/>
      <c r="H589" s="1230"/>
    </row>
    <row r="590" spans="4:8" ht="12.75" customHeight="1">
      <c r="D590" s="1231"/>
      <c r="E590" s="1230"/>
      <c r="F590" s="1230"/>
      <c r="G590" s="1230"/>
      <c r="H590" s="1230"/>
    </row>
    <row r="591" spans="4:8" ht="12.75" customHeight="1">
      <c r="D591" s="1231"/>
      <c r="E591" s="1230"/>
      <c r="F591" s="1230"/>
      <c r="G591" s="1230"/>
      <c r="H591" s="1230"/>
    </row>
    <row r="592" spans="4:8" ht="12.75" customHeight="1">
      <c r="D592" s="1231"/>
      <c r="E592" s="1230"/>
      <c r="F592" s="1230"/>
      <c r="G592" s="1230"/>
      <c r="H592" s="1230"/>
    </row>
    <row r="593" spans="4:8" ht="12.75" customHeight="1">
      <c r="D593" s="1231"/>
      <c r="E593" s="1230"/>
      <c r="F593" s="1230"/>
      <c r="G593" s="1230"/>
      <c r="H593" s="1230"/>
    </row>
    <row r="594" spans="4:8" ht="12.75" customHeight="1">
      <c r="D594" s="1231"/>
      <c r="E594" s="1230"/>
      <c r="F594" s="1230"/>
      <c r="G594" s="1230"/>
      <c r="H594" s="1230"/>
    </row>
    <row r="595" spans="4:8" ht="12.75" customHeight="1">
      <c r="D595" s="1231"/>
      <c r="E595" s="1230"/>
      <c r="F595" s="1230"/>
      <c r="G595" s="1230"/>
      <c r="H595" s="1230"/>
    </row>
    <row r="596" spans="4:8" ht="12.75" customHeight="1">
      <c r="D596" s="1231"/>
      <c r="E596" s="1230"/>
      <c r="F596" s="1230"/>
      <c r="G596" s="1230"/>
      <c r="H596" s="1230"/>
    </row>
    <row r="597" spans="4:8" ht="12.75" customHeight="1">
      <c r="D597" s="1231"/>
      <c r="E597" s="1230"/>
      <c r="F597" s="1230"/>
      <c r="G597" s="1230"/>
      <c r="H597" s="1230"/>
    </row>
    <row r="598" spans="4:8" ht="12.75" customHeight="1">
      <c r="D598" s="1231"/>
      <c r="E598" s="1230"/>
      <c r="F598" s="1230"/>
      <c r="G598" s="1230"/>
      <c r="H598" s="1230"/>
    </row>
    <row r="599" spans="4:8" ht="12.75" customHeight="1">
      <c r="D599" s="1231"/>
      <c r="E599" s="1230"/>
      <c r="F599" s="1230"/>
      <c r="G599" s="1230"/>
      <c r="H599" s="1230"/>
    </row>
    <row r="600" spans="4:8" ht="12.75" customHeight="1">
      <c r="D600" s="1231"/>
      <c r="E600" s="1230"/>
      <c r="F600" s="1230"/>
      <c r="G600" s="1230"/>
      <c r="H600" s="1230"/>
    </row>
    <row r="601" spans="4:8" ht="12.75" customHeight="1">
      <c r="D601" s="1231"/>
      <c r="E601" s="1230"/>
      <c r="F601" s="1230"/>
      <c r="G601" s="1230"/>
      <c r="H601" s="1230"/>
    </row>
    <row r="602" spans="4:8" ht="12.75" customHeight="1">
      <c r="D602" s="1231"/>
      <c r="E602" s="1230"/>
      <c r="F602" s="1230"/>
      <c r="G602" s="1230"/>
      <c r="H602" s="1230"/>
    </row>
    <row r="603" spans="4:8" ht="12.75" customHeight="1">
      <c r="D603" s="1231"/>
      <c r="E603" s="1230"/>
      <c r="F603" s="1230"/>
      <c r="G603" s="1230"/>
      <c r="H603" s="1230"/>
    </row>
    <row r="604" spans="4:8" ht="12.75" customHeight="1">
      <c r="D604" s="1231"/>
      <c r="E604" s="1230"/>
      <c r="F604" s="1230"/>
      <c r="G604" s="1230"/>
      <c r="H604" s="1230"/>
    </row>
    <row r="605" spans="4:8" ht="12.75" customHeight="1">
      <c r="D605" s="1231"/>
      <c r="E605" s="1230"/>
      <c r="F605" s="1230"/>
      <c r="G605" s="1230"/>
      <c r="H605" s="1230"/>
    </row>
    <row r="606" spans="4:8" ht="12.75" customHeight="1">
      <c r="D606" s="1231"/>
      <c r="E606" s="1230"/>
      <c r="F606" s="1230"/>
      <c r="G606" s="1230"/>
      <c r="H606" s="1230"/>
    </row>
    <row r="607" spans="4:8" ht="12.75" customHeight="1">
      <c r="D607" s="1231"/>
      <c r="E607" s="1230"/>
      <c r="F607" s="1230"/>
      <c r="G607" s="1230"/>
      <c r="H607" s="1230"/>
    </row>
    <row r="608" spans="4:8" ht="12.75" customHeight="1">
      <c r="D608" s="1231"/>
      <c r="E608" s="1230"/>
      <c r="F608" s="1230"/>
      <c r="G608" s="1230"/>
      <c r="H608" s="1230"/>
    </row>
    <row r="609" spans="4:8" ht="12.75" customHeight="1">
      <c r="D609" s="1231"/>
      <c r="E609" s="1230"/>
      <c r="F609" s="1230"/>
      <c r="G609" s="1230"/>
      <c r="H609" s="1230"/>
    </row>
    <row r="610" spans="4:8" ht="12.75" customHeight="1">
      <c r="D610" s="1231"/>
      <c r="E610" s="1230"/>
      <c r="F610" s="1230"/>
      <c r="G610" s="1230"/>
      <c r="H610" s="1230"/>
    </row>
    <row r="611" spans="4:8" ht="12.75" customHeight="1">
      <c r="D611" s="1231"/>
      <c r="E611" s="1230"/>
      <c r="F611" s="1230"/>
      <c r="G611" s="1230"/>
      <c r="H611" s="1230"/>
    </row>
    <row r="612" spans="4:8" ht="12.75" customHeight="1">
      <c r="D612" s="1231"/>
      <c r="E612" s="1230"/>
      <c r="F612" s="1230"/>
      <c r="G612" s="1230"/>
      <c r="H612" s="1230"/>
    </row>
    <row r="613" spans="4:8" ht="12.75" customHeight="1">
      <c r="D613" s="1231"/>
      <c r="E613" s="1230"/>
      <c r="F613" s="1230"/>
      <c r="G613" s="1230"/>
      <c r="H613" s="1230"/>
    </row>
    <row r="614" spans="4:8" ht="12.75" customHeight="1">
      <c r="D614" s="1231"/>
      <c r="E614" s="1230"/>
      <c r="F614" s="1230"/>
      <c r="G614" s="1230"/>
      <c r="H614" s="1230"/>
    </row>
    <row r="615" spans="4:8" ht="12.75" customHeight="1">
      <c r="D615" s="1231"/>
      <c r="E615" s="1230"/>
      <c r="F615" s="1230"/>
      <c r="G615" s="1230"/>
      <c r="H615" s="1230"/>
    </row>
    <row r="616" spans="4:8" ht="12.75" customHeight="1">
      <c r="D616" s="1231"/>
      <c r="E616" s="1230"/>
      <c r="F616" s="1230"/>
      <c r="G616" s="1230"/>
      <c r="H616" s="1230"/>
    </row>
    <row r="617" spans="4:8" ht="12.75" customHeight="1">
      <c r="D617" s="1231"/>
      <c r="E617" s="1230"/>
      <c r="F617" s="1230"/>
      <c r="G617" s="1230"/>
      <c r="H617" s="1230"/>
    </row>
    <row r="618" spans="4:8" ht="12.75" customHeight="1">
      <c r="D618" s="1231"/>
      <c r="E618" s="1230"/>
      <c r="F618" s="1230"/>
      <c r="G618" s="1230"/>
      <c r="H618" s="1230"/>
    </row>
    <row r="619" spans="4:8" ht="12.75" customHeight="1">
      <c r="D619" s="1231"/>
      <c r="E619" s="1230"/>
      <c r="F619" s="1230"/>
      <c r="G619" s="1230"/>
      <c r="H619" s="1230"/>
    </row>
    <row r="620" spans="4:8" ht="12.75" customHeight="1">
      <c r="D620" s="1231"/>
      <c r="E620" s="1230"/>
      <c r="F620" s="1230"/>
      <c r="G620" s="1230"/>
      <c r="H620" s="1230"/>
    </row>
    <row r="621" spans="4:8" ht="12.75" customHeight="1">
      <c r="D621" s="1231"/>
      <c r="E621" s="1230"/>
      <c r="F621" s="1230"/>
      <c r="G621" s="1230"/>
      <c r="H621" s="1230"/>
    </row>
    <row r="622" spans="4:8" ht="12.75" customHeight="1">
      <c r="D622" s="1231"/>
      <c r="E622" s="1230"/>
      <c r="F622" s="1230"/>
      <c r="G622" s="1230"/>
      <c r="H622" s="1230"/>
    </row>
    <row r="623" spans="4:8" ht="12.75" customHeight="1">
      <c r="D623" s="1231"/>
      <c r="E623" s="1230"/>
      <c r="F623" s="1230"/>
      <c r="G623" s="1230"/>
      <c r="H623" s="1230"/>
    </row>
    <row r="624" spans="4:8" ht="12.75" customHeight="1">
      <c r="D624" s="1231"/>
      <c r="E624" s="1230"/>
      <c r="F624" s="1230"/>
      <c r="G624" s="1230"/>
      <c r="H624" s="1230"/>
    </row>
    <row r="625" spans="4:8" ht="12.75" customHeight="1">
      <c r="D625" s="1231"/>
      <c r="E625" s="1230"/>
      <c r="F625" s="1230"/>
      <c r="G625" s="1230"/>
      <c r="H625" s="1230"/>
    </row>
    <row r="626" spans="4:8" ht="12.75" customHeight="1">
      <c r="D626" s="1231"/>
      <c r="E626" s="1230"/>
      <c r="F626" s="1230"/>
      <c r="G626" s="1230"/>
      <c r="H626" s="1230"/>
    </row>
    <row r="627" spans="4:8" ht="12.75" customHeight="1">
      <c r="D627" s="1231"/>
      <c r="E627" s="1230"/>
      <c r="F627" s="1230"/>
      <c r="G627" s="1230"/>
      <c r="H627" s="1230"/>
    </row>
    <row r="628" spans="4:8" ht="12.75" customHeight="1">
      <c r="D628" s="1231"/>
      <c r="E628" s="1230"/>
      <c r="F628" s="1230"/>
      <c r="G628" s="1230"/>
      <c r="H628" s="1230"/>
    </row>
    <row r="629" spans="4:8" ht="12.75" customHeight="1">
      <c r="D629" s="1231"/>
      <c r="E629" s="1230"/>
      <c r="F629" s="1230"/>
      <c r="G629" s="1230"/>
      <c r="H629" s="1230"/>
    </row>
    <row r="630" spans="4:8" ht="12.75" customHeight="1">
      <c r="D630" s="1231"/>
      <c r="E630" s="1230"/>
      <c r="F630" s="1230"/>
      <c r="G630" s="1230"/>
      <c r="H630" s="1230"/>
    </row>
    <row r="631" spans="4:8" ht="12.75" customHeight="1">
      <c r="D631" s="1231"/>
      <c r="E631" s="1230"/>
      <c r="F631" s="1230"/>
      <c r="G631" s="1230"/>
      <c r="H631" s="1230"/>
    </row>
    <row r="632" spans="4:8" ht="12.75" customHeight="1">
      <c r="D632" s="1231"/>
      <c r="E632" s="1230"/>
      <c r="F632" s="1230"/>
      <c r="G632" s="1230"/>
      <c r="H632" s="1230"/>
    </row>
    <row r="633" spans="4:8" ht="12.75" customHeight="1">
      <c r="D633" s="1231"/>
      <c r="E633" s="1230"/>
      <c r="F633" s="1230"/>
      <c r="G633" s="1230"/>
      <c r="H633" s="1230"/>
    </row>
    <row r="634" spans="4:8" ht="12.75" customHeight="1">
      <c r="D634" s="1231"/>
      <c r="E634" s="1230"/>
      <c r="F634" s="1230"/>
      <c r="G634" s="1230"/>
      <c r="H634" s="1230"/>
    </row>
    <row r="635" spans="4:8" ht="12.75" customHeight="1">
      <c r="D635" s="1231"/>
      <c r="E635" s="1230"/>
      <c r="F635" s="1230"/>
      <c r="G635" s="1230"/>
      <c r="H635" s="1230"/>
    </row>
    <row r="636" spans="4:8" ht="12.75" customHeight="1">
      <c r="D636" s="1231"/>
      <c r="E636" s="1230"/>
      <c r="F636" s="1230"/>
      <c r="G636" s="1230"/>
      <c r="H636" s="1230"/>
    </row>
    <row r="637" spans="4:8" ht="12.75" customHeight="1">
      <c r="D637" s="1231"/>
      <c r="E637" s="1230"/>
      <c r="F637" s="1230"/>
      <c r="G637" s="1230"/>
      <c r="H637" s="1230"/>
    </row>
    <row r="638" spans="4:8" ht="12.75" customHeight="1">
      <c r="D638" s="1231"/>
      <c r="E638" s="1230"/>
      <c r="F638" s="1230"/>
      <c r="G638" s="1230"/>
      <c r="H638" s="1230"/>
    </row>
    <row r="639" spans="4:8" ht="12.75" customHeight="1">
      <c r="D639" s="1231"/>
      <c r="E639" s="1230"/>
      <c r="F639" s="1230"/>
      <c r="G639" s="1230"/>
      <c r="H639" s="1230"/>
    </row>
    <row r="640" spans="4:8" ht="12.75" customHeight="1">
      <c r="D640" s="1231"/>
      <c r="E640" s="1230"/>
      <c r="F640" s="1230"/>
      <c r="G640" s="1230"/>
      <c r="H640" s="1230"/>
    </row>
    <row r="641" spans="4:8" ht="12.75" customHeight="1">
      <c r="D641" s="1231"/>
      <c r="E641" s="1230"/>
      <c r="F641" s="1230"/>
      <c r="G641" s="1230"/>
      <c r="H641" s="1230"/>
    </row>
    <row r="642" spans="4:8" ht="12.75" customHeight="1">
      <c r="D642" s="1231"/>
      <c r="E642" s="1230"/>
      <c r="F642" s="1230"/>
      <c r="G642" s="1230"/>
      <c r="H642" s="1230"/>
    </row>
    <row r="643" spans="4:8" ht="12.75" customHeight="1">
      <c r="D643" s="1231"/>
      <c r="E643" s="1230"/>
      <c r="F643" s="1230"/>
      <c r="G643" s="1230"/>
      <c r="H643" s="1230"/>
    </row>
    <row r="644" spans="4:8" ht="12.75" customHeight="1">
      <c r="D644" s="1231"/>
      <c r="E644" s="1230"/>
      <c r="F644" s="1230"/>
      <c r="G644" s="1230"/>
      <c r="H644" s="1230"/>
    </row>
    <row r="645" spans="4:8" ht="12.75" customHeight="1">
      <c r="D645" s="1231"/>
      <c r="E645" s="1230"/>
      <c r="F645" s="1230"/>
      <c r="G645" s="1230"/>
      <c r="H645" s="1230"/>
    </row>
    <row r="646" spans="4:8" ht="12.75" customHeight="1">
      <c r="D646" s="1231"/>
      <c r="E646" s="1230"/>
      <c r="F646" s="1230"/>
      <c r="G646" s="1230"/>
      <c r="H646" s="1230"/>
    </row>
    <row r="647" spans="4:8" ht="12.75" customHeight="1">
      <c r="D647" s="1231"/>
      <c r="E647" s="1230"/>
      <c r="F647" s="1230"/>
      <c r="G647" s="1230"/>
      <c r="H647" s="1230"/>
    </row>
    <row r="648" spans="4:8" ht="12.75" customHeight="1">
      <c r="D648" s="1231"/>
      <c r="E648" s="1230"/>
      <c r="F648" s="1230"/>
      <c r="G648" s="1230"/>
      <c r="H648" s="1230"/>
    </row>
    <row r="649" spans="4:8" ht="12.75" customHeight="1">
      <c r="D649" s="1231"/>
      <c r="E649" s="1230"/>
      <c r="F649" s="1230"/>
      <c r="G649" s="1230"/>
      <c r="H649" s="1230"/>
    </row>
    <row r="650" spans="4:8" ht="12.75" customHeight="1">
      <c r="D650" s="1231"/>
      <c r="E650" s="1230"/>
      <c r="F650" s="1230"/>
      <c r="G650" s="1230"/>
      <c r="H650" s="1230"/>
    </row>
    <row r="651" spans="4:8" ht="12.75" customHeight="1">
      <c r="D651" s="1231"/>
      <c r="E651" s="1230"/>
      <c r="F651" s="1230"/>
      <c r="G651" s="1230"/>
      <c r="H651" s="1230"/>
    </row>
    <row r="652" spans="4:8" ht="12.75" customHeight="1">
      <c r="D652" s="1231"/>
      <c r="E652" s="1230"/>
      <c r="F652" s="1230"/>
      <c r="G652" s="1230"/>
      <c r="H652" s="1230"/>
    </row>
    <row r="653" spans="4:8" ht="12.75" customHeight="1">
      <c r="D653" s="1231"/>
      <c r="E653" s="1230"/>
      <c r="F653" s="1230"/>
      <c r="G653" s="1230"/>
      <c r="H653" s="1230"/>
    </row>
    <row r="654" spans="4:8" ht="12.75" customHeight="1">
      <c r="D654" s="1231"/>
      <c r="E654" s="1230"/>
      <c r="F654" s="1230"/>
      <c r="G654" s="1230"/>
      <c r="H654" s="1230"/>
    </row>
    <row r="655" spans="4:8" ht="12.75" customHeight="1">
      <c r="D655" s="1231"/>
      <c r="E655" s="1230"/>
      <c r="F655" s="1230"/>
      <c r="G655" s="1230"/>
      <c r="H655" s="1230"/>
    </row>
    <row r="656" spans="4:8" ht="12.75" customHeight="1">
      <c r="D656" s="1231"/>
      <c r="E656" s="1230"/>
      <c r="F656" s="1230"/>
      <c r="G656" s="1230"/>
      <c r="H656" s="1230"/>
    </row>
    <row r="657" spans="4:8" ht="12.75" customHeight="1">
      <c r="D657" s="1231"/>
      <c r="E657" s="1230"/>
      <c r="F657" s="1230"/>
      <c r="G657" s="1230"/>
      <c r="H657" s="1230"/>
    </row>
    <row r="658" spans="4:8" ht="12.75" customHeight="1">
      <c r="D658" s="1231"/>
      <c r="E658" s="1230"/>
      <c r="F658" s="1230"/>
      <c r="G658" s="1230"/>
      <c r="H658" s="1230"/>
    </row>
    <row r="659" spans="4:8" ht="12.75" customHeight="1">
      <c r="D659" s="1231"/>
      <c r="E659" s="1230"/>
      <c r="F659" s="1230"/>
      <c r="G659" s="1230"/>
      <c r="H659" s="1230"/>
    </row>
    <row r="660" spans="4:8" ht="12.75" customHeight="1">
      <c r="D660" s="1231"/>
      <c r="E660" s="1230"/>
      <c r="F660" s="1230"/>
      <c r="G660" s="1230"/>
      <c r="H660" s="1230"/>
    </row>
    <row r="661" spans="4:8" ht="12.75" customHeight="1">
      <c r="D661" s="1231"/>
      <c r="E661" s="1230"/>
      <c r="F661" s="1230"/>
      <c r="G661" s="1230"/>
      <c r="H661" s="1230"/>
    </row>
    <row r="662" spans="4:8" ht="12.75" customHeight="1">
      <c r="D662" s="1231"/>
      <c r="E662" s="1230"/>
      <c r="F662" s="1230"/>
      <c r="G662" s="1230"/>
      <c r="H662" s="1230"/>
    </row>
    <row r="663" spans="4:8" ht="12.75" customHeight="1">
      <c r="D663" s="1231"/>
      <c r="E663" s="1230"/>
      <c r="F663" s="1230"/>
      <c r="G663" s="1230"/>
      <c r="H663" s="1230"/>
    </row>
    <row r="664" spans="4:8" ht="12.75" customHeight="1">
      <c r="D664" s="1231"/>
      <c r="E664" s="1230"/>
      <c r="F664" s="1230"/>
      <c r="G664" s="1230"/>
      <c r="H664" s="1230"/>
    </row>
    <row r="665" spans="4:8" ht="12.75" customHeight="1">
      <c r="D665" s="1231"/>
      <c r="E665" s="1230"/>
      <c r="F665" s="1230"/>
      <c r="G665" s="1230"/>
      <c r="H665" s="1230"/>
    </row>
    <row r="666" spans="4:8" ht="12.75" customHeight="1">
      <c r="D666" s="1231"/>
      <c r="E666" s="1230"/>
      <c r="F666" s="1230"/>
      <c r="G666" s="1230"/>
      <c r="H666" s="1230"/>
    </row>
    <row r="667" spans="4:8" ht="12.75" customHeight="1">
      <c r="D667" s="1231"/>
      <c r="E667" s="1230"/>
      <c r="F667" s="1230"/>
      <c r="G667" s="1230"/>
      <c r="H667" s="1230"/>
    </row>
    <row r="668" spans="4:8" ht="12.75" customHeight="1">
      <c r="D668" s="1231"/>
      <c r="E668" s="1230"/>
      <c r="F668" s="1230"/>
      <c r="G668" s="1230"/>
      <c r="H668" s="1230"/>
    </row>
    <row r="669" spans="4:8" ht="12.75" customHeight="1">
      <c r="D669" s="1231"/>
      <c r="E669" s="1230"/>
      <c r="F669" s="1230"/>
      <c r="G669" s="1230"/>
      <c r="H669" s="1230"/>
    </row>
    <row r="670" spans="4:8" ht="12.75" customHeight="1">
      <c r="D670" s="1231"/>
      <c r="E670" s="1230"/>
      <c r="F670" s="1230"/>
      <c r="G670" s="1230"/>
      <c r="H670" s="1230"/>
    </row>
    <row r="671" spans="4:8" ht="12.75" customHeight="1">
      <c r="D671" s="1231"/>
      <c r="E671" s="1230"/>
      <c r="F671" s="1230"/>
      <c r="G671" s="1230"/>
      <c r="H671" s="1230"/>
    </row>
    <row r="672" spans="4:8" ht="12.75" customHeight="1">
      <c r="D672" s="1231"/>
      <c r="E672" s="1230"/>
      <c r="F672" s="1230"/>
      <c r="G672" s="1230"/>
      <c r="H672" s="1230"/>
    </row>
    <row r="673" spans="4:8" ht="12.75" customHeight="1">
      <c r="D673" s="1231"/>
      <c r="E673" s="1230"/>
      <c r="F673" s="1230"/>
      <c r="G673" s="1230"/>
      <c r="H673" s="1230"/>
    </row>
    <row r="674" spans="4:8" ht="12.75" customHeight="1">
      <c r="D674" s="1231"/>
      <c r="E674" s="1230"/>
      <c r="F674" s="1230"/>
      <c r="G674" s="1230"/>
      <c r="H674" s="1230"/>
    </row>
    <row r="675" spans="4:8" ht="12.75" customHeight="1">
      <c r="D675" s="1231"/>
      <c r="E675" s="1230"/>
      <c r="F675" s="1230"/>
      <c r="G675" s="1230"/>
      <c r="H675" s="1230"/>
    </row>
    <row r="676" spans="4:8" ht="12.75" customHeight="1">
      <c r="D676" s="1231"/>
      <c r="E676" s="1230"/>
      <c r="F676" s="1230"/>
      <c r="G676" s="1230"/>
      <c r="H676" s="1230"/>
    </row>
    <row r="677" spans="4:8" ht="12.75" customHeight="1">
      <c r="D677" s="1231"/>
      <c r="E677" s="1230"/>
      <c r="F677" s="1230"/>
      <c r="G677" s="1230"/>
      <c r="H677" s="1230"/>
    </row>
    <row r="678" spans="4:8" ht="12.75" customHeight="1">
      <c r="D678" s="1231"/>
      <c r="E678" s="1230"/>
      <c r="F678" s="1230"/>
      <c r="G678" s="1230"/>
      <c r="H678" s="1230"/>
    </row>
    <row r="679" spans="4:8" ht="12.75" customHeight="1">
      <c r="D679" s="1231"/>
      <c r="E679" s="1230"/>
      <c r="F679" s="1230"/>
      <c r="G679" s="1230"/>
      <c r="H679" s="1230"/>
    </row>
    <row r="680" spans="4:8" ht="12.75" customHeight="1">
      <c r="D680" s="1231"/>
      <c r="E680" s="1230"/>
      <c r="F680" s="1230"/>
      <c r="G680" s="1230"/>
      <c r="H680" s="1230"/>
    </row>
    <row r="681" spans="4:8" ht="12.75" customHeight="1">
      <c r="D681" s="1231"/>
      <c r="E681" s="1230"/>
      <c r="F681" s="1230"/>
      <c r="G681" s="1230"/>
      <c r="H681" s="1230"/>
    </row>
    <row r="682" spans="4:8" ht="12.75" customHeight="1">
      <c r="D682" s="1231"/>
      <c r="E682" s="1230"/>
      <c r="F682" s="1230"/>
      <c r="G682" s="1230"/>
      <c r="H682" s="1230"/>
    </row>
    <row r="683" spans="4:8" ht="12.75" customHeight="1">
      <c r="D683" s="1231"/>
      <c r="E683" s="1230"/>
      <c r="F683" s="1230"/>
      <c r="G683" s="1230"/>
      <c r="H683" s="1230"/>
    </row>
    <row r="684" spans="4:8" ht="12.75" customHeight="1">
      <c r="D684" s="1231"/>
      <c r="E684" s="1230"/>
      <c r="F684" s="1230"/>
      <c r="G684" s="1230"/>
      <c r="H684" s="1230"/>
    </row>
    <row r="685" spans="4:8" ht="12.75" customHeight="1">
      <c r="D685" s="1231"/>
      <c r="E685" s="1230"/>
      <c r="F685" s="1230"/>
      <c r="G685" s="1230"/>
      <c r="H685" s="1230"/>
    </row>
    <row r="686" spans="4:8" ht="12.75" customHeight="1">
      <c r="D686" s="1231"/>
      <c r="E686" s="1230"/>
      <c r="F686" s="1230"/>
      <c r="G686" s="1230"/>
      <c r="H686" s="1230"/>
    </row>
    <row r="687" spans="4:8" ht="12.75" customHeight="1">
      <c r="D687" s="1231"/>
      <c r="E687" s="1230"/>
      <c r="F687" s="1230"/>
      <c r="G687" s="1230"/>
      <c r="H687" s="1230"/>
    </row>
    <row r="688" spans="4:8" ht="12.75" customHeight="1">
      <c r="D688" s="1231"/>
      <c r="E688" s="1230"/>
      <c r="F688" s="1230"/>
      <c r="G688" s="1230"/>
      <c r="H688" s="1230"/>
    </row>
    <row r="689" spans="4:8" ht="12.75" customHeight="1">
      <c r="D689" s="1231"/>
      <c r="E689" s="1230"/>
      <c r="F689" s="1230"/>
      <c r="G689" s="1230"/>
      <c r="H689" s="1230"/>
    </row>
    <row r="690" spans="4:8" ht="12.75" customHeight="1">
      <c r="D690" s="1231"/>
      <c r="E690" s="1230"/>
      <c r="F690" s="1230"/>
      <c r="G690" s="1230"/>
      <c r="H690" s="1230"/>
    </row>
    <row r="691" spans="4:8" ht="12.75" customHeight="1">
      <c r="D691" s="1231"/>
      <c r="E691" s="1230"/>
      <c r="F691" s="1230"/>
      <c r="G691" s="1230"/>
      <c r="H691" s="1230"/>
    </row>
    <row r="692" spans="4:8" ht="12.75" customHeight="1">
      <c r="D692" s="1231"/>
      <c r="E692" s="1230"/>
      <c r="F692" s="1230"/>
      <c r="G692" s="1230"/>
      <c r="H692" s="1230"/>
    </row>
    <row r="693" spans="4:8" ht="12.75" customHeight="1">
      <c r="D693" s="1231"/>
      <c r="E693" s="1230"/>
      <c r="F693" s="1230"/>
      <c r="G693" s="1230"/>
      <c r="H693" s="1230"/>
    </row>
    <row r="694" spans="4:8" ht="12.75" customHeight="1">
      <c r="D694" s="1231"/>
      <c r="E694" s="1230"/>
      <c r="F694" s="1230"/>
      <c r="G694" s="1230"/>
      <c r="H694" s="1230"/>
    </row>
    <row r="695" spans="4:8" ht="12.75" customHeight="1">
      <c r="D695" s="1231"/>
      <c r="E695" s="1230"/>
      <c r="F695" s="1230"/>
      <c r="G695" s="1230"/>
      <c r="H695" s="1230"/>
    </row>
    <row r="696" spans="4:8" ht="12.75" customHeight="1">
      <c r="D696" s="1231"/>
      <c r="E696" s="1230"/>
      <c r="F696" s="1230"/>
      <c r="G696" s="1230"/>
      <c r="H696" s="1230"/>
    </row>
    <row r="697" spans="4:8" ht="12.75" customHeight="1">
      <c r="D697" s="1231"/>
      <c r="E697" s="1230"/>
      <c r="F697" s="1230"/>
      <c r="G697" s="1230"/>
      <c r="H697" s="1230"/>
    </row>
    <row r="698" spans="4:8" ht="12.75" customHeight="1">
      <c r="D698" s="1231"/>
      <c r="E698" s="1230"/>
      <c r="F698" s="1230"/>
      <c r="G698" s="1230"/>
      <c r="H698" s="1230"/>
    </row>
    <row r="699" spans="4:8" ht="12.75" customHeight="1">
      <c r="D699" s="1231"/>
      <c r="E699" s="1230"/>
      <c r="F699" s="1230"/>
      <c r="G699" s="1230"/>
      <c r="H699" s="1230"/>
    </row>
    <row r="700" spans="4:8" ht="12.75" customHeight="1">
      <c r="D700" s="1231"/>
      <c r="E700" s="1230"/>
      <c r="F700" s="1230"/>
      <c r="G700" s="1230"/>
      <c r="H700" s="1230"/>
    </row>
    <row r="701" spans="4:8" ht="12.75" customHeight="1">
      <c r="D701" s="1231"/>
      <c r="E701" s="1230"/>
      <c r="F701" s="1230"/>
      <c r="G701" s="1230"/>
      <c r="H701" s="1230"/>
    </row>
    <row r="702" spans="4:8" ht="12.75" customHeight="1">
      <c r="D702" s="1231"/>
      <c r="E702" s="1230"/>
      <c r="F702" s="1230"/>
      <c r="G702" s="1230"/>
      <c r="H702" s="1230"/>
    </row>
    <row r="703" spans="4:8" ht="12.75" customHeight="1">
      <c r="D703" s="1231"/>
      <c r="E703" s="1230"/>
      <c r="F703" s="1230"/>
      <c r="G703" s="1230"/>
      <c r="H703" s="1230"/>
    </row>
    <row r="704" spans="4:8" ht="12.75" customHeight="1">
      <c r="D704" s="1231"/>
      <c r="E704" s="1230"/>
      <c r="F704" s="1230"/>
      <c r="G704" s="1230"/>
      <c r="H704" s="1230"/>
    </row>
    <row r="705" spans="4:8" ht="12.75" customHeight="1">
      <c r="D705" s="1231"/>
      <c r="E705" s="1230"/>
      <c r="F705" s="1230"/>
      <c r="G705" s="1230"/>
      <c r="H705" s="1230"/>
    </row>
    <row r="706" spans="4:8" ht="12.75" customHeight="1">
      <c r="D706" s="1231"/>
      <c r="E706" s="1230"/>
      <c r="F706" s="1230"/>
      <c r="G706" s="1230"/>
      <c r="H706" s="1230"/>
    </row>
    <row r="707" spans="4:8" ht="12.75" customHeight="1">
      <c r="D707" s="1231"/>
      <c r="E707" s="1230"/>
      <c r="F707" s="1230"/>
      <c r="G707" s="1230"/>
      <c r="H707" s="1230"/>
    </row>
    <row r="708" spans="4:8" ht="12.75" customHeight="1">
      <c r="D708" s="1231"/>
      <c r="E708" s="1230"/>
      <c r="F708" s="1230"/>
      <c r="G708" s="1230"/>
      <c r="H708" s="1230"/>
    </row>
    <row r="709" spans="4:8" ht="12.75" customHeight="1">
      <c r="D709" s="1231"/>
      <c r="E709" s="1230"/>
      <c r="F709" s="1230"/>
      <c r="G709" s="1230"/>
      <c r="H709" s="1230"/>
    </row>
    <row r="710" spans="4:8" ht="12.75" customHeight="1">
      <c r="D710" s="1231"/>
      <c r="E710" s="1230"/>
      <c r="F710" s="1230"/>
      <c r="G710" s="1230"/>
      <c r="H710" s="1230"/>
    </row>
    <row r="711" spans="4:8" ht="12.75" customHeight="1">
      <c r="D711" s="1231"/>
      <c r="E711" s="1230"/>
      <c r="F711" s="1230"/>
      <c r="G711" s="1230"/>
      <c r="H711" s="1230"/>
    </row>
    <row r="712" spans="4:8" ht="12.75" customHeight="1">
      <c r="D712" s="1231"/>
      <c r="E712" s="1230"/>
      <c r="F712" s="1230"/>
      <c r="G712" s="1230"/>
      <c r="H712" s="1230"/>
    </row>
    <row r="713" spans="4:8" ht="12.75" customHeight="1">
      <c r="D713" s="1231"/>
      <c r="E713" s="1230"/>
      <c r="F713" s="1230"/>
      <c r="G713" s="1230"/>
      <c r="H713" s="1230"/>
    </row>
    <row r="714" spans="4:8" ht="12.75" customHeight="1">
      <c r="D714" s="1231"/>
      <c r="E714" s="1230"/>
      <c r="F714" s="1230"/>
      <c r="G714" s="1230"/>
      <c r="H714" s="1230"/>
    </row>
    <row r="715" spans="4:8" ht="12.75" customHeight="1">
      <c r="D715" s="1231"/>
      <c r="E715" s="1230"/>
      <c r="F715" s="1230"/>
      <c r="G715" s="1230"/>
      <c r="H715" s="1230"/>
    </row>
    <row r="716" spans="4:8" ht="12.75" customHeight="1">
      <c r="D716" s="1231"/>
      <c r="E716" s="1230"/>
      <c r="F716" s="1230"/>
      <c r="G716" s="1230"/>
      <c r="H716" s="1230"/>
    </row>
    <row r="717" spans="4:8" ht="12.75" customHeight="1">
      <c r="D717" s="1231"/>
      <c r="E717" s="1230"/>
      <c r="F717" s="1230"/>
      <c r="G717" s="1230"/>
      <c r="H717" s="1230"/>
    </row>
    <row r="718" spans="4:8" ht="12.75" customHeight="1">
      <c r="D718" s="1231"/>
      <c r="E718" s="1230"/>
      <c r="F718" s="1230"/>
      <c r="G718" s="1230"/>
      <c r="H718" s="1230"/>
    </row>
    <row r="719" spans="4:8" ht="12.75" customHeight="1">
      <c r="D719" s="1231"/>
      <c r="E719" s="1230"/>
      <c r="F719" s="1230"/>
      <c r="G719" s="1230"/>
      <c r="H719" s="1230"/>
    </row>
    <row r="720" spans="4:8" ht="12.75" customHeight="1">
      <c r="D720" s="1231"/>
      <c r="E720" s="1230"/>
      <c r="F720" s="1230"/>
      <c r="G720" s="1230"/>
      <c r="H720" s="1230"/>
    </row>
    <row r="721" spans="4:8" ht="12.75" customHeight="1">
      <c r="D721" s="1231"/>
      <c r="E721" s="1230"/>
      <c r="F721" s="1230"/>
      <c r="G721" s="1230"/>
      <c r="H721" s="1230"/>
    </row>
    <row r="722" spans="4:8" ht="12.75" customHeight="1">
      <c r="D722" s="1231"/>
      <c r="E722" s="1230"/>
      <c r="F722" s="1230"/>
      <c r="G722" s="1230"/>
      <c r="H722" s="1230"/>
    </row>
    <row r="723" spans="4:8" ht="12.75" customHeight="1">
      <c r="D723" s="1231"/>
      <c r="E723" s="1230"/>
      <c r="F723" s="1230"/>
      <c r="G723" s="1230"/>
      <c r="H723" s="1230"/>
    </row>
    <row r="724" spans="4:8" ht="12.75" customHeight="1">
      <c r="D724" s="1231"/>
      <c r="E724" s="1230"/>
      <c r="F724" s="1230"/>
      <c r="G724" s="1230"/>
      <c r="H724" s="1230"/>
    </row>
    <row r="725" spans="4:8" ht="12.75" customHeight="1">
      <c r="D725" s="1231"/>
      <c r="E725" s="1230"/>
      <c r="F725" s="1230"/>
      <c r="G725" s="1230"/>
      <c r="H725" s="1230"/>
    </row>
    <row r="726" spans="4:8" ht="12.75" customHeight="1">
      <c r="D726" s="1231"/>
      <c r="E726" s="1230"/>
      <c r="F726" s="1230"/>
      <c r="G726" s="1230"/>
      <c r="H726" s="1230"/>
    </row>
    <row r="727" spans="4:8" ht="12.75" customHeight="1">
      <c r="D727" s="1231"/>
      <c r="E727" s="1230"/>
      <c r="F727" s="1230"/>
      <c r="G727" s="1230"/>
      <c r="H727" s="1230"/>
    </row>
    <row r="728" spans="4:8" ht="12.75" customHeight="1">
      <c r="D728" s="1231"/>
      <c r="E728" s="1230"/>
      <c r="F728" s="1230"/>
      <c r="G728" s="1230"/>
      <c r="H728" s="1230"/>
    </row>
    <row r="729" spans="4:8" ht="12.75" customHeight="1">
      <c r="D729" s="1231"/>
      <c r="E729" s="1230"/>
      <c r="F729" s="1230"/>
      <c r="G729" s="1230"/>
      <c r="H729" s="1230"/>
    </row>
    <row r="730" spans="4:8" ht="12.75" customHeight="1">
      <c r="D730" s="1231"/>
      <c r="E730" s="1230"/>
      <c r="F730" s="1230"/>
      <c r="G730" s="1230"/>
      <c r="H730" s="1230"/>
    </row>
    <row r="731" spans="4:8" ht="12.75" customHeight="1">
      <c r="D731" s="1231"/>
      <c r="E731" s="1230"/>
      <c r="F731" s="1230"/>
      <c r="G731" s="1230"/>
      <c r="H731" s="1230"/>
    </row>
    <row r="732" spans="4:8" ht="12.75" customHeight="1">
      <c r="D732" s="1231"/>
      <c r="E732" s="1230"/>
      <c r="F732" s="1230"/>
      <c r="G732" s="1230"/>
      <c r="H732" s="1230"/>
    </row>
    <row r="733" spans="4:8" ht="12.75" customHeight="1">
      <c r="D733" s="1231"/>
      <c r="E733" s="1230"/>
      <c r="F733" s="1230"/>
      <c r="G733" s="1230"/>
      <c r="H733" s="1230"/>
    </row>
    <row r="734" spans="4:8" ht="12.75" customHeight="1">
      <c r="D734" s="1231"/>
      <c r="E734" s="1230"/>
      <c r="F734" s="1230"/>
      <c r="G734" s="1230"/>
      <c r="H734" s="1230"/>
    </row>
    <row r="735" spans="4:8" ht="12.75" customHeight="1">
      <c r="D735" s="1231"/>
      <c r="E735" s="1230"/>
      <c r="F735" s="1230"/>
      <c r="G735" s="1230"/>
      <c r="H735" s="1230"/>
    </row>
    <row r="736" spans="4:8" ht="12.75" customHeight="1">
      <c r="D736" s="1231"/>
      <c r="E736" s="1230"/>
      <c r="F736" s="1230"/>
      <c r="G736" s="1230"/>
      <c r="H736" s="1230"/>
    </row>
    <row r="737" spans="4:8" ht="12.75" customHeight="1">
      <c r="D737" s="1231"/>
      <c r="E737" s="1230"/>
      <c r="F737" s="1230"/>
      <c r="G737" s="1230"/>
      <c r="H737" s="1230"/>
    </row>
    <row r="738" spans="4:8" ht="12.75" customHeight="1">
      <c r="D738" s="1231"/>
      <c r="E738" s="1230"/>
      <c r="F738" s="1230"/>
      <c r="G738" s="1230"/>
      <c r="H738" s="1230"/>
    </row>
    <row r="739" spans="4:8" ht="12.75" customHeight="1">
      <c r="D739" s="1231"/>
      <c r="E739" s="1230"/>
      <c r="F739" s="1230"/>
      <c r="G739" s="1230"/>
      <c r="H739" s="1230"/>
    </row>
    <row r="740" spans="4:8" ht="12.75" customHeight="1">
      <c r="D740" s="1231"/>
      <c r="E740" s="1230"/>
      <c r="F740" s="1230"/>
      <c r="G740" s="1230"/>
      <c r="H740" s="1230"/>
    </row>
    <row r="741" spans="4:8" ht="12.75" customHeight="1">
      <c r="D741" s="1231"/>
      <c r="E741" s="1230"/>
      <c r="F741" s="1230"/>
      <c r="G741" s="1230"/>
      <c r="H741" s="1230"/>
    </row>
    <row r="742" spans="4:8" ht="12.75" customHeight="1">
      <c r="D742" s="1231"/>
      <c r="E742" s="1230"/>
      <c r="F742" s="1230"/>
      <c r="G742" s="1230"/>
      <c r="H742" s="1230"/>
    </row>
    <row r="743" spans="4:8" ht="13.5" customHeight="1">
      <c r="D743" s="1231"/>
      <c r="E743" s="1230"/>
      <c r="F743" s="1230"/>
      <c r="G743" s="1230"/>
      <c r="H743" s="1230"/>
    </row>
    <row r="744" spans="4:8" ht="12.75" customHeight="1">
      <c r="D744" s="1231"/>
      <c r="E744" s="1230"/>
      <c r="F744" s="1230"/>
      <c r="G744" s="1230"/>
      <c r="H744" s="1230"/>
    </row>
    <row r="745" spans="4:8" ht="12.75" customHeight="1">
      <c r="D745" s="1231"/>
      <c r="E745" s="1230"/>
      <c r="F745" s="1230"/>
      <c r="G745" s="1230"/>
      <c r="H745" s="1230"/>
    </row>
    <row r="746" spans="4:8" ht="12.75" customHeight="1">
      <c r="D746" s="1231"/>
      <c r="E746" s="1230"/>
      <c r="F746" s="1230"/>
      <c r="G746" s="1230"/>
      <c r="H746" s="1230"/>
    </row>
    <row r="747" spans="4:8" ht="12.75" customHeight="1">
      <c r="D747" s="1231"/>
      <c r="E747" s="1230"/>
      <c r="F747" s="1230"/>
      <c r="G747" s="1230"/>
      <c r="H747" s="1230"/>
    </row>
    <row r="748" spans="4:8" ht="12.75" customHeight="1">
      <c r="D748" s="1231"/>
      <c r="E748" s="1230"/>
      <c r="F748" s="1230"/>
      <c r="G748" s="1230"/>
      <c r="H748" s="1230"/>
    </row>
    <row r="749" spans="4:8" ht="12.75" customHeight="1">
      <c r="D749" s="1231"/>
      <c r="E749" s="1230"/>
      <c r="F749" s="1230"/>
      <c r="G749" s="1230"/>
      <c r="H749" s="1230"/>
    </row>
    <row r="750" spans="4:8" ht="12.75" customHeight="1">
      <c r="D750" s="1231"/>
      <c r="E750" s="1230"/>
      <c r="F750" s="1230"/>
      <c r="G750" s="1230"/>
      <c r="H750" s="1230"/>
    </row>
    <row r="751" spans="4:8" ht="12.75" customHeight="1">
      <c r="D751" s="1231"/>
      <c r="E751" s="1230"/>
      <c r="F751" s="1230"/>
      <c r="G751" s="1230"/>
      <c r="H751" s="1230"/>
    </row>
    <row r="752" spans="4:8" ht="12.75" customHeight="1">
      <c r="D752" s="1231"/>
      <c r="E752" s="1230"/>
      <c r="F752" s="1230"/>
      <c r="G752" s="1230"/>
      <c r="H752" s="1230"/>
    </row>
    <row r="753" spans="4:8" ht="12.75" customHeight="1">
      <c r="D753" s="1231"/>
      <c r="E753" s="1230"/>
      <c r="F753" s="1230"/>
      <c r="G753" s="1230"/>
      <c r="H753" s="1230"/>
    </row>
    <row r="754" spans="4:8" ht="12.75" customHeight="1">
      <c r="D754" s="1231"/>
      <c r="E754" s="1230"/>
      <c r="F754" s="1230"/>
      <c r="G754" s="1230"/>
      <c r="H754" s="1230"/>
    </row>
    <row r="755" spans="4:8" ht="12.75" customHeight="1">
      <c r="D755" s="1231"/>
      <c r="E755" s="1230"/>
      <c r="F755" s="1230"/>
      <c r="G755" s="1230"/>
      <c r="H755" s="1230"/>
    </row>
    <row r="756" spans="4:8" ht="12.75" customHeight="1">
      <c r="D756" s="1231"/>
      <c r="E756" s="1230"/>
      <c r="F756" s="1230"/>
      <c r="G756" s="1230"/>
      <c r="H756" s="1230"/>
    </row>
    <row r="757" spans="4:8" ht="12.75" customHeight="1">
      <c r="D757" s="1231"/>
      <c r="E757" s="1230"/>
      <c r="F757" s="1230"/>
      <c r="G757" s="1230"/>
      <c r="H757" s="1230"/>
    </row>
    <row r="758" spans="4:8" ht="12.75" customHeight="1">
      <c r="D758" s="1231"/>
      <c r="E758" s="1230"/>
      <c r="F758" s="1230"/>
      <c r="G758" s="1230"/>
      <c r="H758" s="1230"/>
    </row>
    <row r="759" spans="4:8" ht="12.75" customHeight="1">
      <c r="D759" s="1231"/>
      <c r="E759" s="1230"/>
      <c r="F759" s="1230"/>
      <c r="G759" s="1230"/>
      <c r="H759" s="1230"/>
    </row>
    <row r="760" spans="4:8" ht="12.75" customHeight="1">
      <c r="D760" s="1231"/>
      <c r="E760" s="1230"/>
      <c r="F760" s="1230"/>
      <c r="G760" s="1230"/>
      <c r="H760" s="1230"/>
    </row>
    <row r="761" spans="4:8" ht="12.75" customHeight="1">
      <c r="D761" s="1231"/>
      <c r="E761" s="1230"/>
      <c r="F761" s="1230"/>
      <c r="G761" s="1230"/>
      <c r="H761" s="1230"/>
    </row>
    <row r="762" spans="4:8" ht="12.75" customHeight="1">
      <c r="D762" s="1231"/>
      <c r="E762" s="1230"/>
      <c r="F762" s="1230"/>
      <c r="G762" s="1230"/>
      <c r="H762" s="1230"/>
    </row>
    <row r="763" spans="4:8" ht="12.75" customHeight="1">
      <c r="D763" s="1231"/>
      <c r="E763" s="1230"/>
      <c r="F763" s="1230"/>
      <c r="G763" s="1230"/>
      <c r="H763" s="1230"/>
    </row>
    <row r="764" spans="4:8" ht="12.75" customHeight="1">
      <c r="D764" s="1231"/>
      <c r="E764" s="1230"/>
      <c r="F764" s="1230"/>
      <c r="G764" s="1230"/>
      <c r="H764" s="1230"/>
    </row>
    <row r="765" spans="4:8" ht="12.75" customHeight="1">
      <c r="D765" s="1231"/>
      <c r="E765" s="1230"/>
      <c r="F765" s="1230"/>
      <c r="G765" s="1230"/>
      <c r="H765" s="1230"/>
    </row>
    <row r="766" spans="4:8" ht="12.75" customHeight="1">
      <c r="D766" s="1231"/>
      <c r="E766" s="1230"/>
      <c r="F766" s="1230"/>
      <c r="G766" s="1230"/>
      <c r="H766" s="1230"/>
    </row>
    <row r="767" spans="4:8" ht="12.75" customHeight="1">
      <c r="D767" s="1231"/>
      <c r="E767" s="1230"/>
      <c r="F767" s="1230"/>
      <c r="G767" s="1230"/>
      <c r="H767" s="1230"/>
    </row>
    <row r="768" spans="4:8" ht="12.75" customHeight="1">
      <c r="D768" s="1231"/>
      <c r="E768" s="1230"/>
      <c r="F768" s="1230"/>
      <c r="G768" s="1230"/>
      <c r="H768" s="1230"/>
    </row>
    <row r="769" spans="4:30" ht="12.75" customHeight="1">
      <c r="D769" s="1231"/>
      <c r="E769" s="1230"/>
      <c r="F769" s="1230"/>
      <c r="G769" s="1230"/>
      <c r="H769" s="1230"/>
      <c r="I769" s="1189"/>
      <c r="J769" s="1189"/>
      <c r="K769" s="1189"/>
      <c r="L769" s="1225"/>
      <c r="M769" s="1189"/>
      <c r="N769" s="1189"/>
      <c r="O769" s="1189"/>
      <c r="P769" s="1189"/>
      <c r="Q769" s="1189"/>
      <c r="R769" s="1189"/>
      <c r="S769" s="1189"/>
      <c r="T769" s="1208"/>
      <c r="U769" s="1208"/>
      <c r="V769" s="1189"/>
      <c r="W769" s="1189"/>
      <c r="X769" s="1189"/>
      <c r="Y769" s="1189"/>
      <c r="Z769" s="1189"/>
      <c r="AA769" s="1189"/>
      <c r="AB769" s="1189"/>
      <c r="AC769" s="1189"/>
      <c r="AD769" s="1189"/>
    </row>
    <row r="770" spans="4:30" ht="12.75" customHeight="1">
      <c r="D770" s="1231"/>
      <c r="E770" s="1230"/>
      <c r="F770" s="1230"/>
      <c r="G770" s="1230"/>
      <c r="H770" s="1230"/>
      <c r="I770" s="1189"/>
      <c r="J770" s="1189"/>
      <c r="K770" s="1189"/>
      <c r="L770" s="1225"/>
      <c r="M770" s="1189"/>
      <c r="N770" s="1189"/>
      <c r="O770" s="1189"/>
      <c r="P770" s="1189"/>
      <c r="Q770" s="1189"/>
      <c r="R770" s="1189"/>
      <c r="S770" s="1189"/>
      <c r="T770" s="1208"/>
      <c r="U770" s="1208"/>
      <c r="V770" s="1189"/>
      <c r="W770" s="1189"/>
      <c r="X770" s="1189"/>
      <c r="Y770" s="1189"/>
      <c r="Z770" s="1189"/>
      <c r="AA770" s="1189"/>
      <c r="AB770" s="1189"/>
      <c r="AC770" s="1189"/>
      <c r="AD770" s="1189">
        <v>1</v>
      </c>
    </row>
    <row r="771" spans="4:30" ht="12.75" customHeight="1">
      <c r="D771" s="1231"/>
      <c r="E771" s="1230"/>
      <c r="F771" s="1230"/>
      <c r="G771" s="1230"/>
      <c r="H771" s="1230"/>
      <c r="I771" s="1189"/>
      <c r="J771" s="1189"/>
      <c r="K771" s="1189"/>
      <c r="L771" s="1225"/>
      <c r="M771" s="1189"/>
      <c r="N771" s="1189"/>
      <c r="O771" s="1189"/>
      <c r="P771" s="1189"/>
      <c r="Q771" s="1189"/>
      <c r="R771" s="1189"/>
      <c r="S771" s="1189"/>
      <c r="T771" s="1208"/>
      <c r="U771" s="1208"/>
      <c r="V771" s="1189"/>
      <c r="W771" s="1189"/>
      <c r="X771" s="1189"/>
      <c r="Y771" s="1189"/>
      <c r="Z771" s="1189"/>
      <c r="AA771" s="1189"/>
      <c r="AB771" s="1189"/>
      <c r="AC771" s="1189"/>
      <c r="AD771" s="1189"/>
    </row>
    <row r="772" spans="4:30" ht="12.75" customHeight="1">
      <c r="D772" s="1231"/>
      <c r="E772" s="1230"/>
      <c r="F772" s="1230"/>
      <c r="G772" s="1230"/>
      <c r="H772" s="1230"/>
      <c r="I772" s="1189"/>
      <c r="J772" s="1189"/>
      <c r="K772" s="1189"/>
      <c r="L772" s="1225"/>
      <c r="M772" s="1189"/>
      <c r="N772" s="1189"/>
      <c r="O772" s="1189"/>
      <c r="P772" s="1189"/>
      <c r="Q772" s="1189"/>
      <c r="R772" s="1189"/>
      <c r="S772" s="1189"/>
      <c r="T772" s="1208"/>
      <c r="U772" s="1208"/>
      <c r="V772" s="1189"/>
      <c r="W772" s="1189"/>
      <c r="X772" s="1189"/>
      <c r="Y772" s="1189"/>
      <c r="Z772" s="1189"/>
      <c r="AA772" s="1189"/>
      <c r="AB772" s="1189"/>
      <c r="AC772" s="1189"/>
      <c r="AD772" s="1189"/>
    </row>
    <row r="773" spans="4:30" ht="12.75" customHeight="1">
      <c r="D773" s="1231"/>
      <c r="E773" s="1230"/>
      <c r="F773" s="1230"/>
      <c r="G773" s="1230"/>
      <c r="H773" s="1230"/>
      <c r="I773" s="1189"/>
      <c r="J773" s="1189"/>
      <c r="K773" s="1189"/>
      <c r="L773" s="1225"/>
      <c r="M773" s="1189"/>
      <c r="N773" s="1189"/>
      <c r="O773" s="1189"/>
      <c r="P773" s="1189"/>
      <c r="Q773" s="1189"/>
      <c r="R773" s="1189"/>
      <c r="S773" s="1189"/>
      <c r="T773" s="1208"/>
      <c r="U773" s="1208"/>
      <c r="V773" s="1189"/>
      <c r="W773" s="1189"/>
      <c r="X773" s="1189"/>
      <c r="Y773" s="1189"/>
      <c r="Z773" s="1189"/>
      <c r="AA773" s="1189"/>
      <c r="AB773" s="1189"/>
      <c r="AC773" s="1189"/>
      <c r="AD773" s="1189"/>
    </row>
    <row r="774" spans="4:30" ht="12.75" customHeight="1">
      <c r="D774" s="1231"/>
      <c r="E774" s="1230"/>
      <c r="F774" s="1230"/>
      <c r="G774" s="1230"/>
      <c r="H774" s="1230"/>
      <c r="I774" s="1189"/>
      <c r="J774" s="1189"/>
      <c r="K774" s="1189"/>
      <c r="L774" s="1225"/>
      <c r="M774" s="1189"/>
      <c r="N774" s="1189"/>
      <c r="O774" s="1189"/>
      <c r="P774" s="1189"/>
      <c r="Q774" s="1189"/>
      <c r="R774" s="1189"/>
      <c r="S774" s="1189"/>
      <c r="T774" s="1208"/>
      <c r="U774" s="1208"/>
      <c r="V774" s="1189"/>
      <c r="W774" s="1189"/>
      <c r="X774" s="1189"/>
      <c r="Y774" s="1189"/>
      <c r="Z774" s="1189"/>
      <c r="AA774" s="1189"/>
      <c r="AB774" s="1189"/>
      <c r="AC774" s="1189"/>
      <c r="AD774" s="1189"/>
    </row>
    <row r="775" spans="4:30" ht="12.75" customHeight="1">
      <c r="D775" s="1231"/>
      <c r="E775" s="1230"/>
      <c r="F775" s="1230"/>
      <c r="G775" s="1230"/>
      <c r="H775" s="1230"/>
      <c r="I775" s="1189"/>
      <c r="J775" s="1189"/>
      <c r="K775" s="1189"/>
      <c r="L775" s="1225"/>
      <c r="M775" s="1189"/>
      <c r="N775" s="1189"/>
      <c r="O775" s="1189"/>
      <c r="P775" s="1189"/>
      <c r="Q775" s="1189"/>
      <c r="R775" s="1189"/>
      <c r="S775" s="1189"/>
      <c r="T775" s="1208"/>
      <c r="U775" s="1208"/>
      <c r="V775" s="1189"/>
      <c r="W775" s="1189"/>
      <c r="X775" s="1189"/>
      <c r="Y775" s="1189"/>
      <c r="Z775" s="1189"/>
      <c r="AA775" s="1189"/>
      <c r="AB775" s="1189"/>
      <c r="AC775" s="1189"/>
      <c r="AD775" s="1189"/>
    </row>
    <row r="776" spans="4:30" ht="12.75" customHeight="1">
      <c r="D776" s="1231"/>
      <c r="E776" s="1230"/>
      <c r="F776" s="1230"/>
      <c r="G776" s="1230"/>
      <c r="H776" s="1230"/>
      <c r="I776" s="1189"/>
      <c r="J776" s="1189"/>
      <c r="K776" s="1189"/>
      <c r="L776" s="1225"/>
      <c r="M776" s="1189"/>
      <c r="N776" s="1189"/>
      <c r="O776" s="1189"/>
      <c r="P776" s="1189"/>
      <c r="Q776" s="1189"/>
      <c r="R776" s="1189"/>
      <c r="S776" s="1189"/>
      <c r="T776" s="1208"/>
      <c r="U776" s="1208"/>
      <c r="V776" s="1189"/>
      <c r="W776" s="1189"/>
      <c r="X776" s="1189"/>
      <c r="Y776" s="1189"/>
      <c r="Z776" s="1189"/>
      <c r="AA776" s="1189"/>
      <c r="AB776" s="1189"/>
      <c r="AC776" s="1189"/>
      <c r="AD776" s="1189"/>
    </row>
    <row r="777" spans="4:30" ht="12.75" customHeight="1">
      <c r="D777" s="1231"/>
      <c r="E777" s="1230"/>
      <c r="F777" s="1230"/>
      <c r="G777" s="1230"/>
      <c r="H777" s="1230"/>
      <c r="I777" s="1189"/>
      <c r="J777" s="1189"/>
      <c r="K777" s="1189"/>
      <c r="L777" s="1225"/>
      <c r="M777" s="1189"/>
      <c r="N777" s="1189"/>
      <c r="O777" s="1189"/>
      <c r="P777" s="1189"/>
      <c r="Q777" s="1189"/>
      <c r="R777" s="1189"/>
      <c r="S777" s="1189"/>
      <c r="T777" s="1208"/>
      <c r="U777" s="1208"/>
      <c r="V777" s="1189"/>
      <c r="W777" s="1189"/>
      <c r="X777" s="1189"/>
      <c r="Y777" s="1189"/>
      <c r="Z777" s="1189"/>
      <c r="AA777" s="1189"/>
      <c r="AB777" s="1189"/>
      <c r="AC777" s="1189"/>
      <c r="AD777" s="1189"/>
    </row>
    <row r="778" spans="4:30" ht="12.75" customHeight="1">
      <c r="D778" s="1231"/>
      <c r="E778" s="1230"/>
      <c r="F778" s="1230"/>
      <c r="G778" s="1230"/>
      <c r="H778" s="1230"/>
      <c r="I778" s="1189"/>
      <c r="J778" s="1189"/>
      <c r="K778" s="1189"/>
      <c r="L778" s="1225"/>
      <c r="M778" s="1189"/>
      <c r="N778" s="1189"/>
      <c r="O778" s="1189"/>
      <c r="P778" s="1189"/>
      <c r="Q778" s="1189"/>
      <c r="R778" s="1189"/>
      <c r="S778" s="1189"/>
      <c r="T778" s="1208"/>
      <c r="U778" s="1208"/>
      <c r="V778" s="1189"/>
      <c r="W778" s="1189"/>
      <c r="X778" s="1189"/>
      <c r="Y778" s="1189"/>
      <c r="Z778" s="1189"/>
      <c r="AA778" s="1189"/>
      <c r="AB778" s="1189"/>
      <c r="AC778" s="1189"/>
      <c r="AD778" s="1189"/>
    </row>
    <row r="779" spans="4:30" ht="12.75" customHeight="1">
      <c r="D779" s="1231"/>
      <c r="E779" s="1230"/>
      <c r="F779" s="1230"/>
      <c r="G779" s="1230"/>
      <c r="H779" s="1230"/>
      <c r="I779" s="1189"/>
      <c r="J779" s="1189"/>
      <c r="K779" s="1189"/>
      <c r="L779" s="1225"/>
      <c r="M779" s="1189"/>
      <c r="N779" s="1189"/>
      <c r="O779" s="1189"/>
      <c r="P779" s="1189"/>
      <c r="Q779" s="1189"/>
      <c r="R779" s="1189"/>
      <c r="S779" s="1189"/>
      <c r="T779" s="1208"/>
      <c r="U779" s="1208"/>
      <c r="V779" s="1189"/>
      <c r="W779" s="1189"/>
      <c r="X779" s="1189"/>
      <c r="Y779" s="1189"/>
      <c r="Z779" s="1189"/>
      <c r="AA779" s="1189"/>
      <c r="AB779" s="1189"/>
      <c r="AC779" s="1189"/>
      <c r="AD779" s="1189"/>
    </row>
    <row r="780" spans="4:30" ht="12.75" customHeight="1">
      <c r="D780" s="1231"/>
      <c r="E780" s="1230"/>
      <c r="F780" s="1230"/>
      <c r="G780" s="1230"/>
      <c r="H780" s="1230"/>
      <c r="I780" s="1189"/>
      <c r="J780" s="1189"/>
      <c r="K780" s="1189"/>
      <c r="L780" s="1225"/>
      <c r="M780" s="1189"/>
      <c r="N780" s="1189"/>
      <c r="O780" s="1189"/>
      <c r="P780" s="1189"/>
      <c r="Q780" s="1189"/>
      <c r="R780" s="1189"/>
      <c r="S780" s="1189"/>
      <c r="T780" s="1208"/>
      <c r="U780" s="1208"/>
      <c r="V780" s="1189"/>
      <c r="W780" s="1189"/>
      <c r="X780" s="1189"/>
      <c r="Y780" s="1189"/>
      <c r="Z780" s="1189"/>
      <c r="AA780" s="1189"/>
      <c r="AB780" s="1189"/>
      <c r="AC780" s="1189"/>
      <c r="AD780" s="1189"/>
    </row>
    <row r="781" spans="4:30" ht="12.75" customHeight="1">
      <c r="D781" s="1231"/>
      <c r="E781" s="1230"/>
      <c r="F781" s="1230"/>
      <c r="G781" s="1230"/>
      <c r="H781" s="1230"/>
      <c r="I781" s="1189"/>
      <c r="J781" s="1189"/>
      <c r="K781" s="1189"/>
      <c r="L781" s="1225"/>
      <c r="M781" s="1189"/>
      <c r="N781" s="1189"/>
      <c r="O781" s="1189"/>
      <c r="P781" s="1189"/>
      <c r="Q781" s="1189"/>
      <c r="R781" s="1189"/>
      <c r="S781" s="1189"/>
      <c r="T781" s="1208"/>
      <c r="U781" s="1208"/>
      <c r="V781" s="1189"/>
      <c r="W781" s="1189"/>
      <c r="X781" s="1189"/>
      <c r="Y781" s="1189"/>
      <c r="Z781" s="1189"/>
      <c r="AA781" s="1189"/>
      <c r="AB781" s="1189"/>
      <c r="AC781" s="1189"/>
      <c r="AD781" s="1189"/>
    </row>
    <row r="782" spans="4:30" ht="12.75" customHeight="1">
      <c r="D782" s="1231"/>
      <c r="E782" s="1230"/>
      <c r="F782" s="1230"/>
      <c r="G782" s="1230"/>
      <c r="H782" s="1230"/>
      <c r="I782" s="1189"/>
      <c r="J782" s="1189"/>
      <c r="K782" s="1189"/>
      <c r="L782" s="1225"/>
      <c r="M782" s="1189"/>
      <c r="N782" s="1189"/>
      <c r="O782" s="1189"/>
      <c r="P782" s="1189"/>
      <c r="Q782" s="1189"/>
      <c r="R782" s="1189"/>
      <c r="S782" s="1189"/>
      <c r="T782" s="1208"/>
      <c r="U782" s="1208"/>
      <c r="V782" s="1189"/>
      <c r="W782" s="1189"/>
      <c r="X782" s="1189"/>
      <c r="Y782" s="1189"/>
      <c r="Z782" s="1189"/>
      <c r="AA782" s="1189"/>
      <c r="AB782" s="1189"/>
      <c r="AC782" s="1189"/>
      <c r="AD782" s="1189"/>
    </row>
    <row r="783" spans="4:30" ht="12.75" customHeight="1">
      <c r="D783" s="1231"/>
      <c r="E783" s="1230"/>
      <c r="F783" s="1230"/>
      <c r="G783" s="1230"/>
      <c r="H783" s="1230"/>
      <c r="I783" s="1189"/>
      <c r="J783" s="1189"/>
      <c r="K783" s="1189"/>
      <c r="L783" s="1225"/>
      <c r="M783" s="1189"/>
      <c r="N783" s="1189"/>
      <c r="O783" s="1189"/>
      <c r="P783" s="1189"/>
      <c r="Q783" s="1189"/>
      <c r="R783" s="1189"/>
      <c r="S783" s="1189"/>
      <c r="T783" s="1208"/>
      <c r="U783" s="1208"/>
      <c r="V783" s="1189"/>
      <c r="W783" s="1189"/>
      <c r="X783" s="1189"/>
      <c r="Y783" s="1189"/>
      <c r="Z783" s="1189"/>
      <c r="AA783" s="1189"/>
      <c r="AB783" s="1189"/>
      <c r="AC783" s="1189"/>
      <c r="AD783" s="1189"/>
    </row>
    <row r="784" spans="4:30" ht="12.75" customHeight="1">
      <c r="D784" s="1231"/>
      <c r="E784" s="1230"/>
      <c r="F784" s="1230"/>
      <c r="G784" s="1230"/>
      <c r="H784" s="1230"/>
      <c r="I784" s="1189"/>
      <c r="J784" s="1189"/>
      <c r="K784" s="1189"/>
      <c r="L784" s="1225"/>
      <c r="M784" s="1189"/>
      <c r="N784" s="1189"/>
      <c r="O784" s="1189"/>
      <c r="P784" s="1189"/>
      <c r="Q784" s="1189"/>
      <c r="R784" s="1189"/>
      <c r="S784" s="1189"/>
      <c r="T784" s="1208"/>
      <c r="U784" s="1208"/>
      <c r="V784" s="1189"/>
      <c r="W784" s="1189"/>
      <c r="X784" s="1189"/>
      <c r="Y784" s="1189"/>
      <c r="Z784" s="1189"/>
      <c r="AA784" s="1189"/>
      <c r="AB784" s="1189"/>
      <c r="AC784" s="1189"/>
      <c r="AD784" s="1189"/>
    </row>
    <row r="785" spans="4:31" ht="12.75" customHeight="1">
      <c r="D785" s="1231"/>
      <c r="E785" s="1230"/>
      <c r="F785" s="1230"/>
      <c r="G785" s="1230"/>
      <c r="H785" s="1230"/>
      <c r="I785" s="1189"/>
      <c r="J785" s="1189"/>
      <c r="K785" s="1189"/>
      <c r="L785" s="1225"/>
      <c r="M785" s="1189"/>
      <c r="N785" s="1189"/>
      <c r="O785" s="1189"/>
      <c r="P785" s="1189"/>
      <c r="Q785" s="1189"/>
      <c r="R785" s="1189"/>
      <c r="S785" s="1189"/>
      <c r="T785" s="1208"/>
      <c r="U785" s="1208"/>
      <c r="V785" s="1189"/>
      <c r="W785" s="1189"/>
      <c r="X785" s="1189"/>
      <c r="Y785" s="1189"/>
      <c r="Z785" s="1189"/>
      <c r="AA785" s="1189"/>
      <c r="AB785" s="1189"/>
      <c r="AC785" s="1189"/>
      <c r="AD785" s="1189"/>
      <c r="AE785" s="1189"/>
    </row>
    <row r="786" spans="4:31" ht="12.75" customHeight="1">
      <c r="D786" s="1231"/>
      <c r="E786" s="1230"/>
      <c r="F786" s="1230"/>
      <c r="G786" s="1230"/>
      <c r="H786" s="1230"/>
      <c r="I786" s="1189"/>
      <c r="J786" s="1189"/>
      <c r="K786" s="1189"/>
      <c r="L786" s="1225"/>
      <c r="M786" s="1189"/>
      <c r="N786" s="1189"/>
      <c r="O786" s="1189"/>
      <c r="P786" s="1189"/>
      <c r="Q786" s="1189"/>
      <c r="R786" s="1189"/>
      <c r="S786" s="1189"/>
      <c r="T786" s="1208"/>
      <c r="U786" s="1208"/>
      <c r="V786" s="1189"/>
      <c r="W786" s="1189"/>
      <c r="X786" s="1189"/>
      <c r="Y786" s="1189"/>
      <c r="Z786" s="1189"/>
      <c r="AA786" s="1189"/>
      <c r="AB786" s="1189"/>
      <c r="AC786" s="1189"/>
      <c r="AD786" s="1189"/>
      <c r="AE786" s="1189"/>
    </row>
    <row r="787" spans="4:31" ht="12.75" customHeight="1">
      <c r="D787" s="1231"/>
      <c r="E787" s="1230"/>
      <c r="F787" s="1230"/>
      <c r="G787" s="1230"/>
      <c r="H787" s="1230"/>
      <c r="I787" s="1189"/>
      <c r="J787" s="1189"/>
      <c r="K787" s="1189"/>
      <c r="L787" s="1225"/>
      <c r="M787" s="1189"/>
      <c r="N787" s="1189"/>
      <c r="O787" s="1189"/>
      <c r="P787" s="1189"/>
      <c r="Q787" s="1189"/>
      <c r="R787" s="1189"/>
      <c r="S787" s="1189"/>
      <c r="T787" s="1208"/>
      <c r="U787" s="1208"/>
      <c r="V787" s="1189"/>
      <c r="W787" s="1189"/>
      <c r="X787" s="1189"/>
      <c r="Y787" s="1189"/>
      <c r="Z787" s="1189"/>
      <c r="AA787" s="1189"/>
      <c r="AB787" s="1189"/>
      <c r="AC787" s="1189"/>
      <c r="AD787" s="1189"/>
      <c r="AE787" s="1189"/>
    </row>
    <row r="788" spans="4:31" ht="12.75" customHeight="1">
      <c r="D788" s="1231"/>
      <c r="E788" s="1230"/>
      <c r="F788" s="1230"/>
      <c r="G788" s="1230"/>
      <c r="H788" s="1230"/>
      <c r="I788" s="1189"/>
      <c r="J788" s="1189"/>
      <c r="K788" s="1189"/>
      <c r="L788" s="1225"/>
      <c r="M788" s="1189"/>
      <c r="N788" s="1189"/>
      <c r="O788" s="1189"/>
      <c r="P788" s="1189"/>
      <c r="Q788" s="1189"/>
      <c r="R788" s="1189"/>
      <c r="S788" s="1189"/>
      <c r="T788" s="1208"/>
      <c r="U788" s="1208"/>
      <c r="V788" s="1189"/>
      <c r="W788" s="1189"/>
      <c r="X788" s="1189"/>
      <c r="Y788" s="1189"/>
      <c r="Z788" s="1189"/>
      <c r="AA788" s="1189"/>
      <c r="AB788" s="1189"/>
      <c r="AC788" s="1189"/>
      <c r="AD788" s="1189"/>
      <c r="AE788" s="1189"/>
    </row>
    <row r="789" spans="4:31" ht="12.75" customHeight="1">
      <c r="D789" s="1231"/>
      <c r="E789" s="1230"/>
      <c r="F789" s="1230"/>
      <c r="G789" s="1230"/>
      <c r="H789" s="1230"/>
      <c r="I789" s="1189"/>
      <c r="J789" s="1189"/>
      <c r="K789" s="1189"/>
      <c r="L789" s="1225"/>
      <c r="M789" s="1189"/>
      <c r="N789" s="1189"/>
      <c r="O789" s="1189"/>
      <c r="P789" s="1189"/>
      <c r="Q789" s="1189"/>
      <c r="R789" s="1189"/>
      <c r="S789" s="1189"/>
      <c r="T789" s="1208"/>
      <c r="U789" s="1208"/>
      <c r="V789" s="1189"/>
      <c r="W789" s="1189"/>
      <c r="X789" s="1189"/>
      <c r="Y789" s="1189"/>
      <c r="Z789" s="1189"/>
      <c r="AA789" s="1189"/>
      <c r="AB789" s="1189"/>
      <c r="AC789" s="1189"/>
      <c r="AD789" s="1189"/>
      <c r="AE789" s="1189"/>
    </row>
    <row r="790" spans="4:31" ht="12.75" customHeight="1">
      <c r="D790" s="1231"/>
      <c r="E790" s="1230"/>
      <c r="F790" s="1230"/>
      <c r="G790" s="1230"/>
      <c r="H790" s="1230"/>
      <c r="I790" s="1189"/>
      <c r="J790" s="1189"/>
      <c r="K790" s="1189"/>
      <c r="L790" s="1225"/>
      <c r="M790" s="1189"/>
      <c r="N790" s="1189"/>
      <c r="O790" s="1189"/>
      <c r="P790" s="1189"/>
      <c r="Q790" s="1189"/>
      <c r="R790" s="1189"/>
      <c r="S790" s="1189"/>
      <c r="T790" s="1208"/>
      <c r="U790" s="1208"/>
      <c r="V790" s="1189"/>
      <c r="W790" s="1189"/>
      <c r="X790" s="1189"/>
      <c r="Y790" s="1189"/>
      <c r="Z790" s="1189"/>
      <c r="AA790" s="1189"/>
      <c r="AB790" s="1189"/>
      <c r="AC790" s="1189"/>
      <c r="AD790" s="1189"/>
      <c r="AE790" s="1189"/>
    </row>
    <row r="791" spans="4:31" ht="12.75" customHeight="1">
      <c r="D791" s="1231"/>
      <c r="E791" s="1230"/>
      <c r="F791" s="1230"/>
      <c r="G791" s="1230"/>
      <c r="H791" s="1230"/>
      <c r="I791" s="1189"/>
      <c r="J791" s="1189"/>
      <c r="K791" s="1189"/>
      <c r="L791" s="1225"/>
      <c r="M791" s="1189"/>
      <c r="N791" s="1189"/>
      <c r="O791" s="1189"/>
      <c r="P791" s="1189"/>
      <c r="Q791" s="1189"/>
      <c r="R791" s="1189"/>
      <c r="S791" s="1189"/>
      <c r="T791" s="1208"/>
      <c r="U791" s="1208"/>
      <c r="V791" s="1189"/>
      <c r="W791" s="1189"/>
      <c r="X791" s="1189"/>
      <c r="Y791" s="1189"/>
      <c r="Z791" s="1189"/>
      <c r="AA791" s="1189"/>
      <c r="AB791" s="1189"/>
      <c r="AC791" s="1189"/>
      <c r="AD791" s="1189"/>
      <c r="AE791" s="1189"/>
    </row>
    <row r="792" spans="4:31" ht="12.75" customHeight="1">
      <c r="D792" s="1231"/>
      <c r="E792" s="1230"/>
      <c r="F792" s="1230"/>
      <c r="G792" s="1230"/>
      <c r="H792" s="1230"/>
      <c r="I792" s="1189"/>
      <c r="J792" s="1189"/>
      <c r="K792" s="1189"/>
      <c r="L792" s="1225"/>
      <c r="M792" s="1189"/>
      <c r="N792" s="1189"/>
      <c r="O792" s="1189"/>
      <c r="P792" s="1189"/>
      <c r="Q792" s="1189"/>
      <c r="R792" s="1189"/>
      <c r="S792" s="1189"/>
      <c r="T792" s="1208"/>
      <c r="U792" s="1208"/>
      <c r="V792" s="1189"/>
      <c r="W792" s="1189"/>
      <c r="X792" s="1189"/>
      <c r="Y792" s="1189"/>
      <c r="Z792" s="1189"/>
      <c r="AA792" s="1189"/>
      <c r="AB792" s="1189"/>
      <c r="AC792" s="1189"/>
      <c r="AD792" s="1189"/>
      <c r="AE792" s="1189"/>
    </row>
    <row r="793" spans="4:31" ht="12" customHeight="1">
      <c r="D793" s="1231"/>
      <c r="E793" s="1189"/>
      <c r="F793" s="1230"/>
      <c r="G793" s="1230"/>
      <c r="H793" s="1230"/>
      <c r="I793" s="1189"/>
      <c r="J793" s="1189"/>
      <c r="K793" s="1189"/>
      <c r="L793" s="1225"/>
      <c r="M793" s="1189"/>
      <c r="N793" s="1189"/>
      <c r="O793" s="1189"/>
      <c r="P793" s="1189"/>
      <c r="Q793" s="1189"/>
      <c r="R793" s="1189"/>
      <c r="S793" s="1189"/>
      <c r="T793" s="1208"/>
      <c r="U793" s="1208"/>
      <c r="V793" s="1189"/>
      <c r="W793" s="1189"/>
      <c r="X793" s="1189"/>
      <c r="Y793" s="1189"/>
      <c r="Z793" s="1189"/>
      <c r="AA793" s="1189"/>
      <c r="AB793" s="1189"/>
      <c r="AC793" s="1189"/>
      <c r="AD793" s="1189"/>
      <c r="AE793" s="1189"/>
    </row>
    <row r="794" spans="4:31" ht="12.75" customHeight="1">
      <c r="D794" s="1231"/>
      <c r="E794" s="1189"/>
      <c r="F794" s="1230"/>
      <c r="G794" s="1230"/>
      <c r="H794" s="1230"/>
      <c r="I794" s="1189"/>
      <c r="J794" s="1189"/>
      <c r="K794" s="1189"/>
      <c r="L794" s="1225"/>
      <c r="M794" s="1189"/>
      <c r="N794" s="1189"/>
      <c r="O794" s="1189"/>
      <c r="P794" s="1189"/>
      <c r="Q794" s="1189"/>
      <c r="R794" s="1189"/>
      <c r="S794" s="1189"/>
      <c r="T794" s="1208"/>
      <c r="U794" s="1208"/>
      <c r="V794" s="1189"/>
      <c r="W794" s="1189"/>
      <c r="X794" s="1189"/>
      <c r="Y794" s="1189"/>
      <c r="Z794" s="1189"/>
      <c r="AA794" s="1189"/>
      <c r="AB794" s="1189"/>
      <c r="AC794" s="1189"/>
      <c r="AD794" s="1189"/>
      <c r="AE794" s="1189"/>
    </row>
    <row r="795" spans="4:31" ht="12.75" customHeight="1">
      <c r="D795" s="1189"/>
      <c r="E795" s="1189"/>
      <c r="F795" s="1189"/>
      <c r="G795" s="1189"/>
      <c r="H795" s="1189"/>
      <c r="I795" s="1189"/>
      <c r="J795" s="1189"/>
      <c r="K795" s="1189"/>
      <c r="L795" s="1225"/>
      <c r="M795" s="1189"/>
      <c r="N795" s="1189"/>
      <c r="O795" s="1189"/>
      <c r="P795" s="1189"/>
      <c r="Q795" s="1189"/>
      <c r="R795" s="1189"/>
      <c r="S795" s="1189"/>
      <c r="T795" s="1208"/>
      <c r="U795" s="1208"/>
      <c r="V795" s="1189"/>
      <c r="W795" s="1189"/>
      <c r="X795" s="1189"/>
      <c r="Y795" s="1189"/>
      <c r="Z795" s="1189"/>
      <c r="AA795" s="1189"/>
      <c r="AB795" s="1189"/>
      <c r="AC795" s="1189"/>
      <c r="AD795" s="1189"/>
      <c r="AE795" s="1189"/>
    </row>
    <row r="796" spans="4:31" ht="12.75" customHeight="1">
      <c r="D796" s="1189"/>
      <c r="E796" s="1189"/>
      <c r="F796" s="1189"/>
      <c r="G796" s="1189"/>
      <c r="H796" s="1189"/>
      <c r="I796" s="1189"/>
      <c r="J796" s="1189"/>
      <c r="K796" s="1189"/>
      <c r="L796" s="1225"/>
      <c r="M796" s="1189"/>
      <c r="N796" s="1189"/>
      <c r="O796" s="1189"/>
      <c r="P796" s="1189"/>
      <c r="Q796" s="1189"/>
      <c r="R796" s="1189"/>
      <c r="S796" s="1189"/>
      <c r="T796" s="1208"/>
      <c r="U796" s="1208"/>
      <c r="V796" s="1189"/>
      <c r="W796" s="1189"/>
      <c r="X796" s="1189"/>
      <c r="Y796" s="1189"/>
      <c r="Z796" s="1189"/>
      <c r="AA796" s="1189"/>
      <c r="AB796" s="1189"/>
      <c r="AC796" s="1189"/>
      <c r="AD796" s="1189"/>
      <c r="AE796" s="1189"/>
    </row>
    <row r="797" spans="4:31" ht="12.75" customHeight="1">
      <c r="D797" s="1189"/>
      <c r="E797" s="1189"/>
      <c r="F797" s="1189"/>
      <c r="G797" s="1189"/>
      <c r="H797" s="1189"/>
      <c r="I797" s="1189"/>
      <c r="J797" s="1189"/>
      <c r="K797" s="1189"/>
      <c r="L797" s="1225"/>
      <c r="M797" s="1189"/>
      <c r="N797" s="1189"/>
      <c r="O797" s="1189"/>
      <c r="P797" s="1189"/>
      <c r="Q797" s="1189"/>
      <c r="R797" s="1189"/>
      <c r="S797" s="1189"/>
      <c r="T797" s="1208"/>
      <c r="U797" s="1208"/>
      <c r="V797" s="1189"/>
      <c r="W797" s="1189"/>
      <c r="X797" s="1189"/>
      <c r="Y797" s="1189"/>
      <c r="Z797" s="1189"/>
      <c r="AA797" s="1189"/>
      <c r="AB797" s="1189"/>
      <c r="AC797" s="1189"/>
      <c r="AD797" s="1189"/>
      <c r="AE797" s="1189"/>
    </row>
    <row r="798" spans="4:31" ht="12.75" customHeight="1">
      <c r="D798" s="1189"/>
      <c r="E798" s="1189"/>
      <c r="F798" s="1189"/>
      <c r="G798" s="1189"/>
      <c r="H798" s="1189"/>
      <c r="I798" s="1189"/>
      <c r="J798" s="1189"/>
      <c r="K798" s="1189"/>
      <c r="L798" s="1225"/>
      <c r="M798" s="1189"/>
      <c r="N798" s="1189"/>
      <c r="O798" s="1189"/>
      <c r="P798" s="1189"/>
      <c r="Q798" s="1189"/>
      <c r="R798" s="1189"/>
      <c r="S798" s="1189"/>
      <c r="T798" s="1208"/>
      <c r="U798" s="1208"/>
      <c r="V798" s="1189"/>
      <c r="W798" s="1189"/>
      <c r="X798" s="1189"/>
      <c r="Y798" s="1189"/>
      <c r="Z798" s="1189"/>
      <c r="AA798" s="1189"/>
      <c r="AB798" s="1189"/>
      <c r="AC798" s="1189"/>
      <c r="AD798" s="1189"/>
      <c r="AE798" s="1249"/>
    </row>
    <row r="799" spans="4:31" ht="12.75" customHeight="1">
      <c r="D799" s="1189"/>
      <c r="E799" s="1189"/>
      <c r="F799" s="1189"/>
      <c r="G799" s="1189"/>
      <c r="H799" s="1189"/>
      <c r="I799" s="1189"/>
      <c r="J799" s="1189"/>
      <c r="K799" s="1189"/>
      <c r="L799" s="1225"/>
      <c r="M799" s="1189"/>
      <c r="N799" s="1189"/>
      <c r="O799" s="1189"/>
      <c r="P799" s="1189"/>
      <c r="Q799" s="1189"/>
      <c r="R799" s="1189"/>
      <c r="S799" s="1189"/>
      <c r="T799" s="1208"/>
      <c r="U799" s="1208"/>
      <c r="V799" s="1189"/>
      <c r="W799" s="1189"/>
      <c r="X799" s="1189"/>
      <c r="Y799" s="1189"/>
      <c r="Z799" s="1189"/>
      <c r="AA799" s="1189"/>
      <c r="AB799" s="1189"/>
      <c r="AC799" s="1189"/>
      <c r="AD799" s="1189"/>
      <c r="AE799" s="1189"/>
    </row>
    <row r="800" spans="4:31" ht="12.75" customHeight="1">
      <c r="D800" s="1189"/>
      <c r="E800" s="1189"/>
      <c r="F800" s="1189"/>
      <c r="G800" s="1189"/>
      <c r="H800" s="1189"/>
      <c r="I800" s="1189"/>
      <c r="J800" s="1189"/>
      <c r="K800" s="1189"/>
      <c r="L800" s="1225"/>
      <c r="M800" s="1189"/>
      <c r="N800" s="1189"/>
      <c r="O800" s="1189"/>
      <c r="P800" s="1189"/>
      <c r="Q800" s="1189"/>
      <c r="R800" s="1189"/>
      <c r="S800" s="1189"/>
      <c r="T800" s="1208"/>
      <c r="U800" s="1208"/>
      <c r="V800" s="1189"/>
      <c r="W800" s="1189"/>
      <c r="X800" s="1189"/>
      <c r="Y800" s="1189"/>
      <c r="Z800" s="1189"/>
      <c r="AA800" s="1189"/>
      <c r="AB800" s="1189"/>
      <c r="AC800" s="1189"/>
      <c r="AD800" s="1189"/>
      <c r="AE800" s="1189"/>
    </row>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287">
    <mergeCell ref="E7:F7"/>
    <mergeCell ref="D72:F72"/>
    <mergeCell ref="K61:L61"/>
    <mergeCell ref="N61:O61"/>
    <mergeCell ref="P61:Q61"/>
    <mergeCell ref="T61:U61"/>
    <mergeCell ref="K62:L62"/>
    <mergeCell ref="N62:O62"/>
    <mergeCell ref="T62:U62"/>
    <mergeCell ref="P59:Q59"/>
    <mergeCell ref="T59:U59"/>
    <mergeCell ref="P60:Q60"/>
    <mergeCell ref="T60:U60"/>
    <mergeCell ref="K58:L58"/>
    <mergeCell ref="N58:O58"/>
    <mergeCell ref="P58:Q58"/>
    <mergeCell ref="P56:Q56"/>
    <mergeCell ref="K54:L54"/>
    <mergeCell ref="N54:O54"/>
    <mergeCell ref="P54:Q54"/>
    <mergeCell ref="P55:Q55"/>
    <mergeCell ref="T56:U56"/>
    <mergeCell ref="P57:Q57"/>
    <mergeCell ref="T57:U57"/>
    <mergeCell ref="B58:C58"/>
    <mergeCell ref="D58:F58"/>
    <mergeCell ref="L258:M258"/>
    <mergeCell ref="C82:D82"/>
    <mergeCell ref="F82:H82"/>
    <mergeCell ref="L71:M71"/>
    <mergeCell ref="O71:Q71"/>
    <mergeCell ref="K257:M257"/>
    <mergeCell ref="P257:Q257"/>
    <mergeCell ref="K65:L65"/>
    <mergeCell ref="N65:O65"/>
    <mergeCell ref="B81:D81"/>
    <mergeCell ref="F81:I81"/>
    <mergeCell ref="K70:M70"/>
    <mergeCell ref="O70:Q70"/>
    <mergeCell ref="B67:C68"/>
    <mergeCell ref="D67:F68"/>
    <mergeCell ref="G67:I68"/>
    <mergeCell ref="B65:C66"/>
    <mergeCell ref="B69:C70"/>
    <mergeCell ref="D69:F70"/>
    <mergeCell ref="G69:I70"/>
    <mergeCell ref="K60:L60"/>
    <mergeCell ref="N60:O60"/>
    <mergeCell ref="K63:L63"/>
    <mergeCell ref="N63:O63"/>
    <mergeCell ref="D65:F66"/>
    <mergeCell ref="G65:I66"/>
    <mergeCell ref="K64:L64"/>
    <mergeCell ref="N64:O64"/>
    <mergeCell ref="B63:C64"/>
    <mergeCell ref="B61:C62"/>
    <mergeCell ref="B59:C60"/>
    <mergeCell ref="T54:U54"/>
    <mergeCell ref="F53:I53"/>
    <mergeCell ref="T63:U63"/>
    <mergeCell ref="K53:L53"/>
    <mergeCell ref="N53:O53"/>
    <mergeCell ref="P53:Q53"/>
    <mergeCell ref="T53:U53"/>
    <mergeCell ref="T58:U58"/>
    <mergeCell ref="K59:L59"/>
    <mergeCell ref="D63:F64"/>
    <mergeCell ref="G63:I64"/>
    <mergeCell ref="D61:F62"/>
    <mergeCell ref="G61:I62"/>
    <mergeCell ref="N59:O59"/>
    <mergeCell ref="D59:F60"/>
    <mergeCell ref="G59:I60"/>
    <mergeCell ref="T55:U55"/>
    <mergeCell ref="K55:L55"/>
    <mergeCell ref="N55:O55"/>
    <mergeCell ref="K56:L56"/>
    <mergeCell ref="N56:O56"/>
    <mergeCell ref="K57:L57"/>
    <mergeCell ref="N57:O57"/>
    <mergeCell ref="P64:Q64"/>
    <mergeCell ref="T49:U49"/>
    <mergeCell ref="F47:I47"/>
    <mergeCell ref="F49:I49"/>
    <mergeCell ref="F50:I50"/>
    <mergeCell ref="F51:I51"/>
    <mergeCell ref="F52:I52"/>
    <mergeCell ref="K52:L52"/>
    <mergeCell ref="N52:O52"/>
    <mergeCell ref="P52:Q52"/>
    <mergeCell ref="T52:U52"/>
    <mergeCell ref="K50:L50"/>
    <mergeCell ref="N50:O50"/>
    <mergeCell ref="P50:Q50"/>
    <mergeCell ref="T50:U50"/>
    <mergeCell ref="K51:L51"/>
    <mergeCell ref="N51:O51"/>
    <mergeCell ref="P51:Q51"/>
    <mergeCell ref="T51:U51"/>
    <mergeCell ref="G58:I58"/>
    <mergeCell ref="K47:L47"/>
    <mergeCell ref="N47:O47"/>
    <mergeCell ref="P47:Q47"/>
    <mergeCell ref="T47:U47"/>
    <mergeCell ref="K44:L44"/>
    <mergeCell ref="N44:O44"/>
    <mergeCell ref="P44:Q44"/>
    <mergeCell ref="T44:U44"/>
    <mergeCell ref="K45:L45"/>
    <mergeCell ref="N45:O45"/>
    <mergeCell ref="P45:Q45"/>
    <mergeCell ref="T45:U45"/>
    <mergeCell ref="K48:L48"/>
    <mergeCell ref="N48:O48"/>
    <mergeCell ref="P48:Q48"/>
    <mergeCell ref="T48:U48"/>
    <mergeCell ref="K46:L46"/>
    <mergeCell ref="N46:O46"/>
    <mergeCell ref="P46:Q46"/>
    <mergeCell ref="T46:U46"/>
    <mergeCell ref="K49:L49"/>
    <mergeCell ref="N49:O49"/>
    <mergeCell ref="P49:Q49"/>
    <mergeCell ref="K42:L42"/>
    <mergeCell ref="N42:O42"/>
    <mergeCell ref="P42:Q42"/>
    <mergeCell ref="T42:U42"/>
    <mergeCell ref="K43:L43"/>
    <mergeCell ref="N43:O43"/>
    <mergeCell ref="P43:Q43"/>
    <mergeCell ref="T43:U43"/>
    <mergeCell ref="F39:I39"/>
    <mergeCell ref="F40:G40"/>
    <mergeCell ref="K40:L40"/>
    <mergeCell ref="N40:O40"/>
    <mergeCell ref="P40:Q40"/>
    <mergeCell ref="T40:U40"/>
    <mergeCell ref="K41:L41"/>
    <mergeCell ref="N41:O41"/>
    <mergeCell ref="P41:Q41"/>
    <mergeCell ref="T41:U41"/>
    <mergeCell ref="F38:I38"/>
    <mergeCell ref="K38:L38"/>
    <mergeCell ref="N38:O38"/>
    <mergeCell ref="P38:Q38"/>
    <mergeCell ref="T38:U38"/>
    <mergeCell ref="K39:L39"/>
    <mergeCell ref="N39:O39"/>
    <mergeCell ref="P39:Q39"/>
    <mergeCell ref="T39:U39"/>
    <mergeCell ref="F36:I36"/>
    <mergeCell ref="K36:L36"/>
    <mergeCell ref="N36:O36"/>
    <mergeCell ref="P36:Q36"/>
    <mergeCell ref="T36:U36"/>
    <mergeCell ref="F37:I37"/>
    <mergeCell ref="K37:L37"/>
    <mergeCell ref="N37:O37"/>
    <mergeCell ref="P37:Q37"/>
    <mergeCell ref="T37:U37"/>
    <mergeCell ref="K34:L34"/>
    <mergeCell ref="N34:O34"/>
    <mergeCell ref="P34:Q34"/>
    <mergeCell ref="T34:U34"/>
    <mergeCell ref="F35:I35"/>
    <mergeCell ref="K35:L35"/>
    <mergeCell ref="N35:O35"/>
    <mergeCell ref="P35:Q35"/>
    <mergeCell ref="T35:U35"/>
    <mergeCell ref="K32:L32"/>
    <mergeCell ref="N32:O32"/>
    <mergeCell ref="P32:Q32"/>
    <mergeCell ref="T32:U32"/>
    <mergeCell ref="K33:L33"/>
    <mergeCell ref="N33:O33"/>
    <mergeCell ref="P33:Q33"/>
    <mergeCell ref="T33:U33"/>
    <mergeCell ref="K30:L30"/>
    <mergeCell ref="N30:O30"/>
    <mergeCell ref="P30:Q30"/>
    <mergeCell ref="T30:U30"/>
    <mergeCell ref="F31:I31"/>
    <mergeCell ref="K31:L31"/>
    <mergeCell ref="N31:O31"/>
    <mergeCell ref="P31:Q31"/>
    <mergeCell ref="T31:U31"/>
    <mergeCell ref="K28:L28"/>
    <mergeCell ref="N28:O28"/>
    <mergeCell ref="P28:Q28"/>
    <mergeCell ref="T28:U28"/>
    <mergeCell ref="B29:C29"/>
    <mergeCell ref="F29:I29"/>
    <mergeCell ref="K29:L29"/>
    <mergeCell ref="N29:O29"/>
    <mergeCell ref="P29:Q29"/>
    <mergeCell ref="T29:U29"/>
    <mergeCell ref="K26:L26"/>
    <mergeCell ref="N26:O26"/>
    <mergeCell ref="P26:Q26"/>
    <mergeCell ref="T26:U26"/>
    <mergeCell ref="F27:I27"/>
    <mergeCell ref="K27:L27"/>
    <mergeCell ref="N27:O27"/>
    <mergeCell ref="P27:Q27"/>
    <mergeCell ref="T27:U27"/>
    <mergeCell ref="K25:L25"/>
    <mergeCell ref="N25:O25"/>
    <mergeCell ref="P25:Q25"/>
    <mergeCell ref="T25:U25"/>
    <mergeCell ref="K23:L23"/>
    <mergeCell ref="N23:O23"/>
    <mergeCell ref="P23:Q23"/>
    <mergeCell ref="T23:U23"/>
    <mergeCell ref="F24:I24"/>
    <mergeCell ref="K24:L24"/>
    <mergeCell ref="N24:O24"/>
    <mergeCell ref="P24:Q24"/>
    <mergeCell ref="T24:U24"/>
    <mergeCell ref="K21:L21"/>
    <mergeCell ref="N21:O21"/>
    <mergeCell ref="P21:Q21"/>
    <mergeCell ref="T21:U21"/>
    <mergeCell ref="F22:I22"/>
    <mergeCell ref="K22:L22"/>
    <mergeCell ref="N22:O22"/>
    <mergeCell ref="P22:Q22"/>
    <mergeCell ref="T22:U22"/>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K18:L18"/>
    <mergeCell ref="N18:O18"/>
    <mergeCell ref="P18:Q18"/>
    <mergeCell ref="H12:I12"/>
    <mergeCell ref="K12:L12"/>
    <mergeCell ref="N12:O12"/>
    <mergeCell ref="P12:Q12"/>
    <mergeCell ref="F16:I16"/>
    <mergeCell ref="F17:I17"/>
    <mergeCell ref="K17:L17"/>
    <mergeCell ref="N17:O17"/>
    <mergeCell ref="P17:Q17"/>
    <mergeCell ref="E13:F13"/>
    <mergeCell ref="H13:I13"/>
    <mergeCell ref="K13:L13"/>
    <mergeCell ref="N13:O13"/>
    <mergeCell ref="P13:Q13"/>
    <mergeCell ref="F15:I15"/>
    <mergeCell ref="K15:L16"/>
    <mergeCell ref="M15:M16"/>
    <mergeCell ref="N15:O16"/>
    <mergeCell ref="P15:Q16"/>
    <mergeCell ref="G2:I2"/>
    <mergeCell ref="B4:I4"/>
    <mergeCell ref="K4:Q4"/>
    <mergeCell ref="E6:I6"/>
    <mergeCell ref="K6:L6"/>
    <mergeCell ref="N6:Q6"/>
    <mergeCell ref="F26:I26"/>
    <mergeCell ref="E9:I9"/>
    <mergeCell ref="K9:L9"/>
    <mergeCell ref="N9:Q9"/>
    <mergeCell ref="E10:I10"/>
    <mergeCell ref="K10:L10"/>
    <mergeCell ref="N10:Q10"/>
    <mergeCell ref="K7:L7"/>
    <mergeCell ref="N7:Q7"/>
    <mergeCell ref="E8:I8"/>
    <mergeCell ref="K8:L8"/>
    <mergeCell ref="N8:Q8"/>
    <mergeCell ref="E11:F11"/>
    <mergeCell ref="H11:I11"/>
    <mergeCell ref="K11:L11"/>
    <mergeCell ref="N11:O11"/>
    <mergeCell ref="P11:Q11"/>
    <mergeCell ref="E12:F12"/>
  </mergeCells>
  <pageMargins left="0.70866141732283472" right="0.70866141732283472" top="0.84406250000000005" bottom="0.74803149606299213" header="0.31496062992125984" footer="0.31496062992125984"/>
  <pageSetup paperSize="10000" scale="68" orientation="portrait" r:id="rId1"/>
  <headerFooter>
    <oddHeader xml:space="preserve">&amp;R&amp;"Century Gothic,Bold"&amp;18ANNEX A: 
SAMPLE PACKAGE COMPUTATION
</oddHeader>
  </headerFooter>
  <colBreaks count="1" manualBreakCount="1">
    <brk id="10" max="81" man="1"/>
  </col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dimension ref="A1:U124"/>
  <sheetViews>
    <sheetView showGridLines="0" showZeros="0" view="pageLayout" topLeftCell="B89" zoomScaleNormal="100" zoomScaleSheetLayoutView="85" workbookViewId="0">
      <selection activeCell="W112" sqref="W112"/>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649">
        <f>'STANDARD_NON RFO UNITS'!F15</f>
        <v>3195170.8635638431</v>
      </c>
      <c r="J27" s="1650"/>
      <c r="K27" s="1650"/>
      <c r="L27" s="1650"/>
      <c r="M27" s="1650"/>
      <c r="N27" s="1650"/>
      <c r="O27" s="1650"/>
      <c r="P27" s="1650"/>
      <c r="Q27" s="1650"/>
      <c r="R27" s="1650"/>
      <c r="S27" s="1650"/>
      <c r="T27" s="1650"/>
      <c r="U27" s="1651"/>
    </row>
    <row r="28" spans="1:21" ht="14.1">
      <c r="A28" s="39" t="s">
        <v>990</v>
      </c>
      <c r="B28" s="40"/>
      <c r="C28" s="42"/>
      <c r="D28" s="42"/>
      <c r="E28" s="42"/>
      <c r="F28" s="42"/>
      <c r="G28" s="42"/>
      <c r="H28" s="43"/>
      <c r="I28" s="1649">
        <f>'STANDARD_NON RFO UNITS'!F16</f>
        <v>0</v>
      </c>
      <c r="J28" s="1650"/>
      <c r="K28" s="1650"/>
      <c r="L28" s="1650"/>
      <c r="M28" s="1650"/>
      <c r="N28" s="1650"/>
      <c r="O28" s="1650"/>
      <c r="P28" s="1650"/>
      <c r="Q28" s="1650"/>
      <c r="R28" s="1650"/>
      <c r="S28" s="1650"/>
      <c r="T28" s="1650"/>
      <c r="U28" s="1651"/>
    </row>
    <row r="29" spans="1:21" ht="14.1">
      <c r="A29" s="49" t="s">
        <v>791</v>
      </c>
      <c r="B29" s="50"/>
      <c r="C29" s="51"/>
      <c r="D29" s="51"/>
      <c r="E29" s="51"/>
      <c r="F29" s="51"/>
      <c r="G29" s="51"/>
      <c r="H29" s="48"/>
      <c r="I29" s="1649">
        <f>'STANDARD_NON RFO UNITS'!F17</f>
        <v>3195170.8635638431</v>
      </c>
      <c r="J29" s="1650"/>
      <c r="K29" s="1650"/>
      <c r="L29" s="1650"/>
      <c r="M29" s="1650"/>
      <c r="N29" s="1650"/>
      <c r="O29" s="1650"/>
      <c r="P29" s="1650"/>
      <c r="Q29" s="1650"/>
      <c r="R29" s="1650"/>
      <c r="S29" s="1650"/>
      <c r="T29" s="1650"/>
      <c r="U29" s="1651"/>
    </row>
    <row r="30" spans="1:21" ht="14.1">
      <c r="A30" s="39" t="s">
        <v>991</v>
      </c>
      <c r="B30" s="40"/>
      <c r="C30" s="42"/>
      <c r="D30" s="42"/>
      <c r="E30" s="42"/>
      <c r="F30" s="42"/>
      <c r="G30" s="42"/>
      <c r="H30" s="43"/>
      <c r="I30" s="1649">
        <f>'STANDARD_NON RFO UNITS'!F20</f>
        <v>439335.99374002841</v>
      </c>
      <c r="J30" s="1650"/>
      <c r="K30" s="1650"/>
      <c r="L30" s="1650"/>
      <c r="M30" s="1650"/>
      <c r="N30" s="1650"/>
      <c r="O30" s="1650"/>
      <c r="P30" s="1650"/>
      <c r="Q30" s="1650"/>
      <c r="R30" s="1650"/>
      <c r="S30" s="1650"/>
      <c r="T30" s="1650"/>
      <c r="U30" s="1651"/>
    </row>
    <row r="31" spans="1:21" ht="14.1">
      <c r="A31" s="39" t="s">
        <v>992</v>
      </c>
      <c r="B31" s="40"/>
      <c r="C31" s="42"/>
      <c r="D31" s="42"/>
      <c r="E31" s="42"/>
      <c r="F31" s="42"/>
      <c r="G31" s="42"/>
      <c r="H31" s="43"/>
      <c r="I31" s="1649">
        <f>'STANDARD_NON RFO UNITS'!F19</f>
        <v>0</v>
      </c>
      <c r="J31" s="1650"/>
      <c r="K31" s="1650"/>
      <c r="L31" s="1650"/>
      <c r="M31" s="1650"/>
      <c r="N31" s="1650"/>
      <c r="O31" s="1650"/>
      <c r="P31" s="1650"/>
      <c r="Q31" s="1650"/>
      <c r="R31" s="1650"/>
      <c r="S31" s="1650"/>
      <c r="T31" s="1650"/>
      <c r="U31" s="1651"/>
    </row>
    <row r="32" spans="1:21" ht="14.1">
      <c r="A32" s="39" t="s">
        <v>178</v>
      </c>
      <c r="B32" s="40"/>
      <c r="C32" s="42"/>
      <c r="D32" s="42"/>
      <c r="E32" s="42"/>
      <c r="F32" s="42"/>
      <c r="G32" s="42"/>
      <c r="H32" s="43"/>
      <c r="I32" s="1649">
        <f>'STANDARD_NON RFO UNITS'!F22</f>
        <v>3634506.8573038713</v>
      </c>
      <c r="J32" s="1650"/>
      <c r="K32" s="1650"/>
      <c r="L32" s="1650"/>
      <c r="M32" s="1650"/>
      <c r="N32" s="1650"/>
      <c r="O32" s="1650"/>
      <c r="P32" s="1650"/>
      <c r="Q32" s="1650"/>
      <c r="R32" s="1650"/>
      <c r="S32" s="1650"/>
      <c r="T32" s="1650"/>
      <c r="U32" s="1651"/>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03" spans="1:21" ht="14.1">
      <c r="A103" s="643"/>
      <c r="B103" s="83"/>
      <c r="C103" s="83"/>
      <c r="D103" s="83"/>
      <c r="E103" s="83"/>
      <c r="F103" s="83"/>
      <c r="G103" s="83"/>
      <c r="H103" s="83"/>
      <c r="I103" s="83"/>
      <c r="J103" s="83"/>
      <c r="K103" s="83"/>
      <c r="L103" s="83"/>
      <c r="M103" s="83"/>
      <c r="N103" s="83"/>
      <c r="O103" s="83"/>
      <c r="P103" s="83"/>
      <c r="Q103" s="83"/>
      <c r="R103" s="83"/>
      <c r="S103" s="83"/>
      <c r="T103" s="83"/>
      <c r="U103" s="83"/>
    </row>
    <row r="113" spans="1:21">
      <c r="G113" s="22"/>
      <c r="H113" s="1643" t="str">
        <f>D3</f>
        <v>cnc</v>
      </c>
      <c r="I113" s="1643"/>
      <c r="J113" s="1643"/>
      <c r="K113" s="1643"/>
      <c r="L113" s="1643"/>
      <c r="M113" s="1643"/>
      <c r="N113" s="1643"/>
      <c r="O113" s="1643"/>
      <c r="P113" s="1643"/>
      <c r="Q113" s="1643"/>
    </row>
    <row r="114" spans="1:21" ht="25.5" customHeight="1">
      <c r="A114" s="1644" t="s">
        <v>1016</v>
      </c>
      <c r="B114" s="1644"/>
      <c r="C114" s="1644"/>
      <c r="D114" s="1644"/>
      <c r="E114" s="1644"/>
      <c r="F114" s="1644"/>
      <c r="G114" s="1644"/>
      <c r="H114" s="1644"/>
      <c r="I114" s="1644"/>
      <c r="J114" s="1644"/>
      <c r="K114" s="1644"/>
      <c r="L114" s="1644"/>
      <c r="M114" s="1644"/>
      <c r="N114" s="1644"/>
      <c r="O114" s="1644"/>
      <c r="P114" s="1644"/>
      <c r="Q114" s="1644"/>
      <c r="R114" s="1644"/>
      <c r="S114" s="1644"/>
      <c r="T114" s="1644"/>
      <c r="U114" s="1644"/>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22"/>
      <c r="B116" s="22"/>
      <c r="C116" s="22"/>
      <c r="D116" s="22"/>
      <c r="E116" s="22"/>
      <c r="F116" s="22"/>
      <c r="G116" s="22"/>
      <c r="H116" s="22"/>
      <c r="I116" s="22"/>
      <c r="J116" s="22"/>
      <c r="K116" s="22"/>
      <c r="L116" s="22"/>
      <c r="M116" s="22"/>
      <c r="N116" s="22"/>
      <c r="O116" s="22"/>
      <c r="P116" s="22"/>
      <c r="Q116" s="22"/>
      <c r="R116" s="22"/>
      <c r="S116" s="22"/>
      <c r="T116" s="22"/>
      <c r="U116" s="22"/>
    </row>
    <row r="117" spans="1:21">
      <c r="A117" s="1645" t="s">
        <v>1017</v>
      </c>
      <c r="B117" s="1645"/>
      <c r="C117" s="1645"/>
      <c r="D117" s="1645"/>
      <c r="E117" s="1645"/>
      <c r="F117" s="1645"/>
      <c r="G117" s="1645"/>
      <c r="H117" s="1645"/>
      <c r="I117" s="1645"/>
      <c r="J117" s="1645"/>
      <c r="K117" s="1645"/>
      <c r="L117" s="1645"/>
      <c r="M117" s="1645"/>
      <c r="N117" s="1645"/>
      <c r="O117" s="1645"/>
      <c r="P117" s="1645"/>
      <c r="Q117" s="1645"/>
      <c r="R117" s="1645"/>
      <c r="S117" s="1645"/>
      <c r="T117" s="1645"/>
      <c r="U117" s="1645"/>
    </row>
    <row r="118" spans="1:21" ht="21.75" customHeight="1">
      <c r="A118" s="1646" t="str">
        <f>H8</f>
        <v>Iloilo Southprime Developers Inc.</v>
      </c>
      <c r="B118" s="1646"/>
      <c r="C118" s="1646"/>
      <c r="D118" s="1646"/>
      <c r="E118" s="1646"/>
      <c r="F118" s="1646"/>
      <c r="G118" s="1646"/>
      <c r="H118" s="1646"/>
      <c r="I118" s="1646"/>
      <c r="J118" s="1646"/>
      <c r="K118" s="1646"/>
      <c r="L118" s="1646"/>
      <c r="M118" s="1646"/>
      <c r="N118" s="1646"/>
      <c r="O118" s="1646"/>
      <c r="P118" s="1646"/>
      <c r="Q118" s="1646"/>
      <c r="R118" s="1646"/>
      <c r="S118" s="1646"/>
      <c r="T118" s="1646"/>
      <c r="U118" s="1646"/>
    </row>
    <row r="119" spans="1:21">
      <c r="A119" s="22"/>
      <c r="B119" s="22"/>
      <c r="C119" s="22"/>
      <c r="D119" s="22"/>
      <c r="E119" s="22"/>
      <c r="F119" s="22"/>
      <c r="G119" s="22"/>
      <c r="H119" s="22"/>
      <c r="I119" s="22"/>
      <c r="J119" s="22"/>
      <c r="K119" s="22"/>
      <c r="L119" s="22"/>
      <c r="M119" s="22"/>
      <c r="N119" s="22"/>
      <c r="O119" s="22"/>
      <c r="P119" s="22"/>
      <c r="Q119" s="22"/>
      <c r="R119" s="22"/>
      <c r="S119" s="22"/>
      <c r="T119" s="22"/>
      <c r="U119" s="22"/>
    </row>
    <row r="120" spans="1:21">
      <c r="A120" s="22"/>
      <c r="B120" s="22"/>
      <c r="C120" s="22"/>
      <c r="D120" s="22"/>
      <c r="E120" s="22"/>
      <c r="F120" s="22"/>
      <c r="G120" s="22"/>
      <c r="H120" s="23"/>
      <c r="I120" s="23"/>
      <c r="J120" s="23"/>
      <c r="K120" s="23"/>
      <c r="L120" s="23"/>
      <c r="M120" s="23"/>
      <c r="N120" s="23"/>
      <c r="O120" s="23"/>
      <c r="P120" s="23"/>
      <c r="Q120" s="23"/>
      <c r="R120" s="22"/>
      <c r="S120" s="22"/>
      <c r="T120" s="22"/>
      <c r="U120" s="22"/>
    </row>
    <row r="124" spans="1:21">
      <c r="I124" s="52"/>
    </row>
  </sheetData>
  <sheetProtection algorithmName="SHA-512" hashValue="a57q/W2JYd+6j07DJ+st0PDVD5dt5EobbIuwGEh1+Jgh3tinwhpMW73QYzdDYrtHNNTDkt3iK6xpt7kd8Dztag==" saltValue="KktYlnxpOkuz9cbDKXHqUg=="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3:Q113"/>
    <mergeCell ref="A114:U114"/>
    <mergeCell ref="A117:U117"/>
    <mergeCell ref="A118:U118"/>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963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9634"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6963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963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963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963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963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964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964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9642"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6964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964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964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964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964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964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964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965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965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5">
    <tabColor rgb="FF00B050"/>
  </sheetPr>
  <dimension ref="A1:R79"/>
  <sheetViews>
    <sheetView showGridLines="0" showZeros="0" view="pageBreakPreview" topLeftCell="A28" zoomScaleNormal="90" zoomScaleSheetLayoutView="100" zoomScalePageLayoutView="85" workbookViewId="0">
      <selection activeCell="F21" sqref="F21:H21"/>
    </sheetView>
  </sheetViews>
  <sheetFormatPr defaultColWidth="9.140625" defaultRowHeight="12.6"/>
  <cols>
    <col min="1" max="1" width="0.85546875" style="99" customWidth="1"/>
    <col min="2" max="2" width="12" style="99" customWidth="1"/>
    <col min="3" max="3" width="26.140625" style="99" customWidth="1"/>
    <col min="4" max="4" width="18.140625" style="131" customWidth="1"/>
    <col min="5" max="5" width="16.85546875" style="99" customWidth="1"/>
    <col min="6" max="6" width="15.140625" style="99" customWidth="1"/>
    <col min="7" max="7" width="8" style="99" customWidth="1"/>
    <col min="8" max="8" width="18" style="99" customWidth="1"/>
    <col min="9" max="9" width="0.42578125" style="99" customWidth="1"/>
    <col min="10" max="10" width="9.140625" style="99"/>
    <col min="11" max="11" width="19.140625" style="99" customWidth="1"/>
    <col min="12" max="12" width="19.42578125" style="261" customWidth="1"/>
    <col min="13" max="13" width="5.140625" style="99" customWidth="1"/>
    <col min="14" max="14" width="14" style="99" customWidth="1"/>
    <col min="15" max="15" width="19.5703125" style="99" customWidth="1"/>
    <col min="16" max="16" width="19.85546875" style="99" customWidth="1"/>
    <col min="17" max="17" width="9.140625" style="99"/>
    <col min="18" max="18" width="10.85546875" style="99" bestFit="1" customWidth="1"/>
    <col min="19" max="16384" width="9.140625" style="99"/>
  </cols>
  <sheetData>
    <row r="1" spans="1:18" ht="2.25" customHeight="1">
      <c r="A1" s="1189"/>
      <c r="B1" s="1189"/>
      <c r="C1" s="1189"/>
      <c r="D1" s="1225"/>
      <c r="E1" s="1189"/>
      <c r="F1" s="1189"/>
      <c r="G1" s="1189"/>
      <c r="H1" s="1189"/>
      <c r="I1" s="1189"/>
      <c r="J1" s="1189"/>
      <c r="K1" s="1189"/>
      <c r="L1" s="1275"/>
      <c r="M1" s="1189"/>
      <c r="N1" s="1189"/>
      <c r="O1" s="1189"/>
      <c r="P1" s="1189"/>
      <c r="Q1" s="1189"/>
      <c r="R1" s="262" t="e">
        <f>EDATE(L17,'STANDARD_NON RFO UNITS'!E28)</f>
        <v>#VALUE!</v>
      </c>
    </row>
    <row r="2" spans="1:18">
      <c r="A2" s="1189"/>
      <c r="B2" s="84" t="s">
        <v>847</v>
      </c>
      <c r="C2" s="1191" t="str">
        <f>FORM!I20</f>
        <v>September 1,2025</v>
      </c>
      <c r="D2" s="1192"/>
      <c r="E2" s="1189"/>
      <c r="F2" s="135" t="s">
        <v>848</v>
      </c>
      <c r="G2" s="1727" t="s">
        <v>849</v>
      </c>
      <c r="H2" s="1728"/>
      <c r="I2" s="1190"/>
      <c r="J2" s="85" t="s">
        <v>847</v>
      </c>
      <c r="K2" s="1276" t="str">
        <f>C2</f>
        <v>September 1,2025</v>
      </c>
      <c r="L2" s="1190"/>
      <c r="M2" s="1190"/>
      <c r="N2" s="1189"/>
      <c r="O2" s="135" t="s">
        <v>850</v>
      </c>
      <c r="P2" s="1277" t="s">
        <v>851</v>
      </c>
      <c r="Q2" s="1189"/>
      <c r="R2" s="1189"/>
    </row>
    <row r="3" spans="1:18" s="86" customFormat="1">
      <c r="C3" s="87"/>
      <c r="D3" s="87"/>
      <c r="G3" s="88"/>
      <c r="H3" s="88"/>
      <c r="I3" s="88"/>
      <c r="J3" s="89"/>
      <c r="K3" s="90"/>
      <c r="L3" s="91"/>
      <c r="M3" s="89"/>
      <c r="N3" s="89"/>
      <c r="O3" s="1734"/>
      <c r="P3" s="1734"/>
    </row>
    <row r="4" spans="1:18" s="86" customFormat="1" ht="18" customHeight="1">
      <c r="B4" s="1534" t="s">
        <v>1034</v>
      </c>
      <c r="C4" s="1534"/>
      <c r="D4" s="1534"/>
      <c r="E4" s="1534"/>
      <c r="F4" s="1534"/>
      <c r="G4" s="1534"/>
      <c r="H4" s="1534"/>
      <c r="I4" s="179"/>
      <c r="J4" s="1536" t="s">
        <v>853</v>
      </c>
      <c r="K4" s="1536"/>
      <c r="L4" s="1536"/>
      <c r="M4" s="1536"/>
      <c r="N4" s="1536"/>
      <c r="O4" s="1536"/>
      <c r="P4" s="1536"/>
    </row>
    <row r="5" spans="1:18" s="86" customFormat="1">
      <c r="B5" s="88" t="s">
        <v>819</v>
      </c>
      <c r="C5" s="88"/>
      <c r="D5" s="92"/>
      <c r="E5" s="88"/>
      <c r="F5" s="88"/>
      <c r="G5" s="88"/>
      <c r="H5" s="88"/>
      <c r="I5" s="88"/>
      <c r="J5" s="93"/>
      <c r="K5" s="94"/>
      <c r="L5" s="95"/>
      <c r="M5" s="94"/>
      <c r="N5" s="94"/>
      <c r="O5" s="94"/>
      <c r="P5" s="96"/>
    </row>
    <row r="6" spans="1:18" s="86" customFormat="1">
      <c r="B6" s="211" t="s">
        <v>854</v>
      </c>
      <c r="C6" s="209"/>
      <c r="D6" s="705" t="s">
        <v>802</v>
      </c>
      <c r="E6" s="1723" t="str">
        <f>FORM!I26</f>
        <v>cnc</v>
      </c>
      <c r="F6" s="1723"/>
      <c r="G6" s="1723"/>
      <c r="H6" s="1723"/>
      <c r="I6" s="88"/>
      <c r="J6" s="238" t="s">
        <v>854</v>
      </c>
      <c r="K6" s="226"/>
      <c r="L6" s="1278" t="s">
        <v>802</v>
      </c>
      <c r="M6" s="1529" t="str">
        <f t="shared" ref="M6:M13" si="0">E6</f>
        <v>cnc</v>
      </c>
      <c r="N6" s="1530"/>
      <c r="O6" s="1530"/>
      <c r="P6" s="1531"/>
    </row>
    <row r="7" spans="1:18" s="86" customFormat="1">
      <c r="B7" s="211" t="s">
        <v>801</v>
      </c>
      <c r="C7" s="209"/>
      <c r="D7" s="705" t="s">
        <v>802</v>
      </c>
      <c r="E7" s="1725" t="str">
        <f>FORM!I11</f>
        <v>The Southprime Flats</v>
      </c>
      <c r="F7" s="1726"/>
      <c r="G7" s="1229" t="str">
        <f>FORM!I14</f>
        <v>B1</v>
      </c>
      <c r="H7" s="1251"/>
      <c r="I7" s="88"/>
      <c r="J7" s="144" t="s">
        <v>801</v>
      </c>
      <c r="K7" s="227"/>
      <c r="L7" s="1278" t="s">
        <v>802</v>
      </c>
      <c r="M7" s="1529" t="str">
        <f t="shared" si="0"/>
        <v>The Southprime Flats</v>
      </c>
      <c r="N7" s="1530"/>
      <c r="O7" s="1530"/>
      <c r="P7" s="1531"/>
    </row>
    <row r="8" spans="1:18" s="86" customFormat="1">
      <c r="B8" s="280" t="s">
        <v>855</v>
      </c>
      <c r="C8" s="281"/>
      <c r="D8" s="705" t="s">
        <v>802</v>
      </c>
      <c r="E8" s="1724" t="str">
        <f>'STANDARD_NON RFO UNITS'!E8</f>
        <v>2F</v>
      </c>
      <c r="F8" s="1724"/>
      <c r="G8" s="1724"/>
      <c r="H8" s="1724"/>
      <c r="I8" s="88"/>
      <c r="J8" s="144" t="s">
        <v>855</v>
      </c>
      <c r="K8" s="227"/>
      <c r="L8" s="1278" t="s">
        <v>802</v>
      </c>
      <c r="M8" s="1529" t="str">
        <f t="shared" si="0"/>
        <v>2F</v>
      </c>
      <c r="N8" s="1530"/>
      <c r="O8" s="1530"/>
      <c r="P8" s="1531"/>
    </row>
    <row r="9" spans="1:18" hidden="1">
      <c r="A9" s="1189"/>
      <c r="B9" s="1731" t="s">
        <v>856</v>
      </c>
      <c r="C9" s="1732"/>
      <c r="D9" s="705" t="s">
        <v>802</v>
      </c>
      <c r="E9" s="1527" t="e">
        <f>FORM!#REF!</f>
        <v>#REF!</v>
      </c>
      <c r="F9" s="1527"/>
      <c r="G9" s="1527"/>
      <c r="H9" s="1527"/>
      <c r="I9" s="1123"/>
      <c r="J9" s="144" t="s">
        <v>856</v>
      </c>
      <c r="K9" s="227"/>
      <c r="L9" s="1278" t="s">
        <v>802</v>
      </c>
      <c r="M9" s="1529" t="e">
        <f t="shared" si="0"/>
        <v>#REF!</v>
      </c>
      <c r="N9" s="1530"/>
      <c r="O9" s="1530"/>
      <c r="P9" s="1531"/>
      <c r="Q9" s="1189"/>
      <c r="R9" s="1189"/>
    </row>
    <row r="10" spans="1:18">
      <c r="A10" s="1279"/>
      <c r="B10" s="1731" t="s">
        <v>857</v>
      </c>
      <c r="C10" s="1732"/>
      <c r="D10" s="705" t="s">
        <v>802</v>
      </c>
      <c r="E10" s="1527" t="str">
        <f>'STANDARD_NON RFO UNITS'!E10</f>
        <v>Studio Unit</v>
      </c>
      <c r="F10" s="1527"/>
      <c r="G10" s="1527"/>
      <c r="H10" s="1527"/>
      <c r="I10" s="100"/>
      <c r="J10" s="144" t="s">
        <v>857</v>
      </c>
      <c r="K10" s="227"/>
      <c r="L10" s="1278" t="s">
        <v>802</v>
      </c>
      <c r="M10" s="1529" t="str">
        <f t="shared" si="0"/>
        <v>Studio Unit</v>
      </c>
      <c r="N10" s="1530"/>
      <c r="O10" s="1530"/>
      <c r="P10" s="1531"/>
      <c r="Q10" s="1280"/>
      <c r="R10" s="1189"/>
    </row>
    <row r="11" spans="1:18">
      <c r="A11" s="1189"/>
      <c r="B11" s="211" t="s">
        <v>858</v>
      </c>
      <c r="C11" s="209"/>
      <c r="D11" s="705" t="s">
        <v>802</v>
      </c>
      <c r="E11" s="1639">
        <f>'STANDARD_NON RFO UNITS'!E11:F11</f>
        <v>22</v>
      </c>
      <c r="F11" s="1733"/>
      <c r="G11" s="1281" t="s">
        <v>859</v>
      </c>
      <c r="H11" s="1282"/>
      <c r="I11" s="1123"/>
      <c r="J11" s="144" t="s">
        <v>858</v>
      </c>
      <c r="K11" s="227"/>
      <c r="L11" s="1283" t="s">
        <v>802</v>
      </c>
      <c r="M11" s="1540">
        <f t="shared" si="0"/>
        <v>22</v>
      </c>
      <c r="N11" s="1540"/>
      <c r="O11" s="1200" t="s">
        <v>859</v>
      </c>
      <c r="P11" s="1197"/>
      <c r="Q11" s="1189"/>
      <c r="R11" s="1189"/>
    </row>
    <row r="12" spans="1:18">
      <c r="A12" s="1189"/>
      <c r="B12" s="211" t="s">
        <v>860</v>
      </c>
      <c r="C12" s="209"/>
      <c r="D12" s="705" t="s">
        <v>802</v>
      </c>
      <c r="E12" s="1634">
        <f>'STANDARD_NON RFO UNITS'!E12:F12</f>
        <v>0</v>
      </c>
      <c r="F12" s="1729"/>
      <c r="G12" s="1281" t="s">
        <v>859</v>
      </c>
      <c r="H12" s="1284"/>
      <c r="I12" s="1123"/>
      <c r="J12" s="148" t="s">
        <v>860</v>
      </c>
      <c r="K12" s="227"/>
      <c r="L12" s="1278" t="s">
        <v>802</v>
      </c>
      <c r="M12" s="1545">
        <f t="shared" si="0"/>
        <v>0</v>
      </c>
      <c r="N12" s="1730"/>
      <c r="O12" s="1285" t="s">
        <v>859</v>
      </c>
      <c r="P12" s="1201"/>
      <c r="Q12" s="1189"/>
      <c r="R12" s="1189"/>
    </row>
    <row r="13" spans="1:18">
      <c r="A13" s="1189"/>
      <c r="B13" s="280" t="s">
        <v>861</v>
      </c>
      <c r="C13" s="281"/>
      <c r="D13" s="705" t="s">
        <v>802</v>
      </c>
      <c r="E13" s="1634">
        <f>'STANDARD_NON RFO UNITS'!E13:F13</f>
        <v>22</v>
      </c>
      <c r="F13" s="1729"/>
      <c r="G13" s="1281" t="s">
        <v>859</v>
      </c>
      <c r="H13" s="1284"/>
      <c r="I13" s="1123"/>
      <c r="J13" s="238" t="s">
        <v>861</v>
      </c>
      <c r="K13" s="101"/>
      <c r="L13" s="1278" t="s">
        <v>802</v>
      </c>
      <c r="M13" s="1545">
        <f t="shared" si="0"/>
        <v>22</v>
      </c>
      <c r="N13" s="1730"/>
      <c r="O13" s="1285" t="s">
        <v>859</v>
      </c>
      <c r="P13" s="1201"/>
      <c r="Q13" s="1189"/>
      <c r="R13" s="1189"/>
    </row>
    <row r="14" spans="1:18">
      <c r="A14" s="1189"/>
      <c r="B14" s="1123"/>
      <c r="C14" s="1123"/>
      <c r="D14" s="705"/>
      <c r="E14" s="1123"/>
      <c r="F14" s="1123"/>
      <c r="G14" s="1123"/>
      <c r="H14" s="1123"/>
      <c r="I14" s="1123"/>
      <c r="J14" s="1123"/>
      <c r="K14" s="1123"/>
      <c r="L14" s="1286"/>
      <c r="M14" s="1123"/>
      <c r="N14" s="1123"/>
      <c r="O14" s="1123"/>
      <c r="P14" s="1123"/>
      <c r="Q14" s="1189"/>
      <c r="R14" s="1189"/>
    </row>
    <row r="15" spans="1:18" ht="15" customHeight="1">
      <c r="A15" s="1189"/>
      <c r="B15" s="141" t="s">
        <v>862</v>
      </c>
      <c r="C15" s="226"/>
      <c r="D15" s="705" t="s">
        <v>802</v>
      </c>
      <c r="E15" s="1287"/>
      <c r="F15" s="1735">
        <f>'STANDARD_NON RFO UNITS'!F15</f>
        <v>3195170.8635638431</v>
      </c>
      <c r="G15" s="1700"/>
      <c r="H15" s="1701"/>
      <c r="I15" s="100"/>
      <c r="J15" s="1549" t="s">
        <v>863</v>
      </c>
      <c r="K15" s="1549"/>
      <c r="L15" s="1739" t="s">
        <v>773</v>
      </c>
      <c r="M15" s="1549" t="s">
        <v>776</v>
      </c>
      <c r="N15" s="1549"/>
      <c r="O15" s="1553" t="s">
        <v>214</v>
      </c>
      <c r="P15" s="1554"/>
      <c r="Q15" s="1189"/>
      <c r="R15" s="1189"/>
    </row>
    <row r="16" spans="1:18" s="3" customFormat="1">
      <c r="B16" s="1699" t="s">
        <v>1035</v>
      </c>
      <c r="C16" s="1699"/>
      <c r="D16" s="705" t="s">
        <v>802</v>
      </c>
      <c r="E16" s="354">
        <v>0.1</v>
      </c>
      <c r="F16" s="1715">
        <f>(F15-F17)*E25*E16</f>
        <v>39939.635794548041</v>
      </c>
      <c r="G16" s="1715"/>
      <c r="H16" s="1716"/>
      <c r="I16" s="1123"/>
      <c r="J16" s="1549"/>
      <c r="K16" s="1549"/>
      <c r="L16" s="1739"/>
      <c r="M16" s="1549"/>
      <c r="N16" s="1549"/>
      <c r="O16" s="1555"/>
      <c r="P16" s="1556"/>
    </row>
    <row r="17" spans="1:16">
      <c r="A17" s="1189"/>
      <c r="B17" s="144" t="s">
        <v>864</v>
      </c>
      <c r="C17" s="148"/>
      <c r="D17" s="705" t="s">
        <v>802</v>
      </c>
      <c r="E17" s="1287"/>
      <c r="F17" s="1736">
        <f>'STANDARD_NON RFO UNITS'!F16:I16</f>
        <v>0</v>
      </c>
      <c r="G17" s="1715"/>
      <c r="H17" s="1716"/>
      <c r="I17" s="100"/>
      <c r="J17" s="1527" t="s">
        <v>820</v>
      </c>
      <c r="K17" s="1527"/>
      <c r="L17" s="1288" t="str">
        <f>C2</f>
        <v>September 1,2025</v>
      </c>
      <c r="M17" s="1551">
        <f>FORM!I22</f>
        <v>30000</v>
      </c>
      <c r="N17" s="1551"/>
      <c r="O17" s="1525"/>
      <c r="P17" s="1526"/>
    </row>
    <row r="18" spans="1:16" s="3" customFormat="1">
      <c r="B18" s="129" t="s">
        <v>865</v>
      </c>
      <c r="C18" s="101"/>
      <c r="D18" s="705" t="s">
        <v>802</v>
      </c>
      <c r="E18" s="355"/>
      <c r="F18" s="1720">
        <f>F15-F16-F17</f>
        <v>3155231.2277692952</v>
      </c>
      <c r="G18" s="1721"/>
      <c r="H18" s="1721"/>
      <c r="I18" s="1722"/>
      <c r="J18" s="1527" t="s">
        <v>1036</v>
      </c>
      <c r="K18" s="1527"/>
      <c r="L18" s="1288" t="e">
        <f>L17+7</f>
        <v>#VALUE!</v>
      </c>
      <c r="M18" s="1551">
        <f>F27</f>
        <v>419320.90268866543</v>
      </c>
      <c r="N18" s="1551"/>
      <c r="O18" s="1525"/>
      <c r="P18" s="1526"/>
    </row>
    <row r="19" spans="1:16">
      <c r="A19" s="1279"/>
      <c r="B19" s="147"/>
      <c r="C19" s="1123"/>
      <c r="D19" s="705"/>
      <c r="E19" s="433">
        <f>(F18)*E20</f>
        <v>378627.74733231543</v>
      </c>
      <c r="F19" s="1257"/>
      <c r="G19" s="1257"/>
      <c r="H19" s="1257"/>
      <c r="I19" s="1123"/>
      <c r="J19" s="1563" t="s">
        <v>935</v>
      </c>
      <c r="K19" s="1563"/>
      <c r="L19" s="263" t="e">
        <f>IF(AND(DAY(R1)&gt;=6,DAY(R1)&lt;=20),DATE(YEAR(R1),MONTH(R1)+1,DAY(20)),IF(AND(DAY(R1)&gt;=21,DAY(R1)&lt;=30),DATE(YEAR(R1),MONTH(R1)+1,IF(DAY(EOMONTH(R1,1))&lt;30,DAY(EOMONTH(R1,1)),DAY(30))),DATE(YEAR(R1),MONTH(R1)+1,DAY(5))))</f>
        <v>#VALUE!</v>
      </c>
      <c r="M19" s="1718">
        <f>F29</f>
        <v>3145246.3188206581</v>
      </c>
      <c r="N19" s="1718"/>
      <c r="O19" s="1712"/>
      <c r="P19" s="1713"/>
    </row>
    <row r="20" spans="1:16">
      <c r="A20" s="1189"/>
      <c r="B20" s="228" t="s">
        <v>868</v>
      </c>
      <c r="C20" s="228"/>
      <c r="D20" s="705" t="s">
        <v>802</v>
      </c>
      <c r="E20" s="1289">
        <f>'STANDARD_NON RFO UNITS'!E19</f>
        <v>0.12</v>
      </c>
      <c r="F20" s="1737">
        <f>IF(OR(ISBLANK('STANDARD_NON RFO UNITS'!F19), 'STANDARD_NON RFO UNITS'!F19 = 0), 0, 0.12 * F18)</f>
        <v>0</v>
      </c>
      <c r="G20" s="1737"/>
      <c r="H20" s="1737"/>
      <c r="I20" s="1123"/>
      <c r="J20" s="1566"/>
      <c r="K20" s="1566"/>
      <c r="L20" s="1290"/>
      <c r="M20" s="1707"/>
      <c r="N20" s="1707"/>
      <c r="O20" s="1123"/>
      <c r="P20" s="1123"/>
    </row>
    <row r="21" spans="1:16">
      <c r="A21" s="1189"/>
      <c r="B21" s="238" t="s">
        <v>870</v>
      </c>
      <c r="C21" s="126"/>
      <c r="D21" s="705" t="s">
        <v>802</v>
      </c>
      <c r="E21" s="1289"/>
      <c r="F21" s="1738">
        <f>'STANDARD_NON RFO UNITS'!F20</f>
        <v>439335.99374002841</v>
      </c>
      <c r="G21" s="1738"/>
      <c r="H21" s="1738"/>
      <c r="I21" s="1123"/>
      <c r="J21" s="705"/>
      <c r="K21" s="705"/>
      <c r="L21" s="1290"/>
      <c r="M21" s="1291"/>
      <c r="N21" s="1291"/>
      <c r="O21" s="1123"/>
      <c r="P21" s="1123"/>
    </row>
    <row r="22" spans="1:16">
      <c r="A22" s="1189"/>
      <c r="B22" s="147"/>
      <c r="C22" s="1123"/>
      <c r="D22" s="705"/>
      <c r="E22" s="1123"/>
      <c r="F22" s="1257"/>
      <c r="G22" s="1257"/>
      <c r="H22" s="1257"/>
      <c r="I22" s="1123"/>
      <c r="J22" s="705"/>
      <c r="K22" s="705"/>
      <c r="L22" s="1290"/>
      <c r="M22" s="1291"/>
      <c r="N22" s="1291"/>
      <c r="O22" s="1123"/>
      <c r="P22" s="1123"/>
    </row>
    <row r="23" spans="1:16">
      <c r="A23" s="3"/>
      <c r="B23" s="1586" t="s">
        <v>874</v>
      </c>
      <c r="C23" s="1586"/>
      <c r="D23" s="705" t="s">
        <v>802</v>
      </c>
      <c r="E23" s="459"/>
      <c r="F23" s="1719">
        <f>F18+SUM(F20:I21)</f>
        <v>3594567.2215093235</v>
      </c>
      <c r="G23" s="1719"/>
      <c r="H23" s="1719"/>
      <c r="I23" s="1719"/>
      <c r="J23" s="156"/>
      <c r="K23" s="1123"/>
      <c r="L23" s="1286"/>
      <c r="M23" s="1123"/>
      <c r="N23" s="1123"/>
      <c r="O23" s="1123"/>
      <c r="P23" s="1123"/>
    </row>
    <row r="24" spans="1:16" s="3" customFormat="1">
      <c r="A24" s="1189"/>
      <c r="B24" s="147"/>
      <c r="C24" s="1123"/>
      <c r="D24" s="705" t="s">
        <v>802</v>
      </c>
      <c r="E24" s="1292"/>
      <c r="F24" s="1257"/>
      <c r="G24" s="1707"/>
      <c r="H24" s="1707"/>
      <c r="I24" s="1123"/>
      <c r="J24" s="1123"/>
      <c r="K24" s="1293"/>
      <c r="L24" s="1286"/>
      <c r="M24" s="1123"/>
      <c r="N24" s="1123"/>
      <c r="O24" s="1123"/>
      <c r="P24" s="1123"/>
    </row>
    <row r="25" spans="1:16">
      <c r="A25" s="1189"/>
      <c r="B25" s="1702" t="s">
        <v>1037</v>
      </c>
      <c r="C25" s="1702"/>
      <c r="D25" s="705" t="s">
        <v>802</v>
      </c>
      <c r="E25" s="265">
        <f>'STANDARD_NON RFO UNITS'!E24</f>
        <v>0.125</v>
      </c>
      <c r="F25" s="1708">
        <f>E25*F23</f>
        <v>449320.90268866543</v>
      </c>
      <c r="G25" s="1709"/>
      <c r="H25" s="1710"/>
      <c r="I25" s="1123"/>
      <c r="J25" s="100" t="s">
        <v>936</v>
      </c>
      <c r="K25" s="100"/>
      <c r="L25" s="264"/>
      <c r="M25" s="100"/>
      <c r="N25" s="3"/>
      <c r="O25" s="100" t="s">
        <v>937</v>
      </c>
      <c r="P25" s="1123"/>
    </row>
    <row r="26" spans="1:16">
      <c r="A26" s="3"/>
      <c r="B26" s="1699" t="s">
        <v>879</v>
      </c>
      <c r="C26" s="1699"/>
      <c r="D26" s="705" t="s">
        <v>802</v>
      </c>
      <c r="E26" s="266"/>
      <c r="F26" s="1714">
        <f>'STANDARD_NON RFO UNITS'!F25</f>
        <v>30000</v>
      </c>
      <c r="G26" s="1715"/>
      <c r="H26" s="1716"/>
      <c r="I26" s="100"/>
      <c r="J26" s="1123"/>
      <c r="K26" s="1123"/>
      <c r="L26" s="1278"/>
      <c r="M26" s="1123"/>
      <c r="N26" s="1123"/>
      <c r="O26" s="1123"/>
      <c r="P26" s="1123"/>
    </row>
    <row r="27" spans="1:16" s="3" customFormat="1">
      <c r="B27" s="1586" t="s">
        <v>1038</v>
      </c>
      <c r="C27" s="1586"/>
      <c r="D27" s="705" t="s">
        <v>802</v>
      </c>
      <c r="E27" s="267"/>
      <c r="F27" s="1700">
        <f>F25-F26</f>
        <v>419320.90268866543</v>
      </c>
      <c r="G27" s="1700"/>
      <c r="H27" s="1701"/>
      <c r="I27" s="100"/>
      <c r="J27" s="100"/>
      <c r="K27" s="100"/>
      <c r="L27" s="252"/>
      <c r="M27" s="100"/>
      <c r="N27" s="100"/>
      <c r="O27" s="100"/>
      <c r="P27" s="100"/>
    </row>
    <row r="28" spans="1:16" s="3" customFormat="1">
      <c r="B28" s="147"/>
      <c r="C28" s="1123"/>
      <c r="D28" s="705"/>
      <c r="E28" s="1123"/>
      <c r="F28" s="1125"/>
      <c r="G28" s="1125"/>
      <c r="H28" s="1125"/>
      <c r="I28" s="100"/>
      <c r="J28" s="1568" t="str">
        <f>FORM!I28</f>
        <v xml:space="preserve">agent </v>
      </c>
      <c r="K28" s="1568"/>
      <c r="L28" s="1568"/>
      <c r="M28" s="100"/>
      <c r="N28" s="100"/>
      <c r="O28" s="1568" t="str">
        <f>FORM!I26</f>
        <v>cnc</v>
      </c>
      <c r="P28" s="1568"/>
    </row>
    <row r="29" spans="1:16" s="3" customFormat="1">
      <c r="A29" s="1189"/>
      <c r="B29" s="129" t="s">
        <v>887</v>
      </c>
      <c r="C29" s="101"/>
      <c r="D29" s="705" t="s">
        <v>802</v>
      </c>
      <c r="E29" s="268">
        <f>100%-E25</f>
        <v>0.875</v>
      </c>
      <c r="F29" s="1740">
        <f>F23*E29</f>
        <v>3145246.3188206581</v>
      </c>
      <c r="G29" s="1700"/>
      <c r="H29" s="1701"/>
      <c r="I29" s="1123"/>
      <c r="J29" s="1226" t="s">
        <v>938</v>
      </c>
      <c r="K29" s="1226"/>
      <c r="L29" s="1294"/>
      <c r="M29" s="1123"/>
      <c r="N29" s="1123"/>
      <c r="O29" s="1226" t="s">
        <v>939</v>
      </c>
      <c r="P29" s="1229"/>
    </row>
    <row r="30" spans="1:16">
      <c r="A30" s="3"/>
      <c r="B30" s="147"/>
      <c r="C30" s="1123"/>
      <c r="D30" s="705"/>
      <c r="E30" s="1123"/>
      <c r="F30" s="1123"/>
      <c r="G30" s="1123"/>
      <c r="H30" s="1123"/>
      <c r="I30" s="100"/>
      <c r="J30" s="1123"/>
      <c r="K30" s="1123"/>
      <c r="L30" s="1295"/>
      <c r="M30" s="1123"/>
      <c r="N30" s="1123"/>
      <c r="O30" s="1123"/>
      <c r="P30" s="1123"/>
    </row>
    <row r="31" spans="1:16" s="3" customFormat="1">
      <c r="A31" s="1189"/>
      <c r="B31" s="88"/>
      <c r="C31" s="1123"/>
      <c r="D31" s="705"/>
      <c r="E31" s="1123"/>
      <c r="F31" s="1123"/>
      <c r="G31" s="1123"/>
      <c r="H31" s="1123"/>
      <c r="I31" s="1123"/>
      <c r="J31" s="1123"/>
      <c r="K31" s="1123"/>
      <c r="L31" s="1295"/>
      <c r="M31" s="1123"/>
      <c r="N31" s="1123"/>
      <c r="O31" s="1123"/>
      <c r="P31" s="1123"/>
    </row>
    <row r="32" spans="1:16">
      <c r="A32" s="1189"/>
      <c r="B32" s="101" t="s">
        <v>890</v>
      </c>
      <c r="C32" s="101"/>
      <c r="D32" s="175"/>
      <c r="E32" s="175"/>
      <c r="F32" s="175"/>
      <c r="G32" s="175"/>
      <c r="H32" s="175"/>
      <c r="I32" s="1123"/>
      <c r="J32" s="1123"/>
      <c r="K32" s="1123"/>
      <c r="L32" s="1286"/>
      <c r="M32" s="1123"/>
      <c r="N32" s="1123"/>
      <c r="O32" s="1123"/>
      <c r="P32" s="1123"/>
    </row>
    <row r="33" spans="2:9">
      <c r="B33" s="88"/>
      <c r="C33" s="1123"/>
      <c r="D33" s="705"/>
      <c r="E33" s="1123"/>
      <c r="F33" s="1123"/>
      <c r="G33" s="1123"/>
      <c r="H33" s="1123"/>
      <c r="I33" s="1123"/>
    </row>
    <row r="34" spans="2:9">
      <c r="B34" s="208" t="s">
        <v>56</v>
      </c>
      <c r="C34" s="208" t="s">
        <v>57</v>
      </c>
      <c r="D34" s="208" t="s">
        <v>58</v>
      </c>
      <c r="E34" s="208" t="s">
        <v>893</v>
      </c>
      <c r="F34" s="1549" t="s">
        <v>894</v>
      </c>
      <c r="G34" s="1549"/>
      <c r="H34" s="1549"/>
      <c r="I34" s="1123"/>
    </row>
    <row r="35" spans="2:9">
      <c r="B35" s="246">
        <v>5</v>
      </c>
      <c r="C35" s="247">
        <f>'STANDARD_NON RFO UNITS'!C35</f>
        <v>7.0000000000000007E-2</v>
      </c>
      <c r="D35" s="248">
        <f>PMT(C35/12,B35*12,-1)</f>
        <v>1.9801198540349535E-2</v>
      </c>
      <c r="E35" s="1127">
        <f>F29*D35</f>
        <v>62279.646817271365</v>
      </c>
      <c r="F35" s="1551">
        <f>E35/0.33</f>
        <v>188726.20247657987</v>
      </c>
      <c r="G35" s="1551"/>
      <c r="H35" s="1551"/>
      <c r="I35" s="1123"/>
    </row>
    <row r="36" spans="2:9">
      <c r="B36" s="246">
        <v>10</v>
      </c>
      <c r="C36" s="247">
        <f>'STANDARD_NON RFO UNITS'!C36</f>
        <v>7.0000000000000007E-2</v>
      </c>
      <c r="D36" s="248">
        <f>PMT(C36/12,B36*12,-1)</f>
        <v>1.1610847921862406E-2</v>
      </c>
      <c r="E36" s="1127">
        <f>F29*D36</f>
        <v>36518.97668462422</v>
      </c>
      <c r="F36" s="1551">
        <f>E36/0.33</f>
        <v>110663.56571098248</v>
      </c>
      <c r="G36" s="1551"/>
      <c r="H36" s="1551"/>
      <c r="I36" s="1123"/>
    </row>
    <row r="37" spans="2:9">
      <c r="B37" s="246">
        <v>15</v>
      </c>
      <c r="C37" s="247">
        <f>'STANDARD_NON RFO UNITS'!C37</f>
        <v>7.0000000000000007E-2</v>
      </c>
      <c r="D37" s="248">
        <f>PMT(C37/12,B37*12,-1)</f>
        <v>8.988282708524269E-3</v>
      </c>
      <c r="E37" s="1127">
        <f>F29*D37</f>
        <v>28270.363101505332</v>
      </c>
      <c r="F37" s="1551">
        <f>E37/0.33</f>
        <v>85667.766974258586</v>
      </c>
      <c r="G37" s="1551"/>
      <c r="H37" s="1551"/>
      <c r="I37" s="1123"/>
    </row>
    <row r="38" spans="2:9">
      <c r="B38" s="246">
        <v>20</v>
      </c>
      <c r="C38" s="247">
        <f>'STANDARD_NON RFO UNITS'!C38</f>
        <v>7.0000000000000007E-2</v>
      </c>
      <c r="D38" s="248">
        <f>PMT(C38/12,B38*12,-1)</f>
        <v>7.7529893561887461E-3</v>
      </c>
      <c r="E38" s="1127">
        <f>F29*D38</f>
        <v>24385.0612324084</v>
      </c>
      <c r="F38" s="1551">
        <f>E38/0.33</f>
        <v>73894.124946692114</v>
      </c>
      <c r="G38" s="1551"/>
      <c r="H38" s="1551"/>
      <c r="I38" s="1123"/>
    </row>
    <row r="39" spans="2:9">
      <c r="B39" s="260" t="str">
        <f>'STANDARD_NON RFO UNITS'!B39</f>
        <v>Fixed for three (3) years</v>
      </c>
      <c r="C39" s="1189"/>
      <c r="D39" s="1189"/>
      <c r="E39" s="1189"/>
      <c r="F39" s="1123"/>
      <c r="G39" s="1123"/>
      <c r="H39" s="1123"/>
      <c r="I39" s="1123"/>
    </row>
    <row r="40" spans="2:9">
      <c r="B40" s="260" t="str">
        <f>'STANDARD_NON RFO UNITS'!B40</f>
        <v>Sample Computation for Interest rate is at 7% fixed for three (3) years only</v>
      </c>
      <c r="C40" s="1189"/>
      <c r="D40" s="705"/>
      <c r="E40" s="1123"/>
      <c r="F40" s="1123"/>
      <c r="G40" s="1123"/>
      <c r="H40" s="1123"/>
      <c r="I40" s="1123"/>
    </row>
    <row r="41" spans="2:9">
      <c r="B41" s="166" t="s">
        <v>904</v>
      </c>
      <c r="C41" s="249"/>
      <c r="D41" s="705"/>
      <c r="E41" s="1123"/>
      <c r="F41" s="1123"/>
      <c r="G41" s="1123"/>
      <c r="H41" s="1123"/>
      <c r="I41" s="1123"/>
    </row>
    <row r="42" spans="2:9">
      <c r="B42" s="166" t="s">
        <v>906</v>
      </c>
      <c r="C42" s="1123"/>
      <c r="D42" s="705"/>
      <c r="E42" s="1123"/>
      <c r="F42" s="1123"/>
      <c r="G42" s="1123"/>
      <c r="H42" s="1123"/>
      <c r="I42" s="1123"/>
    </row>
    <row r="43" spans="2:9">
      <c r="B43" s="311"/>
      <c r="C43" s="310"/>
      <c r="D43" s="434"/>
      <c r="E43" s="22"/>
      <c r="F43" s="22"/>
      <c r="G43" s="22"/>
      <c r="H43" s="22"/>
      <c r="I43" s="22"/>
    </row>
    <row r="44" spans="2:9">
      <c r="B44" s="101" t="s">
        <v>909</v>
      </c>
      <c r="C44" s="238"/>
      <c r="D44" s="245"/>
      <c r="E44" s="1120"/>
      <c r="F44" s="924"/>
      <c r="G44" s="167"/>
      <c r="H44" s="167"/>
      <c r="I44" s="167"/>
    </row>
    <row r="45" spans="2:9">
      <c r="B45" s="175"/>
      <c r="C45" s="245"/>
      <c r="D45" s="245"/>
      <c r="E45" s="1121"/>
      <c r="F45" s="1122"/>
      <c r="G45" s="496"/>
      <c r="H45" s="496"/>
      <c r="I45" s="496"/>
    </row>
    <row r="46" spans="2:9">
      <c r="B46" s="129" t="s">
        <v>912</v>
      </c>
      <c r="C46" s="129"/>
      <c r="D46" s="142" t="s">
        <v>802</v>
      </c>
      <c r="E46" s="241">
        <f>IF(E10="COMMERCIAL",60%,80%)</f>
        <v>0.8</v>
      </c>
      <c r="F46" s="1558">
        <f>E46*F23</f>
        <v>2875653.7772074589</v>
      </c>
      <c r="G46" s="1559"/>
      <c r="H46" s="1559"/>
      <c r="I46" s="1560"/>
    </row>
    <row r="47" spans="2:9">
      <c r="B47" s="1123"/>
      <c r="C47" s="178"/>
      <c r="D47" s="178"/>
      <c r="E47" s="1124"/>
      <c r="F47" s="1125"/>
      <c r="G47" s="1125"/>
      <c r="H47" s="1125"/>
      <c r="I47" s="1125"/>
    </row>
    <row r="48" spans="2:9">
      <c r="B48" s="208" t="s">
        <v>56</v>
      </c>
      <c r="C48" s="208" t="s">
        <v>57</v>
      </c>
      <c r="D48" s="208" t="s">
        <v>58</v>
      </c>
      <c r="E48" s="208" t="s">
        <v>893</v>
      </c>
      <c r="F48" s="1549" t="s">
        <v>894</v>
      </c>
      <c r="G48" s="1549"/>
      <c r="H48" s="1549"/>
      <c r="I48" s="1549"/>
    </row>
    <row r="49" spans="2:9">
      <c r="B49" s="246">
        <v>1</v>
      </c>
      <c r="C49" s="1126">
        <v>0.12</v>
      </c>
      <c r="D49" s="248">
        <f>PMT(C49/12,B49*12,-1)</f>
        <v>8.88487886783417E-2</v>
      </c>
      <c r="E49" s="1127">
        <f>D49*$F$46</f>
        <v>255498.35476318063</v>
      </c>
      <c r="F49" s="1551">
        <f>E49/0.33</f>
        <v>774237.43867630488</v>
      </c>
      <c r="G49" s="1551"/>
      <c r="H49" s="1551"/>
      <c r="I49" s="1551"/>
    </row>
    <row r="50" spans="2:9" ht="15" customHeight="1">
      <c r="B50" s="246">
        <v>3</v>
      </c>
      <c r="C50" s="1126">
        <v>0.16</v>
      </c>
      <c r="D50" s="248">
        <f>PMT(C50/12,B50*12,-1)</f>
        <v>3.5157033036350094E-2</v>
      </c>
      <c r="E50" s="1127">
        <f>D50*$F$46</f>
        <v>101099.45484638757</v>
      </c>
      <c r="F50" s="1551">
        <f>E50/0.33</f>
        <v>306361.98438299261</v>
      </c>
      <c r="G50" s="1551"/>
      <c r="H50" s="1551"/>
      <c r="I50" s="1551"/>
    </row>
    <row r="51" spans="2:9" ht="14.25" customHeight="1">
      <c r="B51" s="246">
        <v>5</v>
      </c>
      <c r="C51" s="1126">
        <v>0.18</v>
      </c>
      <c r="D51" s="248">
        <f>PMT(C51/12,B51*12,-1)</f>
        <v>2.5393427427109084E-2</v>
      </c>
      <c r="E51" s="1127">
        <f>D51*$F$46</f>
        <v>73022.705497009723</v>
      </c>
      <c r="F51" s="1551">
        <f>E51/0.33</f>
        <v>221280.9257485143</v>
      </c>
      <c r="G51" s="1551"/>
      <c r="H51" s="1551"/>
      <c r="I51" s="1551"/>
    </row>
    <row r="52" spans="2:9" ht="15" customHeight="1">
      <c r="B52" s="246">
        <v>10</v>
      </c>
      <c r="C52" s="1126">
        <v>0.2</v>
      </c>
      <c r="D52" s="248">
        <f>PMT(C52/12,B52*12,-1)</f>
        <v>1.9325567219932577E-2</v>
      </c>
      <c r="E52" s="1127">
        <f>D52*$F$46</f>
        <v>55573.640372675764</v>
      </c>
      <c r="F52" s="1551">
        <f>E52/0.33</f>
        <v>168404.9708262902</v>
      </c>
      <c r="G52" s="1551"/>
      <c r="H52" s="1551"/>
      <c r="I52" s="1551"/>
    </row>
    <row r="53" spans="2:9" ht="14.25" customHeight="1" thickBot="1">
      <c r="B53" s="1167" t="s">
        <v>920</v>
      </c>
      <c r="C53" s="1128"/>
      <c r="D53" s="1128"/>
      <c r="E53" s="1128"/>
      <c r="F53" s="1128"/>
      <c r="G53" s="1128"/>
      <c r="H53" s="1128"/>
      <c r="I53" s="1128"/>
    </row>
    <row r="54" spans="2:9" ht="15" customHeight="1">
      <c r="B54" s="166"/>
      <c r="C54" s="1123"/>
      <c r="D54" s="705"/>
      <c r="E54" s="1123"/>
      <c r="F54" s="1123"/>
      <c r="G54" s="1123"/>
      <c r="H54" s="1123"/>
      <c r="I54" s="1123"/>
    </row>
    <row r="55" spans="2:9" ht="14.25" customHeight="1">
      <c r="B55" s="101" t="s">
        <v>924</v>
      </c>
      <c r="C55" s="101"/>
      <c r="D55" s="175"/>
      <c r="E55" s="175"/>
      <c r="F55" s="175"/>
      <c r="G55" s="175"/>
      <c r="H55" s="175"/>
      <c r="I55" s="1189"/>
    </row>
    <row r="56" spans="2:9" ht="15" customHeight="1">
      <c r="B56" s="175"/>
      <c r="C56" s="175"/>
      <c r="D56" s="175"/>
      <c r="E56" s="175"/>
      <c r="F56" s="175"/>
      <c r="G56" s="175"/>
      <c r="H56" s="175"/>
      <c r="I56" s="1189"/>
    </row>
    <row r="57" spans="2:9" ht="11.25" customHeight="1">
      <c r="B57" s="1717" t="s">
        <v>927</v>
      </c>
      <c r="C57" s="1717"/>
      <c r="D57" s="1717" t="s">
        <v>775</v>
      </c>
      <c r="E57" s="1717"/>
      <c r="F57" s="1717"/>
      <c r="G57" s="1717" t="s">
        <v>928</v>
      </c>
      <c r="H57" s="1717"/>
      <c r="I57" s="1189"/>
    </row>
    <row r="58" spans="2:9" ht="15" customHeight="1">
      <c r="B58" s="1508">
        <f>'STANDARD_NON RFO UNITS'!B59</f>
        <v>0</v>
      </c>
      <c r="C58" s="1509"/>
      <c r="D58" s="1508">
        <f>'STANDARD_NON RFO UNITS'!D59:D59</f>
        <v>0</v>
      </c>
      <c r="E58" s="1512"/>
      <c r="F58" s="1509"/>
      <c r="G58" s="1703">
        <f>'STANDARD_NON RFO UNITS'!G59</f>
        <v>0</v>
      </c>
      <c r="H58" s="1704"/>
      <c r="I58" s="1189"/>
    </row>
    <row r="59" spans="2:9" ht="14.25" customHeight="1">
      <c r="B59" s="1510"/>
      <c r="C59" s="1511"/>
      <c r="D59" s="1510"/>
      <c r="E59" s="1513"/>
      <c r="F59" s="1511"/>
      <c r="G59" s="1705"/>
      <c r="H59" s="1706"/>
      <c r="I59" s="1189"/>
    </row>
    <row r="60" spans="2:9" ht="15" customHeight="1">
      <c r="B60" s="1508">
        <f>'STANDARD_NON RFO UNITS'!B61</f>
        <v>0</v>
      </c>
      <c r="C60" s="1509"/>
      <c r="D60" s="1508">
        <f>'STANDARD_NON RFO UNITS'!D61:D61</f>
        <v>0</v>
      </c>
      <c r="E60" s="1512"/>
      <c r="F60" s="1509"/>
      <c r="G60" s="1703">
        <f>'STANDARD_NON RFO UNITS'!G61</f>
        <v>0</v>
      </c>
      <c r="H60" s="1704"/>
      <c r="I60" s="1189"/>
    </row>
    <row r="61" spans="2:9" ht="14.25" customHeight="1">
      <c r="B61" s="1510"/>
      <c r="C61" s="1511"/>
      <c r="D61" s="1510"/>
      <c r="E61" s="1513"/>
      <c r="F61" s="1511"/>
      <c r="G61" s="1705"/>
      <c r="H61" s="1706"/>
      <c r="I61" s="1189"/>
    </row>
    <row r="62" spans="2:9">
      <c r="B62" s="1508">
        <f>'STANDARD_NON RFO UNITS'!B63</f>
        <v>0</v>
      </c>
      <c r="C62" s="1509"/>
      <c r="D62" s="1508">
        <f>'STANDARD_NON RFO UNITS'!D63:D63</f>
        <v>0</v>
      </c>
      <c r="E62" s="1512"/>
      <c r="F62" s="1509"/>
      <c r="G62" s="1703">
        <f>'STANDARD_NON RFO UNITS'!G63</f>
        <v>0</v>
      </c>
      <c r="H62" s="1704"/>
      <c r="I62" s="1189"/>
    </row>
    <row r="63" spans="2:9">
      <c r="B63" s="1510"/>
      <c r="C63" s="1511"/>
      <c r="D63" s="1510"/>
      <c r="E63" s="1513"/>
      <c r="F63" s="1511"/>
      <c r="G63" s="1705"/>
      <c r="H63" s="1706"/>
      <c r="I63" s="1189"/>
    </row>
    <row r="64" spans="2:9">
      <c r="B64" s="1508">
        <f>'STANDARD_NON RFO UNITS'!B65</f>
        <v>0</v>
      </c>
      <c r="C64" s="1509"/>
      <c r="D64" s="1508">
        <f>'STANDARD_NON RFO UNITS'!D65:D65</f>
        <v>0</v>
      </c>
      <c r="E64" s="1512"/>
      <c r="F64" s="1509"/>
      <c r="G64" s="1703">
        <f>'STANDARD_NON RFO UNITS'!G65</f>
        <v>0</v>
      </c>
      <c r="H64" s="1704"/>
      <c r="I64" s="1189"/>
    </row>
    <row r="65" spans="1:8">
      <c r="A65" s="1189"/>
      <c r="B65" s="1510"/>
      <c r="C65" s="1511"/>
      <c r="D65" s="1510"/>
      <c r="E65" s="1513"/>
      <c r="F65" s="1511"/>
      <c r="G65" s="1705"/>
      <c r="H65" s="1706"/>
    </row>
    <row r="66" spans="1:8">
      <c r="A66" s="269" t="e">
        <f>(F18-(#REF!+F16))*12%</f>
        <v>#REF!</v>
      </c>
      <c r="B66" s="1508">
        <f>'STANDARD_NON RFO UNITS'!B67</f>
        <v>0</v>
      </c>
      <c r="C66" s="1509"/>
      <c r="D66" s="1508">
        <f>'STANDARD_NON RFO UNITS'!D67:D67</f>
        <v>0</v>
      </c>
      <c r="E66" s="1512"/>
      <c r="F66" s="1509"/>
      <c r="G66" s="1703">
        <f>'STANDARD_NON RFO UNITS'!G67</f>
        <v>0</v>
      </c>
      <c r="H66" s="1704"/>
    </row>
    <row r="67" spans="1:8">
      <c r="A67" s="1189"/>
      <c r="B67" s="1510"/>
      <c r="C67" s="1511"/>
      <c r="D67" s="1510"/>
      <c r="E67" s="1513"/>
      <c r="F67" s="1511"/>
      <c r="G67" s="1705"/>
      <c r="H67" s="1706"/>
    </row>
    <row r="68" spans="1:8">
      <c r="A68" s="1189"/>
      <c r="B68" s="1508">
        <f>'STANDARD_NON RFO UNITS'!B69</f>
        <v>0</v>
      </c>
      <c r="C68" s="1509"/>
      <c r="D68" s="1508">
        <f>'STANDARD_NON RFO UNITS'!D69:D69</f>
        <v>0</v>
      </c>
      <c r="E68" s="1512"/>
      <c r="F68" s="1509"/>
      <c r="G68" s="1703">
        <f>'STANDARD_NON RFO UNITS'!G69</f>
        <v>0</v>
      </c>
      <c r="H68" s="1704"/>
    </row>
    <row r="69" spans="1:8">
      <c r="A69" s="1189"/>
      <c r="B69" s="1510"/>
      <c r="C69" s="1511"/>
      <c r="D69" s="1510"/>
      <c r="E69" s="1513"/>
      <c r="F69" s="1511"/>
      <c r="G69" s="1705"/>
      <c r="H69" s="1706"/>
    </row>
    <row r="70" spans="1:8">
      <c r="A70" s="1189"/>
      <c r="B70" s="705"/>
      <c r="C70" s="705"/>
      <c r="D70" s="1296"/>
      <c r="E70" s="1296"/>
      <c r="F70" s="1296"/>
      <c r="G70" s="705"/>
      <c r="H70" s="705"/>
    </row>
    <row r="71" spans="1:8">
      <c r="A71" s="1189"/>
      <c r="B71" s="250"/>
      <c r="C71" s="250" t="s">
        <v>1039</v>
      </c>
      <c r="D71" s="1573"/>
      <c r="E71" s="1573"/>
      <c r="F71" s="1573"/>
      <c r="G71" s="705"/>
      <c r="H71" s="705"/>
    </row>
    <row r="72" spans="1:8">
      <c r="A72" s="1189"/>
      <c r="B72" s="705"/>
      <c r="C72" s="705"/>
      <c r="D72" s="1296"/>
      <c r="E72" s="1296"/>
      <c r="F72" s="1296"/>
      <c r="G72" s="705"/>
      <c r="H72" s="705"/>
    </row>
    <row r="73" spans="1:8">
      <c r="A73" s="1189"/>
      <c r="B73" s="705"/>
      <c r="C73" s="705"/>
      <c r="D73" s="1296"/>
      <c r="E73" s="1296"/>
      <c r="F73" s="1296"/>
      <c r="G73" s="705"/>
      <c r="H73" s="705"/>
    </row>
    <row r="75" spans="1:8">
      <c r="A75" s="1189"/>
      <c r="B75" s="100" t="s">
        <v>936</v>
      </c>
      <c r="C75" s="100"/>
      <c r="D75" s="264"/>
      <c r="E75" s="100"/>
      <c r="F75" s="100" t="s">
        <v>937</v>
      </c>
      <c r="G75" s="1123"/>
      <c r="H75" s="1189"/>
    </row>
    <row r="76" spans="1:8">
      <c r="A76" s="1189"/>
      <c r="B76" s="1123"/>
      <c r="C76" s="1123"/>
      <c r="D76" s="1278"/>
      <c r="E76" s="1123"/>
      <c r="F76" s="1123"/>
      <c r="G76" s="1123"/>
      <c r="H76" s="1189"/>
    </row>
    <row r="77" spans="1:8">
      <c r="A77" s="1189"/>
      <c r="B77" s="100"/>
      <c r="C77" s="100"/>
      <c r="D77" s="252"/>
      <c r="E77" s="100"/>
      <c r="F77" s="100"/>
      <c r="G77" s="100"/>
      <c r="H77" s="1189"/>
    </row>
    <row r="78" spans="1:8">
      <c r="A78" s="1189"/>
      <c r="B78" s="1568" t="str">
        <f>FORM!I28</f>
        <v xml:space="preserve">agent </v>
      </c>
      <c r="C78" s="1568"/>
      <c r="D78" s="1568"/>
      <c r="E78" s="100"/>
      <c r="F78" s="1711" t="str">
        <f>FORM!I26</f>
        <v>cnc</v>
      </c>
      <c r="G78" s="1711"/>
      <c r="H78" s="1711"/>
    </row>
    <row r="79" spans="1:8">
      <c r="A79" s="1189"/>
      <c r="B79" s="1226" t="s">
        <v>938</v>
      </c>
      <c r="C79" s="1226"/>
      <c r="D79" s="1294"/>
      <c r="E79" s="1123"/>
      <c r="F79" s="1229" t="s">
        <v>939</v>
      </c>
      <c r="G79" s="1229"/>
      <c r="H79" s="1297"/>
    </row>
  </sheetData>
  <sheetProtection password="CC2E" sheet="1" formatCells="0" formatColumns="0" formatRows="0"/>
  <mergeCells count="91">
    <mergeCell ref="F15:H15"/>
    <mergeCell ref="F17:H17"/>
    <mergeCell ref="F38:H38"/>
    <mergeCell ref="M15:N16"/>
    <mergeCell ref="F20:H20"/>
    <mergeCell ref="F21:H21"/>
    <mergeCell ref="M17:N17"/>
    <mergeCell ref="J15:K16"/>
    <mergeCell ref="J17:K17"/>
    <mergeCell ref="L15:L16"/>
    <mergeCell ref="F36:H36"/>
    <mergeCell ref="F37:H37"/>
    <mergeCell ref="F34:H34"/>
    <mergeCell ref="F29:H29"/>
    <mergeCell ref="F16:H16"/>
    <mergeCell ref="G2:H2"/>
    <mergeCell ref="E13:F13"/>
    <mergeCell ref="M13:N13"/>
    <mergeCell ref="B9:C9"/>
    <mergeCell ref="B10:C10"/>
    <mergeCell ref="E12:F12"/>
    <mergeCell ref="M12:N12"/>
    <mergeCell ref="E10:H10"/>
    <mergeCell ref="M10:P10"/>
    <mergeCell ref="E11:F11"/>
    <mergeCell ref="M11:N11"/>
    <mergeCell ref="O3:P3"/>
    <mergeCell ref="B4:H4"/>
    <mergeCell ref="J4:P4"/>
    <mergeCell ref="E9:H9"/>
    <mergeCell ref="M9:P9"/>
    <mergeCell ref="E6:H6"/>
    <mergeCell ref="M6:P6"/>
    <mergeCell ref="M7:P7"/>
    <mergeCell ref="E8:H8"/>
    <mergeCell ref="M8:P8"/>
    <mergeCell ref="E7:F7"/>
    <mergeCell ref="D68:F69"/>
    <mergeCell ref="G68:H69"/>
    <mergeCell ref="O28:P28"/>
    <mergeCell ref="J18:K18"/>
    <mergeCell ref="M18:N18"/>
    <mergeCell ref="J20:K20"/>
    <mergeCell ref="M20:N20"/>
    <mergeCell ref="J19:K19"/>
    <mergeCell ref="M19:N19"/>
    <mergeCell ref="J28:L28"/>
    <mergeCell ref="F23:I23"/>
    <mergeCell ref="F18:I18"/>
    <mergeCell ref="G62:H63"/>
    <mergeCell ref="F50:I50"/>
    <mergeCell ref="F51:I51"/>
    <mergeCell ref="F52:I52"/>
    <mergeCell ref="B64:C65"/>
    <mergeCell ref="D64:F65"/>
    <mergeCell ref="G64:H65"/>
    <mergeCell ref="B66:C67"/>
    <mergeCell ref="D66:F67"/>
    <mergeCell ref="G66:H67"/>
    <mergeCell ref="F78:H78"/>
    <mergeCell ref="O15:P16"/>
    <mergeCell ref="O17:P17"/>
    <mergeCell ref="O18:P18"/>
    <mergeCell ref="O19:P19"/>
    <mergeCell ref="D62:F63"/>
    <mergeCell ref="B78:D78"/>
    <mergeCell ref="F26:H26"/>
    <mergeCell ref="B57:C57"/>
    <mergeCell ref="D57:F57"/>
    <mergeCell ref="G57:H57"/>
    <mergeCell ref="D71:F71"/>
    <mergeCell ref="B58:C59"/>
    <mergeCell ref="D58:F59"/>
    <mergeCell ref="G58:H59"/>
    <mergeCell ref="B68:C69"/>
    <mergeCell ref="B23:C23"/>
    <mergeCell ref="B16:C16"/>
    <mergeCell ref="B27:C27"/>
    <mergeCell ref="F27:H27"/>
    <mergeCell ref="B62:C63"/>
    <mergeCell ref="B26:C26"/>
    <mergeCell ref="B25:C25"/>
    <mergeCell ref="B60:C61"/>
    <mergeCell ref="D60:F61"/>
    <mergeCell ref="G60:H61"/>
    <mergeCell ref="G24:H24"/>
    <mergeCell ref="F25:H25"/>
    <mergeCell ref="F35:H35"/>
    <mergeCell ref="F46:I46"/>
    <mergeCell ref="F48:I48"/>
    <mergeCell ref="F49:I49"/>
  </mergeCells>
  <pageMargins left="0.70866141732283472" right="0.70866141732283472" top="0.9055118110236221" bottom="0.74803149606299213" header="0.31496062992125984" footer="0.31496062992125984"/>
  <pageSetup paperSize="14" scale="75" orientation="portrait" r:id="rId1"/>
  <headerFooter>
    <oddHeader xml:space="preserve">&amp;R&amp;"Century Gothic,Bold"&amp;18ANNEX A: 
SAMPLE PACKAGE COMPUTATION
</oddHeader>
  </headerFooter>
  <colBreaks count="1" manualBreakCount="1">
    <brk id="8" max="80"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2"/>
  <dimension ref="A1:U123"/>
  <sheetViews>
    <sheetView showGridLines="0" showZeros="0" view="pageLayout" topLeftCell="A97" zoomScaleNormal="100" zoomScaleSheetLayoutView="85" workbookViewId="0">
      <selection activeCell="A113" sqref="A113:U11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41">
        <f>'SPOT EQUITY_7DAYS'!F15</f>
        <v>3195170.8635638431</v>
      </c>
      <c r="J27" s="1742"/>
      <c r="K27" s="1742"/>
      <c r="L27" s="1742"/>
      <c r="M27" s="1742"/>
      <c r="N27" s="1742"/>
      <c r="O27" s="1742"/>
      <c r="P27" s="1742"/>
      <c r="Q27" s="1742"/>
      <c r="R27" s="1742"/>
      <c r="S27" s="1742"/>
      <c r="T27" s="1742"/>
      <c r="U27" s="1743"/>
    </row>
    <row r="28" spans="1:21" ht="14.1">
      <c r="A28" s="39" t="s">
        <v>990</v>
      </c>
      <c r="B28" s="40"/>
      <c r="C28" s="42"/>
      <c r="D28" s="42"/>
      <c r="E28" s="42"/>
      <c r="F28" s="42"/>
      <c r="G28" s="42"/>
      <c r="H28" s="43"/>
      <c r="I28" s="1744">
        <f>'SPOT EQUITY_7DAYS'!F16+'SPOT EQUITY_7DAYS'!F17</f>
        <v>39939.635794548041</v>
      </c>
      <c r="J28" s="1745"/>
      <c r="K28" s="1745"/>
      <c r="L28" s="1745"/>
      <c r="M28" s="1745"/>
      <c r="N28" s="1745"/>
      <c r="O28" s="1745"/>
      <c r="P28" s="1745"/>
      <c r="Q28" s="1745"/>
      <c r="R28" s="1745"/>
      <c r="S28" s="1745"/>
      <c r="T28" s="1745"/>
      <c r="U28" s="1746"/>
    </row>
    <row r="29" spans="1:21" ht="14.1">
      <c r="A29" s="49" t="s">
        <v>791</v>
      </c>
      <c r="B29" s="50"/>
      <c r="C29" s="51"/>
      <c r="D29" s="51"/>
      <c r="E29" s="51"/>
      <c r="F29" s="51"/>
      <c r="G29" s="51"/>
      <c r="H29" s="48"/>
      <c r="I29" s="1741">
        <f>'SPOT EQUITY_7DAYS'!F18</f>
        <v>3155231.2277692952</v>
      </c>
      <c r="J29" s="1742"/>
      <c r="K29" s="1742"/>
      <c r="L29" s="1742"/>
      <c r="M29" s="1742"/>
      <c r="N29" s="1742"/>
      <c r="O29" s="1742"/>
      <c r="P29" s="1742"/>
      <c r="Q29" s="1742"/>
      <c r="R29" s="1742"/>
      <c r="S29" s="1742"/>
      <c r="T29" s="1742"/>
      <c r="U29" s="1743"/>
    </row>
    <row r="30" spans="1:21" ht="14.1">
      <c r="A30" s="39" t="s">
        <v>991</v>
      </c>
      <c r="B30" s="40"/>
      <c r="C30" s="42"/>
      <c r="D30" s="42"/>
      <c r="E30" s="42"/>
      <c r="F30" s="42"/>
      <c r="G30" s="42"/>
      <c r="H30" s="43"/>
      <c r="I30" s="1741">
        <f>'SPOT EQUITY_7DAYS'!F21</f>
        <v>439335.99374002841</v>
      </c>
      <c r="J30" s="1742"/>
      <c r="K30" s="1742"/>
      <c r="L30" s="1742"/>
      <c r="M30" s="1742"/>
      <c r="N30" s="1742"/>
      <c r="O30" s="1742"/>
      <c r="P30" s="1742"/>
      <c r="Q30" s="1742"/>
      <c r="R30" s="1742"/>
      <c r="S30" s="1742"/>
      <c r="T30" s="1742"/>
      <c r="U30" s="1743"/>
    </row>
    <row r="31" spans="1:21" ht="14.1">
      <c r="A31" s="39" t="s">
        <v>992</v>
      </c>
      <c r="B31" s="40"/>
      <c r="C31" s="42"/>
      <c r="D31" s="42"/>
      <c r="E31" s="42"/>
      <c r="F31" s="42"/>
      <c r="G31" s="42"/>
      <c r="H31" s="43"/>
      <c r="I31" s="1741">
        <f>'SPOT EQUITY_7DAYS'!F20</f>
        <v>0</v>
      </c>
      <c r="J31" s="1742"/>
      <c r="K31" s="1742"/>
      <c r="L31" s="1742"/>
      <c r="M31" s="1742"/>
      <c r="N31" s="1742"/>
      <c r="O31" s="1742"/>
      <c r="P31" s="1742"/>
      <c r="Q31" s="1742"/>
      <c r="R31" s="1742"/>
      <c r="S31" s="1742"/>
      <c r="T31" s="1742"/>
      <c r="U31" s="1743"/>
    </row>
    <row r="32" spans="1:21" ht="14.1">
      <c r="A32" s="39" t="s">
        <v>178</v>
      </c>
      <c r="B32" s="40"/>
      <c r="C32" s="42"/>
      <c r="D32" s="42"/>
      <c r="E32" s="42"/>
      <c r="F32" s="42"/>
      <c r="G32" s="42"/>
      <c r="H32" s="43"/>
      <c r="I32" s="1741">
        <f>'SPOT EQUITY_7DAYS'!F23</f>
        <v>3594567.2215093235</v>
      </c>
      <c r="J32" s="1742"/>
      <c r="K32" s="1742"/>
      <c r="L32" s="1742"/>
      <c r="M32" s="1742"/>
      <c r="N32" s="1742"/>
      <c r="O32" s="1742"/>
      <c r="P32" s="1742"/>
      <c r="Q32" s="1742"/>
      <c r="R32" s="1742"/>
      <c r="S32" s="1742"/>
      <c r="T32" s="1742"/>
      <c r="U32" s="174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es+DT5ruM5eE9KwGCpzF+U1PCZuq4d3A7CXOQnFLAD+bV43V8owP0bygALKRfsTtk2WlGyDbPG/p++Ja/JpIiA==" saltValue="ZMYN8pihSTEXT7VtEketLQ==" spinCount="100000" sheet="1" objects="1" scenarios="1"/>
  <mergeCells count="70">
    <mergeCell ref="T22:U22"/>
    <mergeCell ref="J23:L23"/>
    <mergeCell ref="P23:Q23"/>
    <mergeCell ref="T23:U23"/>
    <mergeCell ref="J22:L22"/>
    <mergeCell ref="P22:Q22"/>
    <mergeCell ref="D23:F23"/>
    <mergeCell ref="A113:U113"/>
    <mergeCell ref="A116:U116"/>
    <mergeCell ref="O40:R40"/>
    <mergeCell ref="R24:S25"/>
    <mergeCell ref="T24:U25"/>
    <mergeCell ref="D25:F25"/>
    <mergeCell ref="I30:U30"/>
    <mergeCell ref="I31:U31"/>
    <mergeCell ref="I32:U32"/>
    <mergeCell ref="S92:T92"/>
    <mergeCell ref="S90:T90"/>
    <mergeCell ref="M90:O90"/>
    <mergeCell ref="M91:O91"/>
    <mergeCell ref="A95:U95"/>
    <mergeCell ref="A96:H96"/>
    <mergeCell ref="A117:U117"/>
    <mergeCell ref="A99:H99"/>
    <mergeCell ref="I99:O99"/>
    <mergeCell ref="P99:U99"/>
    <mergeCell ref="A100:H100"/>
    <mergeCell ref="I100:O100"/>
    <mergeCell ref="P100:U100"/>
    <mergeCell ref="A102:U102"/>
    <mergeCell ref="H112:Q112"/>
    <mergeCell ref="A4:Q4"/>
    <mergeCell ref="A5:U6"/>
    <mergeCell ref="A9:U9"/>
    <mergeCell ref="T21:U21"/>
    <mergeCell ref="E16:T16"/>
    <mergeCell ref="A20:F20"/>
    <mergeCell ref="G20:L20"/>
    <mergeCell ref="M20:Q20"/>
    <mergeCell ref="R20:U20"/>
    <mergeCell ref="D21:F21"/>
    <mergeCell ref="J21:L21"/>
    <mergeCell ref="P21:Q21"/>
    <mergeCell ref="K13:U13"/>
    <mergeCell ref="A10:P10"/>
    <mergeCell ref="D22:F22"/>
    <mergeCell ref="D24:F24"/>
    <mergeCell ref="E91:G91"/>
    <mergeCell ref="S91:T91"/>
    <mergeCell ref="D3:Q3"/>
    <mergeCell ref="C40:N40"/>
    <mergeCell ref="H8:O8"/>
    <mergeCell ref="I29:U29"/>
    <mergeCell ref="J24:L24"/>
    <mergeCell ref="P24:Q24"/>
    <mergeCell ref="J25:L25"/>
    <mergeCell ref="P25:Q25"/>
    <mergeCell ref="I28:U28"/>
    <mergeCell ref="I27:U27"/>
    <mergeCell ref="I11:U11"/>
    <mergeCell ref="M12:U12"/>
    <mergeCell ref="A98:H98"/>
    <mergeCell ref="I98:O98"/>
    <mergeCell ref="P98:U98"/>
    <mergeCell ref="E90:G90"/>
    <mergeCell ref="I96:O96"/>
    <mergeCell ref="P96:U96"/>
    <mergeCell ref="A97:H97"/>
    <mergeCell ref="I97:O97"/>
    <mergeCell ref="P97:U97"/>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16404" r:id="rId10" name="Check Box 20">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16405" r:id="rId11" name="Check Box 21">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16406" r:id="rId12" name="Check Box 22">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16407" r:id="rId13" name="Check Box 23">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16408" r:id="rId14" name="Check Box 24">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16409" r:id="rId15" name="Check Box 25">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16410" r:id="rId16" name="Check Box 26">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16411" r:id="rId17" name="Check Box 27">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16412" r:id="rId18" name="Check Box 28">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16413" r:id="rId19" name="Check Box 29">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16414" r:id="rId20" name="Check Box 30">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16415" r:id="rId21" name="Check Box 31">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16416" r:id="rId22" name="Check Box 32">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6">
    <tabColor rgb="FF00B050"/>
  </sheetPr>
  <dimension ref="A1:AD79"/>
  <sheetViews>
    <sheetView showGridLines="0" showZeros="0" view="pageBreakPreview" topLeftCell="A32" zoomScale="85" zoomScaleNormal="90" zoomScaleSheetLayoutView="85" zoomScalePageLayoutView="85" workbookViewId="0">
      <selection activeCell="F21" sqref="F21:H21"/>
    </sheetView>
  </sheetViews>
  <sheetFormatPr defaultColWidth="9.140625" defaultRowHeight="14.45"/>
  <cols>
    <col min="1" max="1" width="0.85546875" customWidth="1"/>
    <col min="2" max="2" width="13" customWidth="1"/>
    <col min="3" max="3" width="23.140625" customWidth="1"/>
    <col min="4" max="4" width="18.140625" style="103" customWidth="1"/>
    <col min="5" max="5" width="18" customWidth="1"/>
    <col min="6" max="6" width="15.5703125" bestFit="1" customWidth="1"/>
    <col min="7" max="7" width="7.140625" customWidth="1"/>
    <col min="8" max="8" width="5.42578125" customWidth="1"/>
    <col min="9" max="9" width="6.85546875" customWidth="1"/>
    <col min="10" max="10" width="8.85546875" customWidth="1"/>
    <col min="11" max="11" width="5.5703125" hidden="1" customWidth="1"/>
    <col min="12" max="12" width="0.140625" hidden="1" customWidth="1"/>
    <col min="13" max="13" width="13.85546875" customWidth="1"/>
    <col min="14" max="14" width="18.5703125" customWidth="1"/>
    <col min="15" max="15" width="21.85546875" style="104" customWidth="1"/>
    <col min="17" max="17" width="14.85546875" customWidth="1"/>
    <col min="18" max="18" width="17.5703125" customWidth="1"/>
    <col min="19" max="19" width="15.85546875" customWidth="1"/>
    <col min="20" max="20" width="8.140625" customWidth="1"/>
    <col min="22" max="22" width="9.140625" style="105"/>
    <col min="23" max="23" width="9.140625" style="105" customWidth="1"/>
    <col min="24" max="25" width="9.140625" style="105" hidden="1" customWidth="1"/>
    <col min="26" max="29" width="9.140625" style="105" customWidth="1"/>
    <col min="30" max="30" width="9.140625" style="105"/>
  </cols>
  <sheetData>
    <row r="1" spans="2:30" ht="3" customHeight="1">
      <c r="U1" s="168" t="e">
        <f>EDATE(O18,'STANDARD_NON RFO UNITS'!E28)</f>
        <v>#VALUE!</v>
      </c>
    </row>
    <row r="2" spans="2:30" s="119" customFormat="1" ht="12.95">
      <c r="B2" s="85" t="s">
        <v>847</v>
      </c>
      <c r="C2" s="1276" t="str">
        <f>FORM!I20</f>
        <v>September 1,2025</v>
      </c>
      <c r="D2" s="1190"/>
      <c r="E2" s="1190"/>
      <c r="F2" s="85" t="s">
        <v>943</v>
      </c>
      <c r="G2" s="1765" t="s">
        <v>849</v>
      </c>
      <c r="H2" s="1727"/>
      <c r="I2" s="1727"/>
      <c r="J2" s="1728"/>
      <c r="K2" s="1189"/>
      <c r="L2" s="1189"/>
      <c r="M2" s="487" t="s">
        <v>847</v>
      </c>
      <c r="N2" s="1276" t="str">
        <f>C2</f>
        <v>September 1,2025</v>
      </c>
      <c r="O2" s="1190"/>
      <c r="Q2" s="84" t="str">
        <f>F2</f>
        <v>PAGE:</v>
      </c>
      <c r="R2" s="1697" t="s">
        <v>851</v>
      </c>
      <c r="S2" s="1698"/>
      <c r="V2" s="112"/>
      <c r="W2" s="112"/>
      <c r="X2" s="112"/>
      <c r="Y2" s="112"/>
      <c r="Z2" s="112"/>
      <c r="AA2" s="112"/>
      <c r="AB2" s="112"/>
      <c r="AC2" s="112"/>
      <c r="AD2" s="112"/>
    </row>
    <row r="3" spans="2:30" s="1" customFormat="1" ht="12.6">
      <c r="C3" s="106"/>
      <c r="D3" s="106"/>
      <c r="G3" s="107"/>
      <c r="H3" s="107"/>
      <c r="I3" s="107"/>
      <c r="J3" s="108"/>
      <c r="K3" s="107"/>
      <c r="L3" s="107"/>
      <c r="N3" s="106"/>
      <c r="O3" s="106"/>
      <c r="R3" s="1762"/>
      <c r="S3" s="1762"/>
      <c r="V3" s="109"/>
      <c r="W3" s="109"/>
      <c r="X3" s="109"/>
      <c r="Y3" s="109"/>
      <c r="Z3" s="109"/>
      <c r="AA3" s="109"/>
      <c r="AB3" s="109"/>
      <c r="AC3" s="109"/>
      <c r="AD3" s="109"/>
    </row>
    <row r="4" spans="2:30" s="111" customFormat="1" ht="12" customHeight="1">
      <c r="B4" s="1638" t="s">
        <v>1040</v>
      </c>
      <c r="C4" s="1638"/>
      <c r="D4" s="1638"/>
      <c r="E4" s="1638"/>
      <c r="F4" s="1638"/>
      <c r="G4" s="1638"/>
      <c r="H4" s="1638"/>
      <c r="I4" s="1638"/>
      <c r="J4" s="1638"/>
      <c r="K4" s="110"/>
      <c r="L4" s="110"/>
      <c r="M4" s="1638" t="s">
        <v>853</v>
      </c>
      <c r="N4" s="1638"/>
      <c r="O4" s="1638"/>
      <c r="P4" s="1638"/>
      <c r="Q4" s="1638"/>
      <c r="R4" s="1638"/>
      <c r="S4" s="1638"/>
      <c r="V4" s="112"/>
      <c r="W4" s="112"/>
      <c r="X4" s="112"/>
      <c r="Y4" s="112"/>
      <c r="Z4" s="112"/>
      <c r="AA4" s="112"/>
      <c r="AB4" s="112"/>
      <c r="AC4" s="112"/>
      <c r="AD4" s="112"/>
    </row>
    <row r="5" spans="2:30" s="111" customFormat="1" ht="12" customHeight="1">
      <c r="B5" s="1638"/>
      <c r="C5" s="1638"/>
      <c r="D5" s="1638"/>
      <c r="E5" s="1638"/>
      <c r="F5" s="1638"/>
      <c r="G5" s="1638"/>
      <c r="H5" s="1638"/>
      <c r="I5" s="1638"/>
      <c r="J5" s="1638"/>
      <c r="K5" s="110"/>
      <c r="L5" s="110"/>
      <c r="M5" s="1638"/>
      <c r="N5" s="1638"/>
      <c r="O5" s="1638"/>
      <c r="P5" s="1638"/>
      <c r="Q5" s="1638"/>
      <c r="R5" s="1638"/>
      <c r="S5" s="1638"/>
      <c r="V5" s="112"/>
      <c r="W5" s="112"/>
      <c r="X5" s="112"/>
      <c r="Y5" s="112"/>
      <c r="Z5" s="112"/>
      <c r="AA5" s="112"/>
      <c r="AB5" s="112"/>
      <c r="AC5" s="112"/>
      <c r="AD5" s="112"/>
    </row>
    <row r="6" spans="2:30" s="111" customFormat="1" ht="12" customHeight="1">
      <c r="B6" s="113"/>
      <c r="C6" s="113"/>
      <c r="D6" s="114"/>
      <c r="E6" s="113"/>
      <c r="F6" s="113"/>
      <c r="G6" s="113"/>
      <c r="H6" s="113"/>
      <c r="I6" s="113"/>
      <c r="J6" s="113"/>
      <c r="K6" s="113"/>
      <c r="L6" s="113"/>
      <c r="M6" s="115"/>
      <c r="N6" s="116"/>
      <c r="O6" s="117"/>
      <c r="P6" s="116"/>
      <c r="Q6" s="116"/>
      <c r="R6" s="116"/>
      <c r="S6" s="117"/>
      <c r="V6" s="112"/>
      <c r="W6" s="112"/>
      <c r="X6" s="112"/>
      <c r="Y6" s="112"/>
      <c r="Z6" s="112"/>
      <c r="AA6" s="112"/>
      <c r="AB6" s="112"/>
      <c r="AC6" s="112"/>
      <c r="AD6" s="112"/>
    </row>
    <row r="7" spans="2:30" s="111" customFormat="1" ht="12.95">
      <c r="B7" s="225" t="s">
        <v>854</v>
      </c>
      <c r="C7" s="226"/>
      <c r="D7" s="705" t="s">
        <v>802</v>
      </c>
      <c r="E7" s="1529" t="str">
        <f>FORM!I26</f>
        <v>cnc</v>
      </c>
      <c r="F7" s="1530"/>
      <c r="G7" s="1530"/>
      <c r="H7" s="1530"/>
      <c r="I7" s="1530"/>
      <c r="J7" s="1531"/>
      <c r="K7" s="113"/>
      <c r="L7" s="113"/>
      <c r="M7" s="225" t="s">
        <v>854</v>
      </c>
      <c r="N7" s="226"/>
      <c r="O7" s="705" t="s">
        <v>802</v>
      </c>
      <c r="P7" s="1529" t="str">
        <f>E7</f>
        <v>cnc</v>
      </c>
      <c r="Q7" s="1530"/>
      <c r="R7" s="1530"/>
      <c r="S7" s="1531"/>
      <c r="V7" s="112"/>
      <c r="W7" s="112"/>
      <c r="X7" s="112"/>
      <c r="Y7" s="112"/>
      <c r="Z7" s="112"/>
      <c r="AA7" s="112"/>
      <c r="AB7" s="112"/>
      <c r="AC7" s="112"/>
      <c r="AD7" s="112"/>
    </row>
    <row r="8" spans="2:30" s="111" customFormat="1" ht="12.95">
      <c r="B8" s="144" t="s">
        <v>801</v>
      </c>
      <c r="C8" s="227"/>
      <c r="D8" s="705" t="s">
        <v>802</v>
      </c>
      <c r="E8" s="1543" t="str">
        <f>FORM!I11</f>
        <v>The Southprime Flats</v>
      </c>
      <c r="F8" s="1544"/>
      <c r="G8" s="1200" t="str">
        <f>FORM!I14</f>
        <v>B1</v>
      </c>
      <c r="H8" s="1200"/>
      <c r="I8" s="1200"/>
      <c r="J8" s="1201"/>
      <c r="K8" s="113"/>
      <c r="L8" s="113"/>
      <c r="M8" s="144" t="s">
        <v>801</v>
      </c>
      <c r="N8" s="227"/>
      <c r="O8" s="705" t="s">
        <v>802</v>
      </c>
      <c r="P8" s="1763" t="str">
        <f>E8</f>
        <v>The Southprime Flats</v>
      </c>
      <c r="Q8" s="1566"/>
      <c r="R8" s="1566"/>
      <c r="S8" s="1764"/>
      <c r="V8" s="112"/>
      <c r="W8" s="112"/>
      <c r="X8" s="112"/>
      <c r="Y8" s="112"/>
      <c r="Z8" s="112"/>
      <c r="AA8" s="112"/>
      <c r="AB8" s="112"/>
      <c r="AC8" s="112"/>
      <c r="AD8" s="112"/>
    </row>
    <row r="9" spans="2:30" s="111" customFormat="1" ht="12.95">
      <c r="B9" s="144" t="s">
        <v>855</v>
      </c>
      <c r="C9" s="227"/>
      <c r="D9" s="705" t="s">
        <v>802</v>
      </c>
      <c r="E9" s="1529" t="str">
        <f>'STANDARD_NON RFO UNITS'!E8</f>
        <v>2F</v>
      </c>
      <c r="F9" s="1530"/>
      <c r="G9" s="1530"/>
      <c r="H9" s="1530"/>
      <c r="I9" s="1530"/>
      <c r="J9" s="1531"/>
      <c r="K9" s="113"/>
      <c r="L9" s="113"/>
      <c r="M9" s="144" t="s">
        <v>855</v>
      </c>
      <c r="N9" s="227"/>
      <c r="O9" s="705" t="s">
        <v>802</v>
      </c>
      <c r="P9" s="1529" t="str">
        <f>B9</f>
        <v>UNIT NUMBER</v>
      </c>
      <c r="Q9" s="1530"/>
      <c r="R9" s="1530"/>
      <c r="S9" s="1531"/>
      <c r="V9" s="112"/>
      <c r="W9" s="112"/>
      <c r="X9" s="112"/>
      <c r="Y9" s="112"/>
      <c r="Z9" s="112"/>
      <c r="AA9" s="112"/>
      <c r="AB9" s="112"/>
      <c r="AC9" s="112"/>
      <c r="AD9" s="112"/>
    </row>
    <row r="10" spans="2:30" s="119" customFormat="1" ht="12.95" hidden="1">
      <c r="B10" s="144" t="s">
        <v>856</v>
      </c>
      <c r="C10" s="227"/>
      <c r="D10" s="705" t="s">
        <v>802</v>
      </c>
      <c r="E10" s="1529" t="e">
        <f>FORM!#REF!</f>
        <v>#REF!</v>
      </c>
      <c r="F10" s="1530"/>
      <c r="G10" s="1530"/>
      <c r="H10" s="1530"/>
      <c r="I10" s="1530"/>
      <c r="J10" s="1531"/>
      <c r="K10" s="118"/>
      <c r="L10" s="118"/>
      <c r="M10" s="144" t="s">
        <v>856</v>
      </c>
      <c r="N10" s="227"/>
      <c r="O10" s="705" t="s">
        <v>802</v>
      </c>
      <c r="P10" s="1763" t="e">
        <f t="shared" ref="P10:P14" si="0">E10</f>
        <v>#REF!</v>
      </c>
      <c r="Q10" s="1566"/>
      <c r="R10" s="1566"/>
      <c r="S10" s="1764"/>
      <c r="V10" s="112"/>
      <c r="W10" s="112"/>
      <c r="X10" s="112"/>
      <c r="Y10" s="112"/>
      <c r="Z10" s="112"/>
      <c r="AA10" s="112"/>
      <c r="AB10" s="112"/>
      <c r="AC10" s="112"/>
      <c r="AD10" s="112"/>
    </row>
    <row r="11" spans="2:30" s="119" customFormat="1" ht="12.95">
      <c r="B11" s="144" t="s">
        <v>857</v>
      </c>
      <c r="C11" s="227"/>
      <c r="D11" s="705" t="s">
        <v>802</v>
      </c>
      <c r="E11" s="1529" t="str">
        <f>'STANDARD_NON RFO UNITS'!E10</f>
        <v>Studio Unit</v>
      </c>
      <c r="F11" s="1530"/>
      <c r="G11" s="1530"/>
      <c r="H11" s="1530"/>
      <c r="I11" s="1530"/>
      <c r="J11" s="1531"/>
      <c r="K11" s="118"/>
      <c r="L11" s="118"/>
      <c r="M11" s="144" t="s">
        <v>857</v>
      </c>
      <c r="N11" s="227"/>
      <c r="O11" s="705" t="s">
        <v>802</v>
      </c>
      <c r="P11" s="1759" t="str">
        <f t="shared" si="0"/>
        <v>Studio Unit</v>
      </c>
      <c r="Q11" s="1760"/>
      <c r="R11" s="1760"/>
      <c r="S11" s="1761"/>
      <c r="T11" s="483"/>
      <c r="V11" s="112"/>
      <c r="W11" s="112"/>
      <c r="X11" s="112"/>
      <c r="Y11" s="112"/>
      <c r="Z11" s="112"/>
      <c r="AA11" s="112"/>
      <c r="AB11" s="112"/>
      <c r="AC11" s="112"/>
      <c r="AD11" s="112"/>
    </row>
    <row r="12" spans="2:30" s="119" customFormat="1" ht="12.95">
      <c r="B12" s="456" t="s">
        <v>858</v>
      </c>
      <c r="C12" s="270"/>
      <c r="D12" s="705" t="s">
        <v>802</v>
      </c>
      <c r="E12" s="1539">
        <f>'STANDARD_NON RFO UNITS'!E11:F11</f>
        <v>22</v>
      </c>
      <c r="F12" s="1755"/>
      <c r="G12" s="1200" t="s">
        <v>859</v>
      </c>
      <c r="H12" s="1196"/>
      <c r="I12" s="1200"/>
      <c r="J12" s="1201"/>
      <c r="K12" s="118"/>
      <c r="L12" s="118"/>
      <c r="M12" s="144" t="s">
        <v>858</v>
      </c>
      <c r="N12" s="227"/>
      <c r="O12" s="705" t="s">
        <v>802</v>
      </c>
      <c r="P12" s="1539">
        <f t="shared" si="0"/>
        <v>22</v>
      </c>
      <c r="Q12" s="1540"/>
      <c r="R12" s="1200" t="s">
        <v>859</v>
      </c>
      <c r="S12" s="1197"/>
      <c r="V12" s="112"/>
      <c r="W12" s="112"/>
      <c r="X12" s="112"/>
      <c r="Y12" s="112"/>
      <c r="Z12" s="112"/>
      <c r="AA12" s="112"/>
      <c r="AB12" s="112"/>
      <c r="AC12" s="112"/>
      <c r="AD12" s="112"/>
    </row>
    <row r="13" spans="2:30" s="119" customFormat="1" ht="12.95">
      <c r="B13" s="148" t="s">
        <v>860</v>
      </c>
      <c r="C13" s="270"/>
      <c r="D13" s="705" t="s">
        <v>802</v>
      </c>
      <c r="E13" s="1545">
        <f>'STANDARD_NON RFO UNITS'!E12:F12</f>
        <v>0</v>
      </c>
      <c r="F13" s="1756"/>
      <c r="G13" s="1200" t="s">
        <v>859</v>
      </c>
      <c r="H13" s="1200"/>
      <c r="I13" s="1200"/>
      <c r="J13" s="1201" t="s">
        <v>819</v>
      </c>
      <c r="K13" s="118"/>
      <c r="L13" s="118"/>
      <c r="M13" s="148" t="s">
        <v>860</v>
      </c>
      <c r="N13" s="227"/>
      <c r="O13" s="705" t="s">
        <v>802</v>
      </c>
      <c r="P13" s="1545">
        <f t="shared" si="0"/>
        <v>0</v>
      </c>
      <c r="Q13" s="1546"/>
      <c r="R13" s="1200" t="s">
        <v>859</v>
      </c>
      <c r="S13" s="1201"/>
      <c r="V13" s="112"/>
      <c r="W13" s="112"/>
      <c r="X13" s="112"/>
      <c r="Y13" s="112"/>
      <c r="Z13" s="112"/>
      <c r="AA13" s="112"/>
      <c r="AB13" s="112"/>
      <c r="AC13" s="112"/>
      <c r="AD13" s="112"/>
    </row>
    <row r="14" spans="2:30" s="119" customFormat="1" ht="12.95">
      <c r="B14" s="238" t="s">
        <v>861</v>
      </c>
      <c r="C14" s="101"/>
      <c r="D14" s="705" t="s">
        <v>802</v>
      </c>
      <c r="E14" s="1545">
        <f>'STANDARD_NON RFO UNITS'!E13:F13</f>
        <v>22</v>
      </c>
      <c r="F14" s="1756"/>
      <c r="G14" s="1200" t="s">
        <v>859</v>
      </c>
      <c r="H14" s="1200"/>
      <c r="I14" s="1200"/>
      <c r="J14" s="1201"/>
      <c r="K14" s="118"/>
      <c r="L14" s="118"/>
      <c r="M14" s="238" t="s">
        <v>861</v>
      </c>
      <c r="N14" s="101"/>
      <c r="O14" s="705" t="s">
        <v>802</v>
      </c>
      <c r="P14" s="1757">
        <f t="shared" si="0"/>
        <v>22</v>
      </c>
      <c r="Q14" s="1758"/>
      <c r="R14" s="1299" t="s">
        <v>859</v>
      </c>
      <c r="S14" s="1253"/>
      <c r="V14" s="112"/>
      <c r="W14" s="112"/>
      <c r="X14" s="112"/>
      <c r="Y14" s="112"/>
      <c r="Z14" s="112"/>
      <c r="AA14" s="112"/>
      <c r="AB14" s="112"/>
      <c r="AC14" s="112"/>
      <c r="AD14" s="112"/>
    </row>
    <row r="15" spans="2:30" s="119" customFormat="1" ht="12.95">
      <c r="B15" s="1123"/>
      <c r="C15" s="1123"/>
      <c r="D15" s="705"/>
      <c r="E15" s="1123"/>
      <c r="F15" s="1123"/>
      <c r="G15" s="1123"/>
      <c r="H15" s="1123"/>
      <c r="I15" s="1123"/>
      <c r="J15" s="1123"/>
      <c r="K15" s="118"/>
      <c r="L15" s="118"/>
      <c r="M15" s="1123"/>
      <c r="N15" s="1123"/>
      <c r="O15" s="1205"/>
      <c r="P15" s="1123"/>
      <c r="Q15" s="1123"/>
      <c r="R15" s="1123"/>
      <c r="S15" s="1123"/>
      <c r="V15" s="112"/>
      <c r="W15" s="112"/>
      <c r="X15" s="112"/>
      <c r="Y15" s="112"/>
      <c r="Z15" s="112"/>
      <c r="AA15" s="112"/>
      <c r="AB15" s="112"/>
      <c r="AC15" s="112"/>
      <c r="AD15" s="112"/>
    </row>
    <row r="16" spans="2:30" s="119" customFormat="1" ht="15" customHeight="1">
      <c r="B16" s="141" t="s">
        <v>862</v>
      </c>
      <c r="C16" s="228"/>
      <c r="D16" s="142" t="s">
        <v>802</v>
      </c>
      <c r="E16" s="436"/>
      <c r="F16" s="1747">
        <f>'STANDARD_NON RFO UNITS'!F15</f>
        <v>3195170.8635638431</v>
      </c>
      <c r="G16" s="1623"/>
      <c r="H16" s="1623"/>
      <c r="I16" s="1623"/>
      <c r="J16" s="1624"/>
      <c r="K16" s="120"/>
      <c r="L16" s="120"/>
      <c r="M16" s="1549" t="s">
        <v>863</v>
      </c>
      <c r="N16" s="1549"/>
      <c r="O16" s="1550" t="s">
        <v>773</v>
      </c>
      <c r="P16" s="1549" t="s">
        <v>776</v>
      </c>
      <c r="Q16" s="1549"/>
      <c r="R16" s="1553" t="s">
        <v>214</v>
      </c>
      <c r="S16" s="1554"/>
      <c r="V16" s="112"/>
      <c r="W16" s="112"/>
      <c r="X16" s="112"/>
      <c r="Y16" s="112"/>
      <c r="Z16" s="112"/>
      <c r="AA16" s="112"/>
      <c r="AB16" s="112"/>
      <c r="AC16" s="112"/>
      <c r="AD16" s="112"/>
    </row>
    <row r="17" spans="1:30" s="121" customFormat="1" ht="12.95">
      <c r="B17" s="1699" t="s">
        <v>1035</v>
      </c>
      <c r="C17" s="1699"/>
      <c r="D17" s="705" t="s">
        <v>802</v>
      </c>
      <c r="E17" s="437">
        <v>0.05</v>
      </c>
      <c r="F17" s="1748">
        <f>((F16-F18)*E26*E17)</f>
        <v>19969.817897274021</v>
      </c>
      <c r="G17" s="1628"/>
      <c r="H17" s="1628"/>
      <c r="I17" s="1628"/>
      <c r="J17" s="1629"/>
      <c r="K17" s="118"/>
      <c r="L17" s="118"/>
      <c r="M17" s="1549"/>
      <c r="N17" s="1549"/>
      <c r="O17" s="1550"/>
      <c r="P17" s="1549"/>
      <c r="Q17" s="1549"/>
      <c r="R17" s="1555"/>
      <c r="S17" s="1556"/>
      <c r="V17" s="122"/>
      <c r="W17" s="122"/>
      <c r="X17" s="122"/>
      <c r="Y17" s="122"/>
      <c r="Z17" s="122"/>
      <c r="AA17" s="122"/>
      <c r="AB17" s="122"/>
      <c r="AC17" s="122"/>
      <c r="AD17" s="122"/>
    </row>
    <row r="18" spans="1:30" s="119" customFormat="1" ht="12.95">
      <c r="B18" s="144" t="s">
        <v>864</v>
      </c>
      <c r="C18" s="148"/>
      <c r="D18" s="705" t="s">
        <v>802</v>
      </c>
      <c r="E18" s="1287"/>
      <c r="F18" s="1770">
        <f>'STANDARD_NON RFO UNITS'!F16:I16</f>
        <v>0</v>
      </c>
      <c r="G18" s="1630"/>
      <c r="H18" s="1630"/>
      <c r="I18" s="1630"/>
      <c r="J18" s="1631"/>
      <c r="K18" s="120"/>
      <c r="L18" s="120"/>
      <c r="M18" s="1527" t="s">
        <v>820</v>
      </c>
      <c r="N18" s="1527"/>
      <c r="O18" s="1288" t="str">
        <f>C2</f>
        <v>September 1,2025</v>
      </c>
      <c r="P18" s="1551">
        <f>FORM!I22</f>
        <v>30000</v>
      </c>
      <c r="Q18" s="1551"/>
      <c r="R18" s="1525"/>
      <c r="S18" s="1526"/>
      <c r="V18" s="112"/>
      <c r="W18" s="112"/>
      <c r="X18" s="112"/>
      <c r="Y18" s="112"/>
      <c r="Z18" s="112"/>
      <c r="AA18" s="112"/>
      <c r="AB18" s="112"/>
      <c r="AC18" s="112"/>
      <c r="AD18" s="112"/>
    </row>
    <row r="19" spans="1:30" s="121" customFormat="1" ht="12.95">
      <c r="B19" s="129" t="s">
        <v>865</v>
      </c>
      <c r="C19" s="101"/>
      <c r="D19" s="142" t="s">
        <v>802</v>
      </c>
      <c r="E19" s="436"/>
      <c r="F19" s="1747">
        <f>F16-F17-F18</f>
        <v>3175201.0456665689</v>
      </c>
      <c r="G19" s="1623"/>
      <c r="H19" s="1623"/>
      <c r="I19" s="1623"/>
      <c r="J19" s="1624"/>
      <c r="K19" s="118"/>
      <c r="L19" s="118"/>
      <c r="M19" s="1527" t="s">
        <v>1036</v>
      </c>
      <c r="N19" s="1527"/>
      <c r="O19" s="1288" t="e">
        <f>O18+30</f>
        <v>#VALUE!</v>
      </c>
      <c r="P19" s="1551">
        <f>F28</f>
        <v>421817.12992582464</v>
      </c>
      <c r="Q19" s="1551"/>
      <c r="R19" s="1525"/>
      <c r="S19" s="1526"/>
      <c r="V19" s="122"/>
      <c r="W19" s="122"/>
      <c r="X19" s="122"/>
      <c r="Y19" s="122"/>
      <c r="Z19" s="122"/>
      <c r="AA19" s="122"/>
      <c r="AB19" s="122"/>
      <c r="AC19" s="122"/>
      <c r="AD19" s="122"/>
    </row>
    <row r="20" spans="1:30" s="119" customFormat="1" ht="12.95">
      <c r="B20" s="147"/>
      <c r="C20" s="1123"/>
      <c r="D20" s="705"/>
      <c r="E20" s="433">
        <f>(F19)*E21</f>
        <v>381024.12547998823</v>
      </c>
      <c r="F20" s="1257"/>
      <c r="G20" s="1257"/>
      <c r="H20" s="1257"/>
      <c r="I20" s="1123"/>
      <c r="J20" s="1123"/>
      <c r="K20" s="118"/>
      <c r="L20" s="118"/>
      <c r="M20" s="1563" t="s">
        <v>935</v>
      </c>
      <c r="N20" s="1563"/>
      <c r="O20" s="263" t="e">
        <f>IF(AND(DAY(U1)&gt;=6,DAY(U1)&lt;=20),DATE(YEAR(U1),MONTH(U1)+1,DAY(20)),IF(AND(DAY(U1)&gt;=21,DAY(U1)&lt;=30),DATE(YEAR(U1),MONTH(U1)+1,IF(DAY(EOMONTH(U1,1))&lt;30,DAY(EOMONTH(U1,1)),DAY(30))),DATE(YEAR(U1),MONTH(U1)+1,DAY(5))))</f>
        <v>#VALUE!</v>
      </c>
      <c r="P20" s="1718">
        <f>F30</f>
        <v>3162719.9094807724</v>
      </c>
      <c r="Q20" s="1718"/>
      <c r="R20" s="1712"/>
      <c r="S20" s="1713"/>
      <c r="V20" s="112"/>
      <c r="W20" s="112"/>
      <c r="X20" s="1749" t="s">
        <v>866</v>
      </c>
      <c r="Y20" s="1749"/>
      <c r="Z20" s="112"/>
      <c r="AA20" s="112"/>
      <c r="AB20" s="112"/>
      <c r="AC20" s="112"/>
      <c r="AD20" s="112"/>
    </row>
    <row r="21" spans="1:30" s="119" customFormat="1" ht="12.95">
      <c r="B21" s="148" t="s">
        <v>868</v>
      </c>
      <c r="C21" s="148"/>
      <c r="D21" s="705" t="s">
        <v>802</v>
      </c>
      <c r="E21" s="1213">
        <v>0.12</v>
      </c>
      <c r="F21" s="1627">
        <f>IF(OR(ISBLANK('STANDARD_NON RFO UNITS'!F19), 'STANDARD_NON RFO UNITS'!F19 = 0), 0, 0.12 * F19)</f>
        <v>0</v>
      </c>
      <c r="G21" s="1628"/>
      <c r="H21" s="1751"/>
      <c r="I21" s="1200"/>
      <c r="J21" s="1201"/>
      <c r="K21" s="118"/>
      <c r="L21" s="118"/>
      <c r="M21" s="1574"/>
      <c r="N21" s="1574"/>
      <c r="O21" s="1300"/>
      <c r="P21" s="1753"/>
      <c r="Q21" s="1753"/>
      <c r="R21" s="1123"/>
      <c r="S21" s="1123"/>
      <c r="T21" s="112"/>
      <c r="U21" s="112"/>
      <c r="V21" s="112"/>
      <c r="W21" s="112"/>
    </row>
    <row r="22" spans="1:30" s="119" customFormat="1" ht="12.95">
      <c r="B22" s="238" t="s">
        <v>870</v>
      </c>
      <c r="C22" s="126"/>
      <c r="D22" s="705" t="s">
        <v>802</v>
      </c>
      <c r="E22" s="1213"/>
      <c r="F22" s="1627">
        <f>'STANDARD_NON RFO UNITS'!F20</f>
        <v>439335.99374002841</v>
      </c>
      <c r="G22" s="1628"/>
      <c r="H22" s="1751"/>
      <c r="I22" s="1200"/>
      <c r="J22" s="1201"/>
      <c r="K22" s="118"/>
      <c r="L22" s="118"/>
      <c r="M22" s="142"/>
      <c r="N22" s="142"/>
      <c r="O22" s="275"/>
      <c r="P22" s="457"/>
      <c r="Q22" s="457"/>
      <c r="R22" s="100"/>
      <c r="S22" s="100"/>
      <c r="T22" s="112"/>
      <c r="U22" s="112"/>
      <c r="V22" s="112"/>
      <c r="W22" s="112"/>
    </row>
    <row r="23" spans="1:30" s="119" customFormat="1" ht="12.95">
      <c r="B23" s="147"/>
      <c r="C23" s="1123"/>
      <c r="D23" s="705"/>
      <c r="E23" s="1123"/>
      <c r="F23" s="1257"/>
      <c r="G23" s="1257"/>
      <c r="H23" s="1301"/>
      <c r="I23" s="1123"/>
      <c r="J23" s="1123"/>
      <c r="K23" s="118"/>
      <c r="L23" s="118"/>
      <c r="M23" s="1189"/>
      <c r="N23" s="1189"/>
      <c r="O23" s="1189"/>
      <c r="P23" s="1189"/>
      <c r="Q23" s="1189"/>
      <c r="R23" s="1189"/>
      <c r="S23" s="1189"/>
      <c r="T23" s="112"/>
      <c r="U23" s="112"/>
      <c r="V23" s="112"/>
      <c r="W23" s="112"/>
    </row>
    <row r="24" spans="1:30" s="119" customFormat="1" ht="12.95">
      <c r="B24" s="129" t="s">
        <v>874</v>
      </c>
      <c r="C24" s="101"/>
      <c r="D24" s="142" t="s">
        <v>802</v>
      </c>
      <c r="E24" s="484"/>
      <c r="F24" s="1754">
        <f>F19+SUM(F21:I22)</f>
        <v>3614537.0394065971</v>
      </c>
      <c r="G24" s="1754"/>
      <c r="H24" s="1754"/>
      <c r="I24" s="1754"/>
      <c r="J24" s="1754"/>
      <c r="K24" s="120"/>
      <c r="L24" s="120"/>
      <c r="M24" s="1189"/>
      <c r="N24" s="1189"/>
      <c r="O24" s="1189"/>
      <c r="P24" s="1189"/>
      <c r="Q24" s="1189"/>
      <c r="R24" s="1189"/>
      <c r="S24" s="1189"/>
      <c r="T24" s="112"/>
      <c r="U24" s="112"/>
      <c r="V24" s="112"/>
      <c r="W24" s="112"/>
    </row>
    <row r="25" spans="1:30" s="119" customFormat="1" ht="12.95">
      <c r="B25" s="147"/>
      <c r="C25" s="1123"/>
      <c r="D25" s="705"/>
      <c r="E25" s="1299"/>
      <c r="F25" s="1257"/>
      <c r="G25" s="1257"/>
      <c r="H25" s="1301"/>
      <c r="I25" s="1123"/>
      <c r="J25" s="1123"/>
      <c r="K25" s="118"/>
      <c r="L25" s="118"/>
      <c r="M25" s="100" t="s">
        <v>936</v>
      </c>
      <c r="N25" s="100"/>
      <c r="O25" s="100"/>
      <c r="P25" s="100"/>
      <c r="Q25" s="1189"/>
      <c r="R25" s="100" t="s">
        <v>937</v>
      </c>
      <c r="S25" s="100"/>
      <c r="T25" s="112"/>
      <c r="U25" s="112"/>
      <c r="V25" s="112"/>
      <c r="W25" s="112"/>
    </row>
    <row r="26" spans="1:30" s="119" customFormat="1" ht="12.95">
      <c r="A26" s="121"/>
      <c r="B26" s="141" t="s">
        <v>1041</v>
      </c>
      <c r="C26" s="226"/>
      <c r="D26" s="142" t="s">
        <v>802</v>
      </c>
      <c r="E26" s="271">
        <f>'STANDARD_NON RFO UNITS'!E24</f>
        <v>0.125</v>
      </c>
      <c r="F26" s="1622">
        <f>F24*E26</f>
        <v>451817.12992582464</v>
      </c>
      <c r="G26" s="1623"/>
      <c r="H26" s="1752"/>
      <c r="I26" s="272"/>
      <c r="J26" s="143"/>
      <c r="K26" s="120"/>
      <c r="L26" s="120"/>
      <c r="M26" s="1123"/>
      <c r="N26" s="1123"/>
      <c r="O26" s="705"/>
      <c r="P26" s="1123"/>
      <c r="Q26" s="1123"/>
      <c r="R26" s="1123"/>
      <c r="S26" s="1123"/>
      <c r="T26" s="112"/>
      <c r="U26" s="112"/>
      <c r="V26" s="112"/>
      <c r="W26" s="112"/>
    </row>
    <row r="27" spans="1:30" s="121" customFormat="1" ht="12.95">
      <c r="B27" s="225" t="s">
        <v>879</v>
      </c>
      <c r="C27" s="228"/>
      <c r="D27" s="705" t="s">
        <v>802</v>
      </c>
      <c r="E27" s="1302"/>
      <c r="F27" s="1627">
        <f>'STANDARD_NON RFO UNITS'!F25</f>
        <v>30000</v>
      </c>
      <c r="G27" s="1628"/>
      <c r="H27" s="1751"/>
      <c r="I27" s="272"/>
      <c r="J27" s="143"/>
      <c r="K27" s="120"/>
      <c r="L27" s="120"/>
      <c r="M27" s="100"/>
      <c r="N27" s="100"/>
      <c r="O27" s="142"/>
      <c r="P27" s="100"/>
      <c r="Q27" s="100"/>
      <c r="R27" s="100"/>
      <c r="S27" s="100"/>
      <c r="T27" s="122"/>
      <c r="U27" s="122"/>
      <c r="V27" s="122"/>
      <c r="W27" s="122"/>
    </row>
    <row r="28" spans="1:30" s="121" customFormat="1" ht="12.95">
      <c r="A28" s="119"/>
      <c r="B28" s="129" t="s">
        <v>1038</v>
      </c>
      <c r="C28" s="101"/>
      <c r="D28" s="142" t="s">
        <v>802</v>
      </c>
      <c r="E28" s="273"/>
      <c r="F28" s="1622">
        <f>F26-F27</f>
        <v>421817.12992582464</v>
      </c>
      <c r="G28" s="1623"/>
      <c r="H28" s="1752"/>
      <c r="I28" s="272"/>
      <c r="J28" s="143"/>
      <c r="K28" s="118"/>
      <c r="L28" s="118"/>
      <c r="M28" s="1568" t="str">
        <f>FORM!I28</f>
        <v xml:space="preserve">agent </v>
      </c>
      <c r="N28" s="1568"/>
      <c r="O28" s="167"/>
      <c r="P28" s="100"/>
      <c r="Q28" s="100"/>
      <c r="R28" s="1568" t="str">
        <f>FORM!I26</f>
        <v>cnc</v>
      </c>
      <c r="S28" s="1568"/>
      <c r="T28" s="122"/>
      <c r="U28" s="122"/>
      <c r="V28" s="122"/>
      <c r="W28" s="122"/>
    </row>
    <row r="29" spans="1:30" s="119" customFormat="1" ht="12.95">
      <c r="A29" s="121"/>
      <c r="B29" s="147"/>
      <c r="C29" s="1123"/>
      <c r="D29" s="705"/>
      <c r="E29" s="705"/>
      <c r="F29" s="1622"/>
      <c r="G29" s="1623"/>
      <c r="H29" s="1752"/>
      <c r="I29" s="272"/>
      <c r="J29" s="143"/>
      <c r="K29" s="120"/>
      <c r="L29" s="120"/>
      <c r="M29" s="1226" t="s">
        <v>938</v>
      </c>
      <c r="N29" s="1226"/>
      <c r="O29" s="705"/>
      <c r="P29" s="1123"/>
      <c r="Q29" s="1123"/>
      <c r="R29" s="1226" t="s">
        <v>939</v>
      </c>
      <c r="S29" s="1229"/>
      <c r="T29" s="112"/>
      <c r="U29" s="112"/>
      <c r="V29" s="112"/>
      <c r="W29" s="112"/>
    </row>
    <row r="30" spans="1:30" s="121" customFormat="1" ht="12.95">
      <c r="A30" s="119"/>
      <c r="B30" s="129" t="s">
        <v>887</v>
      </c>
      <c r="C30" s="101"/>
      <c r="D30" s="142" t="s">
        <v>802</v>
      </c>
      <c r="E30" s="274">
        <f>100%-E26</f>
        <v>0.875</v>
      </c>
      <c r="F30" s="1622">
        <f>F24*E30</f>
        <v>3162719.9094807724</v>
      </c>
      <c r="G30" s="1623"/>
      <c r="H30" s="1752"/>
      <c r="I30" s="1200"/>
      <c r="J30" s="1201"/>
      <c r="K30" s="118"/>
      <c r="L30" s="118"/>
      <c r="M30" s="118"/>
      <c r="N30" s="118"/>
      <c r="O30" s="118"/>
      <c r="P30" s="118"/>
      <c r="Q30" s="118"/>
      <c r="R30" s="118"/>
      <c r="S30" s="118"/>
      <c r="T30" s="122"/>
      <c r="U30" s="122"/>
      <c r="V30" s="122"/>
      <c r="W30" s="122"/>
    </row>
    <row r="31" spans="1:30" s="119" customFormat="1" ht="12.95">
      <c r="B31" s="123"/>
      <c r="C31" s="118"/>
      <c r="D31" s="124"/>
      <c r="E31" s="118"/>
      <c r="F31" s="125"/>
      <c r="G31" s="118"/>
      <c r="H31" s="118"/>
      <c r="I31" s="118"/>
      <c r="J31" s="118"/>
      <c r="K31" s="120"/>
      <c r="L31" s="120"/>
      <c r="O31" s="485"/>
      <c r="T31" s="112"/>
      <c r="U31" s="112"/>
      <c r="V31" s="112"/>
      <c r="W31" s="112"/>
    </row>
    <row r="32" spans="1:30" s="121" customFormat="1" ht="12.95">
      <c r="A32" s="119"/>
      <c r="B32" s="113"/>
      <c r="C32" s="118"/>
      <c r="D32" s="124"/>
      <c r="E32" s="118"/>
      <c r="F32" s="118"/>
      <c r="G32" s="118"/>
      <c r="H32" s="118"/>
      <c r="I32" s="118"/>
      <c r="J32" s="118"/>
      <c r="K32" s="118"/>
      <c r="L32" s="118"/>
      <c r="M32" s="119"/>
      <c r="N32" s="119"/>
      <c r="O32" s="485"/>
      <c r="P32" s="119"/>
      <c r="Q32" s="119"/>
      <c r="R32" s="119"/>
      <c r="S32" s="119"/>
      <c r="T32" s="122"/>
      <c r="U32" s="122"/>
      <c r="V32" s="122"/>
      <c r="W32" s="122"/>
    </row>
    <row r="33" spans="1:23" s="119" customFormat="1" ht="12.95">
      <c r="B33" s="101" t="s">
        <v>890</v>
      </c>
      <c r="C33" s="126"/>
      <c r="D33" s="127"/>
      <c r="E33" s="94"/>
      <c r="F33" s="94"/>
      <c r="G33" s="94"/>
      <c r="H33" s="94"/>
      <c r="I33" s="94"/>
      <c r="J33" s="94"/>
      <c r="K33" s="118"/>
      <c r="L33" s="118"/>
      <c r="O33" s="485"/>
      <c r="T33" s="112"/>
      <c r="U33" s="112"/>
      <c r="V33" s="112"/>
      <c r="W33" s="112"/>
    </row>
    <row r="34" spans="1:23" s="119" customFormat="1" ht="12.95">
      <c r="B34" s="113"/>
      <c r="C34" s="118"/>
      <c r="D34" s="124"/>
      <c r="E34" s="118"/>
      <c r="F34" s="118"/>
      <c r="G34" s="118"/>
      <c r="H34" s="118"/>
      <c r="I34" s="118"/>
      <c r="J34" s="118"/>
      <c r="K34" s="120"/>
      <c r="L34" s="120"/>
      <c r="O34" s="485"/>
      <c r="T34" s="112"/>
      <c r="U34" s="112"/>
      <c r="V34" s="112"/>
      <c r="W34" s="112"/>
    </row>
    <row r="35" spans="1:23" s="121" customFormat="1" ht="12.95">
      <c r="A35" s="119"/>
      <c r="B35" s="208" t="s">
        <v>56</v>
      </c>
      <c r="C35" s="208" t="s">
        <v>57</v>
      </c>
      <c r="D35" s="208" t="s">
        <v>58</v>
      </c>
      <c r="E35" s="208" t="s">
        <v>893</v>
      </c>
      <c r="F35" s="1549" t="s">
        <v>949</v>
      </c>
      <c r="G35" s="1549"/>
      <c r="H35" s="1549"/>
      <c r="I35" s="1549"/>
      <c r="J35" s="1549"/>
      <c r="K35" s="118"/>
      <c r="L35" s="118"/>
      <c r="M35" s="119"/>
      <c r="N35" s="119"/>
      <c r="O35" s="485"/>
      <c r="P35" s="119"/>
      <c r="Q35" s="119"/>
      <c r="R35" s="119"/>
      <c r="S35" s="119"/>
      <c r="T35" s="122"/>
      <c r="U35" s="122"/>
      <c r="V35" s="122"/>
      <c r="W35" s="122"/>
    </row>
    <row r="36" spans="1:23" s="119" customFormat="1" ht="12.95">
      <c r="B36" s="246">
        <v>5</v>
      </c>
      <c r="C36" s="247">
        <f>'STANDARD_NON RFO UNITS'!C35</f>
        <v>7.0000000000000007E-2</v>
      </c>
      <c r="D36" s="248">
        <f>PMT(C36/12,B36*12,-1)</f>
        <v>1.9801198540349535E-2</v>
      </c>
      <c r="E36" s="1127">
        <f>F30*D36</f>
        <v>62625.644855145081</v>
      </c>
      <c r="F36" s="1551">
        <f>E36/0.33</f>
        <v>189774.68137922752</v>
      </c>
      <c r="G36" s="1551"/>
      <c r="H36" s="1551"/>
      <c r="I36" s="1551"/>
      <c r="J36" s="1551"/>
      <c r="K36" s="118"/>
      <c r="L36" s="118"/>
      <c r="O36" s="485"/>
      <c r="T36" s="112"/>
      <c r="U36" s="112"/>
      <c r="V36" s="112"/>
      <c r="W36" s="112"/>
    </row>
    <row r="37" spans="1:23" s="119" customFormat="1" ht="12.95">
      <c r="B37" s="246">
        <v>10</v>
      </c>
      <c r="C37" s="247">
        <f>'STANDARD_NON RFO UNITS'!C36</f>
        <v>7.0000000000000007E-2</v>
      </c>
      <c r="D37" s="248">
        <f>PMT(C37/12,B37*12,-1)</f>
        <v>1.1610847921862406E-2</v>
      </c>
      <c r="E37" s="1127">
        <f>F30*D37</f>
        <v>36721.859888427687</v>
      </c>
      <c r="F37" s="1551">
        <f>E37/0.33</f>
        <v>111278.36329826571</v>
      </c>
      <c r="G37" s="1551"/>
      <c r="H37" s="1551"/>
      <c r="I37" s="1551"/>
      <c r="J37" s="1551"/>
      <c r="K37" s="118"/>
      <c r="L37" s="118"/>
      <c r="O37" s="485"/>
      <c r="T37" s="112"/>
      <c r="U37" s="112"/>
      <c r="V37" s="112"/>
      <c r="W37" s="112"/>
    </row>
    <row r="38" spans="1:23" s="119" customFormat="1" ht="12.95">
      <c r="B38" s="246">
        <v>15</v>
      </c>
      <c r="C38" s="247">
        <f>'STANDARD_NON RFO UNITS'!C37</f>
        <v>7.0000000000000007E-2</v>
      </c>
      <c r="D38" s="248">
        <f t="shared" ref="D38" si="1">PMT(C38/12,B38*12,-1)</f>
        <v>8.988282708524269E-3</v>
      </c>
      <c r="E38" s="1127">
        <f>F30*D38</f>
        <v>28427.420674291468</v>
      </c>
      <c r="F38" s="1551">
        <f>E38/0.33</f>
        <v>86143.699013004443</v>
      </c>
      <c r="G38" s="1551"/>
      <c r="H38" s="1551"/>
      <c r="I38" s="1551"/>
      <c r="J38" s="1551"/>
      <c r="K38" s="118"/>
      <c r="L38" s="118"/>
      <c r="O38" s="485"/>
      <c r="T38" s="112"/>
      <c r="U38" s="112"/>
      <c r="V38" s="112"/>
      <c r="W38" s="112"/>
    </row>
    <row r="39" spans="1:23" s="119" customFormat="1" ht="12.95">
      <c r="B39" s="246">
        <v>20</v>
      </c>
      <c r="C39" s="247">
        <f>'STANDARD_NON RFO UNITS'!C38</f>
        <v>7.0000000000000007E-2</v>
      </c>
      <c r="D39" s="248">
        <f t="shared" ref="D39" si="2">PMT(C39/12,B39*12,-1)</f>
        <v>7.7529893561887461E-3</v>
      </c>
      <c r="E39" s="1127">
        <f>F30*D39</f>
        <v>24520.533794810664</v>
      </c>
      <c r="F39" s="1551">
        <f>E39/0.33</f>
        <v>74304.647863062622</v>
      </c>
      <c r="G39" s="1551"/>
      <c r="H39" s="1551"/>
      <c r="I39" s="1551"/>
      <c r="J39" s="1551"/>
      <c r="K39" s="118"/>
      <c r="L39" s="118"/>
      <c r="O39" s="485"/>
      <c r="T39" s="112"/>
      <c r="U39" s="112"/>
      <c r="V39" s="112"/>
      <c r="W39" s="112"/>
    </row>
    <row r="40" spans="1:23" s="119" customFormat="1" ht="12.95">
      <c r="B40" s="161" t="str">
        <f>'STANDARD_NON RFO UNITS'!B39</f>
        <v>Fixed for three (3) years</v>
      </c>
      <c r="C40" s="118"/>
      <c r="D40" s="118"/>
      <c r="E40" s="118"/>
      <c r="F40" s="118"/>
      <c r="G40" s="118"/>
      <c r="H40" s="118"/>
      <c r="I40" s="118"/>
      <c r="J40" s="118"/>
      <c r="K40" s="118"/>
      <c r="L40" s="118"/>
      <c r="O40" s="485"/>
      <c r="T40" s="112"/>
      <c r="U40" s="112"/>
      <c r="V40" s="112"/>
      <c r="W40" s="112"/>
    </row>
    <row r="41" spans="1:23" s="119" customFormat="1" ht="12.95">
      <c r="B41" s="161" t="str">
        <f>'STANDARD_NON RFO UNITS'!B40</f>
        <v>Sample Computation for Interest rate is at 7% fixed for three (3) years only</v>
      </c>
      <c r="C41" s="118"/>
      <c r="D41" s="124"/>
      <c r="E41" s="118"/>
      <c r="F41" s="118"/>
      <c r="G41" s="118"/>
      <c r="H41" s="118"/>
      <c r="I41" s="118"/>
      <c r="J41" s="118"/>
      <c r="K41" s="118"/>
      <c r="L41" s="118"/>
      <c r="O41" s="485"/>
      <c r="T41" s="112"/>
      <c r="U41" s="112"/>
      <c r="V41" s="112"/>
      <c r="W41" s="112"/>
    </row>
    <row r="42" spans="1:23" s="119" customFormat="1" ht="12.95">
      <c r="B42" s="482" t="s">
        <v>904</v>
      </c>
      <c r="C42" s="118"/>
      <c r="D42" s="124"/>
      <c r="E42" s="118"/>
      <c r="F42" s="118"/>
      <c r="G42" s="118"/>
      <c r="H42" s="118"/>
      <c r="I42" s="118"/>
      <c r="J42" s="118"/>
      <c r="K42" s="118"/>
      <c r="L42" s="118"/>
      <c r="O42" s="485"/>
      <c r="T42" s="112"/>
      <c r="U42" s="112"/>
      <c r="V42" s="112"/>
      <c r="W42" s="112"/>
    </row>
    <row r="43" spans="1:23" s="119" customFormat="1" ht="12.95">
      <c r="B43" s="482" t="s">
        <v>906</v>
      </c>
      <c r="C43" s="128"/>
      <c r="D43" s="124"/>
      <c r="E43" s="118"/>
      <c r="F43" s="118"/>
      <c r="G43" s="118"/>
      <c r="H43" s="118"/>
      <c r="I43" s="118"/>
      <c r="J43" s="118"/>
      <c r="K43" s="118"/>
      <c r="L43" s="118"/>
      <c r="O43" s="485"/>
      <c r="T43" s="112"/>
      <c r="U43" s="112"/>
      <c r="V43" s="112"/>
      <c r="W43" s="112"/>
    </row>
    <row r="44" spans="1:23" s="119" customFormat="1" ht="12.95">
      <c r="B44" s="311"/>
      <c r="C44" s="310"/>
      <c r="D44" s="434"/>
      <c r="E44" s="22"/>
      <c r="F44" s="22"/>
      <c r="G44" s="22"/>
      <c r="H44" s="22"/>
      <c r="I44" s="22"/>
      <c r="J44" s="118"/>
      <c r="K44" s="118"/>
      <c r="L44" s="118"/>
      <c r="O44" s="485"/>
      <c r="T44" s="112"/>
      <c r="U44" s="112"/>
      <c r="V44" s="112"/>
      <c r="W44" s="112"/>
    </row>
    <row r="45" spans="1:23" s="119" customFormat="1" ht="12.95">
      <c r="B45" s="101" t="s">
        <v>909</v>
      </c>
      <c r="C45" s="238"/>
      <c r="D45" s="245"/>
      <c r="E45" s="1120"/>
      <c r="F45" s="924"/>
      <c r="G45" s="167"/>
      <c r="H45" s="167"/>
      <c r="I45" s="167"/>
      <c r="J45" s="118"/>
      <c r="K45" s="118"/>
      <c r="L45" s="118"/>
      <c r="O45" s="485"/>
      <c r="T45" s="112"/>
      <c r="U45" s="112"/>
      <c r="V45" s="112"/>
      <c r="W45" s="112"/>
    </row>
    <row r="46" spans="1:23" s="119" customFormat="1" ht="12.95">
      <c r="B46" s="175"/>
      <c r="C46" s="245"/>
      <c r="D46" s="245"/>
      <c r="E46" s="1121"/>
      <c r="F46" s="1122"/>
      <c r="G46" s="496"/>
      <c r="H46" s="496"/>
      <c r="I46" s="496"/>
      <c r="J46" s="118"/>
      <c r="K46" s="118"/>
      <c r="L46" s="118"/>
      <c r="O46" s="485"/>
      <c r="T46" s="112"/>
      <c r="U46" s="112"/>
      <c r="V46" s="112"/>
      <c r="W46" s="112"/>
    </row>
    <row r="47" spans="1:23" s="119" customFormat="1" ht="12.95">
      <c r="B47" s="129" t="s">
        <v>912</v>
      </c>
      <c r="C47" s="129"/>
      <c r="D47" s="142" t="s">
        <v>802</v>
      </c>
      <c r="E47" s="241">
        <f>IF(E11="COMMERCIAL",60%,80%)</f>
        <v>0.8</v>
      </c>
      <c r="F47" s="1558">
        <f>E47*F24</f>
        <v>2891629.6315252781</v>
      </c>
      <c r="G47" s="1559"/>
      <c r="H47" s="1559"/>
      <c r="I47" s="1560"/>
      <c r="J47" s="118"/>
      <c r="K47" s="118"/>
      <c r="L47" s="118"/>
      <c r="O47" s="485"/>
      <c r="T47" s="112"/>
      <c r="U47" s="112"/>
      <c r="V47" s="112"/>
      <c r="W47" s="112"/>
    </row>
    <row r="48" spans="1:23" s="119" customFormat="1" ht="12.95">
      <c r="B48" s="1123"/>
      <c r="C48" s="178"/>
      <c r="D48" s="178"/>
      <c r="E48" s="1124"/>
      <c r="F48" s="1125"/>
      <c r="G48" s="1125"/>
      <c r="H48" s="1125"/>
      <c r="I48" s="1125"/>
      <c r="J48" s="118"/>
      <c r="K48" s="118"/>
      <c r="L48" s="118"/>
      <c r="O48" s="485"/>
      <c r="T48" s="112"/>
      <c r="U48" s="112"/>
      <c r="V48" s="112"/>
      <c r="W48" s="112"/>
    </row>
    <row r="49" spans="1:30" s="119" customFormat="1" ht="12.95">
      <c r="B49" s="208" t="s">
        <v>56</v>
      </c>
      <c r="C49" s="208" t="s">
        <v>57</v>
      </c>
      <c r="D49" s="208" t="s">
        <v>58</v>
      </c>
      <c r="E49" s="208" t="s">
        <v>893</v>
      </c>
      <c r="F49" s="1549" t="s">
        <v>894</v>
      </c>
      <c r="G49" s="1549"/>
      <c r="H49" s="1549"/>
      <c r="I49" s="1549"/>
      <c r="J49" s="118"/>
      <c r="K49" s="118"/>
      <c r="L49" s="118"/>
      <c r="O49" s="485"/>
      <c r="T49" s="112"/>
      <c r="U49" s="112"/>
      <c r="V49" s="112"/>
      <c r="W49" s="112"/>
    </row>
    <row r="50" spans="1:30" s="119" customFormat="1" ht="12.95">
      <c r="A50" s="486" t="e">
        <f>(E19-#REF!)*12%</f>
        <v>#REF!</v>
      </c>
      <c r="B50" s="246">
        <v>1</v>
      </c>
      <c r="C50" s="1126">
        <v>0.12</v>
      </c>
      <c r="D50" s="248">
        <f>PMT(C50/12,B50*12,-1)</f>
        <v>8.88487886783417E-2</v>
      </c>
      <c r="E50" s="1127">
        <f>D50*$F$47</f>
        <v>256917.79006742052</v>
      </c>
      <c r="F50" s="1551">
        <f>E50/0.33</f>
        <v>778538.75778006215</v>
      </c>
      <c r="G50" s="1551"/>
      <c r="H50" s="1551"/>
      <c r="I50" s="1551"/>
      <c r="J50" s="118"/>
      <c r="K50" s="118"/>
      <c r="L50" s="118"/>
      <c r="O50" s="485"/>
      <c r="T50" s="112"/>
      <c r="U50" s="112"/>
      <c r="V50" s="112"/>
      <c r="W50" s="112"/>
    </row>
    <row r="51" spans="1:30" s="119" customFormat="1" ht="12.95">
      <c r="B51" s="246">
        <v>3</v>
      </c>
      <c r="C51" s="1126">
        <v>0.16</v>
      </c>
      <c r="D51" s="248">
        <f>PMT(C51/12,B51*12,-1)</f>
        <v>3.5157033036350094E-2</v>
      </c>
      <c r="E51" s="1127">
        <f>D51*$F$47</f>
        <v>101661.11848442304</v>
      </c>
      <c r="F51" s="1551">
        <f>E51/0.33</f>
        <v>308063.99540734256</v>
      </c>
      <c r="G51" s="1551"/>
      <c r="H51" s="1551"/>
      <c r="I51" s="1551"/>
      <c r="J51" s="118"/>
      <c r="K51" s="118"/>
      <c r="L51" s="118"/>
      <c r="O51" s="485"/>
      <c r="T51" s="112"/>
      <c r="U51" s="112"/>
      <c r="V51" s="112"/>
      <c r="W51" s="112"/>
    </row>
    <row r="52" spans="1:30" s="119" customFormat="1" ht="12.95">
      <c r="B52" s="246">
        <v>5</v>
      </c>
      <c r="C52" s="1126">
        <v>0.18</v>
      </c>
      <c r="D52" s="248">
        <f>PMT(C52/12,B52*12,-1)</f>
        <v>2.5393427427109084E-2</v>
      </c>
      <c r="E52" s="1127">
        <f>D52*$F$47</f>
        <v>73428.387194215335</v>
      </c>
      <c r="F52" s="1551">
        <f>E52/0.33</f>
        <v>222510.26422489496</v>
      </c>
      <c r="G52" s="1551"/>
      <c r="H52" s="1551"/>
      <c r="I52" s="1551"/>
      <c r="J52" s="118"/>
      <c r="K52" s="118"/>
      <c r="L52" s="118"/>
      <c r="O52" s="485"/>
      <c r="T52" s="112"/>
      <c r="U52" s="112"/>
      <c r="V52" s="112"/>
      <c r="W52" s="112"/>
    </row>
    <row r="53" spans="1:30" s="119" customFormat="1" ht="15" customHeight="1">
      <c r="B53" s="246">
        <v>10</v>
      </c>
      <c r="C53" s="1126">
        <v>0.2</v>
      </c>
      <c r="D53" s="248">
        <f>PMT(C53/12,B53*12,-1)</f>
        <v>1.9325567219932577E-2</v>
      </c>
      <c r="E53" s="1127">
        <f>D53*$F$47</f>
        <v>55882.382819190629</v>
      </c>
      <c r="F53" s="1551">
        <f>E53/0.33</f>
        <v>169340.55399754737</v>
      </c>
      <c r="G53" s="1551"/>
      <c r="H53" s="1551"/>
      <c r="I53" s="1551"/>
      <c r="J53" s="118"/>
      <c r="K53" s="118"/>
      <c r="L53" s="118"/>
      <c r="O53" s="485"/>
      <c r="T53" s="112"/>
      <c r="U53" s="112"/>
      <c r="V53" s="112"/>
      <c r="W53" s="112"/>
    </row>
    <row r="54" spans="1:30" s="119" customFormat="1" ht="13.5" thickBot="1">
      <c r="B54" s="1167" t="s">
        <v>920</v>
      </c>
      <c r="C54" s="1128"/>
      <c r="D54" s="1128"/>
      <c r="E54" s="1128"/>
      <c r="F54" s="1128"/>
      <c r="G54" s="1128"/>
      <c r="H54" s="1128"/>
      <c r="I54" s="1128"/>
      <c r="J54" s="118"/>
      <c r="K54" s="118"/>
      <c r="L54" s="118"/>
      <c r="O54" s="485"/>
      <c r="T54" s="112"/>
      <c r="U54" s="112"/>
      <c r="V54" s="112"/>
      <c r="W54" s="112"/>
    </row>
    <row r="55" spans="1:30" s="119" customFormat="1" ht="15" customHeight="1">
      <c r="C55" s="118"/>
      <c r="D55" s="124"/>
      <c r="E55" s="118"/>
      <c r="F55" s="118"/>
      <c r="G55" s="118"/>
      <c r="H55" s="118"/>
      <c r="I55" s="118"/>
      <c r="J55" s="118"/>
      <c r="K55" s="118"/>
      <c r="L55" s="118"/>
      <c r="O55" s="485"/>
      <c r="T55" s="112"/>
      <c r="U55" s="112"/>
      <c r="V55" s="112"/>
      <c r="W55" s="112"/>
    </row>
    <row r="56" spans="1:30" s="119" customFormat="1" ht="12.95">
      <c r="B56" s="129" t="s">
        <v>924</v>
      </c>
      <c r="C56" s="129"/>
      <c r="D56" s="178"/>
      <c r="E56" s="178"/>
      <c r="F56" s="178"/>
      <c r="G56" s="178"/>
      <c r="H56" s="178"/>
      <c r="I56" s="178"/>
      <c r="J56" s="178"/>
      <c r="O56" s="485"/>
      <c r="T56" s="112"/>
      <c r="U56" s="112"/>
      <c r="V56" s="112"/>
      <c r="W56" s="112"/>
    </row>
    <row r="57" spans="1:30" s="119" customFormat="1" ht="15" customHeight="1">
      <c r="B57" s="178"/>
      <c r="C57" s="178"/>
      <c r="D57" s="178"/>
      <c r="E57" s="178"/>
      <c r="F57" s="178"/>
      <c r="G57" s="178"/>
      <c r="H57" s="178"/>
      <c r="I57" s="178"/>
      <c r="J57" s="178"/>
      <c r="O57" s="485"/>
      <c r="V57" s="112"/>
      <c r="W57" s="112"/>
      <c r="X57" s="1750" t="s">
        <v>931</v>
      </c>
      <c r="Y57" s="1750"/>
      <c r="Z57" s="112"/>
      <c r="AA57" s="112"/>
      <c r="AB57" s="112"/>
      <c r="AC57" s="112"/>
      <c r="AD57" s="112"/>
    </row>
    <row r="58" spans="1:30" s="119" customFormat="1" ht="12.95">
      <c r="B58" s="1549" t="s">
        <v>814</v>
      </c>
      <c r="C58" s="1549"/>
      <c r="D58" s="1549" t="s">
        <v>775</v>
      </c>
      <c r="E58" s="1549"/>
      <c r="F58" s="1549"/>
      <c r="G58" s="1549" t="s">
        <v>928</v>
      </c>
      <c r="H58" s="1549"/>
      <c r="I58" s="1549"/>
      <c r="J58" s="1549"/>
      <c r="O58" s="485"/>
      <c r="V58" s="112"/>
      <c r="W58" s="112"/>
      <c r="X58" s="112"/>
      <c r="Y58" s="112"/>
      <c r="Z58" s="112"/>
      <c r="AA58" s="112"/>
      <c r="AB58" s="112"/>
      <c r="AC58" s="112"/>
      <c r="AD58" s="112"/>
    </row>
    <row r="59" spans="1:30" s="119" customFormat="1" ht="15" customHeight="1">
      <c r="B59" s="1589">
        <f>'SPOT EQUITY_7DAYS'!B58</f>
        <v>0</v>
      </c>
      <c r="C59" s="1590"/>
      <c r="D59" s="1589">
        <f>'SPOT EQUITY_7DAYS'!D58:D58</f>
        <v>0</v>
      </c>
      <c r="E59" s="1593"/>
      <c r="F59" s="1590"/>
      <c r="G59" s="1595">
        <f>'SPOT EQUITY_7DAYS'!G58</f>
        <v>0</v>
      </c>
      <c r="H59" s="1596"/>
      <c r="I59" s="1596"/>
      <c r="J59" s="1597"/>
      <c r="O59" s="485"/>
      <c r="V59" s="112"/>
      <c r="W59" s="112"/>
      <c r="X59" s="112"/>
      <c r="Y59" s="112"/>
      <c r="Z59" s="112"/>
      <c r="AA59" s="112"/>
      <c r="AB59" s="112"/>
      <c r="AC59" s="112"/>
      <c r="AD59" s="112"/>
    </row>
    <row r="60" spans="1:30" s="119" customFormat="1" ht="12.95">
      <c r="B60" s="1591"/>
      <c r="C60" s="1592"/>
      <c r="D60" s="1591"/>
      <c r="E60" s="1594"/>
      <c r="F60" s="1592"/>
      <c r="G60" s="1598"/>
      <c r="H60" s="1599"/>
      <c r="I60" s="1599"/>
      <c r="J60" s="1600"/>
      <c r="O60" s="485"/>
      <c r="V60" s="112"/>
      <c r="W60" s="112"/>
      <c r="X60" s="112"/>
      <c r="Y60" s="112"/>
      <c r="Z60" s="112"/>
      <c r="AA60" s="112"/>
      <c r="AB60" s="112"/>
      <c r="AC60" s="112"/>
      <c r="AD60" s="112"/>
    </row>
    <row r="61" spans="1:30" s="119" customFormat="1" ht="15" customHeight="1">
      <c r="B61" s="1589">
        <f>'SPOT EQUITY_7DAYS'!B60</f>
        <v>0</v>
      </c>
      <c r="C61" s="1590"/>
      <c r="D61" s="1589">
        <f>'SPOT EQUITY_7DAYS'!D60:D60</f>
        <v>0</v>
      </c>
      <c r="E61" s="1593"/>
      <c r="F61" s="1590"/>
      <c r="G61" s="1595">
        <f>'SPOT EQUITY_7DAYS'!G60</f>
        <v>0</v>
      </c>
      <c r="H61" s="1596"/>
      <c r="I61" s="1596"/>
      <c r="J61" s="1597"/>
      <c r="O61" s="485"/>
      <c r="V61" s="112"/>
      <c r="W61" s="112"/>
      <c r="X61" s="112"/>
      <c r="Y61" s="112"/>
      <c r="Z61" s="112"/>
      <c r="AA61" s="112"/>
      <c r="AB61" s="112"/>
      <c r="AC61" s="112"/>
      <c r="AD61" s="112"/>
    </row>
    <row r="62" spans="1:30" s="119" customFormat="1" ht="12.95">
      <c r="B62" s="1591"/>
      <c r="C62" s="1592"/>
      <c r="D62" s="1591"/>
      <c r="E62" s="1594"/>
      <c r="F62" s="1592"/>
      <c r="G62" s="1598"/>
      <c r="H62" s="1599"/>
      <c r="I62" s="1599"/>
      <c r="J62" s="1600"/>
      <c r="O62" s="485"/>
      <c r="V62" s="112"/>
      <c r="W62" s="112"/>
      <c r="X62" s="112"/>
      <c r="Y62" s="112"/>
      <c r="Z62" s="112"/>
      <c r="AA62" s="112"/>
      <c r="AB62" s="112"/>
      <c r="AC62" s="112"/>
      <c r="AD62" s="112"/>
    </row>
    <row r="63" spans="1:30" s="119" customFormat="1" ht="12.95">
      <c r="B63" s="1589">
        <f>'SPOT EQUITY_7DAYS'!B62</f>
        <v>0</v>
      </c>
      <c r="C63" s="1590"/>
      <c r="D63" s="1589">
        <f>'SPOT EQUITY_7DAYS'!D62:D62</f>
        <v>0</v>
      </c>
      <c r="E63" s="1593"/>
      <c r="F63" s="1590"/>
      <c r="G63" s="1595">
        <f>'SPOT EQUITY_7DAYS'!G62</f>
        <v>0</v>
      </c>
      <c r="H63" s="1596"/>
      <c r="I63" s="1596"/>
      <c r="J63" s="1597"/>
      <c r="O63" s="485"/>
      <c r="V63" s="112"/>
      <c r="W63" s="112"/>
      <c r="X63" s="112"/>
      <c r="Y63" s="112"/>
      <c r="Z63" s="112"/>
      <c r="AA63" s="112"/>
      <c r="AB63" s="112"/>
      <c r="AC63" s="112"/>
      <c r="AD63" s="112"/>
    </row>
    <row r="64" spans="1:30" s="119" customFormat="1" ht="12.95">
      <c r="B64" s="1591"/>
      <c r="C64" s="1592"/>
      <c r="D64" s="1591"/>
      <c r="E64" s="1594"/>
      <c r="F64" s="1592"/>
      <c r="G64" s="1598"/>
      <c r="H64" s="1599"/>
      <c r="I64" s="1599"/>
      <c r="J64" s="1600"/>
      <c r="O64" s="485"/>
      <c r="V64" s="112"/>
      <c r="W64" s="112"/>
      <c r="X64" s="112"/>
      <c r="Y64" s="112"/>
      <c r="Z64" s="112"/>
      <c r="AA64" s="112"/>
      <c r="AB64" s="112"/>
      <c r="AC64" s="112"/>
      <c r="AD64" s="112"/>
    </row>
    <row r="65" spans="2:30" s="119" customFormat="1" ht="12.95">
      <c r="B65" s="1589">
        <f>'SPOT EQUITY_7DAYS'!B64</f>
        <v>0</v>
      </c>
      <c r="C65" s="1590"/>
      <c r="D65" s="1589">
        <f>'SPOT EQUITY_7DAYS'!D64:D64</f>
        <v>0</v>
      </c>
      <c r="E65" s="1593"/>
      <c r="F65" s="1590"/>
      <c r="G65" s="1595">
        <f>'SPOT EQUITY_7DAYS'!G64</f>
        <v>0</v>
      </c>
      <c r="H65" s="1596"/>
      <c r="I65" s="1596"/>
      <c r="J65" s="1597"/>
      <c r="O65" s="485"/>
      <c r="V65" s="112"/>
      <c r="W65" s="112"/>
      <c r="X65" s="112"/>
      <c r="Y65" s="112"/>
      <c r="Z65" s="112"/>
      <c r="AA65" s="112"/>
      <c r="AB65" s="112"/>
      <c r="AC65" s="112"/>
      <c r="AD65" s="112"/>
    </row>
    <row r="66" spans="2:30" s="119" customFormat="1" ht="12.95">
      <c r="B66" s="1591"/>
      <c r="C66" s="1592"/>
      <c r="D66" s="1591"/>
      <c r="E66" s="1594"/>
      <c r="F66" s="1592"/>
      <c r="G66" s="1598"/>
      <c r="H66" s="1599"/>
      <c r="I66" s="1599"/>
      <c r="J66" s="1600"/>
      <c r="O66" s="485"/>
      <c r="V66" s="112"/>
      <c r="W66" s="112"/>
      <c r="X66" s="112"/>
      <c r="Y66" s="112"/>
      <c r="Z66" s="112"/>
      <c r="AA66" s="112"/>
      <c r="AB66" s="112"/>
      <c r="AC66" s="112"/>
      <c r="AD66" s="112"/>
    </row>
    <row r="67" spans="2:30" s="119" customFormat="1" ht="12.95">
      <c r="B67" s="1589">
        <f>'SPOT EQUITY_7DAYS'!B66</f>
        <v>0</v>
      </c>
      <c r="C67" s="1590"/>
      <c r="D67" s="1589">
        <f>'SPOT EQUITY_7DAYS'!D66:D66</f>
        <v>0</v>
      </c>
      <c r="E67" s="1593"/>
      <c r="F67" s="1590"/>
      <c r="G67" s="1595">
        <f>'SPOT EQUITY_7DAYS'!G66</f>
        <v>0</v>
      </c>
      <c r="H67" s="1596"/>
      <c r="I67" s="1596"/>
      <c r="J67" s="1597"/>
      <c r="O67" s="485"/>
      <c r="V67" s="112"/>
      <c r="W67" s="112"/>
      <c r="X67" s="112"/>
      <c r="Y67" s="112"/>
      <c r="Z67" s="112"/>
      <c r="AA67" s="112"/>
      <c r="AB67" s="112"/>
      <c r="AC67" s="112"/>
      <c r="AD67" s="112"/>
    </row>
    <row r="68" spans="2:30" s="119" customFormat="1" ht="12.95">
      <c r="B68" s="1591"/>
      <c r="C68" s="1592"/>
      <c r="D68" s="1591"/>
      <c r="E68" s="1594"/>
      <c r="F68" s="1592"/>
      <c r="G68" s="1598"/>
      <c r="H68" s="1599"/>
      <c r="I68" s="1599"/>
      <c r="J68" s="1600"/>
      <c r="O68" s="485"/>
      <c r="V68" s="112"/>
      <c r="W68" s="112"/>
      <c r="X68" s="112"/>
      <c r="Y68" s="112"/>
      <c r="Z68" s="112"/>
      <c r="AA68" s="112"/>
      <c r="AB68" s="112"/>
      <c r="AC68" s="112"/>
      <c r="AD68" s="112"/>
    </row>
    <row r="69" spans="2:30" s="119" customFormat="1" ht="12.95">
      <c r="B69" s="1589">
        <f>'SPOT EQUITY_7DAYS'!B68</f>
        <v>0</v>
      </c>
      <c r="C69" s="1590"/>
      <c r="D69" s="1589">
        <f>'SPOT EQUITY_7DAYS'!D68:D68</f>
        <v>0</v>
      </c>
      <c r="E69" s="1593"/>
      <c r="F69" s="1590"/>
      <c r="G69" s="1595">
        <f>'SPOT EQUITY_7DAYS'!G68</f>
        <v>0</v>
      </c>
      <c r="H69" s="1596"/>
      <c r="I69" s="1596"/>
      <c r="J69" s="1597"/>
      <c r="O69" s="485"/>
      <c r="V69" s="112"/>
      <c r="W69" s="112"/>
      <c r="X69" s="112"/>
      <c r="Y69" s="112"/>
      <c r="Z69" s="112"/>
      <c r="AA69" s="112"/>
      <c r="AB69" s="112"/>
      <c r="AC69" s="112"/>
      <c r="AD69" s="112"/>
    </row>
    <row r="70" spans="2:30" s="119" customFormat="1" ht="12.95">
      <c r="B70" s="1591"/>
      <c r="C70" s="1592"/>
      <c r="D70" s="1591"/>
      <c r="E70" s="1594"/>
      <c r="F70" s="1592"/>
      <c r="G70" s="1598"/>
      <c r="H70" s="1599"/>
      <c r="I70" s="1599"/>
      <c r="J70" s="1600"/>
      <c r="O70" s="485"/>
      <c r="V70" s="112"/>
      <c r="W70" s="112"/>
      <c r="X70" s="112"/>
      <c r="Y70" s="112"/>
      <c r="Z70" s="112"/>
      <c r="AA70" s="112"/>
      <c r="AB70" s="112"/>
      <c r="AC70" s="112"/>
      <c r="AD70" s="112"/>
    </row>
    <row r="71" spans="2:30">
      <c r="B71" s="119"/>
      <c r="C71" s="119"/>
      <c r="D71" s="162"/>
      <c r="E71" s="119"/>
      <c r="F71" s="119"/>
      <c r="G71" s="119"/>
      <c r="H71" s="119"/>
      <c r="I71" s="119"/>
      <c r="J71" s="119"/>
    </row>
    <row r="72" spans="2:30">
      <c r="B72" s="250"/>
      <c r="C72" s="277" t="s">
        <v>950</v>
      </c>
      <c r="D72" s="1769"/>
      <c r="E72" s="1769"/>
      <c r="F72" s="1769"/>
      <c r="G72" s="119"/>
      <c r="H72" s="119"/>
      <c r="I72" s="119"/>
      <c r="J72" s="119"/>
    </row>
    <row r="73" spans="2:30">
      <c r="B73" s="119"/>
      <c r="C73" s="119"/>
      <c r="D73" s="162"/>
      <c r="E73" s="119"/>
      <c r="F73" s="119"/>
      <c r="G73" s="119"/>
      <c r="H73" s="119"/>
      <c r="I73" s="119"/>
      <c r="J73" s="119"/>
    </row>
    <row r="74" spans="2:30">
      <c r="B74" s="119"/>
      <c r="C74" s="119"/>
      <c r="D74" s="162"/>
      <c r="E74" s="119"/>
      <c r="F74" s="119"/>
      <c r="G74" s="119"/>
      <c r="H74" s="119"/>
      <c r="I74" s="119"/>
      <c r="J74" s="119"/>
    </row>
    <row r="75" spans="2:30">
      <c r="B75" s="3" t="s">
        <v>1042</v>
      </c>
      <c r="C75" s="1189"/>
      <c r="D75" s="1225"/>
      <c r="E75" s="1189"/>
      <c r="F75" s="3" t="s">
        <v>937</v>
      </c>
      <c r="G75" s="1189"/>
      <c r="H75" s="1189"/>
      <c r="I75" s="1189"/>
      <c r="J75" s="119"/>
    </row>
    <row r="76" spans="2:30">
      <c r="B76" s="1189"/>
      <c r="C76" s="1189"/>
      <c r="D76" s="1225"/>
      <c r="E76" s="1189"/>
      <c r="F76" s="1189"/>
      <c r="G76" s="1189"/>
      <c r="H76" s="1189"/>
      <c r="I76" s="1189"/>
      <c r="J76" s="119"/>
    </row>
    <row r="77" spans="2:30">
      <c r="B77" s="1767" t="str">
        <f>FORM!I28</f>
        <v xml:space="preserve">agent </v>
      </c>
      <c r="C77" s="1767"/>
      <c r="D77" s="1225"/>
      <c r="E77" s="1189"/>
      <c r="F77" s="1768" t="str">
        <f>FORM!I26</f>
        <v>cnc</v>
      </c>
      <c r="G77" s="1768"/>
      <c r="H77" s="1768"/>
      <c r="I77" s="1189"/>
      <c r="J77" s="119"/>
    </row>
    <row r="78" spans="2:30">
      <c r="B78" s="1297" t="s">
        <v>1043</v>
      </c>
      <c r="C78" s="1297"/>
      <c r="D78" s="1261"/>
      <c r="E78" s="1189"/>
      <c r="F78" s="1297" t="s">
        <v>1043</v>
      </c>
      <c r="G78" s="1766"/>
      <c r="H78" s="1766"/>
      <c r="I78" s="1303"/>
      <c r="J78" s="119"/>
    </row>
    <row r="79" spans="2:30">
      <c r="B79" s="119"/>
      <c r="C79" s="119"/>
      <c r="D79" s="162"/>
      <c r="E79" s="119"/>
      <c r="F79" s="119"/>
      <c r="G79" s="119"/>
      <c r="H79" s="119"/>
      <c r="I79" s="119"/>
      <c r="J79" s="119"/>
    </row>
  </sheetData>
  <sheetProtection password="CC2E" sheet="1" formatCells="0" formatColumns="0" formatRows="0"/>
  <mergeCells count="89">
    <mergeCell ref="B17:C17"/>
    <mergeCell ref="G59:J60"/>
    <mergeCell ref="G61:J62"/>
    <mergeCell ref="G63:J64"/>
    <mergeCell ref="F29:H29"/>
    <mergeCell ref="F35:J35"/>
    <mergeCell ref="F30:H30"/>
    <mergeCell ref="D58:F58"/>
    <mergeCell ref="F39:J39"/>
    <mergeCell ref="B58:C58"/>
    <mergeCell ref="B59:C60"/>
    <mergeCell ref="D59:F60"/>
    <mergeCell ref="B61:C62"/>
    <mergeCell ref="D61:F62"/>
    <mergeCell ref="F18:J18"/>
    <mergeCell ref="F47:I47"/>
    <mergeCell ref="G78:H78"/>
    <mergeCell ref="B77:C77"/>
    <mergeCell ref="F77:H77"/>
    <mergeCell ref="B63:C64"/>
    <mergeCell ref="D63:F64"/>
    <mergeCell ref="B69:C70"/>
    <mergeCell ref="D69:F70"/>
    <mergeCell ref="G69:J70"/>
    <mergeCell ref="D72:F72"/>
    <mergeCell ref="B65:C66"/>
    <mergeCell ref="D65:F66"/>
    <mergeCell ref="G65:J66"/>
    <mergeCell ref="B67:C68"/>
    <mergeCell ref="D67:F68"/>
    <mergeCell ref="G67:J68"/>
    <mergeCell ref="G2:J2"/>
    <mergeCell ref="R2:S2"/>
    <mergeCell ref="E9:J9"/>
    <mergeCell ref="P9:S9"/>
    <mergeCell ref="E10:J10"/>
    <mergeCell ref="P10:S10"/>
    <mergeCell ref="E8:F8"/>
    <mergeCell ref="E11:J11"/>
    <mergeCell ref="P11:S11"/>
    <mergeCell ref="R3:S3"/>
    <mergeCell ref="B4:J5"/>
    <mergeCell ref="M4:S5"/>
    <mergeCell ref="E7:J7"/>
    <mergeCell ref="P7:S7"/>
    <mergeCell ref="P8:S8"/>
    <mergeCell ref="E12:F12"/>
    <mergeCell ref="P12:Q12"/>
    <mergeCell ref="E13:F13"/>
    <mergeCell ref="P13:Q13"/>
    <mergeCell ref="E14:F14"/>
    <mergeCell ref="P14:Q14"/>
    <mergeCell ref="G58:J58"/>
    <mergeCell ref="R20:S20"/>
    <mergeCell ref="M21:N21"/>
    <mergeCell ref="P21:Q21"/>
    <mergeCell ref="F21:H21"/>
    <mergeCell ref="M20:N20"/>
    <mergeCell ref="P20:Q20"/>
    <mergeCell ref="F24:J24"/>
    <mergeCell ref="X20:Y20"/>
    <mergeCell ref="X57:Y57"/>
    <mergeCell ref="F22:H22"/>
    <mergeCell ref="M28:N28"/>
    <mergeCell ref="F36:J36"/>
    <mergeCell ref="F37:J37"/>
    <mergeCell ref="F38:J38"/>
    <mergeCell ref="F26:H26"/>
    <mergeCell ref="F27:H27"/>
    <mergeCell ref="F28:H28"/>
    <mergeCell ref="R28:S28"/>
    <mergeCell ref="F49:I49"/>
    <mergeCell ref="F50:I50"/>
    <mergeCell ref="F51:I51"/>
    <mergeCell ref="F52:I52"/>
    <mergeCell ref="F53:I53"/>
    <mergeCell ref="R16:S17"/>
    <mergeCell ref="R18:S18"/>
    <mergeCell ref="F16:J16"/>
    <mergeCell ref="F17:J17"/>
    <mergeCell ref="F19:J19"/>
    <mergeCell ref="O16:O17"/>
    <mergeCell ref="P16:Q17"/>
    <mergeCell ref="M16:N17"/>
    <mergeCell ref="R19:S19"/>
    <mergeCell ref="M18:N18"/>
    <mergeCell ref="P18:Q18"/>
    <mergeCell ref="M19:N19"/>
    <mergeCell ref="P19:Q19"/>
  </mergeCells>
  <phoneticPr fontId="27" type="noConversion"/>
  <pageMargins left="0.59055118110236227" right="0.59055118110236227" top="0.86614173228346458" bottom="0.74803149606299213" header="0.31496062992125984" footer="0.31496062992125984"/>
  <pageSetup paperSize="14" scale="70" orientation="portrait" r:id="rId1"/>
  <headerFooter>
    <oddHeader xml:space="preserve">&amp;R&amp;"Century Gothic,Bold"&amp;18ANNEX A: 
SAMPLE PACKAGE COMPUTATION
</oddHeader>
  </headerFooter>
  <colBreaks count="1" manualBreakCount="1">
    <brk id="11" max="77"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dimension ref="A1:U123"/>
  <sheetViews>
    <sheetView showGridLines="0" showZeros="0" view="pageLayout" topLeftCell="A97" zoomScaleNormal="100" zoomScaleSheetLayoutView="85" workbookViewId="0">
      <selection activeCell="A113" sqref="A113:U11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71">
        <f>'SPOT EQUITY_30DAYS'!F16</f>
        <v>3195170.8635638431</v>
      </c>
      <c r="J27" s="1772"/>
      <c r="K27" s="1772"/>
      <c r="L27" s="1772"/>
      <c r="M27" s="1772"/>
      <c r="N27" s="1772"/>
      <c r="O27" s="1772"/>
      <c r="P27" s="1772"/>
      <c r="Q27" s="1772"/>
      <c r="R27" s="1772"/>
      <c r="S27" s="1772"/>
      <c r="T27" s="1772"/>
      <c r="U27" s="1773"/>
    </row>
    <row r="28" spans="1:21" ht="14.1">
      <c r="A28" s="39" t="s">
        <v>990</v>
      </c>
      <c r="B28" s="40"/>
      <c r="C28" s="42"/>
      <c r="D28" s="42"/>
      <c r="E28" s="42"/>
      <c r="F28" s="42"/>
      <c r="G28" s="42"/>
      <c r="H28" s="43"/>
      <c r="I28" s="1771">
        <f>'SPOT EQUITY_30DAYS'!F17+'SPOT EQUITY_30DAYS'!F18</f>
        <v>19969.817897274021</v>
      </c>
      <c r="J28" s="1772"/>
      <c r="K28" s="1772"/>
      <c r="L28" s="1772"/>
      <c r="M28" s="1772"/>
      <c r="N28" s="1772"/>
      <c r="O28" s="1772"/>
      <c r="P28" s="1772"/>
      <c r="Q28" s="1772"/>
      <c r="R28" s="1772"/>
      <c r="S28" s="1772"/>
      <c r="T28" s="1772"/>
      <c r="U28" s="1773"/>
    </row>
    <row r="29" spans="1:21" ht="14.1">
      <c r="A29" s="49" t="s">
        <v>791</v>
      </c>
      <c r="B29" s="50"/>
      <c r="C29" s="51"/>
      <c r="D29" s="51"/>
      <c r="E29" s="51"/>
      <c r="F29" s="51"/>
      <c r="G29" s="51"/>
      <c r="H29" s="48"/>
      <c r="I29" s="1771">
        <f>'SPOT EQUITY_30DAYS'!F19</f>
        <v>3175201.0456665689</v>
      </c>
      <c r="J29" s="1772"/>
      <c r="K29" s="1772"/>
      <c r="L29" s="1772"/>
      <c r="M29" s="1772"/>
      <c r="N29" s="1772"/>
      <c r="O29" s="1772"/>
      <c r="P29" s="1772"/>
      <c r="Q29" s="1772"/>
      <c r="R29" s="1772"/>
      <c r="S29" s="1772"/>
      <c r="T29" s="1772"/>
      <c r="U29" s="1773"/>
    </row>
    <row r="30" spans="1:21" ht="14.1">
      <c r="A30" s="39" t="s">
        <v>991</v>
      </c>
      <c r="B30" s="40"/>
      <c r="C30" s="42"/>
      <c r="D30" s="42"/>
      <c r="E30" s="42"/>
      <c r="F30" s="42"/>
      <c r="G30" s="42"/>
      <c r="H30" s="43"/>
      <c r="I30" s="1771">
        <f>'SPOT EQUITY_30DAYS'!F22</f>
        <v>439335.99374002841</v>
      </c>
      <c r="J30" s="1772"/>
      <c r="K30" s="1772"/>
      <c r="L30" s="1772"/>
      <c r="M30" s="1772"/>
      <c r="N30" s="1772"/>
      <c r="O30" s="1772"/>
      <c r="P30" s="1772"/>
      <c r="Q30" s="1772"/>
      <c r="R30" s="1772"/>
      <c r="S30" s="1772"/>
      <c r="T30" s="1772"/>
      <c r="U30" s="1773"/>
    </row>
    <row r="31" spans="1:21" ht="14.1">
      <c r="A31" s="39" t="s">
        <v>992</v>
      </c>
      <c r="B31" s="40"/>
      <c r="C31" s="42"/>
      <c r="D31" s="42"/>
      <c r="E31" s="42"/>
      <c r="F31" s="42"/>
      <c r="G31" s="42"/>
      <c r="H31" s="43"/>
      <c r="I31" s="1771">
        <f>'SPOT EQUITY_30DAYS'!F21</f>
        <v>0</v>
      </c>
      <c r="J31" s="1772"/>
      <c r="K31" s="1772"/>
      <c r="L31" s="1772"/>
      <c r="M31" s="1772"/>
      <c r="N31" s="1772"/>
      <c r="O31" s="1772"/>
      <c r="P31" s="1772"/>
      <c r="Q31" s="1772"/>
      <c r="R31" s="1772"/>
      <c r="S31" s="1772"/>
      <c r="T31" s="1772"/>
      <c r="U31" s="1773"/>
    </row>
    <row r="32" spans="1:21" ht="14.1">
      <c r="A32" s="39" t="s">
        <v>178</v>
      </c>
      <c r="B32" s="40"/>
      <c r="C32" s="42"/>
      <c r="D32" s="42"/>
      <c r="E32" s="42"/>
      <c r="F32" s="42"/>
      <c r="G32" s="42"/>
      <c r="H32" s="43"/>
      <c r="I32" s="1771">
        <f>'SPOT EQUITY_30DAYS'!F24</f>
        <v>3614537.0394065971</v>
      </c>
      <c r="J32" s="1772"/>
      <c r="K32" s="1772"/>
      <c r="L32" s="1772"/>
      <c r="M32" s="1772"/>
      <c r="N32" s="1772"/>
      <c r="O32" s="1772"/>
      <c r="P32" s="1772"/>
      <c r="Q32" s="1772"/>
      <c r="R32" s="1772"/>
      <c r="S32" s="1772"/>
      <c r="T32" s="1772"/>
      <c r="U32" s="177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3qS3uPZtWG4EnZmR4vmGV4e4dr/OtdETWOBOgsBj/ypKIs1h2hjTIw+q0SqswJ3h9AvJkcF6bWQHhYsZdLtfjQ==" saltValue="S4bnu8tikmcBRCTEkaIr3g==" spinCount="100000" sheet="1" objects="1" scenarios="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7812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0657"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0658"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0659"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0660"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0661"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0662"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0663"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0664"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0665"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0666"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0667"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0668"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0669"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0670"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0671"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0672"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0673"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0674"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0675"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7"/>
  <dimension ref="A1:BB77"/>
  <sheetViews>
    <sheetView showGridLines="0" showZeros="0" showRuler="0" view="pageLayout" topLeftCell="A11" zoomScale="85" zoomScaleNormal="80" zoomScaleSheetLayoutView="100" zoomScalePageLayoutView="85" workbookViewId="0">
      <selection activeCell="I24" sqref="I24"/>
    </sheetView>
  </sheetViews>
  <sheetFormatPr defaultColWidth="9.140625" defaultRowHeight="14.45"/>
  <cols>
    <col min="1" max="1" width="1" customWidth="1"/>
    <col min="2" max="2" width="13.140625" customWidth="1"/>
    <col min="3" max="3" width="18.140625" customWidth="1"/>
    <col min="4" max="4" width="16.42578125" style="103" customWidth="1"/>
    <col min="5" max="5" width="14" customWidth="1"/>
    <col min="6" max="6" width="9.42578125" customWidth="1"/>
    <col min="7" max="7" width="13" customWidth="1"/>
    <col min="8" max="8" width="4.140625" customWidth="1"/>
    <col min="9" max="9" width="22" customWidth="1"/>
    <col min="10" max="10" width="0.85546875" customWidth="1"/>
    <col min="11" max="11" width="1" customWidth="1"/>
    <col min="13" max="13" width="21.5703125" customWidth="1"/>
    <col min="14" max="14" width="17.85546875" style="104" customWidth="1"/>
    <col min="15" max="15" width="5.85546875" customWidth="1"/>
    <col min="16" max="16" width="17.5703125" customWidth="1"/>
    <col min="17" max="17" width="11.140625" customWidth="1"/>
    <col min="18" max="18" width="9" customWidth="1"/>
    <col min="19" max="19" width="18.140625" customWidth="1"/>
  </cols>
  <sheetData>
    <row r="1" spans="1:54" ht="7.5" customHeight="1"/>
    <row r="2" spans="1:54" s="119" customFormat="1" ht="12.95">
      <c r="B2" s="132" t="s">
        <v>847</v>
      </c>
      <c r="C2" s="1276" t="str">
        <f>FORM!I20</f>
        <v>September 1,2025</v>
      </c>
      <c r="D2" s="133"/>
      <c r="F2" s="133"/>
      <c r="G2" s="134" t="s">
        <v>942</v>
      </c>
      <c r="H2" s="1786" t="s">
        <v>849</v>
      </c>
      <c r="I2" s="1786"/>
      <c r="J2" s="133"/>
      <c r="K2" s="3"/>
      <c r="L2" s="135" t="s">
        <v>1044</v>
      </c>
      <c r="M2" s="1191" t="str">
        <f>C2</f>
        <v>September 1,2025</v>
      </c>
      <c r="N2" s="136"/>
      <c r="O2" s="136"/>
      <c r="Q2" s="135" t="str">
        <f>G2</f>
        <v xml:space="preserve">PAGE: </v>
      </c>
      <c r="R2" s="1787" t="s">
        <v>851</v>
      </c>
      <c r="S2" s="1788"/>
    </row>
    <row r="3" spans="1:54" s="1" customFormat="1" ht="12.6">
      <c r="B3" s="86"/>
      <c r="C3" s="87"/>
      <c r="D3" s="87"/>
      <c r="E3" s="86"/>
      <c r="F3" s="86"/>
      <c r="G3" s="88"/>
      <c r="H3" s="88"/>
      <c r="I3" s="88"/>
      <c r="J3" s="92"/>
      <c r="K3" s="88"/>
      <c r="L3" s="86"/>
      <c r="M3" s="87"/>
      <c r="N3" s="87"/>
      <c r="O3" s="86"/>
      <c r="P3" s="86"/>
      <c r="Q3" s="86"/>
      <c r="R3" s="1792"/>
      <c r="S3" s="1792"/>
    </row>
    <row r="4" spans="1:54" s="111" customFormat="1" ht="12.75" customHeight="1">
      <c r="A4" s="113"/>
      <c r="B4" s="1638" t="s">
        <v>1045</v>
      </c>
      <c r="C4" s="1638"/>
      <c r="D4" s="1638"/>
      <c r="E4" s="1638"/>
      <c r="F4" s="1638"/>
      <c r="G4" s="1638"/>
      <c r="H4" s="1638"/>
      <c r="I4" s="1638"/>
      <c r="J4" s="137"/>
      <c r="K4" s="138"/>
      <c r="L4" s="1638" t="s">
        <v>853</v>
      </c>
      <c r="M4" s="1638"/>
      <c r="N4" s="1638"/>
      <c r="O4" s="1638"/>
      <c r="P4" s="1638"/>
      <c r="Q4" s="1638"/>
      <c r="R4" s="1638"/>
      <c r="S4" s="1638"/>
    </row>
    <row r="5" spans="1:54" s="111" customFormat="1" ht="12.75" customHeight="1">
      <c r="A5" s="113"/>
      <c r="B5" s="1638"/>
      <c r="C5" s="1638"/>
      <c r="D5" s="1638"/>
      <c r="E5" s="1638"/>
      <c r="F5" s="1638"/>
      <c r="G5" s="1638"/>
      <c r="H5" s="1638"/>
      <c r="I5" s="1638"/>
      <c r="J5" s="137"/>
      <c r="K5" s="138"/>
      <c r="L5" s="1638"/>
      <c r="M5" s="1638"/>
      <c r="N5" s="1638"/>
      <c r="O5" s="1638"/>
      <c r="P5" s="1638"/>
      <c r="Q5" s="1638"/>
      <c r="R5" s="1638"/>
      <c r="S5" s="1638"/>
    </row>
    <row r="6" spans="1:54" s="111" customFormat="1" ht="12.75" customHeight="1">
      <c r="A6" s="113"/>
      <c r="B6" s="139"/>
      <c r="C6" s="139"/>
      <c r="D6" s="140"/>
      <c r="E6" s="139"/>
      <c r="F6" s="139"/>
      <c r="G6" s="139"/>
      <c r="H6" s="139"/>
      <c r="I6" s="139"/>
      <c r="J6" s="139"/>
      <c r="K6" s="139"/>
      <c r="L6" s="93"/>
      <c r="M6" s="94"/>
      <c r="N6" s="96"/>
      <c r="O6" s="94"/>
      <c r="P6" s="94"/>
      <c r="Q6" s="94"/>
      <c r="R6" s="94"/>
      <c r="S6" s="96"/>
    </row>
    <row r="7" spans="1:54" s="489" customFormat="1" ht="12.6">
      <c r="A7" s="488"/>
      <c r="B7" s="225" t="s">
        <v>854</v>
      </c>
      <c r="C7" s="226"/>
      <c r="D7" s="705" t="s">
        <v>802</v>
      </c>
      <c r="E7" s="1529" t="str">
        <f>FORM!I26</f>
        <v>cnc</v>
      </c>
      <c r="F7" s="1530"/>
      <c r="G7" s="1530"/>
      <c r="H7" s="1530"/>
      <c r="I7" s="1531"/>
      <c r="J7" s="100"/>
      <c r="K7" s="142"/>
      <c r="L7" s="225" t="s">
        <v>854</v>
      </c>
      <c r="M7" s="228"/>
      <c r="N7" s="705" t="s">
        <v>802</v>
      </c>
      <c r="O7" s="1529" t="str">
        <f t="shared" ref="O7:O11" si="0">E7</f>
        <v>cnc</v>
      </c>
      <c r="P7" s="1530"/>
      <c r="Q7" s="1530"/>
      <c r="R7" s="1530"/>
      <c r="S7" s="1531"/>
      <c r="AN7" s="490"/>
      <c r="BA7" s="491"/>
      <c r="BB7" s="492"/>
    </row>
    <row r="8" spans="1:54" s="489" customFormat="1" ht="12.6">
      <c r="A8" s="488"/>
      <c r="B8" s="144" t="s">
        <v>801</v>
      </c>
      <c r="C8" s="227"/>
      <c r="D8" s="705" t="s">
        <v>802</v>
      </c>
      <c r="E8" s="1543" t="str">
        <f>FORM!I11</f>
        <v>The Southprime Flats</v>
      </c>
      <c r="F8" s="1544"/>
      <c r="G8" s="1544"/>
      <c r="H8" s="1200" t="str">
        <f>FORM!I14</f>
        <v>B1</v>
      </c>
      <c r="I8" s="1201"/>
      <c r="J8" s="100"/>
      <c r="K8" s="142"/>
      <c r="L8" s="144" t="s">
        <v>801</v>
      </c>
      <c r="M8" s="148"/>
      <c r="N8" s="705" t="s">
        <v>802</v>
      </c>
      <c r="O8" s="1529" t="str">
        <f t="shared" si="0"/>
        <v>The Southprime Flats</v>
      </c>
      <c r="P8" s="1530"/>
      <c r="Q8" s="1530"/>
      <c r="R8" s="1530"/>
      <c r="S8" s="1531"/>
      <c r="AN8" s="490"/>
      <c r="BA8" s="491"/>
      <c r="BB8" s="492"/>
    </row>
    <row r="9" spans="1:54" s="489" customFormat="1" ht="12.6">
      <c r="A9" s="488"/>
      <c r="B9" s="144" t="s">
        <v>855</v>
      </c>
      <c r="C9" s="227"/>
      <c r="D9" s="705" t="s">
        <v>802</v>
      </c>
      <c r="E9" s="1529" t="str">
        <f>'STANDARD_NON RFO UNITS'!E8</f>
        <v>2F</v>
      </c>
      <c r="F9" s="1530"/>
      <c r="G9" s="1530"/>
      <c r="H9" s="1530"/>
      <c r="I9" s="1531"/>
      <c r="J9" s="100"/>
      <c r="K9" s="142"/>
      <c r="L9" s="144" t="s">
        <v>855</v>
      </c>
      <c r="M9" s="148"/>
      <c r="N9" s="705" t="s">
        <v>802</v>
      </c>
      <c r="O9" s="1529" t="str">
        <f t="shared" si="0"/>
        <v>2F</v>
      </c>
      <c r="P9" s="1530"/>
      <c r="Q9" s="1530"/>
      <c r="R9" s="1530"/>
      <c r="S9" s="1531"/>
      <c r="AN9" s="490"/>
      <c r="BA9" s="491"/>
      <c r="BB9" s="492"/>
    </row>
    <row r="10" spans="1:54" s="489" customFormat="1" ht="12.6" hidden="1">
      <c r="A10" s="488"/>
      <c r="B10" s="144" t="s">
        <v>856</v>
      </c>
      <c r="C10" s="227"/>
      <c r="D10" s="705" t="s">
        <v>802</v>
      </c>
      <c r="E10" s="1529" t="e">
        <f>FORM!#REF!</f>
        <v>#REF!</v>
      </c>
      <c r="F10" s="1530"/>
      <c r="G10" s="1530"/>
      <c r="H10" s="1530"/>
      <c r="I10" s="1531"/>
      <c r="J10" s="100"/>
      <c r="K10" s="142"/>
      <c r="L10" s="144" t="s">
        <v>856</v>
      </c>
      <c r="M10" s="148"/>
      <c r="N10" s="705" t="s">
        <v>802</v>
      </c>
      <c r="O10" s="1529" t="e">
        <f t="shared" si="0"/>
        <v>#REF!</v>
      </c>
      <c r="P10" s="1530"/>
      <c r="Q10" s="1530"/>
      <c r="R10" s="1530"/>
      <c r="S10" s="1531"/>
      <c r="AN10" s="490"/>
      <c r="BA10" s="491"/>
      <c r="BB10" s="492"/>
    </row>
    <row r="11" spans="1:54" s="489" customFormat="1" ht="12.6">
      <c r="A11" s="488"/>
      <c r="B11" s="144" t="s">
        <v>857</v>
      </c>
      <c r="C11" s="227"/>
      <c r="D11" s="705" t="s">
        <v>802</v>
      </c>
      <c r="E11" s="1529" t="str">
        <f>'STANDARD_NON RFO UNITS'!E10</f>
        <v>Studio Unit</v>
      </c>
      <c r="F11" s="1530"/>
      <c r="G11" s="1530"/>
      <c r="H11" s="1530"/>
      <c r="I11" s="1531"/>
      <c r="J11" s="100"/>
      <c r="K11" s="142"/>
      <c r="L11" s="144" t="s">
        <v>857</v>
      </c>
      <c r="M11" s="148"/>
      <c r="N11" s="705" t="s">
        <v>802</v>
      </c>
      <c r="O11" s="1789" t="str">
        <f t="shared" si="0"/>
        <v>Studio Unit</v>
      </c>
      <c r="P11" s="1790"/>
      <c r="Q11" s="1790"/>
      <c r="R11" s="1790"/>
      <c r="S11" s="1791"/>
      <c r="AN11" s="490"/>
      <c r="BA11" s="491"/>
      <c r="BB11" s="492"/>
    </row>
    <row r="12" spans="1:54" s="489" customFormat="1" ht="12.6">
      <c r="A12" s="488"/>
      <c r="B12" s="144" t="s">
        <v>858</v>
      </c>
      <c r="C12" s="227"/>
      <c r="D12" s="705" t="s">
        <v>802</v>
      </c>
      <c r="E12" s="1804">
        <f>'STANDARD_NON RFO UNITS'!E11:F11</f>
        <v>22</v>
      </c>
      <c r="F12" s="1566"/>
      <c r="G12" s="1123" t="s">
        <v>859</v>
      </c>
      <c r="H12" s="1304"/>
      <c r="I12" s="493"/>
      <c r="J12" s="100"/>
      <c r="K12" s="142"/>
      <c r="L12" s="144" t="s">
        <v>858</v>
      </c>
      <c r="M12" s="148"/>
      <c r="N12" s="705" t="s">
        <v>802</v>
      </c>
      <c r="O12" s="1795">
        <f>E12</f>
        <v>22</v>
      </c>
      <c r="P12" s="1796"/>
      <c r="Q12" s="1199" t="s">
        <v>859</v>
      </c>
      <c r="R12" s="1305"/>
      <c r="S12" s="1201"/>
      <c r="AN12" s="490"/>
      <c r="BA12" s="491"/>
      <c r="BB12" s="492"/>
    </row>
    <row r="13" spans="1:54" s="489" customFormat="1" ht="12.6">
      <c r="A13" s="488"/>
      <c r="B13" s="148" t="s">
        <v>860</v>
      </c>
      <c r="C13" s="227"/>
      <c r="D13" s="705" t="s">
        <v>802</v>
      </c>
      <c r="E13" s="1797">
        <f>'STANDARD_NON RFO UNITS'!E12:F12</f>
        <v>0</v>
      </c>
      <c r="F13" s="1798"/>
      <c r="G13" s="1306" t="s">
        <v>859</v>
      </c>
      <c r="H13" s="1307"/>
      <c r="I13" s="494"/>
      <c r="J13" s="1123"/>
      <c r="K13" s="142"/>
      <c r="L13" s="148" t="s">
        <v>860</v>
      </c>
      <c r="M13" s="148"/>
      <c r="N13" s="1298" t="s">
        <v>802</v>
      </c>
      <c r="O13" s="1799">
        <f>E13</f>
        <v>0</v>
      </c>
      <c r="P13" s="1800"/>
      <c r="Q13" s="1308" t="s">
        <v>859</v>
      </c>
      <c r="R13" s="1189"/>
      <c r="S13" s="1309"/>
      <c r="AN13" s="490"/>
      <c r="BA13" s="491"/>
      <c r="BB13" s="492"/>
    </row>
    <row r="14" spans="1:54" s="489" customFormat="1" ht="12.6">
      <c r="A14" s="488"/>
      <c r="B14" s="238" t="s">
        <v>861</v>
      </c>
      <c r="C14" s="101"/>
      <c r="D14" s="705" t="s">
        <v>802</v>
      </c>
      <c r="E14" s="1545">
        <f>'STANDARD_NON RFO UNITS'!E13:F13</f>
        <v>22</v>
      </c>
      <c r="F14" s="1546"/>
      <c r="G14" s="1200" t="s">
        <v>859</v>
      </c>
      <c r="H14" s="1200"/>
      <c r="I14" s="495"/>
      <c r="J14" s="1123" t="s">
        <v>819</v>
      </c>
      <c r="K14" s="142"/>
      <c r="L14" s="238" t="s">
        <v>861</v>
      </c>
      <c r="M14" s="126"/>
      <c r="N14" s="705" t="s">
        <v>802</v>
      </c>
      <c r="O14" s="1793">
        <f>E14</f>
        <v>22</v>
      </c>
      <c r="P14" s="1794"/>
      <c r="Q14" s="1199" t="s">
        <v>859</v>
      </c>
      <c r="R14" s="1305"/>
      <c r="S14" s="1201"/>
      <c r="AN14" s="490"/>
      <c r="BA14" s="491"/>
      <c r="BB14" s="492"/>
    </row>
    <row r="15" spans="1:54" s="119" customFormat="1" ht="12.95">
      <c r="A15" s="118"/>
      <c r="B15" s="1123"/>
      <c r="C15" s="1123"/>
      <c r="D15" s="705"/>
      <c r="E15" s="1310"/>
      <c r="F15" s="1123"/>
      <c r="G15" s="1123"/>
      <c r="H15" s="1123"/>
      <c r="I15" s="1123"/>
      <c r="J15" s="1311"/>
      <c r="K15" s="1123"/>
      <c r="L15" s="1123"/>
      <c r="M15" s="1123"/>
      <c r="N15" s="1205"/>
      <c r="O15" s="1123"/>
      <c r="P15" s="1123"/>
      <c r="Q15" s="1123"/>
      <c r="R15" s="1123"/>
      <c r="S15" s="1123"/>
    </row>
    <row r="16" spans="1:54" s="119" customFormat="1" ht="12.95">
      <c r="A16" s="118"/>
      <c r="B16" s="141" t="s">
        <v>862</v>
      </c>
      <c r="C16" s="226"/>
      <c r="D16" s="142" t="s">
        <v>802</v>
      </c>
      <c r="E16" s="644">
        <f>'STANDARD_NON RFO UNITS'!E28</f>
        <v>1</v>
      </c>
      <c r="F16" s="1577">
        <f>'STANDARD_NON RFO UNITS'!F15</f>
        <v>3195170.8635638431</v>
      </c>
      <c r="G16" s="1577"/>
      <c r="H16" s="1803"/>
      <c r="I16" s="143"/>
      <c r="J16" s="100"/>
      <c r="K16" s="100"/>
      <c r="L16" s="1549" t="s">
        <v>863</v>
      </c>
      <c r="M16" s="1549"/>
      <c r="N16" s="1550" t="s">
        <v>773</v>
      </c>
      <c r="O16" s="1549" t="s">
        <v>776</v>
      </c>
      <c r="P16" s="1549"/>
      <c r="Q16" s="1553" t="s">
        <v>214</v>
      </c>
      <c r="R16" s="1808"/>
      <c r="S16" s="1554"/>
    </row>
    <row r="17" spans="1:19" s="121" customFormat="1" ht="12.95">
      <c r="A17" s="118"/>
      <c r="B17" s="144" t="s">
        <v>1046</v>
      </c>
      <c r="C17" s="148"/>
      <c r="D17" s="705" t="s">
        <v>802</v>
      </c>
      <c r="E17" s="145">
        <f>IF(E16&gt;18,10%,IF(E16&gt;=12,5%,IF(E16&gt;5,2.5%,)))</f>
        <v>0</v>
      </c>
      <c r="F17" s="1801">
        <f>F16*E17</f>
        <v>0</v>
      </c>
      <c r="G17" s="1801"/>
      <c r="H17" s="1802"/>
      <c r="I17" s="143"/>
      <c r="J17" s="1123"/>
      <c r="K17" s="1123"/>
      <c r="L17" s="1549"/>
      <c r="M17" s="1549"/>
      <c r="N17" s="1550"/>
      <c r="O17" s="1549"/>
      <c r="P17" s="1549"/>
      <c r="Q17" s="1555"/>
      <c r="R17" s="1809"/>
      <c r="S17" s="1556"/>
    </row>
    <row r="18" spans="1:19" s="119" customFormat="1" ht="12.95">
      <c r="A18" s="120"/>
      <c r="B18" s="144" t="s">
        <v>864</v>
      </c>
      <c r="C18" s="148"/>
      <c r="D18" s="705" t="s">
        <v>802</v>
      </c>
      <c r="E18" s="145"/>
      <c r="F18" s="1813">
        <f>'STANDARD_NON RFO UNITS'!F16:I16</f>
        <v>0</v>
      </c>
      <c r="G18" s="1801"/>
      <c r="H18" s="1801"/>
      <c r="I18" s="1814"/>
      <c r="J18" s="100"/>
      <c r="K18" s="100"/>
      <c r="L18" s="1527" t="s">
        <v>820</v>
      </c>
      <c r="M18" s="1527"/>
      <c r="N18" s="1288" t="str">
        <f>C2</f>
        <v>September 1,2025</v>
      </c>
      <c r="O18" s="1551">
        <f>F27</f>
        <v>30000</v>
      </c>
      <c r="P18" s="1551"/>
      <c r="Q18" s="1810"/>
      <c r="R18" s="1811"/>
      <c r="S18" s="1812"/>
    </row>
    <row r="19" spans="1:19" s="121" customFormat="1" ht="12.95">
      <c r="A19" s="118"/>
      <c r="B19" s="129" t="s">
        <v>791</v>
      </c>
      <c r="C19" s="101"/>
      <c r="D19" s="142" t="s">
        <v>802</v>
      </c>
      <c r="E19" s="146"/>
      <c r="F19" s="1807">
        <f>F16-(F17+F18)</f>
        <v>3195170.8635638431</v>
      </c>
      <c r="G19" s="1577"/>
      <c r="H19" s="1577"/>
      <c r="I19" s="1578"/>
      <c r="J19" s="1123"/>
      <c r="K19" s="1123"/>
      <c r="L19" s="1527" t="s">
        <v>1047</v>
      </c>
      <c r="M19" s="1527"/>
      <c r="N19" s="1288" t="e">
        <f>N18+30</f>
        <v>#VALUE!</v>
      </c>
      <c r="O19" s="1551">
        <f>F28</f>
        <v>3492675.8770791371</v>
      </c>
      <c r="P19" s="1551"/>
      <c r="Q19" s="1810"/>
      <c r="R19" s="1811"/>
      <c r="S19" s="1812"/>
    </row>
    <row r="20" spans="1:19" s="119" customFormat="1" ht="12.95">
      <c r="A20" s="118"/>
      <c r="B20" s="147"/>
      <c r="C20" s="1203"/>
      <c r="D20" s="705"/>
      <c r="E20" s="127"/>
      <c r="F20" s="1805">
        <f>E21*F19</f>
        <v>383420.50362766115</v>
      </c>
      <c r="G20" s="1805"/>
      <c r="H20" s="1805"/>
      <c r="I20" s="1805"/>
      <c r="J20" s="1123"/>
      <c r="K20" s="1123"/>
      <c r="L20" s="1574"/>
      <c r="M20" s="1574"/>
      <c r="N20" s="496"/>
      <c r="O20" s="1753"/>
      <c r="P20" s="1753"/>
      <c r="Q20" s="1806"/>
      <c r="R20" s="1806"/>
      <c r="S20" s="100"/>
    </row>
    <row r="21" spans="1:19" s="119" customFormat="1" ht="12.95">
      <c r="A21" s="118"/>
      <c r="B21" s="149" t="s">
        <v>868</v>
      </c>
      <c r="C21" s="149"/>
      <c r="D21" s="705" t="s">
        <v>802</v>
      </c>
      <c r="E21" s="1312">
        <v>0.12</v>
      </c>
      <c r="F21" s="1627">
        <f>IF(OR(ISBLANK('STANDARD_NON RFO UNITS'!F19), 'STANDARD_NON RFO UNITS'!F19 = 0), 0, 0.12 * F19)</f>
        <v>0</v>
      </c>
      <c r="G21" s="1628"/>
      <c r="H21" s="1751"/>
      <c r="I21" s="1201"/>
      <c r="J21" s="1123"/>
      <c r="K21" s="1123"/>
      <c r="L21" s="142"/>
      <c r="M21" s="142"/>
      <c r="N21" s="167"/>
      <c r="O21" s="497"/>
      <c r="P21" s="497"/>
      <c r="Q21" s="497"/>
      <c r="R21" s="100"/>
      <c r="S21" s="100"/>
    </row>
    <row r="22" spans="1:19" s="119" customFormat="1" ht="12.95">
      <c r="A22" s="118"/>
      <c r="B22" s="150" t="s">
        <v>870</v>
      </c>
      <c r="C22" s="149"/>
      <c r="D22" s="705" t="s">
        <v>802</v>
      </c>
      <c r="E22" s="435">
        <f>7.5%+2.75%</f>
        <v>0.10249999999999999</v>
      </c>
      <c r="F22" s="1820">
        <f>(E22*F16)+E20</f>
        <v>327505.01351529389</v>
      </c>
      <c r="G22" s="1821"/>
      <c r="H22" s="1822"/>
      <c r="I22" s="1201"/>
      <c r="J22" s="1123"/>
      <c r="K22" s="1123"/>
      <c r="L22" s="142"/>
      <c r="M22" s="142"/>
      <c r="N22" s="167"/>
      <c r="O22" s="497"/>
      <c r="P22" s="497"/>
      <c r="Q22" s="497"/>
      <c r="R22" s="100"/>
      <c r="S22" s="100"/>
    </row>
    <row r="23" spans="1:19" s="119" customFormat="1" ht="12.95">
      <c r="A23" s="120"/>
      <c r="B23" s="151"/>
      <c r="C23" s="1313"/>
      <c r="D23" s="705"/>
      <c r="E23" s="1314"/>
      <c r="F23" s="1257"/>
      <c r="G23" s="1257"/>
      <c r="H23" s="1257"/>
      <c r="I23" s="1123"/>
      <c r="J23" s="100"/>
      <c r="K23" s="1123"/>
      <c r="L23" s="156"/>
      <c r="M23" s="1123" t="s">
        <v>819</v>
      </c>
      <c r="N23" s="1205"/>
      <c r="O23" s="1123"/>
      <c r="P23" s="1123"/>
      <c r="Q23" s="1123"/>
      <c r="R23" s="1123"/>
      <c r="S23" s="1123"/>
    </row>
    <row r="24" spans="1:19" s="119" customFormat="1" ht="12.95">
      <c r="A24" s="118"/>
      <c r="B24" s="129" t="s">
        <v>874</v>
      </c>
      <c r="C24" s="101"/>
      <c r="D24" s="142" t="s">
        <v>802</v>
      </c>
      <c r="E24" s="152"/>
      <c r="F24" s="1816">
        <f>SUM(F22,F21,F19)</f>
        <v>3522675.8770791371</v>
      </c>
      <c r="G24" s="1623"/>
      <c r="H24" s="1752"/>
      <c r="I24" s="143"/>
      <c r="J24" s="1123"/>
      <c r="K24" s="100"/>
      <c r="L24" s="156"/>
      <c r="M24" s="1123"/>
      <c r="N24" s="1205"/>
      <c r="O24" s="1123"/>
      <c r="P24" s="1123"/>
      <c r="Q24" s="1123"/>
      <c r="R24" s="1123"/>
      <c r="S24" s="1123"/>
    </row>
    <row r="25" spans="1:19" s="121" customFormat="1" ht="12.95">
      <c r="A25" s="118"/>
      <c r="B25" s="147"/>
      <c r="C25" s="1123"/>
      <c r="D25" s="705"/>
      <c r="E25" s="1123"/>
      <c r="F25" s="1257"/>
      <c r="G25" s="1257"/>
      <c r="H25" s="1257"/>
      <c r="I25" s="1123"/>
      <c r="J25" s="1123"/>
      <c r="K25" s="1123"/>
      <c r="L25" s="100" t="s">
        <v>936</v>
      </c>
      <c r="M25" s="100"/>
      <c r="N25" s="142"/>
      <c r="O25" s="100"/>
      <c r="P25" s="119"/>
      <c r="Q25" s="100" t="s">
        <v>937</v>
      </c>
      <c r="R25" s="1123"/>
      <c r="S25" s="1123"/>
    </row>
    <row r="26" spans="1:19" s="119" customFormat="1" ht="12.95">
      <c r="A26" s="120"/>
      <c r="B26" s="1785" t="s">
        <v>1047</v>
      </c>
      <c r="C26" s="1785"/>
      <c r="D26" s="142" t="s">
        <v>802</v>
      </c>
      <c r="E26" s="153">
        <v>1</v>
      </c>
      <c r="F26" s="1622">
        <f>F24*E26</f>
        <v>3522675.8770791371</v>
      </c>
      <c r="G26" s="1623"/>
      <c r="H26" s="1623"/>
      <c r="I26" s="1624"/>
      <c r="J26" s="100"/>
      <c r="K26" s="1123"/>
      <c r="L26" s="1123"/>
      <c r="M26" s="1123"/>
      <c r="N26" s="705"/>
      <c r="O26" s="1123"/>
      <c r="P26" s="1123"/>
      <c r="Q26" s="1123"/>
      <c r="R26" s="1123"/>
      <c r="S26" s="1123"/>
    </row>
    <row r="27" spans="1:19" s="121" customFormat="1" ht="12.95">
      <c r="A27" s="118"/>
      <c r="B27" s="1533" t="s">
        <v>1048</v>
      </c>
      <c r="C27" s="1533"/>
      <c r="D27" s="705" t="s">
        <v>802</v>
      </c>
      <c r="E27" s="1315"/>
      <c r="F27" s="1817">
        <f>'STANDARD_NON RFO UNITS'!F25</f>
        <v>30000</v>
      </c>
      <c r="G27" s="1818"/>
      <c r="H27" s="1818"/>
      <c r="I27" s="1819"/>
      <c r="J27" s="100"/>
      <c r="K27" s="100"/>
      <c r="L27" s="1123"/>
      <c r="M27" s="1123"/>
      <c r="N27" s="705"/>
      <c r="O27" s="1123"/>
      <c r="P27" s="1123"/>
      <c r="Q27" s="1123"/>
      <c r="R27" s="1123"/>
      <c r="S27" s="1123"/>
    </row>
    <row r="28" spans="1:19" s="121" customFormat="1" ht="12.95">
      <c r="A28" s="120"/>
      <c r="B28" s="1785" t="s">
        <v>1049</v>
      </c>
      <c r="C28" s="1785"/>
      <c r="D28" s="142" t="s">
        <v>802</v>
      </c>
      <c r="E28" s="154"/>
      <c r="F28" s="1622">
        <f>F26-F27</f>
        <v>3492675.8770791371</v>
      </c>
      <c r="G28" s="1623"/>
      <c r="H28" s="1623"/>
      <c r="I28" s="1624"/>
      <c r="J28" s="1123"/>
      <c r="K28" s="100"/>
      <c r="L28" s="1568" t="str">
        <f>FORM!I28</f>
        <v xml:space="preserve">agent </v>
      </c>
      <c r="M28" s="1568"/>
      <c r="N28" s="1568"/>
      <c r="O28" s="100"/>
      <c r="P28" s="100"/>
      <c r="Q28" s="1568" t="str">
        <f>FORM!I26</f>
        <v>cnc</v>
      </c>
      <c r="R28" s="1568"/>
      <c r="S28" s="1568"/>
    </row>
    <row r="29" spans="1:19" s="119" customFormat="1" ht="12.95">
      <c r="A29" s="118"/>
      <c r="B29" s="147"/>
      <c r="C29" s="1123"/>
      <c r="D29" s="705"/>
      <c r="E29" s="1123"/>
      <c r="F29" s="1123"/>
      <c r="G29" s="1123"/>
      <c r="H29" s="1123"/>
      <c r="I29" s="1123"/>
      <c r="J29" s="1123"/>
      <c r="K29" s="1123"/>
      <c r="L29" s="1229" t="s">
        <v>938</v>
      </c>
      <c r="M29" s="1784"/>
      <c r="N29" s="1570"/>
      <c r="O29" s="1123"/>
      <c r="P29" s="1123"/>
      <c r="Q29" s="1226" t="s">
        <v>939</v>
      </c>
      <c r="R29" s="1784"/>
      <c r="S29" s="1570"/>
    </row>
    <row r="30" spans="1:19" s="119" customFormat="1" ht="12.95">
      <c r="A30" s="118"/>
      <c r="D30" s="162"/>
      <c r="E30" s="130"/>
      <c r="I30" s="100"/>
      <c r="J30" s="100"/>
      <c r="K30" s="1123"/>
      <c r="L30" s="1189"/>
      <c r="M30" s="1189"/>
      <c r="N30" s="1248"/>
      <c r="O30" s="1189"/>
      <c r="P30" s="1189"/>
      <c r="Q30" s="1189"/>
      <c r="R30" s="1189"/>
      <c r="S30" s="1189"/>
    </row>
    <row r="31" spans="1:19" s="121" customFormat="1" ht="12.95">
      <c r="A31" s="118"/>
      <c r="B31" s="119"/>
      <c r="C31" s="119"/>
      <c r="D31" s="162"/>
      <c r="E31" s="119"/>
      <c r="F31" s="119"/>
      <c r="G31" s="119"/>
      <c r="H31" s="119"/>
      <c r="I31" s="1123"/>
      <c r="J31" s="1123"/>
      <c r="K31" s="100"/>
      <c r="L31" s="1189"/>
      <c r="M31" s="1189"/>
      <c r="N31" s="1248"/>
      <c r="O31" s="1189"/>
      <c r="P31" s="1189"/>
      <c r="Q31" s="1189"/>
      <c r="R31" s="1189"/>
      <c r="S31" s="1189"/>
    </row>
    <row r="32" spans="1:19" s="119" customFormat="1" ht="12.95">
      <c r="A32" s="118"/>
      <c r="B32" s="101" t="s">
        <v>924</v>
      </c>
      <c r="C32" s="163"/>
      <c r="D32" s="100"/>
      <c r="E32" s="100"/>
      <c r="F32" s="100"/>
      <c r="G32" s="100"/>
      <c r="H32" s="100"/>
      <c r="I32" s="100"/>
      <c r="J32" s="1123"/>
      <c r="K32" s="1123"/>
      <c r="L32" s="1189"/>
      <c r="M32" s="1189"/>
      <c r="N32" s="1248"/>
      <c r="O32" s="1189"/>
      <c r="P32" s="1189"/>
      <c r="Q32" s="1189"/>
      <c r="R32" s="1189"/>
      <c r="S32" s="1189"/>
    </row>
    <row r="33" spans="1:19" s="119" customFormat="1" ht="12.95">
      <c r="A33" s="118"/>
      <c r="B33" s="100"/>
      <c r="C33" s="100"/>
      <c r="D33" s="100"/>
      <c r="E33" s="100"/>
      <c r="F33" s="100"/>
      <c r="G33" s="100"/>
      <c r="H33" s="100"/>
      <c r="I33" s="100"/>
      <c r="J33" s="1123"/>
      <c r="K33" s="1123"/>
      <c r="L33" s="1815"/>
      <c r="M33" s="1815"/>
      <c r="N33" s="1815"/>
      <c r="O33" s="1189"/>
      <c r="P33" s="1189"/>
      <c r="Q33" s="1189"/>
      <c r="R33" s="1189"/>
      <c r="S33" s="1189"/>
    </row>
    <row r="34" spans="1:19" s="119" customFormat="1" ht="12.95">
      <c r="A34" s="118"/>
      <c r="B34" s="1549" t="s">
        <v>927</v>
      </c>
      <c r="C34" s="1549"/>
      <c r="D34" s="1549" t="s">
        <v>775</v>
      </c>
      <c r="E34" s="1549"/>
      <c r="F34" s="1549"/>
      <c r="G34" s="1549"/>
      <c r="H34" s="1549" t="s">
        <v>928</v>
      </c>
      <c r="I34" s="1549"/>
      <c r="J34" s="1123"/>
      <c r="K34" s="1123"/>
      <c r="L34" s="1189"/>
      <c r="M34" s="1248"/>
      <c r="N34" s="1248"/>
      <c r="O34" s="1189"/>
      <c r="P34" s="1189"/>
      <c r="Q34" s="1189"/>
      <c r="R34" s="1189"/>
      <c r="S34" s="1189"/>
    </row>
    <row r="35" spans="1:19" s="119" customFormat="1" ht="12.95">
      <c r="A35" s="118"/>
      <c r="B35" s="1774">
        <f>'SPOT EQUITY_30DAYS'!B59</f>
        <v>0</v>
      </c>
      <c r="C35" s="1775"/>
      <c r="D35" s="1774">
        <f>'SPOT EQUITY_30DAYS'!D59:D59</f>
        <v>0</v>
      </c>
      <c r="E35" s="1778"/>
      <c r="F35" s="1778"/>
      <c r="G35" s="1775"/>
      <c r="H35" s="1780">
        <f>'SPOT EQUITY_30DAYS'!G59</f>
        <v>0</v>
      </c>
      <c r="I35" s="1781"/>
      <c r="J35" s="1123"/>
      <c r="K35" s="1123"/>
      <c r="L35" s="1189"/>
      <c r="M35" s="1248"/>
      <c r="N35" s="1248"/>
      <c r="O35" s="1189"/>
      <c r="P35" s="1189"/>
      <c r="Q35" s="1189"/>
      <c r="R35" s="1189"/>
      <c r="S35" s="1189"/>
    </row>
    <row r="36" spans="1:19" s="119" customFormat="1" ht="12.95">
      <c r="A36" s="118"/>
      <c r="B36" s="1776"/>
      <c r="C36" s="1777"/>
      <c r="D36" s="1776"/>
      <c r="E36" s="1779"/>
      <c r="F36" s="1779"/>
      <c r="G36" s="1777"/>
      <c r="H36" s="1782"/>
      <c r="I36" s="1783"/>
      <c r="J36" s="1123"/>
      <c r="K36" s="1123"/>
      <c r="M36" s="485"/>
      <c r="N36" s="485"/>
    </row>
    <row r="37" spans="1:19" s="119" customFormat="1" ht="12.95">
      <c r="A37" s="118"/>
      <c r="B37" s="1774">
        <f>'SPOT EQUITY_30DAYS'!B61</f>
        <v>0</v>
      </c>
      <c r="C37" s="1775"/>
      <c r="D37" s="1774">
        <f>'SPOT EQUITY_30DAYS'!D61:D61</f>
        <v>0</v>
      </c>
      <c r="E37" s="1778"/>
      <c r="F37" s="1778"/>
      <c r="G37" s="1775"/>
      <c r="H37" s="1780">
        <f>'SPOT EQUITY_30DAYS'!G61</f>
        <v>0</v>
      </c>
      <c r="I37" s="1781"/>
      <c r="J37" s="1123"/>
      <c r="K37" s="1123"/>
      <c r="N37" s="485"/>
    </row>
    <row r="38" spans="1:19" s="119" customFormat="1" ht="12.95">
      <c r="A38" s="118"/>
      <c r="B38" s="1776"/>
      <c r="C38" s="1777"/>
      <c r="D38" s="1776"/>
      <c r="E38" s="1779"/>
      <c r="F38" s="1779"/>
      <c r="G38" s="1777"/>
      <c r="H38" s="1782"/>
      <c r="I38" s="1783"/>
      <c r="J38" s="1123"/>
      <c r="K38" s="1123"/>
      <c r="N38" s="485"/>
    </row>
    <row r="39" spans="1:19" s="119" customFormat="1" ht="16.5" customHeight="1">
      <c r="A39" s="118"/>
      <c r="B39" s="1774">
        <f>'SPOT EQUITY_30DAYS'!B63</f>
        <v>0</v>
      </c>
      <c r="C39" s="1775"/>
      <c r="D39" s="1774">
        <f>'SPOT EQUITY_30DAYS'!D63:D63</f>
        <v>0</v>
      </c>
      <c r="E39" s="1778"/>
      <c r="F39" s="1778"/>
      <c r="G39" s="1775"/>
      <c r="H39" s="1780">
        <f>'SPOT EQUITY_30DAYS'!G63</f>
        <v>0</v>
      </c>
      <c r="I39" s="1781"/>
      <c r="J39" s="1123"/>
      <c r="K39" s="1123"/>
      <c r="N39" s="485"/>
    </row>
    <row r="40" spans="1:19" s="119" customFormat="1" ht="12.95">
      <c r="A40" s="118"/>
      <c r="B40" s="1776"/>
      <c r="C40" s="1777"/>
      <c r="D40" s="1776"/>
      <c r="E40" s="1779"/>
      <c r="F40" s="1779"/>
      <c r="G40" s="1777"/>
      <c r="H40" s="1782"/>
      <c r="I40" s="1783"/>
      <c r="J40" s="1123"/>
      <c r="K40" s="1123"/>
      <c r="N40" s="485"/>
    </row>
    <row r="41" spans="1:19" s="119" customFormat="1" ht="16.5" customHeight="1">
      <c r="A41" s="118"/>
      <c r="B41" s="1774">
        <f>'SPOT EQUITY_30DAYS'!B65</f>
        <v>0</v>
      </c>
      <c r="C41" s="1775"/>
      <c r="D41" s="1774">
        <f>'SPOT EQUITY_30DAYS'!D65:D65</f>
        <v>0</v>
      </c>
      <c r="E41" s="1778"/>
      <c r="F41" s="1778"/>
      <c r="G41" s="1775"/>
      <c r="H41" s="1780">
        <f>'SPOT EQUITY_30DAYS'!G65</f>
        <v>0</v>
      </c>
      <c r="I41" s="1781"/>
      <c r="J41" s="1123"/>
      <c r="K41" s="1123"/>
      <c r="N41" s="485"/>
    </row>
    <row r="42" spans="1:19" s="119" customFormat="1" ht="12.95">
      <c r="A42" s="118"/>
      <c r="B42" s="1776"/>
      <c r="C42" s="1777"/>
      <c r="D42" s="1776"/>
      <c r="E42" s="1779"/>
      <c r="F42" s="1779"/>
      <c r="G42" s="1777"/>
      <c r="H42" s="1782"/>
      <c r="I42" s="1783"/>
      <c r="J42" s="1123"/>
      <c r="K42" s="1123"/>
      <c r="N42" s="485"/>
    </row>
    <row r="43" spans="1:19" s="119" customFormat="1" ht="16.5" customHeight="1">
      <c r="A43" s="118"/>
      <c r="B43" s="1774">
        <f>'SPOT EQUITY_30DAYS'!B67</f>
        <v>0</v>
      </c>
      <c r="C43" s="1775"/>
      <c r="D43" s="1774">
        <f>'SPOT EQUITY_30DAYS'!D67:D67</f>
        <v>0</v>
      </c>
      <c r="E43" s="1778"/>
      <c r="F43" s="1778"/>
      <c r="G43" s="1775"/>
      <c r="H43" s="1780">
        <f>'SPOT EQUITY_30DAYS'!G67</f>
        <v>0</v>
      </c>
      <c r="I43" s="1781"/>
      <c r="J43" s="1123"/>
      <c r="K43" s="1123"/>
      <c r="N43" s="485"/>
    </row>
    <row r="44" spans="1:19" s="119" customFormat="1" ht="12.95">
      <c r="A44" s="118"/>
      <c r="B44" s="1776"/>
      <c r="C44" s="1777"/>
      <c r="D44" s="1776"/>
      <c r="E44" s="1779"/>
      <c r="F44" s="1779"/>
      <c r="G44" s="1777"/>
      <c r="H44" s="1782"/>
      <c r="I44" s="1783"/>
      <c r="J44" s="1123"/>
      <c r="K44" s="1123"/>
      <c r="N44" s="485"/>
    </row>
    <row r="45" spans="1:19" s="119" customFormat="1" ht="16.5" customHeight="1">
      <c r="A45" s="118"/>
      <c r="B45" s="1774">
        <f>'SPOT EQUITY_30DAYS'!B69</f>
        <v>0</v>
      </c>
      <c r="C45" s="1775"/>
      <c r="D45" s="1774">
        <f>'SPOT EQUITY_30DAYS'!D69:D69</f>
        <v>0</v>
      </c>
      <c r="E45" s="1778"/>
      <c r="F45" s="1778"/>
      <c r="G45" s="1775"/>
      <c r="H45" s="1780">
        <f>'SPOT EQUITY_30DAYS'!G69</f>
        <v>0</v>
      </c>
      <c r="I45" s="1781"/>
      <c r="J45" s="1123"/>
      <c r="K45" s="1123"/>
      <c r="N45" s="485"/>
    </row>
    <row r="46" spans="1:19" s="119" customFormat="1" ht="12.95">
      <c r="A46" s="118"/>
      <c r="B46" s="1776"/>
      <c r="C46" s="1777"/>
      <c r="D46" s="1776"/>
      <c r="E46" s="1779"/>
      <c r="F46" s="1779"/>
      <c r="G46" s="1777"/>
      <c r="H46" s="1782"/>
      <c r="I46" s="1783"/>
      <c r="J46" s="1123"/>
      <c r="K46" s="1123"/>
      <c r="N46" s="485"/>
    </row>
    <row r="47" spans="1:19" s="119" customFormat="1" ht="12.75" customHeight="1">
      <c r="A47" s="118"/>
      <c r="B47" s="1123"/>
      <c r="C47" s="1123"/>
      <c r="D47" s="1123"/>
      <c r="E47" s="1123"/>
      <c r="F47" s="1123"/>
      <c r="G47" s="1123"/>
      <c r="H47" s="1123"/>
      <c r="I47" s="1123"/>
      <c r="J47" s="1123"/>
      <c r="K47" s="1123"/>
      <c r="N47" s="485"/>
    </row>
    <row r="48" spans="1:19" s="119" customFormat="1" ht="12.75" customHeight="1">
      <c r="A48" s="118"/>
      <c r="B48" s="1123"/>
      <c r="C48" s="1123"/>
      <c r="D48" s="1123"/>
      <c r="E48" s="1123"/>
      <c r="F48" s="1123"/>
      <c r="G48" s="1123"/>
      <c r="H48" s="1123"/>
      <c r="I48" s="1123"/>
      <c r="J48" s="1123"/>
      <c r="K48" s="1123"/>
      <c r="N48" s="485"/>
    </row>
    <row r="49" spans="1:14" s="119" customFormat="1" ht="12.75" customHeight="1">
      <c r="A49" s="118"/>
      <c r="B49" s="250"/>
      <c r="C49" s="161" t="s">
        <v>950</v>
      </c>
      <c r="D49" s="1573"/>
      <c r="E49" s="1573"/>
      <c r="F49" s="1573"/>
      <c r="G49" s="1573"/>
      <c r="H49" s="1123"/>
      <c r="I49" s="1123"/>
      <c r="J49" s="1123"/>
      <c r="K49" s="1123"/>
      <c r="N49" s="485"/>
    </row>
    <row r="50" spans="1:14" s="119" customFormat="1" ht="12.75" customHeight="1">
      <c r="A50" s="118"/>
      <c r="B50" s="470"/>
      <c r="C50" s="1123"/>
      <c r="D50" s="1123"/>
      <c r="E50" s="1123"/>
      <c r="F50" s="1123"/>
      <c r="G50" s="1123"/>
      <c r="H50" s="1123"/>
      <c r="I50" s="1123"/>
      <c r="J50" s="1123"/>
      <c r="K50" s="1123"/>
      <c r="N50" s="485"/>
    </row>
    <row r="51" spans="1:14" s="119" customFormat="1" ht="12.75" customHeight="1">
      <c r="A51" s="118"/>
      <c r="B51" s="470"/>
      <c r="C51" s="1123"/>
      <c r="D51" s="1123"/>
      <c r="E51" s="1123"/>
      <c r="F51" s="1123"/>
      <c r="G51" s="1123"/>
      <c r="H51" s="1123"/>
      <c r="I51" s="1123"/>
      <c r="J51" s="1123"/>
      <c r="K51" s="1123"/>
      <c r="N51" s="485"/>
    </row>
    <row r="52" spans="1:14" s="119" customFormat="1" ht="12.75" customHeight="1">
      <c r="A52" s="118"/>
      <c r="B52" s="470"/>
      <c r="C52" s="1123"/>
      <c r="D52" s="1123"/>
      <c r="E52" s="1123"/>
      <c r="F52" s="1123"/>
      <c r="G52" s="1123"/>
      <c r="H52" s="1123"/>
      <c r="I52" s="1123"/>
      <c r="J52" s="1123"/>
      <c r="K52" s="1123"/>
      <c r="N52" s="485"/>
    </row>
    <row r="53" spans="1:14" s="119" customFormat="1" ht="12.75" customHeight="1">
      <c r="A53" s="118"/>
      <c r="B53" s="470"/>
      <c r="C53" s="1123"/>
      <c r="D53" s="1123"/>
      <c r="E53" s="1123"/>
      <c r="F53" s="1123"/>
      <c r="G53" s="1123"/>
      <c r="H53" s="1123"/>
      <c r="I53" s="1123"/>
      <c r="J53" s="1123"/>
      <c r="K53" s="1123"/>
      <c r="N53" s="485"/>
    </row>
    <row r="54" spans="1:14" s="119" customFormat="1" ht="12.75" customHeight="1">
      <c r="A54" s="118"/>
      <c r="B54" s="470"/>
      <c r="C54" s="1123"/>
      <c r="D54" s="1123"/>
      <c r="E54" s="1123"/>
      <c r="F54" s="1123"/>
      <c r="G54" s="1123"/>
      <c r="H54" s="1123"/>
      <c r="I54" s="1123"/>
      <c r="J54" s="1123"/>
      <c r="K54" s="1123"/>
      <c r="N54" s="485"/>
    </row>
    <row r="55" spans="1:14" s="119" customFormat="1" ht="12.75" customHeight="1">
      <c r="A55" s="118"/>
      <c r="B55" s="470"/>
      <c r="C55" s="1123"/>
      <c r="D55" s="1123"/>
      <c r="E55" s="1123"/>
      <c r="F55" s="1123"/>
      <c r="G55" s="1123"/>
      <c r="H55" s="1123"/>
      <c r="I55" s="1123"/>
      <c r="J55" s="1123"/>
      <c r="K55" s="1123"/>
      <c r="N55" s="485"/>
    </row>
    <row r="56" spans="1:14" s="119" customFormat="1" ht="12.75" customHeight="1">
      <c r="A56" s="118"/>
      <c r="B56" s="470"/>
      <c r="C56" s="1123"/>
      <c r="D56" s="1123"/>
      <c r="E56" s="1123"/>
      <c r="F56" s="1123"/>
      <c r="G56" s="1123"/>
      <c r="H56" s="1123"/>
      <c r="I56" s="1123"/>
      <c r="J56" s="1123"/>
      <c r="K56" s="1123"/>
      <c r="N56" s="485"/>
    </row>
    <row r="57" spans="1:14" s="119" customFormat="1" ht="12.75" customHeight="1">
      <c r="A57" s="118"/>
      <c r="B57" s="470"/>
      <c r="C57" s="1123"/>
      <c r="D57" s="1123"/>
      <c r="E57" s="1123"/>
      <c r="F57" s="1123"/>
      <c r="G57" s="1123"/>
      <c r="H57" s="1123"/>
      <c r="I57" s="1123"/>
      <c r="J57" s="1123"/>
      <c r="K57" s="1123"/>
      <c r="N57" s="485"/>
    </row>
    <row r="58" spans="1:14" s="119" customFormat="1" ht="12.75" customHeight="1">
      <c r="A58" s="118"/>
      <c r="B58" s="470"/>
      <c r="C58" s="1123"/>
      <c r="D58" s="1123"/>
      <c r="E58" s="1123"/>
      <c r="F58" s="1123"/>
      <c r="G58" s="1123"/>
      <c r="H58" s="1123"/>
      <c r="I58" s="1123"/>
      <c r="J58" s="1123"/>
      <c r="K58" s="1123"/>
      <c r="N58" s="485"/>
    </row>
    <row r="59" spans="1:14" s="119" customFormat="1" ht="12.75" customHeight="1">
      <c r="A59" s="118"/>
      <c r="B59" s="470"/>
      <c r="C59" s="1123"/>
      <c r="D59" s="1123"/>
      <c r="E59" s="1123"/>
      <c r="F59" s="1123"/>
      <c r="G59" s="1123"/>
      <c r="H59" s="1123"/>
      <c r="I59" s="1123"/>
      <c r="J59" s="1123"/>
      <c r="K59" s="1123"/>
      <c r="N59" s="485"/>
    </row>
    <row r="60" spans="1:14" s="119" customFormat="1" ht="12.75" customHeight="1">
      <c r="A60" s="118"/>
      <c r="B60" s="1123"/>
      <c r="C60" s="1123"/>
      <c r="D60" s="705"/>
      <c r="E60" s="1123"/>
      <c r="F60" s="1123"/>
      <c r="G60" s="1123"/>
      <c r="H60" s="1123"/>
      <c r="I60" s="1123"/>
      <c r="J60" s="1123"/>
      <c r="K60" s="1123"/>
      <c r="N60" s="485"/>
    </row>
    <row r="61" spans="1:14" s="119" customFormat="1" ht="12.75" customHeight="1">
      <c r="A61" s="118"/>
      <c r="B61" s="1123"/>
      <c r="C61" s="1123"/>
      <c r="D61" s="705"/>
      <c r="E61" s="1123"/>
      <c r="F61" s="1123"/>
      <c r="G61" s="1123"/>
      <c r="H61" s="1123"/>
      <c r="I61" s="1123"/>
      <c r="J61" s="1123"/>
      <c r="K61" s="1123"/>
      <c r="N61" s="485"/>
    </row>
    <row r="62" spans="1:14" s="119" customFormat="1" ht="12.75" customHeight="1">
      <c r="A62" s="118"/>
      <c r="B62" s="100" t="s">
        <v>936</v>
      </c>
      <c r="C62" s="100"/>
      <c r="D62" s="142"/>
      <c r="E62" s="100"/>
      <c r="G62" s="100" t="s">
        <v>937</v>
      </c>
      <c r="H62" s="1123"/>
      <c r="I62" s="1123"/>
      <c r="J62" s="1123"/>
      <c r="K62" s="1123"/>
      <c r="N62" s="485"/>
    </row>
    <row r="63" spans="1:14" s="119" customFormat="1" ht="12.95">
      <c r="A63" s="118"/>
      <c r="B63" s="1123"/>
      <c r="C63" s="1123"/>
      <c r="D63" s="705"/>
      <c r="E63" s="1123"/>
      <c r="F63" s="1123"/>
      <c r="G63" s="1123"/>
      <c r="H63" s="1123"/>
      <c r="I63" s="1123"/>
      <c r="J63" s="1123"/>
      <c r="K63" s="1123"/>
      <c r="N63" s="485"/>
    </row>
    <row r="64" spans="1:14" s="119" customFormat="1" ht="12.95">
      <c r="A64" s="118"/>
      <c r="B64" s="1123"/>
      <c r="C64" s="1123"/>
      <c r="D64" s="705"/>
      <c r="E64" s="1123"/>
      <c r="F64" s="1123"/>
      <c r="G64" s="1123"/>
      <c r="H64" s="1123"/>
      <c r="I64" s="1123"/>
      <c r="J64" s="100"/>
      <c r="K64" s="1123"/>
      <c r="N64" s="485"/>
    </row>
    <row r="65" spans="1:14" s="119" customFormat="1" ht="12.75" customHeight="1">
      <c r="A65" s="118"/>
      <c r="B65" s="1568" t="str">
        <f>FORM!I28</f>
        <v xml:space="preserve">agent </v>
      </c>
      <c r="C65" s="1568"/>
      <c r="D65" s="1568"/>
      <c r="E65" s="100"/>
      <c r="F65" s="100"/>
      <c r="G65" s="1568" t="str">
        <f>FORM!I26</f>
        <v>cnc</v>
      </c>
      <c r="H65" s="1568"/>
      <c r="I65" s="1568"/>
      <c r="J65" s="1123"/>
      <c r="K65" s="1123"/>
      <c r="N65" s="485"/>
    </row>
    <row r="66" spans="1:14" s="119" customFormat="1" ht="12.75" customHeight="1">
      <c r="A66" s="118"/>
      <c r="B66" s="1229" t="s">
        <v>939</v>
      </c>
      <c r="C66" s="1784"/>
      <c r="D66" s="1570"/>
      <c r="E66" s="1123"/>
      <c r="F66" s="1123"/>
      <c r="G66" s="1226" t="s">
        <v>939</v>
      </c>
      <c r="H66" s="1784"/>
      <c r="I66" s="1570"/>
      <c r="J66" s="1123"/>
      <c r="K66" s="1123"/>
      <c r="N66" s="485"/>
    </row>
    <row r="67" spans="1:14" s="119" customFormat="1" ht="12.75" customHeight="1">
      <c r="A67" s="118"/>
      <c r="B67" s="1123"/>
      <c r="C67" s="1123"/>
      <c r="D67" s="705"/>
      <c r="E67" s="1123"/>
      <c r="F67" s="1123"/>
      <c r="G67" s="1123"/>
      <c r="H67" s="1123"/>
      <c r="I67" s="1123"/>
      <c r="J67" s="1123"/>
      <c r="K67" s="1123"/>
      <c r="N67" s="485"/>
    </row>
    <row r="68" spans="1:14" s="119" customFormat="1" ht="12.75" customHeight="1">
      <c r="B68" s="1123"/>
      <c r="C68" s="1123"/>
      <c r="D68" s="705"/>
      <c r="E68" s="1123"/>
      <c r="F68" s="1123"/>
      <c r="G68" s="1123"/>
      <c r="H68" s="1123"/>
      <c r="I68" s="1123"/>
      <c r="J68" s="1189"/>
      <c r="K68" s="100"/>
      <c r="N68" s="485"/>
    </row>
    <row r="69" spans="1:14" s="119" customFormat="1" ht="12.75" customHeight="1">
      <c r="B69" s="1189"/>
      <c r="C69" s="1189"/>
      <c r="D69" s="1225"/>
      <c r="E69" s="1189"/>
      <c r="F69" s="1189"/>
      <c r="G69" s="1189"/>
      <c r="H69" s="1189"/>
      <c r="I69" s="1189"/>
      <c r="J69" s="1189"/>
      <c r="K69" s="1189"/>
      <c r="N69" s="485"/>
    </row>
    <row r="70" spans="1:14">
      <c r="B70" s="2"/>
      <c r="C70" s="2"/>
      <c r="D70" s="83"/>
      <c r="E70" s="2"/>
      <c r="F70" s="2"/>
      <c r="G70" s="2"/>
      <c r="H70" s="2"/>
      <c r="I70" s="2"/>
      <c r="J70" s="2"/>
      <c r="K70" s="2"/>
    </row>
    <row r="71" spans="1:14">
      <c r="B71" s="2"/>
      <c r="C71" s="2"/>
      <c r="D71" s="83"/>
      <c r="E71" s="2"/>
      <c r="F71" s="2"/>
      <c r="G71" s="2"/>
      <c r="H71" s="2"/>
      <c r="I71" s="2"/>
      <c r="J71" s="2"/>
      <c r="K71" s="2"/>
    </row>
    <row r="72" spans="1:14">
      <c r="A72" s="158">
        <f>F19*E21</f>
        <v>383420.50362766115</v>
      </c>
      <c r="B72" s="2"/>
      <c r="C72" s="2"/>
      <c r="D72" s="83"/>
      <c r="E72" s="2"/>
      <c r="F72" s="2"/>
      <c r="G72" s="2"/>
      <c r="H72" s="2"/>
      <c r="I72" s="2"/>
      <c r="J72" s="2"/>
      <c r="K72" s="2"/>
    </row>
    <row r="73" spans="1:14">
      <c r="B73" s="2"/>
      <c r="C73" s="2"/>
      <c r="D73" s="83"/>
      <c r="E73" s="2"/>
      <c r="F73" s="2"/>
      <c r="G73" s="2"/>
      <c r="H73" s="2"/>
      <c r="I73" s="2"/>
      <c r="J73" s="2"/>
      <c r="K73" s="2"/>
    </row>
    <row r="74" spans="1:14">
      <c r="A74" s="159">
        <f>F19*12%</f>
        <v>383420.50362766115</v>
      </c>
      <c r="B74" s="2"/>
      <c r="C74" s="2"/>
      <c r="D74" s="83"/>
      <c r="E74" s="2"/>
      <c r="F74" s="2"/>
      <c r="G74" s="2"/>
      <c r="H74" s="2"/>
      <c r="I74" s="2"/>
      <c r="K74" s="2"/>
    </row>
    <row r="75" spans="1:14">
      <c r="K75" s="2"/>
    </row>
    <row r="76" spans="1:14">
      <c r="K76" s="2"/>
    </row>
    <row r="77" spans="1:14">
      <c r="K77" s="2"/>
    </row>
  </sheetData>
  <sheetProtection password="CC2E" sheet="1" formatCells="0" formatColumns="0" formatRows="0"/>
  <mergeCells count="79">
    <mergeCell ref="F24:H24"/>
    <mergeCell ref="F21:H21"/>
    <mergeCell ref="F26:I26"/>
    <mergeCell ref="F27:I27"/>
    <mergeCell ref="F22:H22"/>
    <mergeCell ref="Q28:S28"/>
    <mergeCell ref="L33:N33"/>
    <mergeCell ref="F28:I28"/>
    <mergeCell ref="L28:N28"/>
    <mergeCell ref="B26:C26"/>
    <mergeCell ref="B27:C27"/>
    <mergeCell ref="R29:S29"/>
    <mergeCell ref="Q20:R20"/>
    <mergeCell ref="F19:I19"/>
    <mergeCell ref="Q16:S17"/>
    <mergeCell ref="Q18:S18"/>
    <mergeCell ref="Q19:S19"/>
    <mergeCell ref="L19:M19"/>
    <mergeCell ref="L18:M18"/>
    <mergeCell ref="O18:P18"/>
    <mergeCell ref="O19:P19"/>
    <mergeCell ref="F18:I18"/>
    <mergeCell ref="E14:F14"/>
    <mergeCell ref="O14:P14"/>
    <mergeCell ref="L20:M20"/>
    <mergeCell ref="O20:P20"/>
    <mergeCell ref="O12:P12"/>
    <mergeCell ref="E13:F13"/>
    <mergeCell ref="O13:P13"/>
    <mergeCell ref="L16:M17"/>
    <mergeCell ref="N16:N17"/>
    <mergeCell ref="O16:P17"/>
    <mergeCell ref="F17:H17"/>
    <mergeCell ref="F16:H16"/>
    <mergeCell ref="E12:F12"/>
    <mergeCell ref="F20:I20"/>
    <mergeCell ref="H2:I2"/>
    <mergeCell ref="R2:S2"/>
    <mergeCell ref="O11:S11"/>
    <mergeCell ref="R3:S3"/>
    <mergeCell ref="O9:S9"/>
    <mergeCell ref="O10:S10"/>
    <mergeCell ref="E7:I7"/>
    <mergeCell ref="E9:I9"/>
    <mergeCell ref="E10:I10"/>
    <mergeCell ref="B4:I5"/>
    <mergeCell ref="L4:S5"/>
    <mergeCell ref="O7:S7"/>
    <mergeCell ref="O8:S8"/>
    <mergeCell ref="E11:I11"/>
    <mergeCell ref="E8:G8"/>
    <mergeCell ref="C66:D66"/>
    <mergeCell ref="H66:I66"/>
    <mergeCell ref="B28:C28"/>
    <mergeCell ref="M29:N29"/>
    <mergeCell ref="B65:D65"/>
    <mergeCell ref="H34:I34"/>
    <mergeCell ref="D34:G34"/>
    <mergeCell ref="B34:C34"/>
    <mergeCell ref="H45:I46"/>
    <mergeCell ref="D45:G46"/>
    <mergeCell ref="B45:C46"/>
    <mergeCell ref="G65:I65"/>
    <mergeCell ref="D49:G49"/>
    <mergeCell ref="B35:C36"/>
    <mergeCell ref="D35:G36"/>
    <mergeCell ref="H35:I36"/>
    <mergeCell ref="B37:C38"/>
    <mergeCell ref="D37:G38"/>
    <mergeCell ref="H37:I38"/>
    <mergeCell ref="B39:C40"/>
    <mergeCell ref="D39:G40"/>
    <mergeCell ref="H39:I40"/>
    <mergeCell ref="B41:C42"/>
    <mergeCell ref="D41:G42"/>
    <mergeCell ref="H41:I42"/>
    <mergeCell ref="B43:C44"/>
    <mergeCell ref="D43:G44"/>
    <mergeCell ref="H43:I44"/>
  </mergeCells>
  <pageMargins left="0.59055118110236227" right="0.59055118110236227" top="1.1811023622047245" bottom="0.74803149606299213" header="0.31496062992125984" footer="0.31496062992125984"/>
  <pageSetup paperSize="14" scale="80" orientation="portrait" r:id="rId1"/>
  <headerFooter>
    <oddHeader xml:space="preserve">&amp;R&amp;"Century Gothic,Bold"&amp;18ANNEX A: 
SAMPLE PACKAGE COMPUTATION
</oddHeader>
  </headerFooter>
  <colBreaks count="1" manualBreakCount="1">
    <brk id="10" max="6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dimension ref="A1:U123"/>
  <sheetViews>
    <sheetView showGridLines="0" showZeros="0" view="pageLayout" topLeftCell="A10" zoomScaleNormal="100" zoomScaleSheetLayoutView="85" workbookViewId="0">
      <selection activeCell="I31" sqref="I31:U31"/>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71">
        <f>'SPOT CASH_30 DAYS'!F16</f>
        <v>3195170.8635638431</v>
      </c>
      <c r="J27" s="1772"/>
      <c r="K27" s="1772"/>
      <c r="L27" s="1772"/>
      <c r="M27" s="1772"/>
      <c r="N27" s="1772"/>
      <c r="O27" s="1772"/>
      <c r="P27" s="1772"/>
      <c r="Q27" s="1772"/>
      <c r="R27" s="1772"/>
      <c r="S27" s="1772"/>
      <c r="T27" s="1772"/>
      <c r="U27" s="1773"/>
    </row>
    <row r="28" spans="1:21" ht="14.1">
      <c r="A28" s="39" t="s">
        <v>990</v>
      </c>
      <c r="B28" s="40"/>
      <c r="C28" s="42"/>
      <c r="D28" s="42"/>
      <c r="E28" s="42"/>
      <c r="F28" s="42"/>
      <c r="G28" s="42"/>
      <c r="H28" s="43"/>
      <c r="I28" s="1649">
        <f>'SPOT CASH_30 DAYS'!F17+'SPOT CASH_30 DAYS'!F18</f>
        <v>0</v>
      </c>
      <c r="J28" s="1650"/>
      <c r="K28" s="1650"/>
      <c r="L28" s="1650"/>
      <c r="M28" s="1650"/>
      <c r="N28" s="1650"/>
      <c r="O28" s="1650"/>
      <c r="P28" s="1650"/>
      <c r="Q28" s="1650"/>
      <c r="R28" s="1650"/>
      <c r="S28" s="1650"/>
      <c r="T28" s="1650"/>
      <c r="U28" s="1651"/>
    </row>
    <row r="29" spans="1:21" ht="14.1">
      <c r="A29" s="49" t="s">
        <v>791</v>
      </c>
      <c r="B29" s="50"/>
      <c r="C29" s="51"/>
      <c r="D29" s="51"/>
      <c r="E29" s="51"/>
      <c r="F29" s="51"/>
      <c r="G29" s="51"/>
      <c r="H29" s="48"/>
      <c r="I29" s="1771">
        <f>'SPOT CASH_30 DAYS'!F19</f>
        <v>3195170.8635638431</v>
      </c>
      <c r="J29" s="1772"/>
      <c r="K29" s="1772"/>
      <c r="L29" s="1772"/>
      <c r="M29" s="1772"/>
      <c r="N29" s="1772"/>
      <c r="O29" s="1772"/>
      <c r="P29" s="1772"/>
      <c r="Q29" s="1772"/>
      <c r="R29" s="1772"/>
      <c r="S29" s="1772"/>
      <c r="T29" s="1772"/>
      <c r="U29" s="1773"/>
    </row>
    <row r="30" spans="1:21" ht="14.1">
      <c r="A30" s="39" t="s">
        <v>991</v>
      </c>
      <c r="B30" s="40"/>
      <c r="C30" s="42"/>
      <c r="D30" s="42"/>
      <c r="E30" s="42"/>
      <c r="F30" s="42"/>
      <c r="G30" s="42"/>
      <c r="H30" s="43"/>
      <c r="I30" s="1771">
        <f>'SPOT CASH_30 DAYS'!F22</f>
        <v>327505.01351529389</v>
      </c>
      <c r="J30" s="1772"/>
      <c r="K30" s="1772"/>
      <c r="L30" s="1772"/>
      <c r="M30" s="1772"/>
      <c r="N30" s="1772"/>
      <c r="O30" s="1772"/>
      <c r="P30" s="1772"/>
      <c r="Q30" s="1772"/>
      <c r="R30" s="1772"/>
      <c r="S30" s="1772"/>
      <c r="T30" s="1772"/>
      <c r="U30" s="1773"/>
    </row>
    <row r="31" spans="1:21" ht="14.1">
      <c r="A31" s="39" t="s">
        <v>992</v>
      </c>
      <c r="B31" s="40"/>
      <c r="C31" s="42"/>
      <c r="D31" s="42"/>
      <c r="E31" s="42"/>
      <c r="F31" s="42"/>
      <c r="G31" s="42"/>
      <c r="H31" s="43"/>
      <c r="I31" s="1771">
        <f>'SPOT CASH_30 DAYS'!F21</f>
        <v>0</v>
      </c>
      <c r="J31" s="1772"/>
      <c r="K31" s="1772"/>
      <c r="L31" s="1772"/>
      <c r="M31" s="1772"/>
      <c r="N31" s="1772"/>
      <c r="O31" s="1772"/>
      <c r="P31" s="1772"/>
      <c r="Q31" s="1772"/>
      <c r="R31" s="1772"/>
      <c r="S31" s="1772"/>
      <c r="T31" s="1772"/>
      <c r="U31" s="1773"/>
    </row>
    <row r="32" spans="1:21" ht="14.1">
      <c r="A32" s="39" t="s">
        <v>178</v>
      </c>
      <c r="B32" s="40"/>
      <c r="C32" s="42"/>
      <c r="D32" s="42"/>
      <c r="E32" s="42"/>
      <c r="F32" s="42"/>
      <c r="G32" s="42"/>
      <c r="H32" s="43"/>
      <c r="I32" s="1771">
        <f>'SPOT CASH_30 DAYS'!F24</f>
        <v>3522675.8770791371</v>
      </c>
      <c r="J32" s="1772"/>
      <c r="K32" s="1772"/>
      <c r="L32" s="1772"/>
      <c r="M32" s="1772"/>
      <c r="N32" s="1772"/>
      <c r="O32" s="1772"/>
      <c r="P32" s="1772"/>
      <c r="Q32" s="1772"/>
      <c r="R32" s="1772"/>
      <c r="S32" s="1772"/>
      <c r="T32" s="1772"/>
      <c r="U32" s="177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SL6+r6LCwIH5IqprsMk7UjWVy/Xd+8s/A3CLgYVbpKJ4rehuU3nckKENc/6rYFK6ScSaAWG03YBkp/Jx/0spRQ==" saltValue="G/dhferBT2UARlreJCg31A=="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8"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1683"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1684"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1685"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1686"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1687"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1688"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1689"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1690"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1691"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1692"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1693"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1694"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1695"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1696"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1697"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1698"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1699"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8">
    <tabColor rgb="FFFF0000"/>
  </sheetPr>
  <dimension ref="A1:BA67"/>
  <sheetViews>
    <sheetView showGridLines="0" showZeros="0" view="pageLayout" topLeftCell="B4" zoomScale="85" zoomScaleNormal="100" zoomScaleSheetLayoutView="80" zoomScalePageLayoutView="85" workbookViewId="0">
      <selection activeCell="F27" sqref="F27:I27"/>
    </sheetView>
  </sheetViews>
  <sheetFormatPr defaultColWidth="9.140625" defaultRowHeight="14.45"/>
  <cols>
    <col min="1" max="1" width="2.140625" customWidth="1"/>
    <col min="2" max="2" width="11.140625" customWidth="1"/>
    <col min="3" max="3" width="20.140625" customWidth="1"/>
    <col min="4" max="4" width="13.140625" style="103"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04" customWidth="1"/>
    <col min="15" max="15" width="8" customWidth="1"/>
    <col min="16" max="16" width="15.42578125" customWidth="1"/>
    <col min="17" max="17" width="16.140625" customWidth="1"/>
    <col min="18" max="18" width="4.85546875" customWidth="1"/>
    <col min="19" max="19" width="22.5703125" customWidth="1"/>
  </cols>
  <sheetData>
    <row r="1" spans="1:53" s="119" customFormat="1" ht="12.95">
      <c r="A1" s="1189"/>
      <c r="B1" s="84" t="s">
        <v>847</v>
      </c>
      <c r="C1" s="1191" t="str">
        <f>FORM!I20</f>
        <v>September 1,2025</v>
      </c>
      <c r="D1" s="1192"/>
      <c r="F1" s="1192"/>
      <c r="G1" s="1192"/>
      <c r="H1" s="134" t="s">
        <v>943</v>
      </c>
      <c r="I1" s="1193" t="s">
        <v>849</v>
      </c>
      <c r="J1" s="1190"/>
      <c r="K1" s="1189"/>
      <c r="L1" s="160" t="s">
        <v>847</v>
      </c>
      <c r="M1" s="1191" t="str">
        <f>C1</f>
        <v>September 1,2025</v>
      </c>
      <c r="N1" s="1192"/>
      <c r="O1" s="1189"/>
      <c r="Q1" s="160" t="s">
        <v>943</v>
      </c>
      <c r="R1" s="1827" t="s">
        <v>851</v>
      </c>
      <c r="S1" s="1827"/>
      <c r="T1" s="1189"/>
    </row>
    <row r="2" spans="1:53" s="1" customFormat="1" ht="12.6">
      <c r="A2" s="86"/>
      <c r="B2" s="86"/>
      <c r="C2" s="87"/>
      <c r="D2" s="87"/>
      <c r="E2" s="86"/>
      <c r="F2" s="86"/>
      <c r="G2" s="88"/>
      <c r="H2" s="88"/>
      <c r="I2" s="88"/>
      <c r="J2" s="92"/>
      <c r="K2" s="88"/>
      <c r="L2" s="86"/>
      <c r="M2" s="87"/>
      <c r="N2" s="87"/>
      <c r="O2" s="86"/>
      <c r="P2" s="86"/>
      <c r="Q2" s="86"/>
      <c r="R2" s="1792"/>
      <c r="S2" s="1792"/>
      <c r="T2" s="86"/>
    </row>
    <row r="3" spans="1:53" s="111" customFormat="1" ht="12.75" customHeight="1">
      <c r="A3" s="88"/>
      <c r="B3" s="1638" t="s">
        <v>1050</v>
      </c>
      <c r="C3" s="1638"/>
      <c r="D3" s="1638"/>
      <c r="E3" s="1638"/>
      <c r="F3" s="1638"/>
      <c r="G3" s="1638"/>
      <c r="H3" s="1638"/>
      <c r="I3" s="1638"/>
      <c r="J3" s="137"/>
      <c r="K3" s="138"/>
      <c r="L3" s="1638" t="s">
        <v>853</v>
      </c>
      <c r="M3" s="1638"/>
      <c r="N3" s="1638"/>
      <c r="O3" s="1638"/>
      <c r="P3" s="1638"/>
      <c r="Q3" s="1638"/>
      <c r="R3" s="1638"/>
      <c r="S3" s="1638"/>
      <c r="T3" s="86"/>
    </row>
    <row r="4" spans="1:53" s="111" customFormat="1" ht="12.75" customHeight="1">
      <c r="A4" s="88"/>
      <c r="B4" s="1638"/>
      <c r="C4" s="1638"/>
      <c r="D4" s="1638"/>
      <c r="E4" s="1638"/>
      <c r="F4" s="1638"/>
      <c r="G4" s="1638"/>
      <c r="H4" s="1638"/>
      <c r="I4" s="1638"/>
      <c r="J4" s="137"/>
      <c r="K4" s="138"/>
      <c r="L4" s="1638"/>
      <c r="M4" s="1638"/>
      <c r="N4" s="1638"/>
      <c r="O4" s="1638"/>
      <c r="P4" s="1638"/>
      <c r="Q4" s="1638"/>
      <c r="R4" s="1638"/>
      <c r="S4" s="1638"/>
      <c r="T4" s="86"/>
    </row>
    <row r="5" spans="1:53" s="111" customFormat="1" ht="12.75" customHeight="1">
      <c r="A5" s="88"/>
      <c r="B5" s="139"/>
      <c r="C5" s="139"/>
      <c r="D5" s="140"/>
      <c r="E5" s="139"/>
      <c r="F5" s="139"/>
      <c r="G5" s="139"/>
      <c r="H5" s="139"/>
      <c r="I5" s="139"/>
      <c r="J5" s="139"/>
      <c r="K5" s="139"/>
      <c r="L5" s="93"/>
      <c r="M5" s="94"/>
      <c r="N5" s="96"/>
      <c r="O5" s="94"/>
      <c r="P5" s="94"/>
      <c r="Q5" s="94"/>
      <c r="R5" s="94"/>
      <c r="S5" s="96"/>
      <c r="T5" s="86"/>
    </row>
    <row r="6" spans="1:53" s="489" customFormat="1" ht="12.6">
      <c r="A6" s="1123"/>
      <c r="B6" s="225" t="s">
        <v>854</v>
      </c>
      <c r="C6" s="226"/>
      <c r="D6" s="705" t="s">
        <v>802</v>
      </c>
      <c r="E6" s="1723" t="str">
        <f>FORM!I26</f>
        <v>cnc</v>
      </c>
      <c r="F6" s="1723"/>
      <c r="G6" s="1723"/>
      <c r="H6" s="1723"/>
      <c r="I6" s="1723"/>
      <c r="J6" s="100"/>
      <c r="K6" s="142"/>
      <c r="L6" s="225" t="s">
        <v>854</v>
      </c>
      <c r="M6" s="228"/>
      <c r="N6" s="705" t="s">
        <v>802</v>
      </c>
      <c r="O6" s="1527" t="str">
        <f t="shared" ref="O6:O13" si="0">E6</f>
        <v>cnc</v>
      </c>
      <c r="P6" s="1527"/>
      <c r="Q6" s="1527"/>
      <c r="R6" s="1527"/>
      <c r="S6" s="1527"/>
      <c r="T6" s="1189"/>
      <c r="AM6" s="490"/>
      <c r="AZ6" s="491"/>
      <c r="BA6" s="492"/>
    </row>
    <row r="7" spans="1:53" s="489" customFormat="1" ht="12.6">
      <c r="A7" s="1123"/>
      <c r="B7" s="144" t="s">
        <v>801</v>
      </c>
      <c r="C7" s="227"/>
      <c r="D7" s="705" t="s">
        <v>802</v>
      </c>
      <c r="E7" s="1725" t="str">
        <f>FORM!I11</f>
        <v>The Southprime Flats</v>
      </c>
      <c r="F7" s="1726"/>
      <c r="G7" s="1229" t="str">
        <f>FORM!I14</f>
        <v>B1</v>
      </c>
      <c r="H7" s="1229"/>
      <c r="I7" s="1251"/>
      <c r="J7" s="100"/>
      <c r="K7" s="142"/>
      <c r="L7" s="144" t="s">
        <v>801</v>
      </c>
      <c r="M7" s="148"/>
      <c r="N7" s="705" t="s">
        <v>802</v>
      </c>
      <c r="O7" s="1527" t="str">
        <f t="shared" si="0"/>
        <v>The Southprime Flats</v>
      </c>
      <c r="P7" s="1527"/>
      <c r="Q7" s="1527"/>
      <c r="R7" s="1527"/>
      <c r="S7" s="1527"/>
      <c r="T7" s="1189"/>
      <c r="AM7" s="490"/>
      <c r="AZ7" s="491"/>
      <c r="BA7" s="492"/>
    </row>
    <row r="8" spans="1:53" s="489" customFormat="1" ht="12.6">
      <c r="A8" s="1123"/>
      <c r="B8" s="144" t="s">
        <v>855</v>
      </c>
      <c r="C8" s="227"/>
      <c r="D8" s="705" t="s">
        <v>802</v>
      </c>
      <c r="E8" s="1724" t="str">
        <f>'STANDARD_NON RFO UNITS'!E8</f>
        <v>2F</v>
      </c>
      <c r="F8" s="1724"/>
      <c r="G8" s="1724"/>
      <c r="H8" s="1724"/>
      <c r="I8" s="1724"/>
      <c r="J8" s="100"/>
      <c r="K8" s="142"/>
      <c r="L8" s="144" t="s">
        <v>855</v>
      </c>
      <c r="M8" s="148"/>
      <c r="N8" s="705" t="s">
        <v>802</v>
      </c>
      <c r="O8" s="1527" t="str">
        <f t="shared" si="0"/>
        <v>2F</v>
      </c>
      <c r="P8" s="1527"/>
      <c r="Q8" s="1527"/>
      <c r="R8" s="1527"/>
      <c r="S8" s="1527"/>
      <c r="T8" s="1189"/>
      <c r="AM8" s="490"/>
      <c r="AZ8" s="491"/>
      <c r="BA8" s="492"/>
    </row>
    <row r="9" spans="1:53" s="489" customFormat="1" ht="12.6" hidden="1">
      <c r="A9" s="1123"/>
      <c r="B9" s="144" t="s">
        <v>856</v>
      </c>
      <c r="C9" s="227"/>
      <c r="D9" s="705" t="s">
        <v>802</v>
      </c>
      <c r="E9" s="1527" t="e">
        <f>FORM!#REF!</f>
        <v>#REF!</v>
      </c>
      <c r="F9" s="1527"/>
      <c r="G9" s="1527"/>
      <c r="H9" s="1527"/>
      <c r="I9" s="1527"/>
      <c r="J9" s="100"/>
      <c r="K9" s="142"/>
      <c r="L9" s="144" t="s">
        <v>856</v>
      </c>
      <c r="M9" s="148"/>
      <c r="N9" s="705" t="s">
        <v>802</v>
      </c>
      <c r="O9" s="1527" t="e">
        <f t="shared" si="0"/>
        <v>#REF!</v>
      </c>
      <c r="P9" s="1527"/>
      <c r="Q9" s="1527"/>
      <c r="R9" s="1527"/>
      <c r="S9" s="1527"/>
      <c r="T9" s="1189"/>
      <c r="AM9" s="490"/>
      <c r="AZ9" s="491"/>
      <c r="BA9" s="492"/>
    </row>
    <row r="10" spans="1:53" s="489" customFormat="1" ht="12.6">
      <c r="A10" s="1123"/>
      <c r="B10" s="144" t="s">
        <v>857</v>
      </c>
      <c r="C10" s="227"/>
      <c r="D10" s="705" t="s">
        <v>802</v>
      </c>
      <c r="E10" s="1527" t="str">
        <f>'STANDARD_NON RFO UNITS'!E10</f>
        <v>Studio Unit</v>
      </c>
      <c r="F10" s="1527"/>
      <c r="G10" s="1527"/>
      <c r="H10" s="1527"/>
      <c r="I10" s="1527"/>
      <c r="J10" s="100"/>
      <c r="K10" s="142"/>
      <c r="L10" s="144" t="s">
        <v>857</v>
      </c>
      <c r="M10" s="148"/>
      <c r="N10" s="705" t="s">
        <v>802</v>
      </c>
      <c r="O10" s="1527" t="str">
        <f t="shared" si="0"/>
        <v>Studio Unit</v>
      </c>
      <c r="P10" s="1527"/>
      <c r="Q10" s="1527"/>
      <c r="R10" s="1527"/>
      <c r="S10" s="1527"/>
      <c r="T10" s="1189"/>
      <c r="AM10" s="490"/>
      <c r="AZ10" s="491"/>
      <c r="BA10" s="492"/>
    </row>
    <row r="11" spans="1:53" s="489" customFormat="1" ht="12.6">
      <c r="A11" s="1123"/>
      <c r="B11" s="144" t="s">
        <v>858</v>
      </c>
      <c r="C11" s="227"/>
      <c r="D11" s="705" t="s">
        <v>802</v>
      </c>
      <c r="E11" s="1639">
        <f>'STANDARD_NON RFO UNITS'!E11:F11</f>
        <v>22</v>
      </c>
      <c r="F11" s="1569"/>
      <c r="G11" s="1636" t="s">
        <v>859</v>
      </c>
      <c r="H11" s="1636"/>
      <c r="I11" s="1637"/>
      <c r="J11" s="100"/>
      <c r="K11" s="142"/>
      <c r="L11" s="144" t="s">
        <v>858</v>
      </c>
      <c r="M11" s="148"/>
      <c r="N11" s="705" t="s">
        <v>802</v>
      </c>
      <c r="O11" s="1639">
        <f t="shared" si="0"/>
        <v>22</v>
      </c>
      <c r="P11" s="1640"/>
      <c r="Q11" s="1636" t="s">
        <v>859</v>
      </c>
      <c r="R11" s="1636"/>
      <c r="S11" s="1637"/>
      <c r="T11" s="1189"/>
      <c r="AM11" s="490"/>
      <c r="AZ11" s="491"/>
      <c r="BA11" s="492"/>
    </row>
    <row r="12" spans="1:53" s="489" customFormat="1" ht="12.6">
      <c r="A12" s="1123"/>
      <c r="B12" s="148" t="s">
        <v>860</v>
      </c>
      <c r="C12" s="227"/>
      <c r="D12" s="705" t="s">
        <v>802</v>
      </c>
      <c r="E12" s="1634">
        <f>'STANDARD_NON RFO UNITS'!E12:F12</f>
        <v>0</v>
      </c>
      <c r="F12" s="1635"/>
      <c r="G12" s="1636" t="s">
        <v>859</v>
      </c>
      <c r="H12" s="1636"/>
      <c r="I12" s="1637"/>
      <c r="J12" s="1123"/>
      <c r="K12" s="142"/>
      <c r="L12" s="148" t="s">
        <v>860</v>
      </c>
      <c r="M12" s="148"/>
      <c r="N12" s="705" t="s">
        <v>802</v>
      </c>
      <c r="O12" s="1634">
        <f t="shared" si="0"/>
        <v>0</v>
      </c>
      <c r="P12" s="1635"/>
      <c r="Q12" s="1636" t="s">
        <v>859</v>
      </c>
      <c r="R12" s="1636"/>
      <c r="S12" s="1637"/>
      <c r="T12" s="1189"/>
      <c r="AM12" s="490"/>
      <c r="AZ12" s="491"/>
      <c r="BA12" s="492"/>
    </row>
    <row r="13" spans="1:53" s="489" customFormat="1" ht="12.6">
      <c r="A13" s="1123"/>
      <c r="B13" s="238" t="s">
        <v>861</v>
      </c>
      <c r="C13" s="101"/>
      <c r="D13" s="705" t="s">
        <v>802</v>
      </c>
      <c r="E13" s="1634">
        <f>'STANDARD_NON RFO UNITS'!E13:F13</f>
        <v>22</v>
      </c>
      <c r="F13" s="1635"/>
      <c r="G13" s="1636" t="s">
        <v>859</v>
      </c>
      <c r="H13" s="1636"/>
      <c r="I13" s="1637"/>
      <c r="J13" s="1123" t="s">
        <v>819</v>
      </c>
      <c r="K13" s="142"/>
      <c r="L13" s="238" t="s">
        <v>861</v>
      </c>
      <c r="M13" s="126"/>
      <c r="N13" s="705" t="s">
        <v>802</v>
      </c>
      <c r="O13" s="1634">
        <f t="shared" si="0"/>
        <v>22</v>
      </c>
      <c r="P13" s="1635"/>
      <c r="Q13" s="1636" t="s">
        <v>859</v>
      </c>
      <c r="R13" s="1636"/>
      <c r="S13" s="1637"/>
      <c r="T13" s="1189"/>
      <c r="AM13" s="490"/>
      <c r="AZ13" s="491"/>
      <c r="BA13" s="492"/>
    </row>
    <row r="14" spans="1:53" s="119" customFormat="1" ht="12.95">
      <c r="A14" s="1123"/>
      <c r="B14" s="1123"/>
      <c r="C14" s="1123"/>
      <c r="D14" s="705"/>
      <c r="E14" s="1123"/>
      <c r="F14" s="1123"/>
      <c r="G14" s="1123"/>
      <c r="H14" s="1123"/>
      <c r="I14" s="1123"/>
      <c r="J14" s="1123"/>
      <c r="K14" s="1123"/>
      <c r="L14" s="1123"/>
      <c r="M14" s="1123"/>
      <c r="N14" s="1205"/>
      <c r="O14" s="1123"/>
      <c r="P14" s="1123"/>
      <c r="Q14" s="1123"/>
      <c r="R14" s="1123"/>
      <c r="S14" s="1123"/>
      <c r="T14" s="1189"/>
    </row>
    <row r="15" spans="1:53" s="119" customFormat="1" ht="12.95">
      <c r="A15" s="1123"/>
      <c r="B15" s="141" t="s">
        <v>862</v>
      </c>
      <c r="C15" s="226"/>
      <c r="D15" s="142" t="s">
        <v>802</v>
      </c>
      <c r="E15" s="645">
        <f>'STANDARD_NON RFO UNITS'!E28</f>
        <v>1</v>
      </c>
      <c r="F15" s="1826">
        <f>'STANDARD_NON RFO UNITS'!F15</f>
        <v>3195170.8635638431</v>
      </c>
      <c r="G15" s="1826"/>
      <c r="H15" s="1826"/>
      <c r="I15" s="1826"/>
      <c r="J15" s="100"/>
      <c r="K15" s="100"/>
      <c r="L15" s="1549" t="s">
        <v>863</v>
      </c>
      <c r="M15" s="1549"/>
      <c r="N15" s="1550" t="s">
        <v>773</v>
      </c>
      <c r="O15" s="1549" t="s">
        <v>776</v>
      </c>
      <c r="P15" s="1549"/>
      <c r="Q15" s="1553" t="s">
        <v>214</v>
      </c>
      <c r="R15" s="1808"/>
      <c r="S15" s="1554"/>
      <c r="T15" s="1189"/>
    </row>
    <row r="16" spans="1:53" s="121" customFormat="1" ht="12.95">
      <c r="A16" s="1123"/>
      <c r="B16" s="144" t="s">
        <v>1046</v>
      </c>
      <c r="C16" s="148"/>
      <c r="D16" s="705" t="s">
        <v>802</v>
      </c>
      <c r="E16" s="437">
        <f>IF(E15&gt;11,5%,IF(E15&gt;5,2.5%,))</f>
        <v>0</v>
      </c>
      <c r="F16" s="1825">
        <f>F15*E16</f>
        <v>0</v>
      </c>
      <c r="G16" s="1825"/>
      <c r="H16" s="1825"/>
      <c r="I16" s="1825"/>
      <c r="J16" s="1123"/>
      <c r="K16" s="1123"/>
      <c r="L16" s="1549"/>
      <c r="M16" s="1549"/>
      <c r="N16" s="1550"/>
      <c r="O16" s="1549"/>
      <c r="P16" s="1549"/>
      <c r="Q16" s="1555"/>
      <c r="R16" s="1809"/>
      <c r="S16" s="1556"/>
      <c r="T16" s="3"/>
    </row>
    <row r="17" spans="1:20" s="119" customFormat="1" ht="12.95">
      <c r="A17" s="100"/>
      <c r="B17" s="144" t="s">
        <v>864</v>
      </c>
      <c r="C17" s="148"/>
      <c r="D17" s="705" t="s">
        <v>802</v>
      </c>
      <c r="E17" s="437"/>
      <c r="F17" s="1825">
        <f>'STANDARD_NON RFO UNITS'!F16:I16</f>
        <v>0</v>
      </c>
      <c r="G17" s="1825"/>
      <c r="H17" s="1825"/>
      <c r="I17" s="1825"/>
      <c r="J17" s="100"/>
      <c r="K17" s="100"/>
      <c r="L17" s="1527" t="s">
        <v>820</v>
      </c>
      <c r="M17" s="1527"/>
      <c r="N17" s="1288" t="str">
        <f>C1</f>
        <v>September 1,2025</v>
      </c>
      <c r="O17" s="1551">
        <f>F26</f>
        <v>30000</v>
      </c>
      <c r="P17" s="1551"/>
      <c r="Q17" s="1810"/>
      <c r="R17" s="1811"/>
      <c r="S17" s="1812"/>
      <c r="T17" s="1189"/>
    </row>
    <row r="18" spans="1:20" s="121" customFormat="1" ht="12.95">
      <c r="A18" s="1123"/>
      <c r="B18" s="129" t="s">
        <v>791</v>
      </c>
      <c r="C18" s="101"/>
      <c r="D18" s="142" t="s">
        <v>802</v>
      </c>
      <c r="E18" s="498"/>
      <c r="F18" s="1826">
        <f>F15-(F16+F17)</f>
        <v>3195170.8635638431</v>
      </c>
      <c r="G18" s="1826"/>
      <c r="H18" s="1826"/>
      <c r="I18" s="1826"/>
      <c r="J18" s="1123"/>
      <c r="K18" s="1123"/>
      <c r="L18" s="1527" t="s">
        <v>1047</v>
      </c>
      <c r="M18" s="1527"/>
      <c r="N18" s="1288" t="e">
        <f>N17+60</f>
        <v>#VALUE!</v>
      </c>
      <c r="O18" s="1551">
        <f>F27</f>
        <v>3474808.6783311311</v>
      </c>
      <c r="P18" s="1551"/>
      <c r="Q18" s="1810"/>
      <c r="R18" s="1811"/>
      <c r="S18" s="1812"/>
      <c r="T18" s="3"/>
    </row>
    <row r="19" spans="1:20" s="119" customFormat="1">
      <c r="A19" s="1123"/>
      <c r="B19" s="147"/>
      <c r="C19" s="1123"/>
      <c r="D19" s="705"/>
      <c r="E19" s="127">
        <v>70000</v>
      </c>
      <c r="F19" s="499">
        <f>E20*F18</f>
        <v>383420.50362766115</v>
      </c>
      <c r="G19" s="1257"/>
      <c r="H19" s="1257"/>
      <c r="I19" s="1123"/>
      <c r="J19" s="1123"/>
      <c r="K19" s="1123"/>
      <c r="L19"/>
      <c r="M19"/>
      <c r="N19"/>
      <c r="O19"/>
      <c r="P19"/>
      <c r="Q19"/>
      <c r="R19"/>
      <c r="S19"/>
      <c r="T19" s="1189"/>
    </row>
    <row r="20" spans="1:20" s="119" customFormat="1" ht="12.95">
      <c r="A20" s="1123"/>
      <c r="B20" s="148" t="s">
        <v>868</v>
      </c>
      <c r="C20" s="148"/>
      <c r="D20" s="705" t="s">
        <v>802</v>
      </c>
      <c r="E20" s="1289">
        <v>0.12</v>
      </c>
      <c r="F20" s="1738" t="str">
        <f>IF(F18&lt;='INTERNAL PRICELIST(OLD)'!R3,"",F18*E20)</f>
        <v/>
      </c>
      <c r="G20" s="1738"/>
      <c r="H20" s="1738"/>
      <c r="I20" s="1738"/>
      <c r="J20" s="1123"/>
      <c r="K20" s="1123"/>
      <c r="L20" s="142"/>
      <c r="M20" s="142"/>
      <c r="N20" s="167"/>
      <c r="O20" s="457"/>
      <c r="P20" s="457"/>
      <c r="Q20" s="497"/>
      <c r="R20" s="100"/>
      <c r="S20" s="100"/>
      <c r="T20" s="1189"/>
    </row>
    <row r="21" spans="1:20" s="119" customFormat="1" ht="12.95">
      <c r="A21" s="1123"/>
      <c r="B21" s="238" t="s">
        <v>870</v>
      </c>
      <c r="C21" s="126"/>
      <c r="D21" s="705" t="s">
        <v>802</v>
      </c>
      <c r="E21" s="500">
        <v>7.4999999999999997E-2</v>
      </c>
      <c r="F21" s="1738">
        <f>(F15*E21)+E19</f>
        <v>309637.81476728822</v>
      </c>
      <c r="G21" s="1738"/>
      <c r="H21" s="1738"/>
      <c r="I21" s="1738"/>
      <c r="J21" s="1123"/>
      <c r="K21" s="1123"/>
      <c r="L21" s="142"/>
      <c r="M21" s="142"/>
      <c r="N21" s="167"/>
      <c r="O21" s="457"/>
      <c r="P21" s="457"/>
      <c r="Q21" s="497"/>
      <c r="R21" s="100"/>
      <c r="S21" s="100"/>
      <c r="T21" s="1189"/>
    </row>
    <row r="22" spans="1:20" s="119" customFormat="1" ht="12.95">
      <c r="A22" s="100"/>
      <c r="B22" s="147"/>
      <c r="C22" s="1123"/>
      <c r="D22" s="705"/>
      <c r="E22" s="705"/>
      <c r="F22" s="1257"/>
      <c r="G22" s="1257"/>
      <c r="H22" s="1257"/>
      <c r="I22" s="1123"/>
      <c r="J22" s="1123"/>
      <c r="K22" s="1123"/>
      <c r="L22" s="142"/>
      <c r="M22" s="142"/>
      <c r="N22" s="167"/>
      <c r="O22" s="457"/>
      <c r="P22" s="457"/>
      <c r="Q22" s="497"/>
      <c r="R22" s="100"/>
      <c r="S22" s="100"/>
      <c r="T22" s="1189"/>
    </row>
    <row r="23" spans="1:20" s="119" customFormat="1" ht="12.95">
      <c r="A23" s="1123"/>
      <c r="B23" s="129" t="s">
        <v>874</v>
      </c>
      <c r="C23" s="101"/>
      <c r="D23" s="142" t="s">
        <v>802</v>
      </c>
      <c r="E23" s="484"/>
      <c r="F23" s="1754">
        <f>SUM(F21,F20,F18)</f>
        <v>3504808.6783311311</v>
      </c>
      <c r="G23" s="1754"/>
      <c r="H23" s="1754"/>
      <c r="I23" s="1754"/>
      <c r="J23" s="100"/>
      <c r="K23" s="100"/>
      <c r="L23" s="156"/>
      <c r="M23" s="1123"/>
      <c r="N23" s="1205"/>
      <c r="O23" s="1123"/>
      <c r="P23" s="1123"/>
      <c r="Q23" s="1123"/>
      <c r="R23" s="1123"/>
      <c r="S23" s="1123"/>
      <c r="T23" s="1189"/>
    </row>
    <row r="24" spans="1:20" s="121" customFormat="1" ht="12.95">
      <c r="A24" s="1123"/>
      <c r="B24" s="147"/>
      <c r="C24" s="1123"/>
      <c r="D24" s="705"/>
      <c r="E24" s="705"/>
      <c r="F24" s="1257"/>
      <c r="G24" s="1257"/>
      <c r="H24" s="1257"/>
      <c r="I24" s="1123"/>
      <c r="J24" s="1123"/>
      <c r="K24" s="1123"/>
      <c r="L24" s="156"/>
      <c r="M24" s="1123"/>
      <c r="N24" s="1205"/>
      <c r="O24" s="1123"/>
      <c r="P24" s="1123"/>
      <c r="Q24" s="1123"/>
      <c r="R24" s="1123"/>
      <c r="S24" s="1123"/>
      <c r="T24" s="3"/>
    </row>
    <row r="25" spans="1:20" s="119" customFormat="1" ht="12.95">
      <c r="A25" s="100"/>
      <c r="B25" s="1785" t="s">
        <v>1047</v>
      </c>
      <c r="C25" s="1785"/>
      <c r="D25" s="705" t="s">
        <v>802</v>
      </c>
      <c r="E25" s="1316">
        <v>1</v>
      </c>
      <c r="F25" s="1754">
        <f>E25*F23</f>
        <v>3504808.6783311311</v>
      </c>
      <c r="G25" s="1754"/>
      <c r="H25" s="1754"/>
      <c r="I25" s="1754"/>
      <c r="J25" s="1123"/>
      <c r="K25" s="1123"/>
      <c r="L25" s="100" t="s">
        <v>936</v>
      </c>
      <c r="M25" s="100"/>
      <c r="N25" s="142"/>
      <c r="O25" s="100"/>
      <c r="Q25" s="100" t="s">
        <v>937</v>
      </c>
      <c r="R25" s="1123"/>
      <c r="S25" s="1123"/>
      <c r="T25" s="1189"/>
    </row>
    <row r="26" spans="1:20" s="121" customFormat="1" ht="12.95">
      <c r="A26" s="1123"/>
      <c r="B26" s="1533" t="s">
        <v>1048</v>
      </c>
      <c r="C26" s="1533"/>
      <c r="D26" s="142" t="s">
        <v>802</v>
      </c>
      <c r="E26" s="484"/>
      <c r="F26" s="1738">
        <f>'STANDARD_NON RFO UNITS'!F25</f>
        <v>30000</v>
      </c>
      <c r="G26" s="1738"/>
      <c r="H26" s="1738"/>
      <c r="I26" s="1738"/>
      <c r="J26" s="100"/>
      <c r="K26" s="100"/>
      <c r="L26" s="1123"/>
      <c r="M26" s="1123"/>
      <c r="N26" s="705"/>
      <c r="O26" s="1123"/>
      <c r="P26" s="1123"/>
      <c r="Q26" s="1123"/>
      <c r="R26" s="1123"/>
      <c r="S26" s="1123"/>
      <c r="T26" s="3"/>
    </row>
    <row r="27" spans="1:20" s="121" customFormat="1" ht="12.95">
      <c r="A27" s="100"/>
      <c r="B27" s="1828" t="s">
        <v>1049</v>
      </c>
      <c r="C27" s="1828"/>
      <c r="D27" s="705" t="s">
        <v>802</v>
      </c>
      <c r="E27" s="1188"/>
      <c r="F27" s="1754">
        <f>(F25-F26)</f>
        <v>3474808.6783311311</v>
      </c>
      <c r="G27" s="1754"/>
      <c r="H27" s="1754"/>
      <c r="I27" s="1754"/>
      <c r="J27" s="100"/>
      <c r="K27" s="100"/>
      <c r="L27" s="1123"/>
      <c r="M27" s="1123"/>
      <c r="N27" s="705"/>
      <c r="O27" s="1123"/>
      <c r="P27" s="1123"/>
      <c r="Q27" s="1123"/>
      <c r="R27" s="1123"/>
      <c r="S27" s="1123"/>
      <c r="T27" s="3"/>
    </row>
    <row r="28" spans="1:20" s="119" customFormat="1">
      <c r="A28" s="1123"/>
      <c r="B28"/>
      <c r="C28"/>
      <c r="D28"/>
      <c r="E28"/>
      <c r="F28"/>
      <c r="G28"/>
      <c r="H28"/>
      <c r="I28"/>
      <c r="J28" s="1123"/>
      <c r="K28" s="1123"/>
      <c r="L28" s="1568" t="str">
        <f>FORM!I28</f>
        <v xml:space="preserve">agent </v>
      </c>
      <c r="M28" s="1568"/>
      <c r="N28" s="1568"/>
      <c r="O28" s="100"/>
      <c r="P28" s="100"/>
      <c r="Q28" s="1568" t="str">
        <f>FORM!I26</f>
        <v>cnc</v>
      </c>
      <c r="R28" s="1568"/>
      <c r="S28" s="1568"/>
      <c r="T28" s="1189"/>
    </row>
    <row r="29" spans="1:20" s="119" customFormat="1" ht="12.95">
      <c r="A29" s="1123"/>
      <c r="B29" s="170"/>
      <c r="C29" s="1123"/>
      <c r="D29" s="705"/>
      <c r="E29" s="1123"/>
      <c r="F29" s="1123"/>
      <c r="G29" s="1123"/>
      <c r="H29" s="1123"/>
      <c r="I29" s="1123"/>
      <c r="J29" s="1123"/>
      <c r="K29" s="1123"/>
      <c r="L29" s="1229" t="s">
        <v>938</v>
      </c>
      <c r="M29" s="1784"/>
      <c r="N29" s="1570"/>
      <c r="O29" s="1123"/>
      <c r="P29" s="1123"/>
      <c r="Q29" s="1226" t="s">
        <v>939</v>
      </c>
      <c r="R29" s="1784"/>
      <c r="S29" s="1570"/>
      <c r="T29" s="1189"/>
    </row>
    <row r="30" spans="1:20" s="121" customFormat="1" ht="12.95">
      <c r="A30" s="1123"/>
      <c r="B30" s="161"/>
      <c r="C30" s="119"/>
      <c r="D30" s="162"/>
      <c r="E30" s="130"/>
      <c r="F30" s="119"/>
      <c r="G30" s="119"/>
      <c r="H30" s="1829"/>
      <c r="I30" s="1829"/>
      <c r="J30" s="100"/>
      <c r="K30" s="100"/>
      <c r="L30" s="1189"/>
      <c r="M30" s="1189"/>
      <c r="N30" s="1189"/>
      <c r="O30" s="1189"/>
      <c r="P30" s="1189"/>
      <c r="Q30" s="1189"/>
      <c r="R30" s="1189"/>
      <c r="S30" s="1189"/>
      <c r="T30" s="3"/>
    </row>
    <row r="31" spans="1:20" s="119" customFormat="1" ht="12.95">
      <c r="A31" s="1123"/>
      <c r="B31" s="101" t="s">
        <v>924</v>
      </c>
      <c r="C31" s="163"/>
      <c r="D31" s="100"/>
      <c r="E31" s="100"/>
      <c r="F31" s="100"/>
      <c r="G31" s="100"/>
      <c r="H31" s="100"/>
      <c r="I31" s="164"/>
      <c r="J31" s="1123"/>
      <c r="K31" s="1123"/>
      <c r="M31" s="485"/>
      <c r="N31" s="485"/>
      <c r="T31" s="1189"/>
    </row>
    <row r="32" spans="1:20" s="119" customFormat="1" ht="12.95">
      <c r="A32" s="1123"/>
      <c r="B32" s="100"/>
      <c r="C32" s="100"/>
      <c r="D32" s="100"/>
      <c r="E32" s="100"/>
      <c r="F32" s="100"/>
      <c r="G32" s="100"/>
      <c r="H32" s="100"/>
      <c r="I32" s="100"/>
      <c r="J32" s="1123"/>
      <c r="K32" s="1123"/>
      <c r="M32" s="485"/>
      <c r="N32" s="485"/>
      <c r="T32" s="1189"/>
    </row>
    <row r="33" spans="1:20" s="119" customFormat="1" ht="12.95">
      <c r="A33" s="1123"/>
      <c r="B33" s="1549" t="s">
        <v>814</v>
      </c>
      <c r="C33" s="1549"/>
      <c r="D33" s="1549" t="s">
        <v>815</v>
      </c>
      <c r="E33" s="1549"/>
      <c r="F33" s="1549"/>
      <c r="G33" s="1549" t="s">
        <v>928</v>
      </c>
      <c r="H33" s="1549"/>
      <c r="I33" s="1549"/>
      <c r="J33" s="1123"/>
      <c r="K33" s="1123"/>
      <c r="M33" s="485"/>
      <c r="N33" s="485"/>
      <c r="T33" s="1189"/>
    </row>
    <row r="34" spans="1:20" s="119" customFormat="1" ht="12.95">
      <c r="A34" s="1123"/>
      <c r="B34" s="1774">
        <f>'SPOT CASH_30 DAYS'!B35</f>
        <v>0</v>
      </c>
      <c r="C34" s="1775"/>
      <c r="D34" s="1774">
        <f>'SPOT CASH_30 DAYS'!D35</f>
        <v>0</v>
      </c>
      <c r="E34" s="1778"/>
      <c r="F34" s="1775"/>
      <c r="G34" s="1780">
        <f>'SPOT CASH_30 DAYS'!H35</f>
        <v>0</v>
      </c>
      <c r="H34" s="1823"/>
      <c r="I34" s="1781"/>
      <c r="J34" s="1123"/>
      <c r="K34" s="1123"/>
      <c r="M34" s="485"/>
      <c r="N34" s="485"/>
      <c r="T34" s="1189"/>
    </row>
    <row r="35" spans="1:20" s="119" customFormat="1" ht="12.95">
      <c r="A35" s="1123"/>
      <c r="B35" s="1776"/>
      <c r="C35" s="1777"/>
      <c r="D35" s="1776"/>
      <c r="E35" s="1779"/>
      <c r="F35" s="1777"/>
      <c r="G35" s="1782"/>
      <c r="H35" s="1824"/>
      <c r="I35" s="1783"/>
      <c r="J35" s="1123"/>
      <c r="K35" s="1123"/>
      <c r="M35" s="485"/>
      <c r="N35" s="485"/>
      <c r="T35" s="1189"/>
    </row>
    <row r="36" spans="1:20" s="119" customFormat="1" ht="12.95">
      <c r="A36" s="1123"/>
      <c r="B36" s="1774">
        <f>'SPOT CASH_30 DAYS'!B37</f>
        <v>0</v>
      </c>
      <c r="C36" s="1775"/>
      <c r="D36" s="1774">
        <f>'SPOT CASH_30 DAYS'!D37</f>
        <v>0</v>
      </c>
      <c r="E36" s="1778"/>
      <c r="F36" s="1775"/>
      <c r="G36" s="1780">
        <f>'SPOT CASH_30 DAYS'!H37</f>
        <v>0</v>
      </c>
      <c r="H36" s="1823"/>
      <c r="I36" s="1781"/>
      <c r="J36" s="1123"/>
      <c r="K36" s="1123"/>
      <c r="M36" s="485"/>
      <c r="N36" s="485"/>
      <c r="T36" s="1189"/>
    </row>
    <row r="37" spans="1:20" s="119" customFormat="1" ht="12.95">
      <c r="A37" s="1123"/>
      <c r="B37" s="1776"/>
      <c r="C37" s="1777"/>
      <c r="D37" s="1776"/>
      <c r="E37" s="1779"/>
      <c r="F37" s="1777"/>
      <c r="G37" s="1782"/>
      <c r="H37" s="1824"/>
      <c r="I37" s="1783"/>
      <c r="J37" s="1123"/>
      <c r="K37" s="1123"/>
      <c r="N37" s="485"/>
      <c r="T37" s="1189"/>
    </row>
    <row r="38" spans="1:20" s="119" customFormat="1" ht="16.5" customHeight="1">
      <c r="A38" s="1123"/>
      <c r="B38" s="1774">
        <f>'SPOT CASH_30 DAYS'!B39</f>
        <v>0</v>
      </c>
      <c r="C38" s="1775"/>
      <c r="D38" s="1774">
        <f>'SPOT CASH_30 DAYS'!D39</f>
        <v>0</v>
      </c>
      <c r="E38" s="1778"/>
      <c r="F38" s="1775"/>
      <c r="G38" s="1780">
        <f>'SPOT CASH_30 DAYS'!H39</f>
        <v>0</v>
      </c>
      <c r="H38" s="1823"/>
      <c r="I38" s="1781"/>
      <c r="J38" s="1123"/>
      <c r="K38" s="1123"/>
      <c r="N38" s="485"/>
      <c r="T38" s="1189"/>
    </row>
    <row r="39" spans="1:20" s="119" customFormat="1" ht="12.95">
      <c r="A39" s="1123"/>
      <c r="B39" s="1776"/>
      <c r="C39" s="1777"/>
      <c r="D39" s="1776"/>
      <c r="E39" s="1779"/>
      <c r="F39" s="1777"/>
      <c r="G39" s="1782"/>
      <c r="H39" s="1824"/>
      <c r="I39" s="1783"/>
      <c r="J39" s="1123"/>
      <c r="K39" s="1123"/>
      <c r="N39" s="485"/>
      <c r="T39" s="1189"/>
    </row>
    <row r="40" spans="1:20" s="119" customFormat="1" ht="16.5" customHeight="1">
      <c r="A40" s="1123"/>
      <c r="B40" s="1774">
        <f>'SPOT CASH_30 DAYS'!B41</f>
        <v>0</v>
      </c>
      <c r="C40" s="1775"/>
      <c r="D40" s="1774">
        <f>'SPOT CASH_30 DAYS'!D41</f>
        <v>0</v>
      </c>
      <c r="E40" s="1778"/>
      <c r="F40" s="1775"/>
      <c r="G40" s="1780">
        <f>'SPOT CASH_30 DAYS'!H41</f>
        <v>0</v>
      </c>
      <c r="H40" s="1823"/>
      <c r="I40" s="1781"/>
      <c r="J40" s="1123"/>
      <c r="K40" s="1123"/>
      <c r="N40" s="485"/>
      <c r="T40" s="1189"/>
    </row>
    <row r="41" spans="1:20" s="119" customFormat="1" ht="12.95">
      <c r="A41" s="1123"/>
      <c r="B41" s="1776"/>
      <c r="C41" s="1777"/>
      <c r="D41" s="1776"/>
      <c r="E41" s="1779"/>
      <c r="F41" s="1777"/>
      <c r="G41" s="1782"/>
      <c r="H41" s="1824"/>
      <c r="I41" s="1783"/>
      <c r="J41" s="1123"/>
      <c r="K41" s="1123"/>
      <c r="N41" s="485"/>
      <c r="T41" s="1189"/>
    </row>
    <row r="42" spans="1:20" s="119" customFormat="1" ht="12.75" customHeight="1">
      <c r="A42" s="1123"/>
      <c r="B42" s="1774">
        <f>'SPOT CASH_30 DAYS'!B43</f>
        <v>0</v>
      </c>
      <c r="C42" s="1775"/>
      <c r="D42" s="1774">
        <f>'SPOT CASH_30 DAYS'!D43</f>
        <v>0</v>
      </c>
      <c r="E42" s="1778"/>
      <c r="F42" s="1775"/>
      <c r="G42" s="1780">
        <f>'SPOT CASH_30 DAYS'!H43</f>
        <v>0</v>
      </c>
      <c r="H42" s="1823"/>
      <c r="I42" s="1781"/>
      <c r="J42" s="1123"/>
      <c r="K42" s="1123"/>
      <c r="N42" s="485"/>
      <c r="T42" s="1189"/>
    </row>
    <row r="43" spans="1:20" s="119" customFormat="1" ht="15" customHeight="1">
      <c r="A43" s="1123"/>
      <c r="B43" s="1776"/>
      <c r="C43" s="1777"/>
      <c r="D43" s="1776"/>
      <c r="E43" s="1779"/>
      <c r="F43" s="1777"/>
      <c r="G43" s="1782"/>
      <c r="H43" s="1824"/>
      <c r="I43" s="1783"/>
      <c r="J43" s="1123"/>
      <c r="K43" s="1123"/>
      <c r="N43" s="485"/>
      <c r="T43" s="1189"/>
    </row>
    <row r="44" spans="1:20" s="119" customFormat="1" ht="12.75" customHeight="1">
      <c r="A44" s="1123"/>
      <c r="B44" s="1774">
        <f>'SPOT CASH_30 DAYS'!B45</f>
        <v>0</v>
      </c>
      <c r="C44" s="1775"/>
      <c r="D44" s="1774">
        <f>'SPOT CASH_30 DAYS'!D45</f>
        <v>0</v>
      </c>
      <c r="E44" s="1778"/>
      <c r="F44" s="1775"/>
      <c r="G44" s="1780">
        <f>'SPOT CASH_30 DAYS'!H45</f>
        <v>0</v>
      </c>
      <c r="H44" s="1823"/>
      <c r="I44" s="1781"/>
      <c r="J44" s="100"/>
      <c r="K44" s="100"/>
      <c r="N44" s="485"/>
      <c r="T44" s="1189"/>
    </row>
    <row r="45" spans="1:20" s="119" customFormat="1" ht="12.75" customHeight="1">
      <c r="A45" s="1123"/>
      <c r="B45" s="1776"/>
      <c r="C45" s="1777"/>
      <c r="D45" s="1776"/>
      <c r="E45" s="1779"/>
      <c r="F45" s="1777"/>
      <c r="G45" s="1782"/>
      <c r="H45" s="1824"/>
      <c r="I45" s="1783"/>
      <c r="J45" s="100"/>
      <c r="K45" s="100"/>
      <c r="N45" s="485"/>
      <c r="T45" s="1189"/>
    </row>
    <row r="46" spans="1:20" s="119" customFormat="1" ht="12.75" customHeight="1">
      <c r="A46" s="1123"/>
      <c r="D46" s="162"/>
      <c r="J46" s="100"/>
      <c r="K46" s="100"/>
      <c r="N46" s="485"/>
      <c r="T46" s="1189"/>
    </row>
    <row r="47" spans="1:20" s="119" customFormat="1" ht="12.75" customHeight="1">
      <c r="A47" s="1123"/>
      <c r="B47" s="250"/>
      <c r="C47" s="250" t="s">
        <v>940</v>
      </c>
      <c r="D47" s="1573"/>
      <c r="E47" s="1573"/>
      <c r="F47" s="1573"/>
      <c r="G47" s="100"/>
      <c r="H47" s="100"/>
      <c r="I47" s="100"/>
      <c r="J47" s="100"/>
      <c r="K47" s="100"/>
      <c r="N47" s="485"/>
      <c r="T47" s="1189"/>
    </row>
    <row r="48" spans="1:20" s="119" customFormat="1" ht="12.75" customHeight="1">
      <c r="A48" s="1123"/>
      <c r="B48" s="100"/>
      <c r="C48" s="100"/>
      <c r="D48" s="100"/>
      <c r="E48" s="100"/>
      <c r="F48" s="100"/>
      <c r="G48" s="100"/>
      <c r="H48" s="100"/>
      <c r="I48" s="100"/>
      <c r="J48" s="100"/>
      <c r="K48" s="100"/>
      <c r="N48" s="485"/>
      <c r="T48" s="1189"/>
    </row>
    <row r="49" spans="1:20" s="119" customFormat="1" ht="12.75" customHeight="1">
      <c r="A49" s="1123"/>
      <c r="D49" s="162"/>
      <c r="G49" s="100"/>
      <c r="H49" s="100"/>
      <c r="I49" s="100"/>
      <c r="J49" s="100"/>
      <c r="K49" s="100"/>
      <c r="N49" s="485"/>
      <c r="T49" s="1189"/>
    </row>
    <row r="50" spans="1:20" s="119" customFormat="1" ht="12.75" customHeight="1">
      <c r="A50" s="1123"/>
      <c r="B50" s="1123"/>
      <c r="C50" s="1123"/>
      <c r="D50" s="705"/>
      <c r="E50" s="1123"/>
      <c r="F50" s="1123"/>
      <c r="G50" s="1123"/>
      <c r="H50" s="1123"/>
      <c r="I50" s="1123"/>
      <c r="J50" s="100"/>
      <c r="K50" s="100"/>
      <c r="N50" s="485"/>
      <c r="T50" s="1189"/>
    </row>
    <row r="51" spans="1:20" s="119" customFormat="1" ht="12.95">
      <c r="A51" s="1189"/>
      <c r="B51" s="100" t="s">
        <v>936</v>
      </c>
      <c r="C51" s="100"/>
      <c r="D51" s="142"/>
      <c r="E51" s="100"/>
      <c r="F51" s="100" t="s">
        <v>937</v>
      </c>
      <c r="G51" s="100"/>
      <c r="H51" s="1123"/>
      <c r="I51" s="1123"/>
      <c r="J51" s="1123"/>
      <c r="K51" s="100"/>
      <c r="N51" s="485"/>
      <c r="T51" s="1189"/>
    </row>
    <row r="52" spans="1:20" s="119" customFormat="1" ht="12.95">
      <c r="A52" s="1189"/>
      <c r="B52" s="1123"/>
      <c r="C52" s="1123"/>
      <c r="D52" s="705"/>
      <c r="E52" s="1123"/>
      <c r="F52" s="1123"/>
      <c r="G52" s="1123"/>
      <c r="H52" s="1123"/>
      <c r="I52" s="1123"/>
      <c r="J52" s="1123"/>
      <c r="K52" s="100"/>
      <c r="N52" s="485"/>
      <c r="T52" s="1189"/>
    </row>
    <row r="53" spans="1:20" s="119" customFormat="1" ht="12.95">
      <c r="A53" s="1189"/>
      <c r="B53" s="1123"/>
      <c r="C53" s="1123"/>
      <c r="D53" s="705"/>
      <c r="E53" s="1123"/>
      <c r="F53" s="1123"/>
      <c r="G53" s="1123"/>
      <c r="H53" s="1123"/>
      <c r="I53" s="1123"/>
      <c r="J53" s="1123"/>
      <c r="K53" s="100"/>
      <c r="N53" s="485"/>
      <c r="T53" s="1189"/>
    </row>
    <row r="54" spans="1:20" s="119" customFormat="1" ht="12.95">
      <c r="B54" s="1568" t="str">
        <f>FORM!I28</f>
        <v xml:space="preserve">agent </v>
      </c>
      <c r="C54" s="1568"/>
      <c r="D54" s="1568"/>
      <c r="E54" s="100"/>
      <c r="F54" s="100"/>
      <c r="G54" s="1568" t="str">
        <f>FORM!I26</f>
        <v>cnc</v>
      </c>
      <c r="H54" s="1568"/>
      <c r="I54" s="1568"/>
      <c r="J54" s="1123"/>
      <c r="K54" s="100"/>
      <c r="N54" s="485"/>
      <c r="T54" s="1189"/>
    </row>
    <row r="55" spans="1:20" s="119" customFormat="1" ht="12.95">
      <c r="A55" s="501">
        <f>F18*E20</f>
        <v>383420.50362766115</v>
      </c>
      <c r="B55" s="1229" t="s">
        <v>938</v>
      </c>
      <c r="C55" s="1784"/>
      <c r="D55" s="1570"/>
      <c r="E55" s="1123"/>
      <c r="F55" s="1123"/>
      <c r="G55" s="1570" t="s">
        <v>938</v>
      </c>
      <c r="H55" s="1570"/>
      <c r="I55" s="1570"/>
      <c r="J55" s="1123"/>
      <c r="K55" s="1189"/>
      <c r="N55" s="485"/>
      <c r="T55" s="1189"/>
    </row>
    <row r="56" spans="1:20">
      <c r="B56" s="98"/>
      <c r="C56" s="98"/>
      <c r="D56" s="171"/>
      <c r="E56" s="98"/>
      <c r="F56" s="98"/>
      <c r="G56" s="98"/>
      <c r="H56" s="98"/>
      <c r="I56" s="98"/>
      <c r="J56" s="102"/>
      <c r="K56" s="2"/>
      <c r="T56" s="2"/>
    </row>
    <row r="57" spans="1:20">
      <c r="A57" s="278">
        <f>F18*12%</f>
        <v>383420.50362766115</v>
      </c>
      <c r="B57" s="102"/>
      <c r="C57" s="102"/>
      <c r="D57" s="155"/>
      <c r="E57" s="102"/>
      <c r="F57" s="102"/>
      <c r="G57" s="102"/>
      <c r="H57" s="102"/>
      <c r="I57" s="102"/>
      <c r="J57" s="102"/>
      <c r="K57" s="2"/>
      <c r="T57" s="2"/>
    </row>
    <row r="58" spans="1:20">
      <c r="B58" s="102"/>
      <c r="C58" s="102"/>
      <c r="D58" s="155"/>
      <c r="E58" s="102"/>
      <c r="F58" s="102"/>
      <c r="G58" s="102"/>
      <c r="H58" s="102"/>
      <c r="I58" s="102"/>
      <c r="J58" s="102"/>
      <c r="K58" s="2"/>
      <c r="T58" s="2"/>
    </row>
    <row r="59" spans="1:20">
      <c r="B59" s="2"/>
      <c r="C59" s="2"/>
      <c r="D59" s="83"/>
      <c r="E59" s="2"/>
      <c r="F59" s="2"/>
      <c r="G59" s="2"/>
      <c r="H59" s="2"/>
      <c r="I59" s="2"/>
      <c r="J59" s="2"/>
      <c r="K59" s="2"/>
      <c r="T59" s="2"/>
    </row>
    <row r="60" spans="1:20">
      <c r="B60" s="2"/>
      <c r="C60" s="2"/>
      <c r="D60" s="83"/>
      <c r="E60" s="2"/>
      <c r="F60" s="2"/>
      <c r="G60" s="2"/>
      <c r="H60" s="2"/>
      <c r="I60" s="2"/>
      <c r="J60" s="2"/>
      <c r="K60" s="2"/>
      <c r="T60" s="2"/>
    </row>
    <row r="61" spans="1:20">
      <c r="B61" s="2"/>
      <c r="C61" s="2"/>
      <c r="D61" s="83"/>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sheet="1" formatCells="0" formatColumns="0" formatRows="0"/>
  <mergeCells count="80">
    <mergeCell ref="B34:C35"/>
    <mergeCell ref="D34:F35"/>
    <mergeCell ref="G34:I35"/>
    <mergeCell ref="B25:C25"/>
    <mergeCell ref="B26:C26"/>
    <mergeCell ref="B27:C27"/>
    <mergeCell ref="G33:I33"/>
    <mergeCell ref="D33:F33"/>
    <mergeCell ref="H30:I30"/>
    <mergeCell ref="B33:C33"/>
    <mergeCell ref="F23:I23"/>
    <mergeCell ref="L28:N28"/>
    <mergeCell ref="Q28:S28"/>
    <mergeCell ref="F25:I25"/>
    <mergeCell ref="F26:I26"/>
    <mergeCell ref="F27:I27"/>
    <mergeCell ref="M29:N29"/>
    <mergeCell ref="R29:S29"/>
    <mergeCell ref="R1:S1"/>
    <mergeCell ref="R2:S2"/>
    <mergeCell ref="L3:S4"/>
    <mergeCell ref="L15:M16"/>
    <mergeCell ref="N15:N16"/>
    <mergeCell ref="Q15:S16"/>
    <mergeCell ref="O17:P17"/>
    <mergeCell ref="O18:P18"/>
    <mergeCell ref="L17:M17"/>
    <mergeCell ref="Q17:S17"/>
    <mergeCell ref="Q18:S18"/>
    <mergeCell ref="E6:I6"/>
    <mergeCell ref="O6:S6"/>
    <mergeCell ref="B3:I4"/>
    <mergeCell ref="O11:P11"/>
    <mergeCell ref="Q11:S11"/>
    <mergeCell ref="O7:S7"/>
    <mergeCell ref="E8:I8"/>
    <mergeCell ref="O8:S8"/>
    <mergeCell ref="E9:I9"/>
    <mergeCell ref="O9:S9"/>
    <mergeCell ref="E7:F7"/>
    <mergeCell ref="E13:F13"/>
    <mergeCell ref="F15:I15"/>
    <mergeCell ref="F16:I16"/>
    <mergeCell ref="O15:P16"/>
    <mergeCell ref="E10:I10"/>
    <mergeCell ref="O10:S10"/>
    <mergeCell ref="E11:F11"/>
    <mergeCell ref="E12:F12"/>
    <mergeCell ref="G12:I12"/>
    <mergeCell ref="O12:P12"/>
    <mergeCell ref="Q12:S12"/>
    <mergeCell ref="G13:I13"/>
    <mergeCell ref="G11:I11"/>
    <mergeCell ref="O13:P13"/>
    <mergeCell ref="Q13:S13"/>
    <mergeCell ref="F21:I21"/>
    <mergeCell ref="F17:I17"/>
    <mergeCell ref="L18:M18"/>
    <mergeCell ref="F18:I18"/>
    <mergeCell ref="F20:I20"/>
    <mergeCell ref="B36:C37"/>
    <mergeCell ref="D36:F37"/>
    <mergeCell ref="G36:I37"/>
    <mergeCell ref="B38:C39"/>
    <mergeCell ref="D38:F39"/>
    <mergeCell ref="G38:I39"/>
    <mergeCell ref="D44:F45"/>
    <mergeCell ref="B44:C45"/>
    <mergeCell ref="G55:I55"/>
    <mergeCell ref="D47:F47"/>
    <mergeCell ref="D40:F41"/>
    <mergeCell ref="G40:I41"/>
    <mergeCell ref="B40:C41"/>
    <mergeCell ref="B42:C43"/>
    <mergeCell ref="D42:F43"/>
    <mergeCell ref="G42:I43"/>
    <mergeCell ref="G44:I45"/>
    <mergeCell ref="C55:D55"/>
    <mergeCell ref="B54:D54"/>
    <mergeCell ref="G54:I54"/>
  </mergeCells>
  <pageMargins left="0.59055118110236227" right="0.59055118110236227" top="0.87979166666666664"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0" max="18" man="1"/>
  </rowBreaks>
  <colBreaks count="1" manualBreakCount="1">
    <brk id="9" max="5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32"/>
  <dimension ref="A1:BA67"/>
  <sheetViews>
    <sheetView showGridLines="0" showZeros="0" view="pageLayout" topLeftCell="A4" zoomScale="85" zoomScaleNormal="100" zoomScaleSheetLayoutView="80" zoomScalePageLayoutView="85" workbookViewId="0">
      <selection activeCell="F26" sqref="F26:I26"/>
    </sheetView>
  </sheetViews>
  <sheetFormatPr defaultColWidth="9.140625" defaultRowHeight="14.45"/>
  <cols>
    <col min="1" max="1" width="2.140625" customWidth="1"/>
    <col min="2" max="2" width="11.140625" customWidth="1"/>
    <col min="3" max="3" width="20.85546875" customWidth="1"/>
    <col min="4" max="4" width="13.140625" style="103"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04" customWidth="1"/>
    <col min="15" max="15" width="8" customWidth="1"/>
    <col min="16" max="16" width="15.42578125" customWidth="1"/>
    <col min="17" max="17" width="16.140625" customWidth="1"/>
    <col min="18" max="18" width="4.85546875" customWidth="1"/>
    <col min="19" max="19" width="22.5703125" customWidth="1"/>
  </cols>
  <sheetData>
    <row r="1" spans="1:53" s="119" customFormat="1" ht="12.95">
      <c r="A1" s="1189"/>
      <c r="B1" s="84" t="s">
        <v>847</v>
      </c>
      <c r="C1" s="1191" t="str">
        <f>FORM!I20</f>
        <v>September 1,2025</v>
      </c>
      <c r="D1" s="1192"/>
      <c r="F1" s="1192"/>
      <c r="G1" s="1192"/>
      <c r="H1" s="134" t="s">
        <v>943</v>
      </c>
      <c r="I1" s="1193" t="s">
        <v>849</v>
      </c>
      <c r="J1" s="1190"/>
      <c r="K1" s="1189"/>
      <c r="L1" s="160" t="s">
        <v>847</v>
      </c>
      <c r="M1" s="1191" t="str">
        <f>C1</f>
        <v>September 1,2025</v>
      </c>
      <c r="N1" s="1192"/>
      <c r="O1" s="1189"/>
      <c r="Q1" s="160" t="s">
        <v>943</v>
      </c>
      <c r="R1" s="1827" t="s">
        <v>851</v>
      </c>
      <c r="S1" s="1827"/>
      <c r="T1" s="1189"/>
    </row>
    <row r="2" spans="1:53" s="1" customFormat="1" ht="12.6">
      <c r="A2" s="86"/>
      <c r="B2" s="86"/>
      <c r="C2" s="87"/>
      <c r="D2" s="87"/>
      <c r="E2" s="86"/>
      <c r="F2" s="86"/>
      <c r="G2" s="88"/>
      <c r="H2" s="88"/>
      <c r="I2" s="88"/>
      <c r="J2" s="92"/>
      <c r="K2" s="88"/>
      <c r="L2" s="86"/>
      <c r="M2" s="87"/>
      <c r="N2" s="87"/>
      <c r="O2" s="86"/>
      <c r="P2" s="86"/>
      <c r="Q2" s="86"/>
      <c r="R2" s="1792"/>
      <c r="S2" s="1792"/>
      <c r="T2" s="86"/>
    </row>
    <row r="3" spans="1:53" s="111" customFormat="1" ht="12.75" customHeight="1">
      <c r="A3" s="88"/>
      <c r="B3" s="1638" t="s">
        <v>1050</v>
      </c>
      <c r="C3" s="1638"/>
      <c r="D3" s="1638"/>
      <c r="E3" s="1638"/>
      <c r="F3" s="1638"/>
      <c r="G3" s="1638"/>
      <c r="H3" s="1638"/>
      <c r="I3" s="1638"/>
      <c r="J3" s="137"/>
      <c r="K3" s="138"/>
      <c r="L3" s="1638" t="s">
        <v>853</v>
      </c>
      <c r="M3" s="1638"/>
      <c r="N3" s="1638"/>
      <c r="O3" s="1638"/>
      <c r="P3" s="1638"/>
      <c r="Q3" s="1638"/>
      <c r="R3" s="1638"/>
      <c r="S3" s="1638"/>
      <c r="T3" s="86"/>
    </row>
    <row r="4" spans="1:53" s="111" customFormat="1" ht="12.75" customHeight="1">
      <c r="A4" s="88"/>
      <c r="B4" s="1638"/>
      <c r="C4" s="1638"/>
      <c r="D4" s="1638"/>
      <c r="E4" s="1638"/>
      <c r="F4" s="1638"/>
      <c r="G4" s="1638"/>
      <c r="H4" s="1638"/>
      <c r="I4" s="1638"/>
      <c r="J4" s="137"/>
      <c r="K4" s="138"/>
      <c r="L4" s="1638"/>
      <c r="M4" s="1638"/>
      <c r="N4" s="1638"/>
      <c r="O4" s="1638"/>
      <c r="P4" s="1638"/>
      <c r="Q4" s="1638"/>
      <c r="R4" s="1638"/>
      <c r="S4" s="1638"/>
      <c r="T4" s="86"/>
    </row>
    <row r="5" spans="1:53" s="111" customFormat="1" ht="12.75" customHeight="1">
      <c r="A5" s="88"/>
      <c r="B5" s="139"/>
      <c r="C5" s="139"/>
      <c r="D5" s="140"/>
      <c r="E5" s="139"/>
      <c r="F5" s="139"/>
      <c r="G5" s="139"/>
      <c r="H5" s="139"/>
      <c r="I5" s="139"/>
      <c r="J5" s="139"/>
      <c r="K5" s="139"/>
      <c r="L5" s="93"/>
      <c r="M5" s="94"/>
      <c r="N5" s="96"/>
      <c r="O5" s="94"/>
      <c r="P5" s="94"/>
      <c r="Q5" s="94"/>
      <c r="R5" s="94"/>
      <c r="S5" s="96"/>
      <c r="T5" s="86"/>
    </row>
    <row r="6" spans="1:53" s="489" customFormat="1" ht="12.6">
      <c r="A6" s="1123"/>
      <c r="B6" s="225" t="s">
        <v>854</v>
      </c>
      <c r="C6" s="226"/>
      <c r="D6" s="705" t="s">
        <v>802</v>
      </c>
      <c r="E6" s="1723" t="str">
        <f>FORM!I26</f>
        <v>cnc</v>
      </c>
      <c r="F6" s="1723"/>
      <c r="G6" s="1723"/>
      <c r="H6" s="1723"/>
      <c r="I6" s="1723"/>
      <c r="J6" s="100"/>
      <c r="K6" s="142"/>
      <c r="L6" s="225" t="s">
        <v>854</v>
      </c>
      <c r="M6" s="228"/>
      <c r="N6" s="705" t="s">
        <v>802</v>
      </c>
      <c r="O6" s="1527" t="str">
        <f t="shared" ref="O6:O13" si="0">E6</f>
        <v>cnc</v>
      </c>
      <c r="P6" s="1527"/>
      <c r="Q6" s="1527"/>
      <c r="R6" s="1527"/>
      <c r="S6" s="1527"/>
      <c r="T6" s="1189"/>
      <c r="AM6" s="490"/>
      <c r="AZ6" s="491"/>
      <c r="BA6" s="492"/>
    </row>
    <row r="7" spans="1:53" s="489" customFormat="1" ht="12.6">
      <c r="A7" s="1123"/>
      <c r="B7" s="144" t="s">
        <v>801</v>
      </c>
      <c r="C7" s="227"/>
      <c r="D7" s="705" t="s">
        <v>802</v>
      </c>
      <c r="E7" s="1725" t="str">
        <f>FORM!I11</f>
        <v>The Southprime Flats</v>
      </c>
      <c r="F7" s="1726"/>
      <c r="G7" s="1229" t="str">
        <f>FORM!I14</f>
        <v>B1</v>
      </c>
      <c r="H7" s="1229"/>
      <c r="I7" s="1251"/>
      <c r="J7" s="100"/>
      <c r="K7" s="142"/>
      <c r="L7" s="144" t="s">
        <v>801</v>
      </c>
      <c r="M7" s="148"/>
      <c r="N7" s="705" t="s">
        <v>802</v>
      </c>
      <c r="O7" s="1527" t="str">
        <f t="shared" si="0"/>
        <v>The Southprime Flats</v>
      </c>
      <c r="P7" s="1527"/>
      <c r="Q7" s="1527"/>
      <c r="R7" s="1527"/>
      <c r="S7" s="1527"/>
      <c r="T7" s="1189"/>
      <c r="AM7" s="490"/>
      <c r="AZ7" s="491"/>
      <c r="BA7" s="492"/>
    </row>
    <row r="8" spans="1:53" s="489" customFormat="1" ht="12.6">
      <c r="A8" s="1123"/>
      <c r="B8" s="144" t="s">
        <v>855</v>
      </c>
      <c r="C8" s="227"/>
      <c r="D8" s="705" t="s">
        <v>802</v>
      </c>
      <c r="E8" s="1724" t="str">
        <f>'STANDARD_NON RFO UNITS'!E8</f>
        <v>2F</v>
      </c>
      <c r="F8" s="1724"/>
      <c r="G8" s="1724"/>
      <c r="H8" s="1724"/>
      <c r="I8" s="1724"/>
      <c r="J8" s="100"/>
      <c r="K8" s="142"/>
      <c r="L8" s="144" t="s">
        <v>855</v>
      </c>
      <c r="M8" s="148"/>
      <c r="N8" s="705" t="s">
        <v>802</v>
      </c>
      <c r="O8" s="1527" t="str">
        <f t="shared" si="0"/>
        <v>2F</v>
      </c>
      <c r="P8" s="1527"/>
      <c r="Q8" s="1527"/>
      <c r="R8" s="1527"/>
      <c r="S8" s="1527"/>
      <c r="T8" s="1189"/>
      <c r="AM8" s="490"/>
      <c r="AZ8" s="491"/>
      <c r="BA8" s="492"/>
    </row>
    <row r="9" spans="1:53" s="489" customFormat="1" ht="12.6" hidden="1">
      <c r="A9" s="1123"/>
      <c r="B9" s="144" t="s">
        <v>856</v>
      </c>
      <c r="C9" s="227"/>
      <c r="D9" s="705" t="s">
        <v>802</v>
      </c>
      <c r="E9" s="1527" t="e">
        <f>FORM!#REF!</f>
        <v>#REF!</v>
      </c>
      <c r="F9" s="1527"/>
      <c r="G9" s="1527"/>
      <c r="H9" s="1527"/>
      <c r="I9" s="1527"/>
      <c r="J9" s="100"/>
      <c r="K9" s="142"/>
      <c r="L9" s="144" t="s">
        <v>856</v>
      </c>
      <c r="M9" s="148"/>
      <c r="N9" s="705" t="s">
        <v>802</v>
      </c>
      <c r="O9" s="1527" t="e">
        <f t="shared" si="0"/>
        <v>#REF!</v>
      </c>
      <c r="P9" s="1527"/>
      <c r="Q9" s="1527"/>
      <c r="R9" s="1527"/>
      <c r="S9" s="1527"/>
      <c r="T9" s="1189"/>
      <c r="AM9" s="490"/>
      <c r="AZ9" s="491"/>
      <c r="BA9" s="492"/>
    </row>
    <row r="10" spans="1:53" s="489" customFormat="1" ht="12.6">
      <c r="A10" s="1123"/>
      <c r="B10" s="144" t="s">
        <v>857</v>
      </c>
      <c r="C10" s="227"/>
      <c r="D10" s="705" t="s">
        <v>802</v>
      </c>
      <c r="E10" s="1527" t="str">
        <f>'STANDARD_NON RFO UNITS'!E10</f>
        <v>Studio Unit</v>
      </c>
      <c r="F10" s="1527"/>
      <c r="G10" s="1527"/>
      <c r="H10" s="1527"/>
      <c r="I10" s="1527"/>
      <c r="J10" s="100"/>
      <c r="K10" s="142"/>
      <c r="L10" s="144" t="s">
        <v>857</v>
      </c>
      <c r="M10" s="148"/>
      <c r="N10" s="705" t="s">
        <v>802</v>
      </c>
      <c r="O10" s="1527" t="str">
        <f t="shared" si="0"/>
        <v>Studio Unit</v>
      </c>
      <c r="P10" s="1527"/>
      <c r="Q10" s="1527"/>
      <c r="R10" s="1527"/>
      <c r="S10" s="1527"/>
      <c r="T10" s="1189"/>
      <c r="AM10" s="490"/>
      <c r="AZ10" s="491"/>
      <c r="BA10" s="492"/>
    </row>
    <row r="11" spans="1:53" s="489" customFormat="1" ht="12.6">
      <c r="A11" s="1123"/>
      <c r="B11" s="144" t="s">
        <v>858</v>
      </c>
      <c r="C11" s="227"/>
      <c r="D11" s="705" t="s">
        <v>802</v>
      </c>
      <c r="E11" s="1639">
        <f>'STANDARD_NON RFO UNITS'!E11:F11</f>
        <v>22</v>
      </c>
      <c r="F11" s="1569"/>
      <c r="G11" s="1636" t="s">
        <v>859</v>
      </c>
      <c r="H11" s="1636"/>
      <c r="I11" s="1637"/>
      <c r="J11" s="100"/>
      <c r="K11" s="142"/>
      <c r="L11" s="144" t="s">
        <v>858</v>
      </c>
      <c r="M11" s="148"/>
      <c r="N11" s="705" t="s">
        <v>802</v>
      </c>
      <c r="O11" s="1639">
        <f t="shared" si="0"/>
        <v>22</v>
      </c>
      <c r="P11" s="1640"/>
      <c r="Q11" s="1636" t="s">
        <v>859</v>
      </c>
      <c r="R11" s="1636"/>
      <c r="S11" s="1637"/>
      <c r="T11" s="1189"/>
      <c r="AM11" s="490"/>
      <c r="AZ11" s="491"/>
      <c r="BA11" s="492"/>
    </row>
    <row r="12" spans="1:53" s="489" customFormat="1" ht="12.6">
      <c r="A12" s="1123"/>
      <c r="B12" s="148" t="s">
        <v>860</v>
      </c>
      <c r="C12" s="227"/>
      <c r="D12" s="705" t="s">
        <v>802</v>
      </c>
      <c r="E12" s="1634">
        <f>'STANDARD_NON RFO UNITS'!E12:F12</f>
        <v>0</v>
      </c>
      <c r="F12" s="1635"/>
      <c r="G12" s="1636" t="s">
        <v>859</v>
      </c>
      <c r="H12" s="1636"/>
      <c r="I12" s="1637"/>
      <c r="J12" s="1123"/>
      <c r="K12" s="142"/>
      <c r="L12" s="148" t="s">
        <v>860</v>
      </c>
      <c r="M12" s="148"/>
      <c r="N12" s="705" t="s">
        <v>802</v>
      </c>
      <c r="O12" s="1634">
        <f t="shared" si="0"/>
        <v>0</v>
      </c>
      <c r="P12" s="1635"/>
      <c r="Q12" s="1636" t="s">
        <v>859</v>
      </c>
      <c r="R12" s="1636"/>
      <c r="S12" s="1637"/>
      <c r="T12" s="1189"/>
      <c r="AM12" s="490"/>
      <c r="AZ12" s="491"/>
      <c r="BA12" s="492"/>
    </row>
    <row r="13" spans="1:53" s="489" customFormat="1" ht="12.6">
      <c r="A13" s="1123"/>
      <c r="B13" s="238" t="s">
        <v>861</v>
      </c>
      <c r="C13" s="101"/>
      <c r="D13" s="705" t="s">
        <v>802</v>
      </c>
      <c r="E13" s="1634">
        <f>'STANDARD_NON RFO UNITS'!E13:F13</f>
        <v>22</v>
      </c>
      <c r="F13" s="1635"/>
      <c r="G13" s="1636" t="s">
        <v>859</v>
      </c>
      <c r="H13" s="1636"/>
      <c r="I13" s="1637"/>
      <c r="J13" s="1123" t="s">
        <v>819</v>
      </c>
      <c r="K13" s="142"/>
      <c r="L13" s="238" t="s">
        <v>861</v>
      </c>
      <c r="M13" s="126"/>
      <c r="N13" s="705" t="s">
        <v>802</v>
      </c>
      <c r="O13" s="1634">
        <f t="shared" si="0"/>
        <v>22</v>
      </c>
      <c r="P13" s="1635"/>
      <c r="Q13" s="1636" t="s">
        <v>859</v>
      </c>
      <c r="R13" s="1636"/>
      <c r="S13" s="1637"/>
      <c r="T13" s="1189"/>
      <c r="AM13" s="490"/>
      <c r="AZ13" s="491"/>
      <c r="BA13" s="492"/>
    </row>
    <row r="14" spans="1:53" s="119" customFormat="1" ht="12.95">
      <c r="A14" s="1123"/>
      <c r="B14" s="1123"/>
      <c r="C14" s="1123"/>
      <c r="D14" s="705"/>
      <c r="E14" s="1123"/>
      <c r="F14" s="1123"/>
      <c r="G14" s="1123"/>
      <c r="H14" s="1123"/>
      <c r="I14" s="1123"/>
      <c r="J14" s="1123"/>
      <c r="K14" s="1123"/>
      <c r="L14" s="1123"/>
      <c r="M14" s="1123"/>
      <c r="N14" s="1205"/>
      <c r="O14" s="1123"/>
      <c r="P14" s="1123"/>
      <c r="Q14" s="1123"/>
      <c r="R14" s="1123"/>
      <c r="S14" s="1123"/>
      <c r="T14" s="1189"/>
    </row>
    <row r="15" spans="1:53" s="119" customFormat="1" ht="12.95">
      <c r="A15" s="1123"/>
      <c r="B15" s="141" t="s">
        <v>862</v>
      </c>
      <c r="C15" s="226"/>
      <c r="D15" s="142" t="s">
        <v>802</v>
      </c>
      <c r="E15" s="645">
        <f>'STANDARD_NON RFO UNITS'!E28</f>
        <v>1</v>
      </c>
      <c r="F15" s="1826">
        <f>'STANDARD_NON RFO UNITS'!F15</f>
        <v>3195170.8635638431</v>
      </c>
      <c r="G15" s="1826"/>
      <c r="H15" s="1826"/>
      <c r="I15" s="1826"/>
      <c r="J15" s="100"/>
      <c r="K15" s="100"/>
      <c r="L15" s="1549" t="s">
        <v>863</v>
      </c>
      <c r="M15" s="1549"/>
      <c r="N15" s="1550" t="s">
        <v>773</v>
      </c>
      <c r="O15" s="1549" t="s">
        <v>776</v>
      </c>
      <c r="P15" s="1549"/>
      <c r="Q15" s="1553" t="s">
        <v>214</v>
      </c>
      <c r="R15" s="1808"/>
      <c r="S15" s="1554"/>
      <c r="T15" s="1189"/>
    </row>
    <row r="16" spans="1:53" s="121" customFormat="1" ht="12.95">
      <c r="A16" s="1123"/>
      <c r="B16" s="144" t="s">
        <v>1046</v>
      </c>
      <c r="C16" s="148"/>
      <c r="D16" s="705" t="s">
        <v>802</v>
      </c>
      <c r="E16" s="437">
        <f>IF(E15&gt;11,5%,IF(E15&gt;5,2.5%,))</f>
        <v>0</v>
      </c>
      <c r="F16" s="1825">
        <f>F15*E16</f>
        <v>0</v>
      </c>
      <c r="G16" s="1825"/>
      <c r="H16" s="1825"/>
      <c r="I16" s="1825"/>
      <c r="J16" s="1123"/>
      <c r="K16" s="1123"/>
      <c r="L16" s="1549"/>
      <c r="M16" s="1549"/>
      <c r="N16" s="1550"/>
      <c r="O16" s="1549"/>
      <c r="P16" s="1549"/>
      <c r="Q16" s="1555"/>
      <c r="R16" s="1809"/>
      <c r="S16" s="1556"/>
      <c r="T16" s="3"/>
    </row>
    <row r="17" spans="1:20" s="119" customFormat="1" ht="12.95">
      <c r="A17" s="100"/>
      <c r="B17" s="144" t="s">
        <v>864</v>
      </c>
      <c r="C17" s="148"/>
      <c r="D17" s="705" t="s">
        <v>802</v>
      </c>
      <c r="E17" s="437"/>
      <c r="F17" s="1825">
        <f>'STANDARD_NON RFO UNITS'!F16:I16</f>
        <v>0</v>
      </c>
      <c r="G17" s="1825"/>
      <c r="H17" s="1825"/>
      <c r="I17" s="1825"/>
      <c r="J17" s="100"/>
      <c r="K17" s="100"/>
      <c r="L17" s="1527" t="s">
        <v>820</v>
      </c>
      <c r="M17" s="1527"/>
      <c r="N17" s="1288" t="str">
        <f>C1</f>
        <v>September 1,2025</v>
      </c>
      <c r="O17" s="1551">
        <f>F26</f>
        <v>30000</v>
      </c>
      <c r="P17" s="1551"/>
      <c r="Q17" s="1810"/>
      <c r="R17" s="1811"/>
      <c r="S17" s="1812"/>
      <c r="T17" s="1189"/>
    </row>
    <row r="18" spans="1:20" s="121" customFormat="1" ht="12.95">
      <c r="A18" s="1123"/>
      <c r="B18" s="129" t="s">
        <v>791</v>
      </c>
      <c r="C18" s="101"/>
      <c r="D18" s="142" t="s">
        <v>802</v>
      </c>
      <c r="E18" s="498"/>
      <c r="F18" s="1826">
        <f>F15-(F16+F17)</f>
        <v>3195170.8635638431</v>
      </c>
      <c r="G18" s="1826"/>
      <c r="H18" s="1826"/>
      <c r="I18" s="1826"/>
      <c r="J18" s="1123"/>
      <c r="K18" s="1123"/>
      <c r="L18" s="1527" t="s">
        <v>1051</v>
      </c>
      <c r="M18" s="1527"/>
      <c r="N18" s="1288" t="e">
        <f>N17+30</f>
        <v>#VALUE!</v>
      </c>
      <c r="O18" s="1551">
        <f>F27</f>
        <v>1746337.9385395686</v>
      </c>
      <c r="P18" s="1551"/>
      <c r="Q18" s="1810"/>
      <c r="R18" s="1811"/>
      <c r="S18" s="1812"/>
      <c r="T18" s="3"/>
    </row>
    <row r="19" spans="1:20" s="119" customFormat="1" ht="12.95">
      <c r="A19" s="1123"/>
      <c r="B19" s="147"/>
      <c r="C19" s="1123"/>
      <c r="D19" s="705"/>
      <c r="E19" s="127"/>
      <c r="F19" s="499">
        <f>E20*F18</f>
        <v>383420.50362766115</v>
      </c>
      <c r="G19" s="1257"/>
      <c r="H19" s="1257"/>
      <c r="I19" s="1123"/>
      <c r="J19" s="1123"/>
      <c r="K19" s="1123"/>
      <c r="L19" s="1527" t="s">
        <v>1052</v>
      </c>
      <c r="M19" s="1527"/>
      <c r="N19" s="1288" t="e">
        <f>N17+60</f>
        <v>#VALUE!</v>
      </c>
      <c r="O19" s="1551">
        <f>F28</f>
        <v>1746337.9385395686</v>
      </c>
      <c r="P19" s="1551"/>
      <c r="Q19" s="1810"/>
      <c r="R19" s="1811"/>
      <c r="S19" s="1812"/>
      <c r="T19" s="1189"/>
    </row>
    <row r="20" spans="1:20" s="119" customFormat="1" ht="12.95">
      <c r="A20" s="1123"/>
      <c r="B20" s="148" t="s">
        <v>868</v>
      </c>
      <c r="C20" s="148"/>
      <c r="D20" s="705" t="s">
        <v>802</v>
      </c>
      <c r="E20" s="1289">
        <v>0.12</v>
      </c>
      <c r="F20" s="1738">
        <f>IF(OR(ISBLANK('STANDARD_NON RFO UNITS'!F19), 'STANDARD_NON RFO UNITS'!F19 = 0), 0, 0.12 * F18)</f>
        <v>0</v>
      </c>
      <c r="G20" s="1738"/>
      <c r="H20" s="1738"/>
      <c r="I20" s="1738"/>
      <c r="J20" s="1123"/>
      <c r="K20" s="1123"/>
      <c r="L20" s="142"/>
      <c r="M20" s="142"/>
      <c r="N20" s="167"/>
      <c r="O20" s="457"/>
      <c r="P20" s="457"/>
      <c r="Q20" s="497"/>
      <c r="R20" s="100"/>
      <c r="S20" s="100"/>
      <c r="T20" s="1189"/>
    </row>
    <row r="21" spans="1:20" s="119" customFormat="1" ht="12.95">
      <c r="A21" s="1123"/>
      <c r="B21" s="238" t="s">
        <v>870</v>
      </c>
      <c r="C21" s="126"/>
      <c r="D21" s="705" t="s">
        <v>802</v>
      </c>
      <c r="E21" s="500">
        <f>7.5%+2.75%</f>
        <v>0.10249999999999999</v>
      </c>
      <c r="F21" s="1738">
        <f>(F15*E21)+E19</f>
        <v>327505.01351529389</v>
      </c>
      <c r="G21" s="1738"/>
      <c r="H21" s="1738"/>
      <c r="I21" s="1738"/>
      <c r="J21" s="1123"/>
      <c r="K21" s="1123"/>
      <c r="L21" s="142"/>
      <c r="M21" s="142"/>
      <c r="N21" s="167"/>
      <c r="O21" s="457"/>
      <c r="P21" s="457"/>
      <c r="Q21" s="497"/>
      <c r="R21" s="100"/>
      <c r="S21" s="100"/>
      <c r="T21" s="1189"/>
    </row>
    <row r="22" spans="1:20" s="119" customFormat="1" ht="12.95">
      <c r="A22" s="100"/>
      <c r="B22" s="147"/>
      <c r="C22" s="1123"/>
      <c r="D22" s="705"/>
      <c r="E22" s="1317"/>
      <c r="F22" s="1257"/>
      <c r="G22" s="1257"/>
      <c r="H22" s="1257"/>
      <c r="I22" s="1123"/>
      <c r="J22" s="1123"/>
      <c r="K22" s="1123"/>
      <c r="L22" s="142"/>
      <c r="M22" s="142"/>
      <c r="N22" s="167"/>
      <c r="O22" s="457"/>
      <c r="P22" s="457"/>
      <c r="Q22" s="497"/>
      <c r="R22" s="100"/>
      <c r="S22" s="100"/>
      <c r="T22" s="1189"/>
    </row>
    <row r="23" spans="1:20" s="119" customFormat="1" ht="12.95">
      <c r="A23" s="1123"/>
      <c r="B23" s="129" t="s">
        <v>874</v>
      </c>
      <c r="C23" s="101"/>
      <c r="D23" s="142" t="s">
        <v>802</v>
      </c>
      <c r="E23" s="484"/>
      <c r="F23" s="1754">
        <f>SUM(F21,F20,F18)</f>
        <v>3522675.8770791371</v>
      </c>
      <c r="G23" s="1754"/>
      <c r="H23" s="1754"/>
      <c r="I23" s="1754"/>
      <c r="J23" s="100"/>
      <c r="K23" s="100"/>
      <c r="L23" s="156"/>
      <c r="M23" s="1123"/>
      <c r="N23" s="1205"/>
      <c r="O23" s="1123"/>
      <c r="P23" s="1123"/>
      <c r="Q23" s="1123"/>
      <c r="R23" s="1123"/>
      <c r="S23" s="1123"/>
      <c r="T23" s="1189"/>
    </row>
    <row r="24" spans="1:20" s="121" customFormat="1" ht="12.95">
      <c r="A24" s="1123"/>
      <c r="B24" s="147"/>
      <c r="C24" s="1123"/>
      <c r="D24" s="705"/>
      <c r="E24" s="705"/>
      <c r="F24" s="1257"/>
      <c r="G24" s="1257"/>
      <c r="H24" s="1257"/>
      <c r="I24" s="1123"/>
      <c r="J24" s="1123"/>
      <c r="K24" s="1123"/>
      <c r="L24" s="156"/>
      <c r="M24" s="1123"/>
      <c r="N24" s="1205"/>
      <c r="O24" s="1123"/>
      <c r="P24" s="1123"/>
      <c r="Q24" s="1123"/>
      <c r="R24" s="1123"/>
      <c r="S24" s="1123"/>
      <c r="T24" s="3"/>
    </row>
    <row r="25" spans="1:20" s="119" customFormat="1" ht="12.95">
      <c r="A25" s="100"/>
      <c r="B25" s="1785" t="s">
        <v>1047</v>
      </c>
      <c r="C25" s="1785"/>
      <c r="D25" s="705" t="s">
        <v>802</v>
      </c>
      <c r="E25" s="1316">
        <v>1</v>
      </c>
      <c r="F25" s="1754">
        <f>E25*F23</f>
        <v>3522675.8770791371</v>
      </c>
      <c r="G25" s="1754"/>
      <c r="H25" s="1754"/>
      <c r="I25" s="1754"/>
      <c r="J25" s="1123"/>
      <c r="K25" s="1123"/>
      <c r="L25" s="100" t="s">
        <v>936</v>
      </c>
      <c r="M25" s="100"/>
      <c r="N25" s="142"/>
      <c r="O25" s="100"/>
      <c r="Q25" s="100" t="s">
        <v>937</v>
      </c>
      <c r="R25" s="1123"/>
      <c r="S25" s="1123"/>
      <c r="T25" s="1189"/>
    </row>
    <row r="26" spans="1:20" s="121" customFormat="1" ht="12.95">
      <c r="A26" s="1123"/>
      <c r="B26" s="1533" t="s">
        <v>1048</v>
      </c>
      <c r="C26" s="1533"/>
      <c r="D26" s="142" t="s">
        <v>802</v>
      </c>
      <c r="E26" s="484"/>
      <c r="F26" s="1738">
        <f>'STANDARD_NON RFO UNITS'!F25</f>
        <v>30000</v>
      </c>
      <c r="G26" s="1738"/>
      <c r="H26" s="1738"/>
      <c r="I26" s="1738"/>
      <c r="J26" s="100"/>
      <c r="K26" s="100"/>
      <c r="L26" s="1123"/>
      <c r="M26" s="1123"/>
      <c r="N26" s="705"/>
      <c r="O26" s="1123"/>
      <c r="P26" s="1123"/>
      <c r="Q26" s="1123"/>
      <c r="R26" s="1123"/>
      <c r="S26" s="1123"/>
      <c r="T26" s="3"/>
    </row>
    <row r="27" spans="1:20" s="121" customFormat="1" ht="12.95">
      <c r="A27" s="100"/>
      <c r="B27" s="1828" t="s">
        <v>1053</v>
      </c>
      <c r="C27" s="1828"/>
      <c r="D27" s="705" t="s">
        <v>802</v>
      </c>
      <c r="E27" s="1188"/>
      <c r="F27" s="1754">
        <f>(F25-F26)/2</f>
        <v>1746337.9385395686</v>
      </c>
      <c r="G27" s="1754"/>
      <c r="H27" s="1754"/>
      <c r="I27" s="1754"/>
      <c r="J27" s="100"/>
      <c r="K27" s="100"/>
      <c r="L27" s="1123"/>
      <c r="M27" s="1123"/>
      <c r="N27" s="705"/>
      <c r="O27" s="1123"/>
      <c r="P27" s="1123"/>
      <c r="Q27" s="1123"/>
      <c r="R27" s="1123"/>
      <c r="S27" s="1123"/>
      <c r="T27" s="3"/>
    </row>
    <row r="28" spans="1:20" s="119" customFormat="1" ht="12.95">
      <c r="A28" s="1123"/>
      <c r="B28" s="1828" t="s">
        <v>1054</v>
      </c>
      <c r="C28" s="1828"/>
      <c r="D28" s="705" t="s">
        <v>802</v>
      </c>
      <c r="E28" s="1188"/>
      <c r="F28" s="1754">
        <f>F27</f>
        <v>1746337.9385395686</v>
      </c>
      <c r="G28" s="1754"/>
      <c r="H28" s="1754"/>
      <c r="I28" s="1754"/>
      <c r="J28" s="1123"/>
      <c r="K28" s="1123"/>
      <c r="L28" s="1568" t="str">
        <f>FORM!I28</f>
        <v xml:space="preserve">agent </v>
      </c>
      <c r="M28" s="1568"/>
      <c r="N28" s="1568"/>
      <c r="O28" s="100"/>
      <c r="P28" s="100"/>
      <c r="Q28" s="1568" t="str">
        <f>FORM!I26</f>
        <v>cnc</v>
      </c>
      <c r="R28" s="1568"/>
      <c r="S28" s="1568"/>
      <c r="T28" s="1189"/>
    </row>
    <row r="29" spans="1:20" s="119" customFormat="1" ht="12.95">
      <c r="A29" s="1123"/>
      <c r="B29" s="170"/>
      <c r="C29" s="1123"/>
      <c r="D29" s="705"/>
      <c r="E29" s="1123"/>
      <c r="F29" s="1123"/>
      <c r="G29" s="1123"/>
      <c r="H29" s="1123"/>
      <c r="I29" s="1123"/>
      <c r="J29" s="1123"/>
      <c r="K29" s="1123"/>
      <c r="L29" s="1229" t="s">
        <v>938</v>
      </c>
      <c r="M29" s="1784"/>
      <c r="N29" s="1570"/>
      <c r="O29" s="1123"/>
      <c r="P29" s="1123"/>
      <c r="Q29" s="1226" t="s">
        <v>939</v>
      </c>
      <c r="R29" s="1784"/>
      <c r="S29" s="1570"/>
      <c r="T29" s="1189"/>
    </row>
    <row r="30" spans="1:20" s="121" customFormat="1" ht="12.95">
      <c r="A30" s="1123"/>
      <c r="B30" s="161"/>
      <c r="C30" s="119"/>
      <c r="D30" s="162"/>
      <c r="E30" s="130"/>
      <c r="F30" s="119"/>
      <c r="G30" s="119"/>
      <c r="H30" s="1829"/>
      <c r="I30" s="1829"/>
      <c r="J30" s="100"/>
      <c r="K30" s="100"/>
      <c r="L30" s="1189"/>
      <c r="M30" s="1189"/>
      <c r="N30" s="1189"/>
      <c r="O30" s="1189"/>
      <c r="P30" s="1189"/>
      <c r="Q30" s="1189"/>
      <c r="R30" s="1189"/>
      <c r="S30" s="1189"/>
      <c r="T30" s="3"/>
    </row>
    <row r="31" spans="1:20" s="119" customFormat="1" ht="12.95">
      <c r="A31" s="1123"/>
      <c r="B31" s="101" t="s">
        <v>924</v>
      </c>
      <c r="C31" s="163"/>
      <c r="D31" s="100"/>
      <c r="E31" s="100"/>
      <c r="F31" s="100"/>
      <c r="G31" s="100"/>
      <c r="H31" s="100"/>
      <c r="I31" s="164"/>
      <c r="J31" s="1123"/>
      <c r="K31" s="1123"/>
      <c r="M31" s="485"/>
      <c r="N31" s="485"/>
      <c r="T31" s="1189"/>
    </row>
    <row r="32" spans="1:20" s="119" customFormat="1" ht="12.95">
      <c r="A32" s="1123"/>
      <c r="B32" s="100"/>
      <c r="C32" s="100"/>
      <c r="D32" s="100"/>
      <c r="E32" s="100"/>
      <c r="F32" s="100"/>
      <c r="G32" s="100"/>
      <c r="H32" s="100"/>
      <c r="I32" s="100"/>
      <c r="J32" s="1123"/>
      <c r="K32" s="1123"/>
      <c r="M32" s="485"/>
      <c r="N32" s="485"/>
      <c r="T32" s="1189"/>
    </row>
    <row r="33" spans="1:20" s="119" customFormat="1" ht="12.95">
      <c r="A33" s="1123"/>
      <c r="B33" s="1549" t="s">
        <v>814</v>
      </c>
      <c r="C33" s="1549"/>
      <c r="D33" s="1549" t="s">
        <v>815</v>
      </c>
      <c r="E33" s="1549"/>
      <c r="F33" s="1549"/>
      <c r="G33" s="1549" t="s">
        <v>928</v>
      </c>
      <c r="H33" s="1549"/>
      <c r="I33" s="1549"/>
      <c r="J33" s="1123"/>
      <c r="K33" s="1123"/>
      <c r="M33" s="485"/>
      <c r="N33" s="485"/>
      <c r="T33" s="1189"/>
    </row>
    <row r="34" spans="1:20" s="119" customFormat="1" ht="12.95">
      <c r="A34" s="1123"/>
      <c r="B34" s="1774">
        <f>'SPOT CASH_30 DAYS'!B35</f>
        <v>0</v>
      </c>
      <c r="C34" s="1775"/>
      <c r="D34" s="1774">
        <f>'SPOT CASH_30 DAYS'!D35</f>
        <v>0</v>
      </c>
      <c r="E34" s="1778"/>
      <c r="F34" s="1775"/>
      <c r="G34" s="1780">
        <f>'SPOT CASH_30 DAYS'!H35</f>
        <v>0</v>
      </c>
      <c r="H34" s="1823"/>
      <c r="I34" s="1781"/>
      <c r="J34" s="1123"/>
      <c r="K34" s="1123"/>
      <c r="M34" s="485"/>
      <c r="N34" s="485"/>
      <c r="T34" s="1189"/>
    </row>
    <row r="35" spans="1:20" s="119" customFormat="1" ht="12.95">
      <c r="A35" s="1123"/>
      <c r="B35" s="1776"/>
      <c r="C35" s="1777"/>
      <c r="D35" s="1776"/>
      <c r="E35" s="1779"/>
      <c r="F35" s="1777"/>
      <c r="G35" s="1782"/>
      <c r="H35" s="1824"/>
      <c r="I35" s="1783"/>
      <c r="J35" s="1123"/>
      <c r="K35" s="1123"/>
      <c r="M35" s="485"/>
      <c r="N35" s="485"/>
      <c r="T35" s="1189"/>
    </row>
    <row r="36" spans="1:20" s="119" customFormat="1" ht="12.95">
      <c r="A36" s="1123"/>
      <c r="B36" s="1774">
        <f>'SPOT CASH_30 DAYS'!B37</f>
        <v>0</v>
      </c>
      <c r="C36" s="1775"/>
      <c r="D36" s="1774">
        <f>'SPOT CASH_30 DAYS'!D37</f>
        <v>0</v>
      </c>
      <c r="E36" s="1778"/>
      <c r="F36" s="1775"/>
      <c r="G36" s="1780">
        <f>'SPOT CASH_30 DAYS'!H37</f>
        <v>0</v>
      </c>
      <c r="H36" s="1823"/>
      <c r="I36" s="1781"/>
      <c r="J36" s="1123"/>
      <c r="K36" s="1123"/>
      <c r="M36" s="485"/>
      <c r="N36" s="485"/>
      <c r="T36" s="1189"/>
    </row>
    <row r="37" spans="1:20" s="119" customFormat="1" ht="12.95">
      <c r="A37" s="1123"/>
      <c r="B37" s="1776"/>
      <c r="C37" s="1777"/>
      <c r="D37" s="1776"/>
      <c r="E37" s="1779"/>
      <c r="F37" s="1777"/>
      <c r="G37" s="1782"/>
      <c r="H37" s="1824"/>
      <c r="I37" s="1783"/>
      <c r="J37" s="1123"/>
      <c r="K37" s="1123"/>
      <c r="N37" s="485"/>
      <c r="T37" s="1189"/>
    </row>
    <row r="38" spans="1:20" s="119" customFormat="1" ht="16.5" customHeight="1">
      <c r="A38" s="1123"/>
      <c r="B38" s="1774">
        <f>'SPOT CASH_30 DAYS'!B39</f>
        <v>0</v>
      </c>
      <c r="C38" s="1775"/>
      <c r="D38" s="1774">
        <f>'SPOT CASH_30 DAYS'!D39</f>
        <v>0</v>
      </c>
      <c r="E38" s="1778"/>
      <c r="F38" s="1775"/>
      <c r="G38" s="1780">
        <f>'SPOT CASH_30 DAYS'!H39</f>
        <v>0</v>
      </c>
      <c r="H38" s="1823"/>
      <c r="I38" s="1781"/>
      <c r="J38" s="1123"/>
      <c r="K38" s="1123"/>
      <c r="N38" s="485"/>
      <c r="T38" s="1189"/>
    </row>
    <row r="39" spans="1:20" s="119" customFormat="1" ht="12.95">
      <c r="A39" s="1123"/>
      <c r="B39" s="1776"/>
      <c r="C39" s="1777"/>
      <c r="D39" s="1776"/>
      <c r="E39" s="1779"/>
      <c r="F39" s="1777"/>
      <c r="G39" s="1782"/>
      <c r="H39" s="1824"/>
      <c r="I39" s="1783"/>
      <c r="J39" s="1123"/>
      <c r="K39" s="1123"/>
      <c r="N39" s="485"/>
      <c r="T39" s="1189"/>
    </row>
    <row r="40" spans="1:20" s="119" customFormat="1" ht="16.5" customHeight="1">
      <c r="A40" s="1123"/>
      <c r="B40" s="1774">
        <f>'SPOT CASH_30 DAYS'!B41</f>
        <v>0</v>
      </c>
      <c r="C40" s="1775"/>
      <c r="D40" s="1774">
        <f>'SPOT CASH_30 DAYS'!D41</f>
        <v>0</v>
      </c>
      <c r="E40" s="1778"/>
      <c r="F40" s="1775"/>
      <c r="G40" s="1780">
        <f>'SPOT CASH_30 DAYS'!H41</f>
        <v>0</v>
      </c>
      <c r="H40" s="1823"/>
      <c r="I40" s="1781"/>
      <c r="J40" s="1123"/>
      <c r="K40" s="1123"/>
      <c r="N40" s="485"/>
      <c r="T40" s="1189"/>
    </row>
    <row r="41" spans="1:20" s="119" customFormat="1" ht="12.95">
      <c r="A41" s="1123"/>
      <c r="B41" s="1776"/>
      <c r="C41" s="1777"/>
      <c r="D41" s="1776"/>
      <c r="E41" s="1779"/>
      <c r="F41" s="1777"/>
      <c r="G41" s="1782"/>
      <c r="H41" s="1824"/>
      <c r="I41" s="1783"/>
      <c r="J41" s="1123"/>
      <c r="K41" s="1123"/>
      <c r="N41" s="485"/>
      <c r="T41" s="1189"/>
    </row>
    <row r="42" spans="1:20" s="119" customFormat="1" ht="12.75" customHeight="1">
      <c r="A42" s="1123"/>
      <c r="B42" s="1774">
        <f>'SPOT CASH_30 DAYS'!B43</f>
        <v>0</v>
      </c>
      <c r="C42" s="1775"/>
      <c r="D42" s="1774">
        <f>'SPOT CASH_30 DAYS'!D43</f>
        <v>0</v>
      </c>
      <c r="E42" s="1778"/>
      <c r="F42" s="1775"/>
      <c r="G42" s="1780">
        <f>'SPOT CASH_30 DAYS'!H43</f>
        <v>0</v>
      </c>
      <c r="H42" s="1823"/>
      <c r="I42" s="1781"/>
      <c r="J42" s="1123"/>
      <c r="K42" s="1123"/>
      <c r="N42" s="485"/>
      <c r="T42" s="1189"/>
    </row>
    <row r="43" spans="1:20" s="119" customFormat="1" ht="15" customHeight="1">
      <c r="A43" s="1123"/>
      <c r="B43" s="1776"/>
      <c r="C43" s="1777"/>
      <c r="D43" s="1776"/>
      <c r="E43" s="1779"/>
      <c r="F43" s="1777"/>
      <c r="G43" s="1782"/>
      <c r="H43" s="1824"/>
      <c r="I43" s="1783"/>
      <c r="J43" s="1123"/>
      <c r="K43" s="1123"/>
      <c r="N43" s="485"/>
      <c r="T43" s="1189"/>
    </row>
    <row r="44" spans="1:20" s="119" customFormat="1" ht="12.75" customHeight="1">
      <c r="A44" s="1123"/>
      <c r="B44" s="1774">
        <f>'SPOT CASH_30 DAYS'!B45</f>
        <v>0</v>
      </c>
      <c r="C44" s="1775"/>
      <c r="D44" s="1774">
        <f>'SPOT CASH_30 DAYS'!D45</f>
        <v>0</v>
      </c>
      <c r="E44" s="1778"/>
      <c r="F44" s="1775"/>
      <c r="G44" s="1780">
        <f>'SPOT CASH_30 DAYS'!H45</f>
        <v>0</v>
      </c>
      <c r="H44" s="1823"/>
      <c r="I44" s="1781"/>
      <c r="J44" s="100"/>
      <c r="K44" s="100"/>
      <c r="N44" s="485"/>
      <c r="T44" s="1189"/>
    </row>
    <row r="45" spans="1:20" s="119" customFormat="1" ht="12.75" customHeight="1">
      <c r="A45" s="1123"/>
      <c r="B45" s="1776"/>
      <c r="C45" s="1777"/>
      <c r="D45" s="1776"/>
      <c r="E45" s="1779"/>
      <c r="F45" s="1777"/>
      <c r="G45" s="1782"/>
      <c r="H45" s="1824"/>
      <c r="I45" s="1783"/>
      <c r="J45" s="100"/>
      <c r="K45" s="100"/>
      <c r="N45" s="485"/>
      <c r="T45" s="1189"/>
    </row>
    <row r="46" spans="1:20" s="119" customFormat="1" ht="12.75" customHeight="1">
      <c r="A46" s="1123"/>
      <c r="D46" s="162"/>
      <c r="J46" s="100"/>
      <c r="K46" s="100"/>
      <c r="N46" s="485"/>
      <c r="T46" s="1189"/>
    </row>
    <row r="47" spans="1:20" s="119" customFormat="1" ht="12.75" customHeight="1">
      <c r="A47" s="1123"/>
      <c r="B47" s="250"/>
      <c r="C47" s="250" t="s">
        <v>940</v>
      </c>
      <c r="D47" s="1573"/>
      <c r="E47" s="1573"/>
      <c r="F47" s="1573"/>
      <c r="G47" s="100"/>
      <c r="H47" s="100"/>
      <c r="I47" s="100"/>
      <c r="J47" s="100"/>
      <c r="K47" s="100"/>
      <c r="N47" s="485"/>
      <c r="T47" s="1189"/>
    </row>
    <row r="48" spans="1:20" s="119" customFormat="1" ht="12.75" customHeight="1">
      <c r="A48" s="1123"/>
      <c r="B48" s="100"/>
      <c r="C48" s="100"/>
      <c r="D48" s="100"/>
      <c r="E48" s="100"/>
      <c r="F48" s="100"/>
      <c r="G48" s="100"/>
      <c r="H48" s="100"/>
      <c r="I48" s="100"/>
      <c r="J48" s="100"/>
      <c r="K48" s="100"/>
      <c r="N48" s="485"/>
      <c r="T48" s="1189"/>
    </row>
    <row r="49" spans="1:20" s="119" customFormat="1" ht="12.75" customHeight="1">
      <c r="A49" s="1123"/>
      <c r="D49" s="162"/>
      <c r="G49" s="100"/>
      <c r="H49" s="100"/>
      <c r="I49" s="100"/>
      <c r="J49" s="100"/>
      <c r="K49" s="100"/>
      <c r="N49" s="485"/>
      <c r="T49" s="1189"/>
    </row>
    <row r="50" spans="1:20" s="119" customFormat="1" ht="12.75" customHeight="1">
      <c r="A50" s="1123"/>
      <c r="B50" s="1123"/>
      <c r="C50" s="1123"/>
      <c r="D50" s="705"/>
      <c r="E50" s="1123"/>
      <c r="F50" s="1123"/>
      <c r="G50" s="1123"/>
      <c r="H50" s="1123"/>
      <c r="I50" s="1123"/>
      <c r="J50" s="100"/>
      <c r="K50" s="100"/>
      <c r="N50" s="485"/>
      <c r="T50" s="1189"/>
    </row>
    <row r="51" spans="1:20" s="119" customFormat="1" ht="12.95">
      <c r="A51" s="1189"/>
      <c r="B51" s="100" t="s">
        <v>936</v>
      </c>
      <c r="C51" s="100"/>
      <c r="D51" s="142"/>
      <c r="E51" s="100"/>
      <c r="F51" s="100" t="s">
        <v>937</v>
      </c>
      <c r="G51" s="100"/>
      <c r="H51" s="1123"/>
      <c r="I51" s="1123"/>
      <c r="J51" s="1123"/>
      <c r="K51" s="100"/>
      <c r="N51" s="485"/>
      <c r="T51" s="1189"/>
    </row>
    <row r="52" spans="1:20" s="119" customFormat="1" ht="12.95">
      <c r="A52" s="1189"/>
      <c r="B52" s="1123"/>
      <c r="C52" s="1123"/>
      <c r="D52" s="705"/>
      <c r="E52" s="1123"/>
      <c r="F52" s="1123"/>
      <c r="G52" s="1123"/>
      <c r="H52" s="1123"/>
      <c r="I52" s="1123"/>
      <c r="J52" s="1123"/>
      <c r="K52" s="100"/>
      <c r="N52" s="485"/>
      <c r="T52" s="1189"/>
    </row>
    <row r="53" spans="1:20" s="119" customFormat="1" ht="12.95">
      <c r="A53" s="1189"/>
      <c r="B53" s="1123"/>
      <c r="C53" s="1123"/>
      <c r="D53" s="705"/>
      <c r="E53" s="1123"/>
      <c r="F53" s="1123"/>
      <c r="G53" s="1123"/>
      <c r="H53" s="1123"/>
      <c r="I53" s="1123"/>
      <c r="J53" s="1123"/>
      <c r="K53" s="100"/>
      <c r="N53" s="485"/>
      <c r="T53" s="1189"/>
    </row>
    <row r="54" spans="1:20" s="119" customFormat="1" ht="12.95">
      <c r="B54" s="1568" t="str">
        <f>FORM!I28</f>
        <v xml:space="preserve">agent </v>
      </c>
      <c r="C54" s="1568"/>
      <c r="D54" s="1568"/>
      <c r="E54" s="100"/>
      <c r="F54" s="100"/>
      <c r="G54" s="1568" t="str">
        <f>FORM!I26</f>
        <v>cnc</v>
      </c>
      <c r="H54" s="1568"/>
      <c r="I54" s="1568"/>
      <c r="J54" s="1123"/>
      <c r="K54" s="100"/>
      <c r="N54" s="485"/>
      <c r="T54" s="1189"/>
    </row>
    <row r="55" spans="1:20" s="119" customFormat="1" ht="12.95">
      <c r="A55" s="501">
        <f>F18*E20</f>
        <v>383420.50362766115</v>
      </c>
      <c r="B55" s="1229" t="s">
        <v>938</v>
      </c>
      <c r="C55" s="1784"/>
      <c r="D55" s="1570"/>
      <c r="E55" s="1123"/>
      <c r="F55" s="1123"/>
      <c r="G55" s="1570" t="s">
        <v>938</v>
      </c>
      <c r="H55" s="1570"/>
      <c r="I55" s="1570"/>
      <c r="J55" s="1123"/>
      <c r="K55" s="1189"/>
      <c r="N55" s="485"/>
      <c r="T55" s="1189"/>
    </row>
    <row r="56" spans="1:20">
      <c r="B56" s="98"/>
      <c r="C56" s="98"/>
      <c r="D56" s="171"/>
      <c r="E56" s="98"/>
      <c r="F56" s="98"/>
      <c r="G56" s="98"/>
      <c r="H56" s="98"/>
      <c r="I56" s="98"/>
      <c r="J56" s="102"/>
      <c r="K56" s="2"/>
      <c r="T56" s="2"/>
    </row>
    <row r="57" spans="1:20">
      <c r="A57" s="278">
        <f>F18*12%</f>
        <v>383420.50362766115</v>
      </c>
      <c r="B57" s="102"/>
      <c r="C57" s="102"/>
      <c r="D57" s="155"/>
      <c r="E57" s="102"/>
      <c r="F57" s="102"/>
      <c r="G57" s="102"/>
      <c r="H57" s="102"/>
      <c r="I57" s="102"/>
      <c r="J57" s="102"/>
      <c r="K57" s="2"/>
      <c r="T57" s="2"/>
    </row>
    <row r="58" spans="1:20">
      <c r="B58" s="102"/>
      <c r="C58" s="102"/>
      <c r="D58" s="155"/>
      <c r="E58" s="102"/>
      <c r="F58" s="102"/>
      <c r="G58" s="102"/>
      <c r="H58" s="102"/>
      <c r="I58" s="102"/>
      <c r="J58" s="102"/>
      <c r="K58" s="2"/>
      <c r="T58" s="2"/>
    </row>
    <row r="59" spans="1:20">
      <c r="B59" s="2"/>
      <c r="C59" s="2"/>
      <c r="D59" s="83"/>
      <c r="E59" s="2"/>
      <c r="F59" s="2"/>
      <c r="G59" s="2"/>
      <c r="H59" s="2"/>
      <c r="I59" s="2"/>
      <c r="J59" s="2"/>
      <c r="K59" s="2"/>
      <c r="T59" s="2"/>
    </row>
    <row r="60" spans="1:20">
      <c r="B60" s="2"/>
      <c r="C60" s="2"/>
      <c r="D60" s="83"/>
      <c r="E60" s="2"/>
      <c r="F60" s="2"/>
      <c r="G60" s="2"/>
      <c r="H60" s="2"/>
      <c r="I60" s="2"/>
      <c r="J60" s="2"/>
      <c r="K60" s="2"/>
      <c r="T60" s="2"/>
    </row>
    <row r="61" spans="1:20">
      <c r="B61" s="2"/>
      <c r="C61" s="2"/>
      <c r="D61" s="83"/>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password="CC2E" sheet="1" formatCells="0" formatColumns="0" formatRows="0"/>
  <mergeCells count="85">
    <mergeCell ref="R1:S1"/>
    <mergeCell ref="R2:S2"/>
    <mergeCell ref="B3:I4"/>
    <mergeCell ref="L3:S4"/>
    <mergeCell ref="E6:I6"/>
    <mergeCell ref="O6:S6"/>
    <mergeCell ref="E7:F7"/>
    <mergeCell ref="O7:S7"/>
    <mergeCell ref="E8:I8"/>
    <mergeCell ref="O8:S8"/>
    <mergeCell ref="E9:I9"/>
    <mergeCell ref="O9:S9"/>
    <mergeCell ref="E10:I10"/>
    <mergeCell ref="O10:S10"/>
    <mergeCell ref="E11:F11"/>
    <mergeCell ref="G11:I11"/>
    <mergeCell ref="O11:P11"/>
    <mergeCell ref="Q11:S11"/>
    <mergeCell ref="E12:F12"/>
    <mergeCell ref="G12:I12"/>
    <mergeCell ref="O12:P12"/>
    <mergeCell ref="Q12:S12"/>
    <mergeCell ref="E13:F13"/>
    <mergeCell ref="G13:I13"/>
    <mergeCell ref="O13:P13"/>
    <mergeCell ref="Q13:S13"/>
    <mergeCell ref="F15:I15"/>
    <mergeCell ref="L15:M16"/>
    <mergeCell ref="N15:N16"/>
    <mergeCell ref="O15:P16"/>
    <mergeCell ref="Q15:S16"/>
    <mergeCell ref="F16:I16"/>
    <mergeCell ref="F23:I23"/>
    <mergeCell ref="F17:I17"/>
    <mergeCell ref="L17:M17"/>
    <mergeCell ref="O17:P17"/>
    <mergeCell ref="Q17:S17"/>
    <mergeCell ref="F18:I18"/>
    <mergeCell ref="L18:M18"/>
    <mergeCell ref="O18:P18"/>
    <mergeCell ref="Q18:S18"/>
    <mergeCell ref="L19:M19"/>
    <mergeCell ref="O19:P19"/>
    <mergeCell ref="Q19:S19"/>
    <mergeCell ref="F20:I20"/>
    <mergeCell ref="F21:I21"/>
    <mergeCell ref="B25:C25"/>
    <mergeCell ref="F25:I25"/>
    <mergeCell ref="B26:C26"/>
    <mergeCell ref="F26:I26"/>
    <mergeCell ref="B27:C27"/>
    <mergeCell ref="F27:I27"/>
    <mergeCell ref="B28:C28"/>
    <mergeCell ref="F28:I28"/>
    <mergeCell ref="L28:N28"/>
    <mergeCell ref="Q28:S28"/>
    <mergeCell ref="M29:N29"/>
    <mergeCell ref="R29:S29"/>
    <mergeCell ref="H30:I30"/>
    <mergeCell ref="B33:C33"/>
    <mergeCell ref="D33:F33"/>
    <mergeCell ref="G33:I33"/>
    <mergeCell ref="B34:C35"/>
    <mergeCell ref="D34:F35"/>
    <mergeCell ref="G34:I35"/>
    <mergeCell ref="B36:C37"/>
    <mergeCell ref="D36:F37"/>
    <mergeCell ref="G36:I37"/>
    <mergeCell ref="B38:C39"/>
    <mergeCell ref="D38:F39"/>
    <mergeCell ref="G38:I39"/>
    <mergeCell ref="B40:C41"/>
    <mergeCell ref="D40:F41"/>
    <mergeCell ref="G40:I41"/>
    <mergeCell ref="B42:C43"/>
    <mergeCell ref="D42:F43"/>
    <mergeCell ref="G42:I43"/>
    <mergeCell ref="C55:D55"/>
    <mergeCell ref="G55:I55"/>
    <mergeCell ref="B44:C45"/>
    <mergeCell ref="D44:F45"/>
    <mergeCell ref="G44:I45"/>
    <mergeCell ref="D47:F47"/>
    <mergeCell ref="B54:D54"/>
    <mergeCell ref="G54:I54"/>
  </mergeCells>
  <pageMargins left="0.59055118110236227" right="0.59055118110236227" top="0.87979166666666664"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0" max="18" man="1"/>
  </rowBreaks>
  <colBreaks count="1" manualBreakCount="1">
    <brk id="9" max="55" man="1"/>
  </col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0"/>
  <dimension ref="A1:U123"/>
  <sheetViews>
    <sheetView showGridLines="0" showZeros="0" view="pageLayout" topLeftCell="A96" zoomScaleNormal="100" zoomScaleSheetLayoutView="85" workbookViewId="0">
      <selection activeCell="A116" sqref="A116:U116"/>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71">
        <f>'SPOT CASH_60 DAYS'!F15</f>
        <v>3195170.8635638431</v>
      </c>
      <c r="J27" s="1772"/>
      <c r="K27" s="1772"/>
      <c r="L27" s="1772"/>
      <c r="M27" s="1772"/>
      <c r="N27" s="1772"/>
      <c r="O27" s="1772"/>
      <c r="P27" s="1772"/>
      <c r="Q27" s="1772"/>
      <c r="R27" s="1772"/>
      <c r="S27" s="1772"/>
      <c r="T27" s="1772"/>
      <c r="U27" s="1773"/>
    </row>
    <row r="28" spans="1:21" ht="14.1">
      <c r="A28" s="39" t="s">
        <v>990</v>
      </c>
      <c r="B28" s="40"/>
      <c r="C28" s="42"/>
      <c r="D28" s="42"/>
      <c r="E28" s="42"/>
      <c r="F28" s="42"/>
      <c r="G28" s="42"/>
      <c r="H28" s="43"/>
      <c r="I28" s="1649">
        <f>'SPOT CASH_60 DAYS'!F16+'SPOT CASH_60 DAYS'!F17</f>
        <v>0</v>
      </c>
      <c r="J28" s="1650"/>
      <c r="K28" s="1650"/>
      <c r="L28" s="1650"/>
      <c r="M28" s="1650"/>
      <c r="N28" s="1650"/>
      <c r="O28" s="1650"/>
      <c r="P28" s="1650"/>
      <c r="Q28" s="1650"/>
      <c r="R28" s="1650"/>
      <c r="S28" s="1650"/>
      <c r="T28" s="1650"/>
      <c r="U28" s="1651"/>
    </row>
    <row r="29" spans="1:21" ht="14.1">
      <c r="A29" s="49" t="s">
        <v>791</v>
      </c>
      <c r="B29" s="50"/>
      <c r="C29" s="51"/>
      <c r="D29" s="51"/>
      <c r="E29" s="51"/>
      <c r="F29" s="51"/>
      <c r="G29" s="51"/>
      <c r="H29" s="48"/>
      <c r="I29" s="1771">
        <f>'SPOT CASH_60 DAYS'!F18</f>
        <v>3195170.8635638431</v>
      </c>
      <c r="J29" s="1772"/>
      <c r="K29" s="1772"/>
      <c r="L29" s="1772"/>
      <c r="M29" s="1772"/>
      <c r="N29" s="1772"/>
      <c r="O29" s="1772"/>
      <c r="P29" s="1772"/>
      <c r="Q29" s="1772"/>
      <c r="R29" s="1772"/>
      <c r="S29" s="1772"/>
      <c r="T29" s="1772"/>
      <c r="U29" s="1773"/>
    </row>
    <row r="30" spans="1:21" ht="14.1">
      <c r="A30" s="39" t="s">
        <v>991</v>
      </c>
      <c r="B30" s="40"/>
      <c r="C30" s="42"/>
      <c r="D30" s="42"/>
      <c r="E30" s="42"/>
      <c r="F30" s="42"/>
      <c r="G30" s="42"/>
      <c r="H30" s="43"/>
      <c r="I30" s="1771">
        <f>'SPOT CASH_60 DAYS'!F21</f>
        <v>309637.81476728822</v>
      </c>
      <c r="J30" s="1772"/>
      <c r="K30" s="1772"/>
      <c r="L30" s="1772"/>
      <c r="M30" s="1772"/>
      <c r="N30" s="1772"/>
      <c r="O30" s="1772"/>
      <c r="P30" s="1772"/>
      <c r="Q30" s="1772"/>
      <c r="R30" s="1772"/>
      <c r="S30" s="1772"/>
      <c r="T30" s="1772"/>
      <c r="U30" s="1773"/>
    </row>
    <row r="31" spans="1:21" ht="14.1">
      <c r="A31" s="39" t="s">
        <v>992</v>
      </c>
      <c r="B31" s="40"/>
      <c r="C31" s="42"/>
      <c r="D31" s="42"/>
      <c r="E31" s="42"/>
      <c r="F31" s="42"/>
      <c r="G31" s="42"/>
      <c r="H31" s="43"/>
      <c r="I31" s="1771" t="str">
        <f>'SPOT CASH_60 DAYS'!F20</f>
        <v/>
      </c>
      <c r="J31" s="1772"/>
      <c r="K31" s="1772"/>
      <c r="L31" s="1772"/>
      <c r="M31" s="1772"/>
      <c r="N31" s="1772"/>
      <c r="O31" s="1772"/>
      <c r="P31" s="1772"/>
      <c r="Q31" s="1772"/>
      <c r="R31" s="1772"/>
      <c r="S31" s="1772"/>
      <c r="T31" s="1772"/>
      <c r="U31" s="1773"/>
    </row>
    <row r="32" spans="1:21" ht="14.1">
      <c r="A32" s="39" t="s">
        <v>178</v>
      </c>
      <c r="B32" s="40"/>
      <c r="C32" s="42"/>
      <c r="D32" s="42"/>
      <c r="E32" s="42"/>
      <c r="F32" s="42"/>
      <c r="G32" s="42"/>
      <c r="H32" s="43"/>
      <c r="I32" s="1771">
        <f>'SPOT CASH_60 DAYS'!F23</f>
        <v>3504808.6783311311</v>
      </c>
      <c r="J32" s="1772"/>
      <c r="K32" s="1772"/>
      <c r="L32" s="1772"/>
      <c r="M32" s="1772"/>
      <c r="N32" s="1772"/>
      <c r="O32" s="1772"/>
      <c r="P32" s="1772"/>
      <c r="Q32" s="1772"/>
      <c r="R32" s="1772"/>
      <c r="S32" s="1772"/>
      <c r="T32" s="1772"/>
      <c r="U32" s="177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7CEXwrEdQyURKtaO+/kKS3LdT1evigSFruI7jjGbcKORxKb5R5dHscoMPOvS/qtQf+1yw1sTIJfIk4MJ1dpKyA==" saltValue="DW80uXIRIZ2A0j4wpyTZLA=="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2705"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2706"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2707"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2708"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2709"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2710"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2711"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2712"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2713"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2714"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2715"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2716"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2717"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2718"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2719"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2720"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2721"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2722"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2723"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
  <dimension ref="A1:AW148"/>
  <sheetViews>
    <sheetView showZeros="0" showWhiteSpace="0" view="pageLayout" topLeftCell="A13" zoomScale="85" zoomScaleNormal="100" zoomScaleSheetLayoutView="80" zoomScalePageLayoutView="85" workbookViewId="0">
      <selection activeCell="F24" sqref="F24:I24"/>
    </sheetView>
  </sheetViews>
  <sheetFormatPr defaultColWidth="9.140625" defaultRowHeight="14.45"/>
  <cols>
    <col min="1" max="1" width="0.85546875" customWidth="1"/>
    <col min="2" max="2" width="11.42578125" customWidth="1"/>
    <col min="3" max="3" width="17.140625" customWidth="1"/>
    <col min="4" max="4" width="12.85546875" style="103" customWidth="1"/>
    <col min="5" max="5" width="15.140625" customWidth="1"/>
    <col min="6" max="6" width="8.42578125" customWidth="1"/>
    <col min="7" max="7" width="14.140625" customWidth="1"/>
    <col min="8" max="8" width="11.85546875" customWidth="1"/>
    <col min="9" max="9" width="19" customWidth="1"/>
    <col min="10" max="10" width="0.42578125" customWidth="1"/>
    <col min="12" max="12" width="17.5703125" customWidth="1"/>
    <col min="13" max="13" width="16.5703125" style="104" customWidth="1"/>
    <col min="14" max="14" width="5.42578125" customWidth="1"/>
    <col min="15" max="15" width="19.140625" customWidth="1"/>
    <col min="16" max="16" width="11.85546875" customWidth="1"/>
    <col min="17" max="17" width="7.85546875" customWidth="1"/>
    <col min="18" max="18" width="22.5703125" customWidth="1"/>
    <col min="19" max="19" width="9.140625" style="502"/>
    <col min="20" max="20" width="21.42578125" style="508" hidden="1" customWidth="1"/>
    <col min="21" max="21" width="9.140625" style="508" hidden="1" customWidth="1"/>
    <col min="22" max="22" width="11.140625" style="508" hidden="1" customWidth="1"/>
    <col min="23" max="23" width="9.140625" style="502" hidden="1" customWidth="1"/>
    <col min="24" max="25" width="8" style="502" hidden="1" customWidth="1"/>
    <col min="26" max="26" width="10.140625" style="502" hidden="1" customWidth="1"/>
    <col min="27" max="44" width="9.140625" style="502"/>
  </cols>
  <sheetData>
    <row r="1" spans="1:49" s="508" customFormat="1" ht="16.5" customHeight="1">
      <c r="A1" s="516"/>
      <c r="B1" s="134" t="s">
        <v>847</v>
      </c>
      <c r="C1" s="517" t="str">
        <f>FORM!I20</f>
        <v>September 1,2025</v>
      </c>
      <c r="D1" s="518"/>
      <c r="F1" s="518"/>
      <c r="G1" s="518"/>
      <c r="H1" s="134" t="s">
        <v>943</v>
      </c>
      <c r="I1" s="519" t="s">
        <v>849</v>
      </c>
      <c r="J1" s="516"/>
      <c r="K1" s="165" t="s">
        <v>847</v>
      </c>
      <c r="L1" s="520" t="str">
        <f>C1</f>
        <v>September 1,2025</v>
      </c>
      <c r="M1" s="518"/>
      <c r="N1" s="509"/>
      <c r="P1" s="160" t="s">
        <v>943</v>
      </c>
      <c r="Q1" s="1865" t="s">
        <v>851</v>
      </c>
      <c r="R1" s="1865"/>
    </row>
    <row r="2" spans="1:49" s="508" customFormat="1" ht="16.5" customHeight="1">
      <c r="A2" s="509"/>
      <c r="B2" s="509"/>
      <c r="C2" s="510"/>
      <c r="D2" s="510"/>
      <c r="E2" s="509"/>
      <c r="F2" s="509"/>
      <c r="G2" s="511"/>
      <c r="H2" s="511"/>
      <c r="I2" s="511"/>
      <c r="J2" s="516"/>
      <c r="K2" s="509"/>
      <c r="L2" s="510"/>
      <c r="M2" s="510"/>
      <c r="N2" s="509"/>
      <c r="O2" s="509"/>
      <c r="P2" s="509"/>
      <c r="Q2" s="1866"/>
      <c r="R2" s="1866"/>
    </row>
    <row r="3" spans="1:49" s="508" customFormat="1" ht="15.75" customHeight="1">
      <c r="A3" s="511"/>
      <c r="B3" s="1638" t="s">
        <v>1055</v>
      </c>
      <c r="C3" s="1638"/>
      <c r="D3" s="1638"/>
      <c r="E3" s="1638"/>
      <c r="F3" s="1638"/>
      <c r="G3" s="1638"/>
      <c r="H3" s="1638"/>
      <c r="I3" s="1638"/>
      <c r="J3" s="511"/>
      <c r="K3" s="1638" t="s">
        <v>853</v>
      </c>
      <c r="L3" s="1638"/>
      <c r="M3" s="1638"/>
      <c r="N3" s="1638"/>
      <c r="O3" s="1638"/>
      <c r="P3" s="1638"/>
      <c r="Q3" s="1638"/>
      <c r="R3" s="1638"/>
    </row>
    <row r="4" spans="1:49" s="508" customFormat="1" ht="15.75" customHeight="1">
      <c r="A4" s="511"/>
      <c r="B4" s="1638"/>
      <c r="C4" s="1638"/>
      <c r="D4" s="1638"/>
      <c r="E4" s="1638"/>
      <c r="F4" s="1638"/>
      <c r="G4" s="1638"/>
      <c r="H4" s="1638"/>
      <c r="I4" s="1638"/>
      <c r="J4" s="511"/>
      <c r="K4" s="1638"/>
      <c r="L4" s="1638"/>
      <c r="M4" s="1638"/>
      <c r="N4" s="1638"/>
      <c r="O4" s="1638"/>
      <c r="P4" s="1638"/>
      <c r="Q4" s="1638"/>
      <c r="R4" s="1638"/>
    </row>
    <row r="5" spans="1:49" s="508" customFormat="1" ht="15.95">
      <c r="A5" s="511"/>
      <c r="B5" s="512"/>
      <c r="C5" s="512"/>
      <c r="D5" s="513"/>
      <c r="E5" s="512"/>
      <c r="F5" s="512"/>
      <c r="G5" s="512"/>
      <c r="H5" s="512"/>
      <c r="I5" s="512"/>
      <c r="J5" s="521"/>
      <c r="K5" s="514"/>
      <c r="L5" s="511"/>
      <c r="M5" s="514"/>
      <c r="N5" s="511"/>
      <c r="O5" s="511" t="s">
        <v>819</v>
      </c>
      <c r="P5" s="511"/>
      <c r="Q5" s="511"/>
      <c r="R5" s="514"/>
    </row>
    <row r="6" spans="1:49" s="524" customFormat="1" ht="12.6">
      <c r="A6" s="511"/>
      <c r="B6" s="225" t="s">
        <v>854</v>
      </c>
      <c r="C6" s="226"/>
      <c r="D6" s="523" t="s">
        <v>802</v>
      </c>
      <c r="E6" s="1846" t="str">
        <f>FORM!I26</f>
        <v>cnc</v>
      </c>
      <c r="F6" s="1846"/>
      <c r="G6" s="1846"/>
      <c r="H6" s="1846"/>
      <c r="I6" s="1846"/>
      <c r="J6" s="523"/>
      <c r="K6" s="225" t="s">
        <v>854</v>
      </c>
      <c r="L6" s="228"/>
      <c r="M6" s="523" t="s">
        <v>802</v>
      </c>
      <c r="N6" s="1846" t="str">
        <f t="shared" ref="N6:N13" si="0">E6</f>
        <v>cnc</v>
      </c>
      <c r="O6" s="1846"/>
      <c r="P6" s="1846"/>
      <c r="Q6" s="1846"/>
      <c r="R6" s="1846"/>
    </row>
    <row r="7" spans="1:49" s="528" customFormat="1" ht="12.95">
      <c r="A7" s="511"/>
      <c r="B7" s="144" t="s">
        <v>801</v>
      </c>
      <c r="C7" s="227"/>
      <c r="D7" s="523" t="s">
        <v>802</v>
      </c>
      <c r="E7" s="1863" t="str">
        <f>FORM!I11</f>
        <v>The Southprime Flats</v>
      </c>
      <c r="F7" s="1864"/>
      <c r="G7" s="1864"/>
      <c r="H7" s="525" t="str">
        <f>FORM!I14</f>
        <v>B1</v>
      </c>
      <c r="I7" s="526"/>
      <c r="J7" s="527"/>
      <c r="K7" s="144" t="s">
        <v>801</v>
      </c>
      <c r="L7" s="148"/>
      <c r="M7" s="523" t="s">
        <v>802</v>
      </c>
      <c r="N7" s="1846" t="str">
        <f t="shared" si="0"/>
        <v>The Southprime Flats</v>
      </c>
      <c r="O7" s="1846"/>
      <c r="P7" s="1846"/>
      <c r="Q7" s="1846"/>
      <c r="R7" s="1846"/>
    </row>
    <row r="8" spans="1:49" s="528" customFormat="1" ht="12.95">
      <c r="A8" s="511"/>
      <c r="B8" s="144" t="s">
        <v>855</v>
      </c>
      <c r="C8" s="227"/>
      <c r="D8" s="523" t="s">
        <v>802</v>
      </c>
      <c r="E8" s="1846" t="str">
        <f>'STANDARD_NON RFO UNITS'!E8</f>
        <v>2F</v>
      </c>
      <c r="F8" s="1846"/>
      <c r="G8" s="1846"/>
      <c r="H8" s="1846"/>
      <c r="I8" s="1846"/>
      <c r="J8" s="527"/>
      <c r="K8" s="144" t="s">
        <v>855</v>
      </c>
      <c r="L8" s="148"/>
      <c r="M8" s="523" t="s">
        <v>802</v>
      </c>
      <c r="N8" s="1846" t="str">
        <f t="shared" si="0"/>
        <v>2F</v>
      </c>
      <c r="O8" s="1846"/>
      <c r="P8" s="1846"/>
      <c r="Q8" s="1846"/>
      <c r="R8" s="1846"/>
    </row>
    <row r="9" spans="1:49" s="528" customFormat="1" ht="12.95" hidden="1">
      <c r="A9" s="511"/>
      <c r="B9" s="144" t="s">
        <v>856</v>
      </c>
      <c r="C9" s="227"/>
      <c r="D9" s="523" t="s">
        <v>802</v>
      </c>
      <c r="E9" s="1846" t="e">
        <f>FORM!#REF!</f>
        <v>#REF!</v>
      </c>
      <c r="F9" s="1846"/>
      <c r="G9" s="1846"/>
      <c r="H9" s="1846"/>
      <c r="I9" s="1846"/>
      <c r="J9" s="511"/>
      <c r="K9" s="144" t="s">
        <v>856</v>
      </c>
      <c r="L9" s="148"/>
      <c r="M9" s="523" t="s">
        <v>802</v>
      </c>
      <c r="N9" s="1846" t="e">
        <f t="shared" si="0"/>
        <v>#REF!</v>
      </c>
      <c r="O9" s="1846"/>
      <c r="P9" s="1846"/>
      <c r="Q9" s="1846"/>
      <c r="R9" s="1846"/>
    </row>
    <row r="10" spans="1:49" s="524" customFormat="1" ht="12.6">
      <c r="A10" s="511"/>
      <c r="B10" s="144" t="s">
        <v>857</v>
      </c>
      <c r="C10" s="227"/>
      <c r="D10" s="523" t="s">
        <v>802</v>
      </c>
      <c r="E10" s="1846" t="str">
        <f>'STANDARD_NON RFO UNITS'!E10</f>
        <v>Studio Unit</v>
      </c>
      <c r="F10" s="1846"/>
      <c r="G10" s="1846"/>
      <c r="H10" s="1846"/>
      <c r="I10" s="1846"/>
      <c r="J10" s="522"/>
      <c r="K10" s="144" t="s">
        <v>857</v>
      </c>
      <c r="L10" s="148"/>
      <c r="M10" s="523" t="s">
        <v>802</v>
      </c>
      <c r="N10" s="1846" t="str">
        <f t="shared" si="0"/>
        <v>Studio Unit</v>
      </c>
      <c r="O10" s="1846"/>
      <c r="P10" s="1846"/>
      <c r="Q10" s="1846"/>
      <c r="R10" s="1846"/>
      <c r="AI10" s="529"/>
      <c r="AV10" s="530"/>
      <c r="AW10" s="531"/>
    </row>
    <row r="11" spans="1:49" s="524" customFormat="1" ht="12.6">
      <c r="A11" s="511"/>
      <c r="B11" s="144" t="s">
        <v>858</v>
      </c>
      <c r="C11" s="227"/>
      <c r="D11" s="523" t="s">
        <v>802</v>
      </c>
      <c r="E11" s="1867">
        <f>'STANDARD_NON RFO UNITS'!E11:F11</f>
        <v>22</v>
      </c>
      <c r="F11" s="1868"/>
      <c r="G11" s="1861" t="s">
        <v>859</v>
      </c>
      <c r="H11" s="1861"/>
      <c r="I11" s="1862"/>
      <c r="J11" s="522"/>
      <c r="K11" s="144" t="s">
        <v>858</v>
      </c>
      <c r="L11" s="148"/>
      <c r="M11" s="523" t="s">
        <v>802</v>
      </c>
      <c r="N11" s="1867">
        <f t="shared" si="0"/>
        <v>22</v>
      </c>
      <c r="O11" s="1869"/>
      <c r="P11" s="1861" t="s">
        <v>859</v>
      </c>
      <c r="Q11" s="1861"/>
      <c r="R11" s="1862"/>
      <c r="AI11" s="529"/>
      <c r="AV11" s="530"/>
      <c r="AW11" s="531"/>
    </row>
    <row r="12" spans="1:49" s="524" customFormat="1" ht="12.6">
      <c r="A12" s="511"/>
      <c r="B12" s="148" t="s">
        <v>860</v>
      </c>
      <c r="C12" s="227"/>
      <c r="D12" s="523" t="s">
        <v>802</v>
      </c>
      <c r="E12" s="1859">
        <f>'STANDARD_NON RFO UNITS'!E12:F12</f>
        <v>0</v>
      </c>
      <c r="F12" s="1860"/>
      <c r="G12" s="1861" t="s">
        <v>859</v>
      </c>
      <c r="H12" s="1861"/>
      <c r="I12" s="1862"/>
      <c r="J12" s="522"/>
      <c r="K12" s="148" t="s">
        <v>860</v>
      </c>
      <c r="L12" s="148"/>
      <c r="M12" s="523" t="s">
        <v>802</v>
      </c>
      <c r="N12" s="1859">
        <f t="shared" si="0"/>
        <v>0</v>
      </c>
      <c r="O12" s="1860"/>
      <c r="P12" s="1861" t="s">
        <v>859</v>
      </c>
      <c r="Q12" s="1861"/>
      <c r="R12" s="1862"/>
      <c r="AI12" s="529"/>
      <c r="AV12" s="530"/>
      <c r="AW12" s="531"/>
    </row>
    <row r="13" spans="1:49" s="524" customFormat="1" ht="12.6">
      <c r="A13" s="511"/>
      <c r="B13" s="238" t="s">
        <v>861</v>
      </c>
      <c r="C13" s="101"/>
      <c r="D13" s="523" t="s">
        <v>802</v>
      </c>
      <c r="E13" s="1859">
        <f>'STANDARD_NON RFO UNITS'!E13:F13</f>
        <v>22</v>
      </c>
      <c r="F13" s="1860"/>
      <c r="G13" s="1861" t="s">
        <v>859</v>
      </c>
      <c r="H13" s="1861"/>
      <c r="I13" s="1862"/>
      <c r="J13" s="522"/>
      <c r="K13" s="238" t="s">
        <v>861</v>
      </c>
      <c r="L13" s="126"/>
      <c r="M13" s="523" t="s">
        <v>802</v>
      </c>
      <c r="N13" s="1859">
        <f t="shared" si="0"/>
        <v>22</v>
      </c>
      <c r="O13" s="1860"/>
      <c r="P13" s="1861" t="s">
        <v>859</v>
      </c>
      <c r="Q13" s="1861"/>
      <c r="R13" s="1862"/>
      <c r="AI13" s="529"/>
      <c r="AV13" s="530"/>
      <c r="AW13" s="531"/>
    </row>
    <row r="14" spans="1:49" s="524" customFormat="1" ht="12.6">
      <c r="A14" s="511"/>
      <c r="B14" s="511"/>
      <c r="C14" s="511"/>
      <c r="D14" s="523"/>
      <c r="E14" s="511"/>
      <c r="F14" s="511"/>
      <c r="G14" s="511"/>
      <c r="H14" s="511"/>
      <c r="I14" s="511"/>
      <c r="J14" s="522"/>
      <c r="K14" s="511"/>
      <c r="L14" s="511"/>
      <c r="M14" s="514"/>
      <c r="N14" s="511"/>
      <c r="O14" s="511"/>
      <c r="P14" s="511"/>
      <c r="Q14" s="511"/>
      <c r="R14" s="511"/>
      <c r="AI14" s="529"/>
      <c r="AV14" s="530"/>
      <c r="AW14" s="531"/>
    </row>
    <row r="15" spans="1:49" s="524" customFormat="1" ht="16.5" customHeight="1">
      <c r="A15" s="511"/>
      <c r="B15" s="141" t="s">
        <v>862</v>
      </c>
      <c r="C15" s="226"/>
      <c r="D15" s="533" t="s">
        <v>802</v>
      </c>
      <c r="E15" s="515"/>
      <c r="F15" s="1858">
        <f>'STANDARD_NON RFO UNITS'!F15</f>
        <v>3195170.8635638431</v>
      </c>
      <c r="G15" s="1858"/>
      <c r="H15" s="1858"/>
      <c r="I15" s="1858"/>
      <c r="J15" s="522"/>
      <c r="K15" s="1549" t="s">
        <v>863</v>
      </c>
      <c r="L15" s="1549"/>
      <c r="M15" s="1550" t="s">
        <v>773</v>
      </c>
      <c r="N15" s="1549" t="s">
        <v>776</v>
      </c>
      <c r="O15" s="1549"/>
      <c r="P15" s="1549" t="s">
        <v>214</v>
      </c>
      <c r="Q15" s="1549"/>
      <c r="R15" s="1549"/>
      <c r="V15" s="534" t="str">
        <f>M17</f>
        <v>September 1,2025</v>
      </c>
      <c r="AI15" s="529"/>
      <c r="AV15" s="530"/>
      <c r="AW15" s="531"/>
    </row>
    <row r="16" spans="1:49" s="524" customFormat="1" ht="12.6">
      <c r="A16" s="522"/>
      <c r="B16" s="144" t="s">
        <v>864</v>
      </c>
      <c r="C16" s="148"/>
      <c r="D16" s="523" t="s">
        <v>802</v>
      </c>
      <c r="E16" s="535"/>
      <c r="F16" s="1855">
        <f>'STANDARD_NON RFO UNITS'!F16:I16</f>
        <v>0</v>
      </c>
      <c r="G16" s="1855"/>
      <c r="H16" s="1855"/>
      <c r="I16" s="1855"/>
      <c r="J16" s="511" t="s">
        <v>819</v>
      </c>
      <c r="K16" s="1549"/>
      <c r="L16" s="1549"/>
      <c r="M16" s="1550"/>
      <c r="N16" s="1549"/>
      <c r="O16" s="1549"/>
      <c r="P16" s="1549"/>
      <c r="Q16" s="1549"/>
      <c r="R16" s="1549"/>
      <c r="AI16" s="529"/>
      <c r="AV16" s="530"/>
      <c r="AW16" s="531"/>
    </row>
    <row r="17" spans="1:49" s="524" customFormat="1" ht="12.6">
      <c r="A17" s="511"/>
      <c r="B17" s="129" t="s">
        <v>791</v>
      </c>
      <c r="C17" s="101"/>
      <c r="D17" s="533" t="s">
        <v>802</v>
      </c>
      <c r="E17" s="537"/>
      <c r="F17" s="1858">
        <f>F15-F16</f>
        <v>3195170.8635638431</v>
      </c>
      <c r="G17" s="1858"/>
      <c r="H17" s="1858"/>
      <c r="I17" s="1858"/>
      <c r="J17" s="511"/>
      <c r="K17" s="1856" t="s">
        <v>820</v>
      </c>
      <c r="L17" s="1857"/>
      <c r="M17" s="536" t="str">
        <f>C1</f>
        <v>September 1,2025</v>
      </c>
      <c r="N17" s="1847">
        <f>F25</f>
        <v>30000</v>
      </c>
      <c r="O17" s="1848"/>
      <c r="P17" s="1830"/>
      <c r="Q17" s="1831"/>
      <c r="R17" s="1832"/>
      <c r="V17" s="534"/>
      <c r="AI17" s="529"/>
      <c r="AV17" s="530"/>
      <c r="AW17" s="531"/>
    </row>
    <row r="18" spans="1:49" s="528" customFormat="1" ht="12.95">
      <c r="A18" s="511"/>
      <c r="B18" s="532"/>
      <c r="C18" s="511"/>
      <c r="D18" s="523"/>
      <c r="E18" s="557"/>
      <c r="F18" s="558"/>
      <c r="G18" s="558">
        <f>E19*F17</f>
        <v>383420.50362766115</v>
      </c>
      <c r="H18" s="538"/>
      <c r="I18" s="511"/>
      <c r="J18" s="522"/>
      <c r="K18" s="1846" t="str">
        <f t="shared" ref="K18:K39" si="1">IF(N18&gt;1,T19,0)</f>
        <v>1st EQUITY PAYMENT</v>
      </c>
      <c r="L18" s="1846"/>
      <c r="M18" s="536" t="e">
        <f t="shared" ref="M18:M53" si="2">IF(N18&gt;1,V19,0)</f>
        <v>#VALUE!</v>
      </c>
      <c r="N18" s="1851">
        <f>IF(E28&gt;0,F28,0)</f>
        <v>3492675.8770791371</v>
      </c>
      <c r="O18" s="1851"/>
      <c r="P18" s="1830"/>
      <c r="Q18" s="1831"/>
      <c r="R18" s="1832"/>
    </row>
    <row r="19" spans="1:49" s="528" customFormat="1" ht="12.95">
      <c r="A19" s="511"/>
      <c r="B19" s="148" t="s">
        <v>868</v>
      </c>
      <c r="C19" s="148"/>
      <c r="D19" s="523" t="s">
        <v>802</v>
      </c>
      <c r="E19" s="542">
        <f>'STANDARD_NON RFO UNITS'!E19</f>
        <v>0.12</v>
      </c>
      <c r="F19" s="1854">
        <f>IF(OR(ISBLANK('STANDARD_NON RFO UNITS'!F19), 'STANDARD_NON RFO UNITS'!F19 = 0), 0, 0.12 * F17)</f>
        <v>0</v>
      </c>
      <c r="G19" s="1854"/>
      <c r="H19" s="1854"/>
      <c r="I19" s="1854"/>
      <c r="J19" s="511"/>
      <c r="K19" s="1846">
        <f t="shared" si="1"/>
        <v>0</v>
      </c>
      <c r="L19" s="1846"/>
      <c r="M19" s="536">
        <f t="shared" si="2"/>
        <v>0</v>
      </c>
      <c r="N19" s="1851">
        <f>IF(E28&gt;1,F28,0)</f>
        <v>0</v>
      </c>
      <c r="O19" s="1851"/>
      <c r="P19" s="1830"/>
      <c r="Q19" s="1831"/>
      <c r="R19" s="1832"/>
      <c r="T19" s="528" t="s">
        <v>866</v>
      </c>
      <c r="V19" s="539" t="e">
        <f>IF(DAY(V15)=31,X19,Z19)</f>
        <v>#VALUE!</v>
      </c>
      <c r="W19" s="540" t="s">
        <v>872</v>
      </c>
      <c r="X19" s="1833" t="e">
        <f>IF(DAY(V15)=31,DATE(YEAR(V15),MONTH(V15)+2,DAY(5)))</f>
        <v>#VALUE!</v>
      </c>
      <c r="Y19" s="1834"/>
      <c r="Z19" s="541" t="e">
        <f>IF(AND(DAY(V15)&gt;=6,DAY(V15)&lt;=20),DATE(YEAR(V15),MONTH(V15)+1,DAY(20)),IF(AND(DAY(V15)&gt;=21,DAY(V15)&lt;=30),DATE(YEAR(V15),MONTH(V15)+1,IF(DAY(EOMONTH(V15,1))&lt;31,DAY(EOMONTH(V15,1)),DAY(30))),DATE(YEAR(V15),MONTH(V15)+1,DAY(5))))</f>
        <v>#VALUE!</v>
      </c>
    </row>
    <row r="20" spans="1:49" s="543" customFormat="1" ht="12.95">
      <c r="A20" s="511"/>
      <c r="B20" s="238" t="s">
        <v>870</v>
      </c>
      <c r="C20" s="126"/>
      <c r="D20" s="523" t="s">
        <v>802</v>
      </c>
      <c r="E20" s="778">
        <f>7.5%+2.75%</f>
        <v>0.10249999999999999</v>
      </c>
      <c r="F20" s="1854">
        <f>(F15*E20)+E18</f>
        <v>327505.01351529389</v>
      </c>
      <c r="G20" s="1854"/>
      <c r="H20" s="1854"/>
      <c r="I20" s="1854"/>
      <c r="J20" s="522"/>
      <c r="K20" s="1846">
        <f t="shared" si="1"/>
        <v>0</v>
      </c>
      <c r="L20" s="1846"/>
      <c r="M20" s="536">
        <f t="shared" si="2"/>
        <v>0</v>
      </c>
      <c r="N20" s="1851">
        <f>IF(E28&gt;2,F28,0)</f>
        <v>0</v>
      </c>
      <c r="O20" s="1851"/>
      <c r="P20" s="1830"/>
      <c r="Q20" s="1831"/>
      <c r="R20" s="1832"/>
      <c r="T20" s="528" t="s">
        <v>869</v>
      </c>
      <c r="U20" s="528"/>
      <c r="V20" s="539" t="e">
        <f>IF(AND(DAY(V19)&gt;=6,DAY(V19)&lt;=20),DATE(YEAR(V19),MONTH(V19)+1,DAY(20)),IF(AND(DAY(V19)&gt;=21,DAY(V19)&lt;=30),DATE(YEAR(V19),MONTH(V19)+1,IF(DAY(EOMONTH(V19,1))&lt;30,DAY(EOMONTH(V19,1)),DAY(30))),DATE(YEAR(V19),MONTH(V19)+1,DAY(5))))</f>
        <v>#VALUE!</v>
      </c>
    </row>
    <row r="21" spans="1:49" s="528" customFormat="1" ht="12.95">
      <c r="A21" s="522"/>
      <c r="B21" s="532"/>
      <c r="C21" s="511"/>
      <c r="D21" s="523"/>
      <c r="E21" s="779"/>
      <c r="F21" s="538"/>
      <c r="G21" s="538"/>
      <c r="H21" s="538"/>
      <c r="I21" s="511"/>
      <c r="J21" s="511"/>
      <c r="K21" s="1846">
        <f t="shared" si="1"/>
        <v>0</v>
      </c>
      <c r="L21" s="1846"/>
      <c r="M21" s="536">
        <f t="shared" si="2"/>
        <v>0</v>
      </c>
      <c r="N21" s="1851">
        <f>IF(E28&gt;3,F28,0)</f>
        <v>0</v>
      </c>
      <c r="O21" s="1851"/>
      <c r="P21" s="1830"/>
      <c r="Q21" s="1831"/>
      <c r="R21" s="1832"/>
      <c r="T21" s="528" t="s">
        <v>871</v>
      </c>
      <c r="V21" s="539" t="e">
        <f t="shared" ref="V21:V64" si="3">IF(AND(DAY(V20)&gt;=6,DAY(V20)&lt;=20),DATE(YEAR(V20),MONTH(V20)+1,DAY(20)),IF(AND(DAY(V20)&gt;=21,DAY(V20)&lt;=30),DATE(YEAR(V20),MONTH(V20)+1,IF(DAY(EOMONTH(V20,1))&lt;30,DAY(EOMONTH(V20,1)),DAY(30))),DATE(YEAR(V20),MONTH(V20)+1,DAY(5))))</f>
        <v>#VALUE!</v>
      </c>
    </row>
    <row r="22" spans="1:49" s="543" customFormat="1" ht="12.95">
      <c r="A22" s="511"/>
      <c r="B22" s="129" t="s">
        <v>874</v>
      </c>
      <c r="C22" s="101"/>
      <c r="D22" s="533" t="s">
        <v>802</v>
      </c>
      <c r="E22" s="544"/>
      <c r="F22" s="1853">
        <f>SUM(F20,F19,F17)</f>
        <v>3522675.8770791371</v>
      </c>
      <c r="G22" s="1853"/>
      <c r="H22" s="1853"/>
      <c r="I22" s="1853"/>
      <c r="J22" s="511"/>
      <c r="K22" s="1846">
        <f t="shared" si="1"/>
        <v>0</v>
      </c>
      <c r="L22" s="1846"/>
      <c r="M22" s="536">
        <f t="shared" si="2"/>
        <v>0</v>
      </c>
      <c r="N22" s="1851">
        <f>IF(E28&gt;4,F28,0)</f>
        <v>0</v>
      </c>
      <c r="O22" s="1851"/>
      <c r="P22" s="1830"/>
      <c r="Q22" s="1831"/>
      <c r="R22" s="1832"/>
      <c r="T22" s="528" t="s">
        <v>873</v>
      </c>
      <c r="U22" s="528"/>
      <c r="V22" s="539" t="e">
        <f t="shared" si="3"/>
        <v>#VALUE!</v>
      </c>
    </row>
    <row r="23" spans="1:49" s="528" customFormat="1" ht="12.95">
      <c r="A23" s="511"/>
      <c r="B23" s="532"/>
      <c r="C23" s="511"/>
      <c r="D23" s="523"/>
      <c r="E23" s="523"/>
      <c r="F23" s="538"/>
      <c r="G23" s="538"/>
      <c r="H23" s="538"/>
      <c r="I23" s="511"/>
      <c r="J23" s="511"/>
      <c r="K23" s="1846">
        <f t="shared" si="1"/>
        <v>0</v>
      </c>
      <c r="L23" s="1846"/>
      <c r="M23" s="536">
        <f t="shared" si="2"/>
        <v>0</v>
      </c>
      <c r="N23" s="1851">
        <f>IF(E28&gt;5,F28,0)</f>
        <v>0</v>
      </c>
      <c r="O23" s="1851"/>
      <c r="P23" s="1830"/>
      <c r="Q23" s="1831"/>
      <c r="R23" s="1832"/>
      <c r="T23" s="528" t="s">
        <v>875</v>
      </c>
      <c r="V23" s="539" t="e">
        <f t="shared" si="3"/>
        <v>#VALUE!</v>
      </c>
    </row>
    <row r="24" spans="1:49" s="528" customFormat="1" ht="12.95">
      <c r="A24" s="522"/>
      <c r="B24" s="225" t="s">
        <v>1056</v>
      </c>
      <c r="C24" s="228"/>
      <c r="D24" s="523" t="s">
        <v>802</v>
      </c>
      <c r="E24" s="545"/>
      <c r="F24" s="1854">
        <f>F22</f>
        <v>3522675.8770791371</v>
      </c>
      <c r="G24" s="1854"/>
      <c r="H24" s="1854"/>
      <c r="I24" s="1854"/>
      <c r="J24" s="511"/>
      <c r="K24" s="1846">
        <f t="shared" si="1"/>
        <v>0</v>
      </c>
      <c r="L24" s="1846"/>
      <c r="M24" s="536">
        <f t="shared" si="2"/>
        <v>0</v>
      </c>
      <c r="N24" s="1851">
        <f>IF(E28&gt;6,F28,0)</f>
        <v>0</v>
      </c>
      <c r="O24" s="1851"/>
      <c r="P24" s="1830"/>
      <c r="Q24" s="1831"/>
      <c r="R24" s="1832"/>
      <c r="T24" s="528" t="s">
        <v>876</v>
      </c>
      <c r="V24" s="539" t="e">
        <f t="shared" si="3"/>
        <v>#VALUE!</v>
      </c>
    </row>
    <row r="25" spans="1:49" s="528" customFormat="1" ht="12.95">
      <c r="A25" s="511"/>
      <c r="B25" s="225" t="s">
        <v>1048</v>
      </c>
      <c r="C25" s="228"/>
      <c r="D25" s="523" t="s">
        <v>802</v>
      </c>
      <c r="E25" s="545"/>
      <c r="F25" s="1854">
        <f>FORM!I22</f>
        <v>30000</v>
      </c>
      <c r="G25" s="1854"/>
      <c r="H25" s="1854"/>
      <c r="I25" s="1854"/>
      <c r="J25" s="511"/>
      <c r="K25" s="1846">
        <f t="shared" si="1"/>
        <v>0</v>
      </c>
      <c r="L25" s="1846"/>
      <c r="M25" s="536">
        <f t="shared" si="2"/>
        <v>0</v>
      </c>
      <c r="N25" s="1851">
        <f>IF(E28&gt;7,F28,0)</f>
        <v>0</v>
      </c>
      <c r="O25" s="1851"/>
      <c r="P25" s="1830"/>
      <c r="Q25" s="1831"/>
      <c r="R25" s="1832"/>
      <c r="T25" s="528" t="s">
        <v>878</v>
      </c>
      <c r="V25" s="539" t="e">
        <f t="shared" si="3"/>
        <v>#VALUE!</v>
      </c>
    </row>
    <row r="26" spans="1:49" s="528" customFormat="1" ht="12.95">
      <c r="A26" s="522"/>
      <c r="B26" s="546" t="s">
        <v>946</v>
      </c>
      <c r="C26" s="227"/>
      <c r="D26" s="533" t="s">
        <v>802</v>
      </c>
      <c r="E26" s="544"/>
      <c r="F26" s="1853">
        <f>F24-F25</f>
        <v>3492675.8770791371</v>
      </c>
      <c r="G26" s="1853"/>
      <c r="H26" s="1853"/>
      <c r="I26" s="1853"/>
      <c r="J26" s="522"/>
      <c r="K26" s="1846">
        <f t="shared" si="1"/>
        <v>0</v>
      </c>
      <c r="L26" s="1846"/>
      <c r="M26" s="536">
        <f t="shared" si="2"/>
        <v>0</v>
      </c>
      <c r="N26" s="1851">
        <f>IF(E28&gt;8,F28,0)</f>
        <v>0</v>
      </c>
      <c r="O26" s="1851"/>
      <c r="P26" s="1830"/>
      <c r="Q26" s="1831"/>
      <c r="R26" s="1832"/>
      <c r="T26" s="528" t="s">
        <v>880</v>
      </c>
      <c r="V26" s="539" t="e">
        <f t="shared" si="3"/>
        <v>#VALUE!</v>
      </c>
    </row>
    <row r="27" spans="1:49" s="528" customFormat="1" ht="12.95">
      <c r="A27" s="511"/>
      <c r="B27" s="547"/>
      <c r="C27" s="548"/>
      <c r="D27" s="533"/>
      <c r="E27" s="533"/>
      <c r="F27" s="549"/>
      <c r="G27" s="549"/>
      <c r="H27" s="549"/>
      <c r="I27" s="549"/>
      <c r="J27" s="511"/>
      <c r="K27" s="1846">
        <f t="shared" si="1"/>
        <v>0</v>
      </c>
      <c r="L27" s="1846"/>
      <c r="M27" s="536">
        <f t="shared" si="2"/>
        <v>0</v>
      </c>
      <c r="N27" s="1851">
        <f>IF(E28&gt;9,F28,0)</f>
        <v>0</v>
      </c>
      <c r="O27" s="1851"/>
      <c r="P27" s="1830"/>
      <c r="Q27" s="1831"/>
      <c r="R27" s="1832"/>
      <c r="T27" s="528" t="s">
        <v>882</v>
      </c>
      <c r="V27" s="539" t="e">
        <f t="shared" si="3"/>
        <v>#VALUE!</v>
      </c>
    </row>
    <row r="28" spans="1:49" s="543" customFormat="1" ht="12.95">
      <c r="A28" s="511"/>
      <c r="B28" s="129" t="s">
        <v>1057</v>
      </c>
      <c r="C28" s="126"/>
      <c r="D28" s="523" t="s">
        <v>802</v>
      </c>
      <c r="E28" s="544">
        <f>'STANDARD_NON RFO UNITS'!E28</f>
        <v>1</v>
      </c>
      <c r="F28" s="1852">
        <f>F26/E28</f>
        <v>3492675.8770791371</v>
      </c>
      <c r="G28" s="1853"/>
      <c r="H28" s="1853"/>
      <c r="I28" s="1853"/>
      <c r="J28" s="511"/>
      <c r="K28" s="1846">
        <f t="shared" si="1"/>
        <v>0</v>
      </c>
      <c r="L28" s="1846"/>
      <c r="M28" s="536">
        <f t="shared" si="2"/>
        <v>0</v>
      </c>
      <c r="N28" s="1851">
        <f>IF(E28&gt;10,F28,0)</f>
        <v>0</v>
      </c>
      <c r="O28" s="1851"/>
      <c r="P28" s="1830"/>
      <c r="Q28" s="1831"/>
      <c r="R28" s="1832"/>
      <c r="T28" s="528" t="s">
        <v>883</v>
      </c>
      <c r="U28" s="528"/>
      <c r="V28" s="539" t="e">
        <f t="shared" si="3"/>
        <v>#VALUE!</v>
      </c>
    </row>
    <row r="29" spans="1:49" s="528" customFormat="1" ht="12.95">
      <c r="A29" s="511"/>
      <c r="B29" s="522"/>
      <c r="C29" s="511"/>
      <c r="D29" s="523"/>
      <c r="E29" s="511"/>
      <c r="F29" s="511"/>
      <c r="G29" s="511"/>
      <c r="H29" s="511"/>
      <c r="I29" s="511"/>
      <c r="J29" s="522"/>
      <c r="K29" s="1846">
        <f t="shared" si="1"/>
        <v>0</v>
      </c>
      <c r="L29" s="1846"/>
      <c r="M29" s="536">
        <f t="shared" si="2"/>
        <v>0</v>
      </c>
      <c r="N29" s="1851">
        <f>IF(E28&gt;11,F28,0)</f>
        <v>0</v>
      </c>
      <c r="O29" s="1851"/>
      <c r="P29" s="1830"/>
      <c r="Q29" s="1831"/>
      <c r="R29" s="1832"/>
      <c r="T29" s="528" t="s">
        <v>885</v>
      </c>
      <c r="V29" s="539" t="e">
        <f t="shared" si="3"/>
        <v>#VALUE!</v>
      </c>
    </row>
    <row r="30" spans="1:49" s="543" customFormat="1" ht="12.95">
      <c r="A30" s="511"/>
      <c r="B30" s="550"/>
      <c r="C30" s="528"/>
      <c r="D30" s="551"/>
      <c r="E30" s="528"/>
      <c r="F30" s="528"/>
      <c r="G30" s="528"/>
      <c r="H30" s="511"/>
      <c r="I30" s="511"/>
      <c r="J30" s="522"/>
      <c r="K30" s="1846">
        <f t="shared" si="1"/>
        <v>0</v>
      </c>
      <c r="L30" s="1846"/>
      <c r="M30" s="536">
        <f t="shared" si="2"/>
        <v>0</v>
      </c>
      <c r="N30" s="1851">
        <f>IF(E28&gt;12,F28,0)</f>
        <v>0</v>
      </c>
      <c r="O30" s="1851"/>
      <c r="P30" s="1830"/>
      <c r="Q30" s="1831"/>
      <c r="R30" s="1832"/>
      <c r="T30" s="528" t="s">
        <v>886</v>
      </c>
      <c r="U30" s="528"/>
      <c r="V30" s="539" t="e">
        <f t="shared" si="3"/>
        <v>#VALUE!</v>
      </c>
    </row>
    <row r="31" spans="1:49" s="543" customFormat="1" ht="12.95">
      <c r="A31" s="511"/>
      <c r="B31" s="528"/>
      <c r="C31" s="528"/>
      <c r="D31" s="551"/>
      <c r="E31" s="528"/>
      <c r="F31" s="528"/>
      <c r="G31" s="528"/>
      <c r="H31" s="528"/>
      <c r="I31" s="528"/>
      <c r="J31" s="511"/>
      <c r="K31" s="1846">
        <f t="shared" si="1"/>
        <v>0</v>
      </c>
      <c r="L31" s="1846"/>
      <c r="M31" s="536">
        <f t="shared" si="2"/>
        <v>0</v>
      </c>
      <c r="N31" s="1851">
        <f>IF(E28&gt;13,F28,0)</f>
        <v>0</v>
      </c>
      <c r="O31" s="1851"/>
      <c r="P31" s="1830"/>
      <c r="Q31" s="1831"/>
      <c r="R31" s="1832"/>
      <c r="T31" s="528" t="s">
        <v>888</v>
      </c>
      <c r="U31" s="528"/>
      <c r="V31" s="539" t="e">
        <f t="shared" si="3"/>
        <v>#VALUE!</v>
      </c>
    </row>
    <row r="32" spans="1:49" s="528" customFormat="1" ht="12.95">
      <c r="A32" s="511"/>
      <c r="B32" s="522" t="s">
        <v>924</v>
      </c>
      <c r="C32" s="522"/>
      <c r="D32" s="522"/>
      <c r="E32" s="522"/>
      <c r="F32" s="522"/>
      <c r="G32" s="522"/>
      <c r="H32" s="522"/>
      <c r="I32" s="522"/>
      <c r="J32" s="511"/>
      <c r="K32" s="1846">
        <f t="shared" si="1"/>
        <v>0</v>
      </c>
      <c r="L32" s="1846"/>
      <c r="M32" s="536">
        <f t="shared" si="2"/>
        <v>0</v>
      </c>
      <c r="N32" s="1851">
        <f>IF(E28&gt;14,F28,0)</f>
        <v>0</v>
      </c>
      <c r="O32" s="1851"/>
      <c r="P32" s="1830"/>
      <c r="Q32" s="1831"/>
      <c r="R32" s="1832"/>
      <c r="T32" s="528" t="s">
        <v>889</v>
      </c>
      <c r="V32" s="539" t="e">
        <f t="shared" si="3"/>
        <v>#VALUE!</v>
      </c>
    </row>
    <row r="33" spans="1:44" s="528" customFormat="1" ht="12.95">
      <c r="A33" s="511"/>
      <c r="B33" s="522"/>
      <c r="C33" s="522"/>
      <c r="D33" s="522"/>
      <c r="E33" s="522"/>
      <c r="F33" s="522"/>
      <c r="G33" s="522"/>
      <c r="H33" s="522"/>
      <c r="I33" s="522"/>
      <c r="J33" s="522"/>
      <c r="K33" s="1846">
        <f t="shared" si="1"/>
        <v>0</v>
      </c>
      <c r="L33" s="1846"/>
      <c r="M33" s="536">
        <f t="shared" si="2"/>
        <v>0</v>
      </c>
      <c r="N33" s="1851">
        <f>IF(E28&gt;15,F28,0)</f>
        <v>0</v>
      </c>
      <c r="O33" s="1851"/>
      <c r="P33" s="1830"/>
      <c r="Q33" s="1831"/>
      <c r="R33" s="1832"/>
      <c r="T33" s="528" t="s">
        <v>891</v>
      </c>
      <c r="V33" s="539" t="e">
        <f t="shared" si="3"/>
        <v>#VALUE!</v>
      </c>
    </row>
    <row r="34" spans="1:44" s="543" customFormat="1" ht="12.95">
      <c r="A34" s="511"/>
      <c r="B34" s="1549" t="s">
        <v>814</v>
      </c>
      <c r="C34" s="1549"/>
      <c r="D34" s="1549" t="s">
        <v>815</v>
      </c>
      <c r="E34" s="1549"/>
      <c r="F34" s="1549"/>
      <c r="G34" s="1549"/>
      <c r="H34" s="1549" t="s">
        <v>928</v>
      </c>
      <c r="I34" s="1549"/>
      <c r="J34" s="511"/>
      <c r="K34" s="1846">
        <f t="shared" si="1"/>
        <v>0</v>
      </c>
      <c r="L34" s="1846"/>
      <c r="M34" s="536">
        <f t="shared" si="2"/>
        <v>0</v>
      </c>
      <c r="N34" s="1851">
        <f>IF(E28&gt;16,F28,0)</f>
        <v>0</v>
      </c>
      <c r="O34" s="1851"/>
      <c r="P34" s="1830"/>
      <c r="Q34" s="1831"/>
      <c r="R34" s="1832"/>
      <c r="T34" s="528" t="s">
        <v>892</v>
      </c>
      <c r="U34" s="528"/>
      <c r="V34" s="539" t="e">
        <f t="shared" si="3"/>
        <v>#VALUE!</v>
      </c>
    </row>
    <row r="35" spans="1:44" s="528" customFormat="1" ht="12.95">
      <c r="A35" s="511"/>
      <c r="B35" s="1774">
        <f>'SPOT CASH_60 DAYS'!B34</f>
        <v>0</v>
      </c>
      <c r="C35" s="1775"/>
      <c r="D35" s="1774">
        <f>'SPOT CASH_60 DAYS'!D34:D34</f>
        <v>0</v>
      </c>
      <c r="E35" s="1778"/>
      <c r="F35" s="1778"/>
      <c r="G35" s="1775"/>
      <c r="H35" s="1780">
        <f>'SPOT CASH_60 DAYS'!G34</f>
        <v>0</v>
      </c>
      <c r="I35" s="1781"/>
      <c r="J35" s="511"/>
      <c r="K35" s="1846">
        <f t="shared" si="1"/>
        <v>0</v>
      </c>
      <c r="L35" s="1846"/>
      <c r="M35" s="536">
        <f t="shared" si="2"/>
        <v>0</v>
      </c>
      <c r="N35" s="1847">
        <f>IF(E28&gt;17,F28,0)</f>
        <v>0</v>
      </c>
      <c r="O35" s="1848"/>
      <c r="P35" s="1830"/>
      <c r="Q35" s="1831"/>
      <c r="R35" s="1832"/>
      <c r="T35" s="528" t="s">
        <v>895</v>
      </c>
      <c r="V35" s="539" t="e">
        <f t="shared" si="3"/>
        <v>#VALUE!</v>
      </c>
    </row>
    <row r="36" spans="1:44" s="119" customFormat="1" ht="12.95">
      <c r="A36" s="1123"/>
      <c r="B36" s="1776"/>
      <c r="C36" s="1777"/>
      <c r="D36" s="1776"/>
      <c r="E36" s="1779"/>
      <c r="F36" s="1779"/>
      <c r="G36" s="1777"/>
      <c r="H36" s="1782"/>
      <c r="I36" s="1783"/>
      <c r="J36" s="1123"/>
      <c r="K36" s="1527">
        <f t="shared" si="1"/>
        <v>0</v>
      </c>
      <c r="L36" s="1527"/>
      <c r="M36" s="1288">
        <f t="shared" si="2"/>
        <v>0</v>
      </c>
      <c r="N36" s="1551">
        <f>IF(E28&gt;18,F28,0)</f>
        <v>0</v>
      </c>
      <c r="O36" s="1551"/>
      <c r="P36" s="1810"/>
      <c r="Q36" s="1811"/>
      <c r="R36" s="1812"/>
      <c r="S36" s="552"/>
      <c r="T36" s="528" t="s">
        <v>896</v>
      </c>
      <c r="U36" s="528"/>
      <c r="V36" s="539" t="e">
        <f t="shared" si="3"/>
        <v>#VALUE!</v>
      </c>
      <c r="W36" s="552"/>
      <c r="X36" s="552"/>
      <c r="Y36" s="552"/>
      <c r="Z36" s="552"/>
      <c r="AA36" s="552"/>
      <c r="AB36" s="552"/>
      <c r="AC36" s="552"/>
      <c r="AD36" s="552"/>
      <c r="AE36" s="552"/>
      <c r="AF36" s="552"/>
      <c r="AG36" s="552"/>
      <c r="AH36" s="552"/>
      <c r="AI36" s="552"/>
      <c r="AJ36" s="552"/>
      <c r="AK36" s="552"/>
      <c r="AL36" s="552"/>
      <c r="AM36" s="552"/>
      <c r="AN36" s="552"/>
      <c r="AO36" s="552"/>
      <c r="AP36" s="552"/>
      <c r="AQ36" s="552"/>
      <c r="AR36" s="552"/>
    </row>
    <row r="37" spans="1:44" s="119" customFormat="1" ht="12.95">
      <c r="A37" s="1123"/>
      <c r="B37" s="1774">
        <f>'SPOT CASH_60 DAYS'!B36</f>
        <v>0</v>
      </c>
      <c r="C37" s="1775"/>
      <c r="D37" s="1774">
        <f>'SPOT CASH_60 DAYS'!D36:D36</f>
        <v>0</v>
      </c>
      <c r="E37" s="1778"/>
      <c r="F37" s="1778"/>
      <c r="G37" s="1775"/>
      <c r="H37" s="1780">
        <f>'SPOT CASH_60 DAYS'!G36</f>
        <v>0</v>
      </c>
      <c r="I37" s="1781"/>
      <c r="J37" s="1123"/>
      <c r="K37" s="1527">
        <f t="shared" si="1"/>
        <v>0</v>
      </c>
      <c r="L37" s="1527"/>
      <c r="M37" s="1288">
        <f t="shared" si="2"/>
        <v>0</v>
      </c>
      <c r="N37" s="1551">
        <f>IF(E28&gt;19,F28,0)</f>
        <v>0</v>
      </c>
      <c r="O37" s="1551"/>
      <c r="P37" s="1810"/>
      <c r="Q37" s="1811"/>
      <c r="R37" s="1812"/>
      <c r="S37" s="552"/>
      <c r="T37" s="528" t="s">
        <v>897</v>
      </c>
      <c r="U37" s="528"/>
      <c r="V37" s="539" t="e">
        <f t="shared" si="3"/>
        <v>#VALUE!</v>
      </c>
      <c r="W37" s="552"/>
      <c r="X37" s="552"/>
      <c r="Y37" s="552"/>
      <c r="Z37" s="552"/>
      <c r="AA37" s="552"/>
      <c r="AB37" s="552"/>
      <c r="AC37" s="552"/>
      <c r="AD37" s="552"/>
      <c r="AE37" s="552"/>
      <c r="AF37" s="552"/>
      <c r="AG37" s="552"/>
      <c r="AH37" s="552"/>
      <c r="AI37" s="552"/>
      <c r="AJ37" s="552"/>
      <c r="AK37" s="552"/>
      <c r="AL37" s="552"/>
      <c r="AM37" s="552"/>
      <c r="AN37" s="552"/>
      <c r="AO37" s="552"/>
      <c r="AP37" s="552"/>
      <c r="AQ37" s="552"/>
      <c r="AR37" s="552"/>
    </row>
    <row r="38" spans="1:44" s="119" customFormat="1" ht="15" customHeight="1">
      <c r="A38" s="1123"/>
      <c r="B38" s="1776"/>
      <c r="C38" s="1777"/>
      <c r="D38" s="1776"/>
      <c r="E38" s="1779"/>
      <c r="F38" s="1779"/>
      <c r="G38" s="1777"/>
      <c r="H38" s="1782"/>
      <c r="I38" s="1783"/>
      <c r="J38" s="1123"/>
      <c r="K38" s="1527">
        <f t="shared" si="1"/>
        <v>0</v>
      </c>
      <c r="L38" s="1527"/>
      <c r="M38" s="1288">
        <f t="shared" si="2"/>
        <v>0</v>
      </c>
      <c r="N38" s="1551">
        <f>IF(E28&gt;20,F28,0)</f>
        <v>0</v>
      </c>
      <c r="O38" s="1551"/>
      <c r="P38" s="1810"/>
      <c r="Q38" s="1811"/>
      <c r="R38" s="1812"/>
      <c r="S38" s="552"/>
      <c r="T38" s="528" t="s">
        <v>898</v>
      </c>
      <c r="U38" s="528"/>
      <c r="V38" s="539" t="e">
        <f t="shared" si="3"/>
        <v>#VALUE!</v>
      </c>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row>
    <row r="39" spans="1:44" s="119" customFormat="1" ht="12.95">
      <c r="A39" s="1123"/>
      <c r="B39" s="1774">
        <f>'SPOT CASH_60 DAYS'!B38</f>
        <v>0</v>
      </c>
      <c r="C39" s="1775"/>
      <c r="D39" s="1774">
        <f>'SPOT CASH_60 DAYS'!D38:D38</f>
        <v>0</v>
      </c>
      <c r="E39" s="1778"/>
      <c r="F39" s="1778"/>
      <c r="G39" s="1775"/>
      <c r="H39" s="1780">
        <f>'SPOT CASH_60 DAYS'!G38</f>
        <v>0</v>
      </c>
      <c r="I39" s="1781"/>
      <c r="J39" s="1123"/>
      <c r="K39" s="1527">
        <f t="shared" si="1"/>
        <v>0</v>
      </c>
      <c r="L39" s="1527"/>
      <c r="M39" s="1288">
        <f t="shared" si="2"/>
        <v>0</v>
      </c>
      <c r="N39" s="1551">
        <f>IF(E28&gt;21,F28,0)</f>
        <v>0</v>
      </c>
      <c r="O39" s="1551"/>
      <c r="P39" s="1810"/>
      <c r="Q39" s="1811"/>
      <c r="R39" s="1812"/>
      <c r="S39" s="552"/>
      <c r="T39" s="528" t="s">
        <v>899</v>
      </c>
      <c r="U39" s="528"/>
      <c r="V39" s="539" t="e">
        <f t="shared" si="3"/>
        <v>#VALUE!</v>
      </c>
      <c r="W39" s="552"/>
      <c r="X39" s="552"/>
      <c r="Y39" s="552"/>
      <c r="Z39" s="552"/>
      <c r="AA39" s="552"/>
      <c r="AB39" s="552"/>
      <c r="AC39" s="552"/>
      <c r="AD39" s="552"/>
      <c r="AE39" s="552"/>
      <c r="AF39" s="552"/>
      <c r="AG39" s="552"/>
      <c r="AH39" s="552"/>
      <c r="AI39" s="552"/>
      <c r="AJ39" s="552"/>
      <c r="AK39" s="552"/>
      <c r="AL39" s="552"/>
      <c r="AM39" s="552"/>
      <c r="AN39" s="552"/>
      <c r="AO39" s="552"/>
      <c r="AP39" s="552"/>
      <c r="AQ39" s="552"/>
      <c r="AR39" s="552"/>
    </row>
    <row r="40" spans="1:44" s="119" customFormat="1" ht="15" customHeight="1">
      <c r="A40" s="1123"/>
      <c r="B40" s="1776"/>
      <c r="C40" s="1777"/>
      <c r="D40" s="1776"/>
      <c r="E40" s="1779"/>
      <c r="F40" s="1779"/>
      <c r="G40" s="1777"/>
      <c r="H40" s="1782"/>
      <c r="I40" s="1783"/>
      <c r="J40" s="1123"/>
      <c r="K40" s="1527">
        <f t="shared" ref="K40:K45" si="4">IF(N40&gt;1,T41,0)</f>
        <v>0</v>
      </c>
      <c r="L40" s="1527"/>
      <c r="M40" s="1288">
        <f t="shared" si="2"/>
        <v>0</v>
      </c>
      <c r="N40" s="1551">
        <f>IF($E$28&gt;22,$F$28,0)</f>
        <v>0</v>
      </c>
      <c r="O40" s="1551"/>
      <c r="P40" s="1810"/>
      <c r="Q40" s="1811"/>
      <c r="R40" s="1812"/>
      <c r="S40" s="552"/>
      <c r="T40" s="528" t="s">
        <v>901</v>
      </c>
      <c r="U40" s="528"/>
      <c r="V40" s="539" t="e">
        <f t="shared" si="3"/>
        <v>#VALUE!</v>
      </c>
      <c r="W40" s="552"/>
      <c r="X40" s="552"/>
      <c r="Y40" s="552"/>
      <c r="Z40" s="552"/>
      <c r="AA40" s="552"/>
      <c r="AB40" s="552"/>
      <c r="AC40" s="552"/>
      <c r="AD40" s="552"/>
      <c r="AE40" s="552"/>
      <c r="AF40" s="552"/>
      <c r="AG40" s="552"/>
      <c r="AH40" s="552"/>
      <c r="AI40" s="552"/>
      <c r="AJ40" s="552"/>
      <c r="AK40" s="552"/>
      <c r="AL40" s="552"/>
      <c r="AM40" s="552"/>
      <c r="AN40" s="552"/>
      <c r="AO40" s="552"/>
      <c r="AP40" s="552"/>
      <c r="AQ40" s="552"/>
      <c r="AR40" s="552"/>
    </row>
    <row r="41" spans="1:44" s="119" customFormat="1" ht="14.25" customHeight="1">
      <c r="A41" s="1123"/>
      <c r="B41" s="1774">
        <f>'SPOT CASH_60 DAYS'!B40</f>
        <v>0</v>
      </c>
      <c r="C41" s="1775"/>
      <c r="D41" s="1774">
        <f>'SPOT CASH_60 DAYS'!D40:D40</f>
        <v>0</v>
      </c>
      <c r="E41" s="1778"/>
      <c r="F41" s="1778"/>
      <c r="G41" s="1775"/>
      <c r="H41" s="1780">
        <f>'SPOT CASH_60 DAYS'!G40</f>
        <v>0</v>
      </c>
      <c r="I41" s="1781"/>
      <c r="J41" s="1123"/>
      <c r="K41" s="1527">
        <f t="shared" si="4"/>
        <v>0</v>
      </c>
      <c r="L41" s="1527"/>
      <c r="M41" s="1288">
        <f t="shared" si="2"/>
        <v>0</v>
      </c>
      <c r="N41" s="1551">
        <f>IF(E28&gt;23,F28,0)</f>
        <v>0</v>
      </c>
      <c r="O41" s="1551"/>
      <c r="P41" s="1810"/>
      <c r="Q41" s="1811"/>
      <c r="R41" s="1812"/>
      <c r="S41" s="552"/>
      <c r="T41" s="528" t="s">
        <v>903</v>
      </c>
      <c r="U41" s="528"/>
      <c r="V41" s="539" t="e">
        <f t="shared" si="3"/>
        <v>#VALUE!</v>
      </c>
      <c r="W41" s="552"/>
      <c r="X41" s="552"/>
      <c r="Y41" s="552"/>
      <c r="Z41" s="552"/>
      <c r="AA41" s="552"/>
      <c r="AB41" s="552"/>
      <c r="AC41" s="552"/>
      <c r="AD41" s="552"/>
      <c r="AE41" s="552"/>
      <c r="AF41" s="552"/>
      <c r="AG41" s="552"/>
      <c r="AH41" s="552"/>
      <c r="AI41" s="552"/>
      <c r="AJ41" s="552"/>
      <c r="AK41" s="552"/>
      <c r="AL41" s="552"/>
      <c r="AM41" s="552"/>
      <c r="AN41" s="552"/>
      <c r="AO41" s="552"/>
      <c r="AP41" s="552"/>
      <c r="AQ41" s="552"/>
      <c r="AR41" s="552"/>
    </row>
    <row r="42" spans="1:44" s="119" customFormat="1" ht="15" customHeight="1">
      <c r="A42" s="1123"/>
      <c r="B42" s="1776"/>
      <c r="C42" s="1777"/>
      <c r="D42" s="1776"/>
      <c r="E42" s="1779"/>
      <c r="F42" s="1779"/>
      <c r="G42" s="1777"/>
      <c r="H42" s="1782"/>
      <c r="I42" s="1783"/>
      <c r="J42" s="1123"/>
      <c r="K42" s="1527">
        <f t="shared" si="4"/>
        <v>0</v>
      </c>
      <c r="L42" s="1527"/>
      <c r="M42" s="1288">
        <f t="shared" si="2"/>
        <v>0</v>
      </c>
      <c r="N42" s="1849">
        <f>IF(E28&gt;24,F28,0)</f>
        <v>0</v>
      </c>
      <c r="O42" s="1849"/>
      <c r="P42" s="1810"/>
      <c r="Q42" s="1811"/>
      <c r="R42" s="1812"/>
      <c r="S42" s="552"/>
      <c r="T42" s="528" t="s">
        <v>905</v>
      </c>
      <c r="U42" s="528"/>
      <c r="V42" s="539" t="e">
        <f t="shared" si="3"/>
        <v>#VALUE!</v>
      </c>
      <c r="W42" s="552"/>
      <c r="X42" s="552"/>
      <c r="Y42" s="552"/>
      <c r="Z42" s="552"/>
      <c r="AA42" s="552"/>
      <c r="AB42" s="552"/>
      <c r="AC42" s="552"/>
      <c r="AD42" s="552"/>
      <c r="AE42" s="552"/>
      <c r="AF42" s="552"/>
      <c r="AG42" s="552"/>
      <c r="AH42" s="552"/>
      <c r="AI42" s="552"/>
      <c r="AJ42" s="552"/>
      <c r="AK42" s="552"/>
      <c r="AL42" s="552"/>
      <c r="AM42" s="552"/>
      <c r="AN42" s="552"/>
      <c r="AO42" s="552"/>
      <c r="AP42" s="552"/>
      <c r="AQ42" s="552"/>
      <c r="AR42" s="552"/>
    </row>
    <row r="43" spans="1:44" s="119" customFormat="1" ht="14.25" customHeight="1">
      <c r="A43" s="1123"/>
      <c r="B43" s="1774">
        <f>'SPOT CASH_60 DAYS'!B42</f>
        <v>0</v>
      </c>
      <c r="C43" s="1775"/>
      <c r="D43" s="1774">
        <f>'SPOT CASH_60 DAYS'!D42:D42</f>
        <v>0</v>
      </c>
      <c r="E43" s="1778"/>
      <c r="F43" s="1778"/>
      <c r="G43" s="1775"/>
      <c r="H43" s="1780">
        <f>'SPOT CASH_60 DAYS'!G42</f>
        <v>0</v>
      </c>
      <c r="I43" s="1781"/>
      <c r="J43" s="1123"/>
      <c r="K43" s="1527">
        <f t="shared" si="4"/>
        <v>0</v>
      </c>
      <c r="L43" s="1527"/>
      <c r="M43" s="1288">
        <f t="shared" si="2"/>
        <v>0</v>
      </c>
      <c r="N43" s="1551">
        <f>IF(E28&gt;25,F28,0)</f>
        <v>0</v>
      </c>
      <c r="O43" s="1551"/>
      <c r="P43" s="1810"/>
      <c r="Q43" s="1811"/>
      <c r="R43" s="1812"/>
      <c r="S43" s="552"/>
      <c r="T43" s="528" t="s">
        <v>907</v>
      </c>
      <c r="U43" s="528"/>
      <c r="V43" s="539" t="e">
        <f t="shared" si="3"/>
        <v>#VALUE!</v>
      </c>
      <c r="W43" s="552"/>
      <c r="X43" s="552"/>
      <c r="Y43" s="552"/>
      <c r="Z43" s="552"/>
      <c r="AA43" s="552"/>
      <c r="AB43" s="552"/>
      <c r="AC43" s="552"/>
      <c r="AD43" s="552"/>
      <c r="AE43" s="552"/>
      <c r="AF43" s="552"/>
      <c r="AG43" s="552"/>
      <c r="AH43" s="552"/>
      <c r="AI43" s="552"/>
      <c r="AJ43" s="552"/>
      <c r="AK43" s="552"/>
      <c r="AL43" s="552"/>
      <c r="AM43" s="552"/>
      <c r="AN43" s="552"/>
      <c r="AO43" s="552"/>
      <c r="AP43" s="552"/>
      <c r="AQ43" s="552"/>
      <c r="AR43" s="552"/>
    </row>
    <row r="44" spans="1:44" s="119" customFormat="1" ht="15" customHeight="1">
      <c r="A44" s="1123"/>
      <c r="B44" s="1776"/>
      <c r="C44" s="1777"/>
      <c r="D44" s="1776"/>
      <c r="E44" s="1779"/>
      <c r="F44" s="1779"/>
      <c r="G44" s="1777"/>
      <c r="H44" s="1782"/>
      <c r="I44" s="1783"/>
      <c r="J44" s="1123"/>
      <c r="K44" s="1527">
        <f t="shared" si="4"/>
        <v>0</v>
      </c>
      <c r="L44" s="1527"/>
      <c r="M44" s="1288">
        <f t="shared" si="2"/>
        <v>0</v>
      </c>
      <c r="N44" s="1551">
        <f>IF(E28&gt;26,F28,0)</f>
        <v>0</v>
      </c>
      <c r="O44" s="1551"/>
      <c r="P44" s="1810"/>
      <c r="Q44" s="1811"/>
      <c r="R44" s="1812"/>
      <c r="S44" s="552"/>
      <c r="T44" s="528" t="s">
        <v>908</v>
      </c>
      <c r="U44" s="528"/>
      <c r="V44" s="539" t="e">
        <f t="shared" si="3"/>
        <v>#VALUE!</v>
      </c>
      <c r="W44" s="552"/>
      <c r="X44" s="552"/>
      <c r="Y44" s="552"/>
      <c r="Z44" s="552"/>
      <c r="AA44" s="552"/>
      <c r="AB44" s="552"/>
      <c r="AC44" s="552"/>
      <c r="AD44" s="552"/>
      <c r="AE44" s="552"/>
      <c r="AF44" s="552"/>
      <c r="AG44" s="552"/>
      <c r="AH44" s="552"/>
      <c r="AI44" s="552"/>
      <c r="AJ44" s="552"/>
      <c r="AK44" s="552"/>
      <c r="AL44" s="552"/>
      <c r="AM44" s="552"/>
      <c r="AN44" s="552"/>
      <c r="AO44" s="552"/>
      <c r="AP44" s="552"/>
      <c r="AQ44" s="552"/>
      <c r="AR44" s="552"/>
    </row>
    <row r="45" spans="1:44" s="119" customFormat="1" ht="14.25" customHeight="1">
      <c r="A45" s="1123"/>
      <c r="B45" s="1774">
        <f>'SPOT CASH_60 DAYS'!B44</f>
        <v>0</v>
      </c>
      <c r="C45" s="1775"/>
      <c r="D45" s="1774">
        <f>'SPOT CASH_60 DAYS'!D44:D44</f>
        <v>0</v>
      </c>
      <c r="E45" s="1778"/>
      <c r="F45" s="1778"/>
      <c r="G45" s="1775"/>
      <c r="H45" s="1780">
        <f>'SPOT CASH_60 DAYS'!G44</f>
        <v>0</v>
      </c>
      <c r="I45" s="1781"/>
      <c r="J45" s="1123"/>
      <c r="K45" s="1527">
        <f t="shared" si="4"/>
        <v>0</v>
      </c>
      <c r="L45" s="1527"/>
      <c r="M45" s="1288">
        <f t="shared" si="2"/>
        <v>0</v>
      </c>
      <c r="N45" s="1551">
        <f>IF(E28&gt;27,F28,0)</f>
        <v>0</v>
      </c>
      <c r="O45" s="1551"/>
      <c r="P45" s="1810"/>
      <c r="Q45" s="1811"/>
      <c r="R45" s="1812"/>
      <c r="S45" s="552"/>
      <c r="T45" s="528" t="s">
        <v>910</v>
      </c>
      <c r="U45" s="528"/>
      <c r="V45" s="539" t="e">
        <f t="shared" si="3"/>
        <v>#VALUE!</v>
      </c>
      <c r="W45" s="552"/>
      <c r="X45" s="552"/>
      <c r="Y45" s="552"/>
      <c r="Z45" s="552"/>
      <c r="AA45" s="552"/>
      <c r="AB45" s="552"/>
      <c r="AC45" s="552"/>
      <c r="AD45" s="552"/>
      <c r="AE45" s="552"/>
      <c r="AF45" s="552"/>
      <c r="AG45" s="552"/>
      <c r="AH45" s="552"/>
      <c r="AI45" s="552"/>
      <c r="AJ45" s="552"/>
      <c r="AK45" s="552"/>
      <c r="AL45" s="552"/>
      <c r="AM45" s="552"/>
      <c r="AN45" s="552"/>
      <c r="AO45" s="552"/>
      <c r="AP45" s="552"/>
      <c r="AQ45" s="552"/>
      <c r="AR45" s="552"/>
    </row>
    <row r="46" spans="1:44" s="119" customFormat="1" ht="15" customHeight="1">
      <c r="A46" s="1123"/>
      <c r="B46" s="1776"/>
      <c r="C46" s="1777"/>
      <c r="D46" s="1776"/>
      <c r="E46" s="1779"/>
      <c r="F46" s="1779"/>
      <c r="G46" s="1777"/>
      <c r="H46" s="1782"/>
      <c r="I46" s="1783"/>
      <c r="J46" s="1123"/>
      <c r="K46" s="1527">
        <f t="shared" ref="K46:K53" si="5">IF(N46&gt;1,T47,0)</f>
        <v>0</v>
      </c>
      <c r="L46" s="1527"/>
      <c r="M46" s="1288">
        <f t="shared" si="2"/>
        <v>0</v>
      </c>
      <c r="N46" s="1551">
        <f>IF(E28&gt;28,F28,0)</f>
        <v>0</v>
      </c>
      <c r="O46" s="1551"/>
      <c r="P46" s="1810"/>
      <c r="Q46" s="1811"/>
      <c r="R46" s="1812"/>
      <c r="S46" s="552"/>
      <c r="T46" s="528" t="s">
        <v>911</v>
      </c>
      <c r="U46" s="528"/>
      <c r="V46" s="539" t="e">
        <f t="shared" si="3"/>
        <v>#VALUE!</v>
      </c>
      <c r="W46" s="552"/>
      <c r="X46" s="552"/>
      <c r="Y46" s="552"/>
      <c r="Z46" s="552"/>
      <c r="AA46" s="552"/>
      <c r="AB46" s="552"/>
      <c r="AC46" s="552"/>
      <c r="AD46" s="552"/>
      <c r="AE46" s="552"/>
      <c r="AF46" s="552"/>
      <c r="AG46" s="552"/>
      <c r="AH46" s="552"/>
      <c r="AI46" s="552"/>
      <c r="AJ46" s="552"/>
      <c r="AK46" s="552"/>
      <c r="AL46" s="552"/>
      <c r="AM46" s="552"/>
      <c r="AN46" s="552"/>
      <c r="AO46" s="552"/>
      <c r="AP46" s="552"/>
      <c r="AQ46" s="552"/>
      <c r="AR46" s="552"/>
    </row>
    <row r="47" spans="1:44" s="119" customFormat="1" ht="14.25" customHeight="1">
      <c r="A47" s="1123"/>
      <c r="B47" s="552"/>
      <c r="C47" s="552"/>
      <c r="D47" s="553"/>
      <c r="E47" s="552"/>
      <c r="F47" s="552"/>
      <c r="G47" s="552"/>
      <c r="H47" s="552"/>
      <c r="I47" s="552"/>
      <c r="J47" s="1123"/>
      <c r="K47" s="1527">
        <f t="shared" si="5"/>
        <v>0</v>
      </c>
      <c r="L47" s="1527"/>
      <c r="M47" s="1288">
        <f t="shared" si="2"/>
        <v>0</v>
      </c>
      <c r="N47" s="1551">
        <f>IF(E28&gt;29,F28,0)</f>
        <v>0</v>
      </c>
      <c r="O47" s="1551"/>
      <c r="P47" s="1810"/>
      <c r="Q47" s="1811"/>
      <c r="R47" s="1812"/>
      <c r="S47" s="552"/>
      <c r="T47" s="528" t="s">
        <v>913</v>
      </c>
      <c r="U47" s="528"/>
      <c r="V47" s="539" t="e">
        <f t="shared" si="3"/>
        <v>#VALUE!</v>
      </c>
      <c r="W47" s="552"/>
      <c r="X47" s="552"/>
      <c r="Y47" s="552"/>
      <c r="Z47" s="552"/>
      <c r="AA47" s="552"/>
      <c r="AB47" s="552"/>
      <c r="AC47" s="552"/>
      <c r="AD47" s="552"/>
      <c r="AE47" s="552"/>
      <c r="AF47" s="552"/>
      <c r="AG47" s="552"/>
      <c r="AH47" s="552"/>
      <c r="AI47" s="552"/>
      <c r="AJ47" s="552"/>
      <c r="AK47" s="552"/>
      <c r="AL47" s="552"/>
      <c r="AM47" s="552"/>
      <c r="AN47" s="552"/>
      <c r="AO47" s="552"/>
      <c r="AP47" s="552"/>
      <c r="AQ47" s="552"/>
      <c r="AR47" s="552"/>
    </row>
    <row r="48" spans="1:44" s="119" customFormat="1" ht="12.95">
      <c r="A48" s="1123"/>
      <c r="B48" s="552"/>
      <c r="C48" s="552"/>
      <c r="D48" s="552"/>
      <c r="E48" s="552"/>
      <c r="F48" s="505"/>
      <c r="G48" s="1318"/>
      <c r="H48" s="505"/>
      <c r="I48" s="505"/>
      <c r="J48" s="1123"/>
      <c r="K48" s="1527">
        <f t="shared" si="5"/>
        <v>0</v>
      </c>
      <c r="L48" s="1527"/>
      <c r="M48" s="1288">
        <f t="shared" si="2"/>
        <v>0</v>
      </c>
      <c r="N48" s="1551">
        <f>IF(E28&gt;30,F28,0)</f>
        <v>0</v>
      </c>
      <c r="O48" s="1551"/>
      <c r="P48" s="1810"/>
      <c r="Q48" s="1811"/>
      <c r="R48" s="1812"/>
      <c r="S48" s="552"/>
      <c r="T48" s="528" t="s">
        <v>914</v>
      </c>
      <c r="U48" s="528"/>
      <c r="V48" s="539" t="e">
        <f t="shared" si="3"/>
        <v>#VALUE!</v>
      </c>
      <c r="W48" s="552"/>
      <c r="X48" s="552"/>
      <c r="Y48" s="552"/>
      <c r="Z48" s="552"/>
      <c r="AA48" s="552"/>
      <c r="AB48" s="552"/>
      <c r="AC48" s="552"/>
      <c r="AD48" s="552"/>
      <c r="AE48" s="552"/>
      <c r="AF48" s="552"/>
      <c r="AG48" s="552"/>
      <c r="AH48" s="552"/>
      <c r="AI48" s="552"/>
      <c r="AJ48" s="552"/>
      <c r="AK48" s="552"/>
      <c r="AL48" s="552"/>
      <c r="AM48" s="552"/>
      <c r="AN48" s="552"/>
      <c r="AO48" s="552"/>
      <c r="AP48" s="552"/>
      <c r="AQ48" s="552"/>
      <c r="AR48" s="552"/>
    </row>
    <row r="49" spans="1:22" s="552" customFormat="1" ht="16.5" customHeight="1">
      <c r="A49" s="1318"/>
      <c r="B49" s="1319"/>
      <c r="C49" s="1319"/>
      <c r="D49" s="1320"/>
      <c r="E49" s="1319"/>
      <c r="F49" s="1319"/>
      <c r="G49" s="1319"/>
      <c r="H49" s="1319"/>
      <c r="I49" s="1319"/>
      <c r="J49" s="1318"/>
      <c r="K49" s="1838">
        <f t="shared" si="5"/>
        <v>0</v>
      </c>
      <c r="L49" s="1838"/>
      <c r="M49" s="1321">
        <f t="shared" si="2"/>
        <v>0</v>
      </c>
      <c r="N49" s="1839">
        <f>IF(E28&gt;31,F28,0)</f>
        <v>0</v>
      </c>
      <c r="O49" s="1839"/>
      <c r="P49" s="1835"/>
      <c r="Q49" s="1836"/>
      <c r="R49" s="1837"/>
      <c r="T49" s="503" t="s">
        <v>915</v>
      </c>
      <c r="U49" s="503"/>
      <c r="V49" s="539" t="e">
        <f t="shared" si="3"/>
        <v>#VALUE!</v>
      </c>
    </row>
    <row r="50" spans="1:22" s="552" customFormat="1" ht="12.95">
      <c r="B50" s="1319"/>
      <c r="C50" s="1319"/>
      <c r="D50" s="1320"/>
      <c r="E50" s="1319"/>
      <c r="F50" s="1319"/>
      <c r="G50" s="1319"/>
      <c r="H50" s="1319"/>
      <c r="I50" s="1319"/>
      <c r="J50" s="1318"/>
      <c r="K50" s="1838">
        <f t="shared" si="5"/>
        <v>0</v>
      </c>
      <c r="L50" s="1838"/>
      <c r="M50" s="1321">
        <f t="shared" si="2"/>
        <v>0</v>
      </c>
      <c r="N50" s="1839">
        <f>IF(E28&gt;32,F28,0)</f>
        <v>0</v>
      </c>
      <c r="O50" s="1839"/>
      <c r="P50" s="1835"/>
      <c r="Q50" s="1836"/>
      <c r="R50" s="1837"/>
      <c r="T50" s="503" t="s">
        <v>916</v>
      </c>
      <c r="U50" s="503"/>
      <c r="V50" s="539" t="e">
        <f t="shared" si="3"/>
        <v>#VALUE!</v>
      </c>
    </row>
    <row r="51" spans="1:22" s="552" customFormat="1" ht="12.95">
      <c r="A51" s="554">
        <f>F17*12%</f>
        <v>383420.50362766115</v>
      </c>
      <c r="C51" s="555" t="s">
        <v>940</v>
      </c>
      <c r="D51" s="1842"/>
      <c r="E51" s="1842"/>
      <c r="F51" s="1842"/>
      <c r="G51" s="1842"/>
      <c r="H51" s="1319"/>
      <c r="I51" s="1319"/>
      <c r="J51" s="1318"/>
      <c r="K51" s="1838">
        <f t="shared" si="5"/>
        <v>0</v>
      </c>
      <c r="L51" s="1838"/>
      <c r="M51" s="1321">
        <f t="shared" si="2"/>
        <v>0</v>
      </c>
      <c r="N51" s="1839">
        <f>IF(E28&gt;33,F28,0)</f>
        <v>0</v>
      </c>
      <c r="O51" s="1839"/>
      <c r="P51" s="1835"/>
      <c r="Q51" s="1836"/>
      <c r="R51" s="1837"/>
      <c r="T51" s="528" t="s">
        <v>917</v>
      </c>
      <c r="U51" s="528"/>
      <c r="V51" s="539" t="e">
        <f t="shared" si="3"/>
        <v>#VALUE!</v>
      </c>
    </row>
    <row r="52" spans="1:22" s="552" customFormat="1" ht="12.95">
      <c r="B52" s="1319"/>
      <c r="C52" s="1319"/>
      <c r="D52" s="1320"/>
      <c r="E52" s="1319"/>
      <c r="F52" s="1319"/>
      <c r="G52" s="1319"/>
      <c r="H52" s="1319"/>
      <c r="I52" s="1319"/>
      <c r="J52" s="1318"/>
      <c r="K52" s="1838">
        <f t="shared" si="5"/>
        <v>0</v>
      </c>
      <c r="L52" s="1838"/>
      <c r="M52" s="1321">
        <f t="shared" si="2"/>
        <v>0</v>
      </c>
      <c r="N52" s="1839">
        <f>IF(E28&gt;34,F28,0)</f>
        <v>0</v>
      </c>
      <c r="O52" s="1839"/>
      <c r="P52" s="1835"/>
      <c r="Q52" s="1836"/>
      <c r="R52" s="1837"/>
      <c r="T52" s="528" t="s">
        <v>918</v>
      </c>
      <c r="U52" s="528"/>
      <c r="V52" s="539" t="e">
        <f t="shared" si="3"/>
        <v>#VALUE!</v>
      </c>
    </row>
    <row r="53" spans="1:22" s="552" customFormat="1" ht="12.95">
      <c r="D53" s="553"/>
      <c r="J53" s="504"/>
      <c r="K53" s="1838">
        <f t="shared" si="5"/>
        <v>0</v>
      </c>
      <c r="L53" s="1838"/>
      <c r="M53" s="1321">
        <f t="shared" si="2"/>
        <v>0</v>
      </c>
      <c r="N53" s="1839">
        <f>IF(E28&gt;35,F28,0)</f>
        <v>0</v>
      </c>
      <c r="O53" s="1839"/>
      <c r="P53" s="1835"/>
      <c r="Q53" s="1836"/>
      <c r="R53" s="1837"/>
      <c r="T53" s="528" t="s">
        <v>919</v>
      </c>
      <c r="U53" s="528"/>
      <c r="V53" s="539" t="e">
        <f t="shared" si="3"/>
        <v>#VALUE!</v>
      </c>
    </row>
    <row r="54" spans="1:22" s="552" customFormat="1" ht="12.95">
      <c r="D54" s="553"/>
      <c r="I54" s="1318"/>
      <c r="J54" s="1322"/>
      <c r="K54" s="1838">
        <f t="shared" ref="K54:K56" si="6">IF(N54&gt;1,T55,0)</f>
        <v>0</v>
      </c>
      <c r="L54" s="1838"/>
      <c r="M54" s="1321">
        <f t="shared" ref="M54:M56" si="7">IF(N54&gt;1,V55,0)</f>
        <v>0</v>
      </c>
      <c r="N54" s="1839">
        <f>IF(E28&gt;36,F28,0)</f>
        <v>0</v>
      </c>
      <c r="O54" s="1839"/>
      <c r="P54" s="1835"/>
      <c r="Q54" s="1836"/>
      <c r="R54" s="1837"/>
      <c r="T54" s="528" t="s">
        <v>921</v>
      </c>
      <c r="U54" s="528"/>
      <c r="V54" s="539" t="e">
        <f t="shared" si="3"/>
        <v>#VALUE!</v>
      </c>
    </row>
    <row r="55" spans="1:22" s="552" customFormat="1" ht="12.95">
      <c r="D55" s="553"/>
      <c r="J55" s="1318"/>
      <c r="K55" s="1838">
        <f t="shared" si="6"/>
        <v>0</v>
      </c>
      <c r="L55" s="1838"/>
      <c r="M55" s="1321">
        <f t="shared" si="7"/>
        <v>0</v>
      </c>
      <c r="N55" s="1839">
        <f>IF(E28&gt;37,F28,0)</f>
        <v>0</v>
      </c>
      <c r="O55" s="1839"/>
      <c r="P55" s="1835"/>
      <c r="Q55" s="1836"/>
      <c r="R55" s="1837"/>
      <c r="T55" s="528" t="s">
        <v>922</v>
      </c>
      <c r="U55" s="528"/>
      <c r="V55" s="539" t="e">
        <f t="shared" si="3"/>
        <v>#VALUE!</v>
      </c>
    </row>
    <row r="56" spans="1:22" s="552" customFormat="1" ht="12.95">
      <c r="D56" s="553"/>
      <c r="J56" s="1319"/>
      <c r="K56" s="1838">
        <f t="shared" si="6"/>
        <v>0</v>
      </c>
      <c r="L56" s="1838"/>
      <c r="M56" s="1321">
        <f t="shared" si="7"/>
        <v>0</v>
      </c>
      <c r="N56" s="1839">
        <f>IF(E28&gt;38,F28,0)</f>
        <v>0</v>
      </c>
      <c r="O56" s="1839"/>
      <c r="P56" s="1835"/>
      <c r="Q56" s="1836"/>
      <c r="R56" s="1837"/>
      <c r="T56" s="528" t="s">
        <v>923</v>
      </c>
      <c r="U56" s="528"/>
      <c r="V56" s="539" t="e">
        <f t="shared" si="3"/>
        <v>#VALUE!</v>
      </c>
    </row>
    <row r="57" spans="1:22" s="552" customFormat="1" ht="12.95">
      <c r="D57" s="553"/>
      <c r="J57" s="1319"/>
      <c r="M57" s="556"/>
      <c r="Q57" s="1318"/>
      <c r="R57" s="1318"/>
      <c r="T57" s="528" t="s">
        <v>925</v>
      </c>
      <c r="U57" s="528"/>
      <c r="V57" s="539" t="e">
        <f t="shared" si="3"/>
        <v>#VALUE!</v>
      </c>
    </row>
    <row r="58" spans="1:22" s="552" customFormat="1" ht="12.95">
      <c r="B58" s="505" t="s">
        <v>936</v>
      </c>
      <c r="C58" s="505"/>
      <c r="D58" s="506"/>
      <c r="E58" s="505"/>
      <c r="G58" s="505" t="s">
        <v>937</v>
      </c>
      <c r="H58" s="505"/>
      <c r="I58" s="1318"/>
      <c r="J58" s="1319"/>
      <c r="K58" s="505" t="s">
        <v>936</v>
      </c>
      <c r="L58" s="505"/>
      <c r="M58" s="506"/>
      <c r="N58" s="505"/>
      <c r="P58" s="505" t="s">
        <v>937</v>
      </c>
      <c r="Q58" s="1318"/>
      <c r="R58" s="1318"/>
      <c r="T58" s="528" t="s">
        <v>926</v>
      </c>
      <c r="U58" s="528"/>
      <c r="V58" s="539" t="e">
        <f t="shared" si="3"/>
        <v>#VALUE!</v>
      </c>
    </row>
    <row r="59" spans="1:22" s="552" customFormat="1" ht="12.95">
      <c r="B59" s="1318"/>
      <c r="C59" s="1318"/>
      <c r="D59" s="1323"/>
      <c r="E59" s="1318"/>
      <c r="F59" s="1318"/>
      <c r="H59" s="1318"/>
      <c r="I59" s="1318"/>
      <c r="K59" s="1318"/>
      <c r="L59" s="1318"/>
      <c r="M59" s="1323"/>
      <c r="N59" s="1318"/>
      <c r="O59" s="1318"/>
      <c r="P59" s="1318"/>
      <c r="Q59" s="1318"/>
      <c r="R59" s="1318"/>
      <c r="T59" s="528" t="s">
        <v>929</v>
      </c>
      <c r="U59" s="528"/>
      <c r="V59" s="539" t="e">
        <f t="shared" si="3"/>
        <v>#VALUE!</v>
      </c>
    </row>
    <row r="60" spans="1:22" s="552" customFormat="1" ht="15" customHeight="1">
      <c r="B60" s="1841" t="str">
        <f>FORM!I28</f>
        <v xml:space="preserve">agent </v>
      </c>
      <c r="C60" s="1841"/>
      <c r="D60" s="1841"/>
      <c r="E60" s="505"/>
      <c r="F60" s="505"/>
      <c r="G60" s="1841" t="str">
        <f>FORM!I26</f>
        <v>cnc</v>
      </c>
      <c r="H60" s="1841"/>
      <c r="I60" s="1841"/>
      <c r="K60" s="1850" t="str">
        <f>FORM!I28</f>
        <v xml:space="preserve">agent </v>
      </c>
      <c r="L60" s="1850"/>
      <c r="M60" s="1850"/>
      <c r="N60" s="505"/>
      <c r="O60" s="505"/>
      <c r="P60" s="1850" t="str">
        <f>FORM!I26</f>
        <v>cnc</v>
      </c>
      <c r="Q60" s="1850"/>
      <c r="R60" s="1850"/>
      <c r="T60" s="528" t="s">
        <v>930</v>
      </c>
      <c r="U60" s="528"/>
      <c r="V60" s="539" t="e">
        <f t="shared" si="3"/>
        <v>#VALUE!</v>
      </c>
    </row>
    <row r="61" spans="1:22" s="552" customFormat="1" ht="15" customHeight="1">
      <c r="B61" s="1843" t="s">
        <v>939</v>
      </c>
      <c r="C61" s="1843"/>
      <c r="D61" s="1843"/>
      <c r="E61" s="1318"/>
      <c r="F61" s="1318"/>
      <c r="G61" s="1840" t="s">
        <v>939</v>
      </c>
      <c r="H61" s="1840"/>
      <c r="I61" s="1840"/>
      <c r="K61" s="1324" t="s">
        <v>938</v>
      </c>
      <c r="L61" s="1844"/>
      <c r="M61" s="1845"/>
      <c r="N61" s="1318"/>
      <c r="O61" s="1318"/>
      <c r="P61" s="1325" t="s">
        <v>939</v>
      </c>
      <c r="Q61" s="1844"/>
      <c r="R61" s="1845"/>
      <c r="T61" s="528" t="s">
        <v>931</v>
      </c>
      <c r="U61" s="528"/>
      <c r="V61" s="539" t="e">
        <f t="shared" si="3"/>
        <v>#VALUE!</v>
      </c>
    </row>
    <row r="62" spans="1:22" s="552" customFormat="1" ht="15" customHeight="1">
      <c r="D62" s="553"/>
      <c r="K62" s="502"/>
      <c r="L62" s="507"/>
      <c r="M62" s="507"/>
      <c r="N62" s="502"/>
      <c r="O62" s="502"/>
      <c r="P62" s="502"/>
      <c r="Q62" s="502"/>
      <c r="R62" s="502"/>
      <c r="T62" s="528" t="s">
        <v>932</v>
      </c>
      <c r="U62" s="528"/>
      <c r="V62" s="539" t="e">
        <f t="shared" si="3"/>
        <v>#VALUE!</v>
      </c>
    </row>
    <row r="63" spans="1:22" s="552" customFormat="1" ht="15" customHeight="1">
      <c r="D63" s="553"/>
      <c r="K63" s="561"/>
      <c r="L63" s="563"/>
      <c r="M63" s="563"/>
      <c r="N63" s="561"/>
      <c r="O63" s="561"/>
      <c r="P63" s="561"/>
      <c r="Q63" s="561"/>
      <c r="R63" s="561"/>
      <c r="T63" s="528" t="s">
        <v>933</v>
      </c>
      <c r="U63" s="528"/>
      <c r="V63" s="539" t="e">
        <f t="shared" si="3"/>
        <v>#VALUE!</v>
      </c>
    </row>
    <row r="64" spans="1:22" s="552" customFormat="1" ht="15" customHeight="1">
      <c r="B64"/>
      <c r="C64"/>
      <c r="D64" s="103"/>
      <c r="E64"/>
      <c r="F64"/>
      <c r="G64"/>
      <c r="H64"/>
      <c r="I64"/>
      <c r="K64" s="561"/>
      <c r="L64" s="563"/>
      <c r="M64" s="563"/>
      <c r="N64" s="561"/>
      <c r="O64" s="561"/>
      <c r="P64" s="561"/>
      <c r="Q64" s="561"/>
      <c r="R64" s="561"/>
      <c r="T64" s="528" t="s">
        <v>934</v>
      </c>
      <c r="U64" s="528"/>
      <c r="V64" s="539" t="e">
        <f t="shared" si="3"/>
        <v>#VALUE!</v>
      </c>
    </row>
    <row r="65" spans="4:13" s="561" customFormat="1">
      <c r="D65" s="562"/>
      <c r="M65" s="563"/>
    </row>
    <row r="66" spans="4:13" s="561" customFormat="1">
      <c r="D66" s="562"/>
      <c r="M66" s="563"/>
    </row>
    <row r="67" spans="4:13" s="561" customFormat="1">
      <c r="D67" s="562"/>
      <c r="M67" s="563"/>
    </row>
    <row r="68" spans="4:13" s="561" customFormat="1">
      <c r="D68" s="562"/>
      <c r="M68" s="563"/>
    </row>
    <row r="69" spans="4:13" s="561" customFormat="1">
      <c r="D69" s="562"/>
      <c r="M69" s="563"/>
    </row>
    <row r="70" spans="4:13" s="561" customFormat="1">
      <c r="D70" s="562"/>
      <c r="M70" s="563"/>
    </row>
    <row r="71" spans="4:13" s="561" customFormat="1">
      <c r="D71" s="562"/>
      <c r="M71" s="563"/>
    </row>
    <row r="72" spans="4:13" s="561" customFormat="1">
      <c r="D72" s="562"/>
      <c r="M72" s="563"/>
    </row>
    <row r="73" spans="4:13" s="561" customFormat="1">
      <c r="D73" s="562"/>
      <c r="M73" s="563"/>
    </row>
    <row r="74" spans="4:13" s="561" customFormat="1">
      <c r="D74" s="562"/>
      <c r="M74" s="563"/>
    </row>
    <row r="75" spans="4:13" s="561" customFormat="1">
      <c r="D75" s="562"/>
      <c r="M75" s="563"/>
    </row>
    <row r="76" spans="4:13" s="561" customFormat="1">
      <c r="D76" s="562"/>
      <c r="M76" s="563"/>
    </row>
    <row r="77" spans="4:13" s="561" customFormat="1">
      <c r="D77" s="562"/>
      <c r="M77" s="563"/>
    </row>
    <row r="78" spans="4:13" s="561" customFormat="1">
      <c r="D78" s="562"/>
      <c r="M78" s="563"/>
    </row>
    <row r="79" spans="4:13" s="561" customFormat="1">
      <c r="D79" s="562"/>
      <c r="M79" s="563"/>
    </row>
    <row r="80" spans="4:13" s="561" customFormat="1">
      <c r="D80" s="562"/>
      <c r="M80" s="563"/>
    </row>
    <row r="81" spans="4:44" s="561" customFormat="1">
      <c r="D81" s="562"/>
      <c r="M81" s="563"/>
    </row>
    <row r="82" spans="4:44" s="561" customFormat="1">
      <c r="D82" s="562"/>
      <c r="M82" s="563"/>
    </row>
    <row r="83" spans="4:44" s="561" customFormat="1">
      <c r="D83" s="562"/>
      <c r="M83" s="563"/>
    </row>
    <row r="84" spans="4:44" s="561" customFormat="1">
      <c r="D84" s="562"/>
      <c r="M84" s="563"/>
    </row>
    <row r="85" spans="4:44" s="561" customFormat="1">
      <c r="D85" s="562"/>
      <c r="K85" s="559"/>
      <c r="L85" s="559"/>
      <c r="M85" s="278"/>
      <c r="N85" s="559"/>
      <c r="O85" s="559"/>
      <c r="P85" s="559"/>
      <c r="Q85" s="559"/>
      <c r="R85" s="559"/>
    </row>
    <row r="86" spans="4:44" s="561" customFormat="1">
      <c r="D86" s="562"/>
      <c r="K86" s="559"/>
      <c r="L86" s="559"/>
      <c r="M86" s="278"/>
      <c r="N86" s="559"/>
      <c r="O86" s="559"/>
      <c r="P86" s="559"/>
      <c r="Q86" s="559"/>
      <c r="R86" s="559"/>
    </row>
    <row r="87" spans="4:44" s="559" customFormat="1">
      <c r="D87" s="560"/>
      <c r="M87" s="278"/>
      <c r="S87" s="561"/>
      <c r="T87" s="561"/>
      <c r="U87" s="561"/>
      <c r="V87" s="561"/>
      <c r="W87" s="561"/>
      <c r="X87" s="561"/>
      <c r="Y87" s="561"/>
      <c r="Z87" s="561"/>
      <c r="AA87" s="561"/>
      <c r="AB87" s="561"/>
      <c r="AC87" s="561"/>
      <c r="AD87" s="561"/>
      <c r="AE87" s="561"/>
      <c r="AF87" s="561"/>
      <c r="AG87" s="561"/>
      <c r="AH87" s="561"/>
      <c r="AI87" s="561"/>
      <c r="AJ87" s="561"/>
      <c r="AK87" s="561"/>
      <c r="AL87" s="561"/>
      <c r="AM87" s="561"/>
      <c r="AN87" s="561"/>
      <c r="AO87" s="561"/>
      <c r="AP87" s="561"/>
      <c r="AQ87" s="561"/>
      <c r="AR87" s="561"/>
    </row>
    <row r="88" spans="4:44" s="559" customFormat="1">
      <c r="D88" s="560"/>
      <c r="M88" s="278"/>
      <c r="S88" s="561"/>
      <c r="T88" s="561"/>
      <c r="U88" s="561"/>
      <c r="V88" s="561"/>
      <c r="W88" s="561"/>
      <c r="X88" s="561"/>
      <c r="Y88" s="561"/>
      <c r="Z88" s="561"/>
      <c r="AA88" s="561"/>
      <c r="AB88" s="561"/>
      <c r="AC88" s="561"/>
      <c r="AD88" s="561"/>
      <c r="AE88" s="561"/>
      <c r="AF88" s="561"/>
      <c r="AG88" s="561"/>
      <c r="AH88" s="561"/>
      <c r="AI88" s="561"/>
      <c r="AJ88" s="561"/>
      <c r="AK88" s="561"/>
      <c r="AL88" s="561"/>
      <c r="AM88" s="561"/>
      <c r="AN88" s="561"/>
      <c r="AO88" s="561"/>
      <c r="AP88" s="561"/>
      <c r="AQ88" s="561"/>
      <c r="AR88" s="561"/>
    </row>
    <row r="89" spans="4:44" s="559" customFormat="1">
      <c r="D89" s="560"/>
      <c r="M89" s="278"/>
      <c r="S89" s="561"/>
      <c r="T89" s="561"/>
      <c r="U89" s="561"/>
      <c r="V89" s="561"/>
      <c r="W89" s="561"/>
      <c r="X89" s="561"/>
      <c r="Y89" s="561"/>
      <c r="Z89" s="561"/>
      <c r="AA89" s="561"/>
      <c r="AB89" s="561"/>
      <c r="AC89" s="561"/>
      <c r="AD89" s="561"/>
      <c r="AE89" s="561"/>
      <c r="AF89" s="561"/>
      <c r="AG89" s="561"/>
      <c r="AH89" s="561"/>
      <c r="AI89" s="561"/>
      <c r="AJ89" s="561"/>
      <c r="AK89" s="561"/>
      <c r="AL89" s="561"/>
      <c r="AM89" s="561"/>
      <c r="AN89" s="561"/>
      <c r="AO89" s="561"/>
      <c r="AP89" s="561"/>
      <c r="AQ89" s="561"/>
      <c r="AR89" s="561"/>
    </row>
    <row r="90" spans="4:44" s="559" customFormat="1">
      <c r="D90" s="560"/>
      <c r="M90" s="278"/>
      <c r="S90" s="561"/>
      <c r="T90" s="561"/>
      <c r="U90" s="561"/>
      <c r="V90" s="561"/>
      <c r="W90" s="561"/>
      <c r="X90" s="561"/>
      <c r="Y90" s="561"/>
      <c r="Z90" s="561"/>
      <c r="AA90" s="561"/>
      <c r="AB90" s="561"/>
      <c r="AC90" s="561"/>
      <c r="AD90" s="561"/>
      <c r="AE90" s="561"/>
      <c r="AF90" s="561"/>
      <c r="AG90" s="561"/>
      <c r="AH90" s="561"/>
      <c r="AI90" s="561"/>
      <c r="AJ90" s="561"/>
      <c r="AK90" s="561"/>
      <c r="AL90" s="561"/>
      <c r="AM90" s="561"/>
      <c r="AN90" s="561"/>
      <c r="AO90" s="561"/>
      <c r="AP90" s="561"/>
      <c r="AQ90" s="561"/>
      <c r="AR90" s="561"/>
    </row>
    <row r="91" spans="4:44" s="559" customFormat="1">
      <c r="D91" s="560"/>
      <c r="M91" s="278"/>
      <c r="S91" s="561"/>
      <c r="T91" s="561"/>
      <c r="U91" s="561"/>
      <c r="V91" s="561"/>
      <c r="W91" s="561"/>
      <c r="X91" s="561"/>
      <c r="Y91" s="561"/>
      <c r="Z91" s="561"/>
      <c r="AA91" s="561"/>
      <c r="AB91" s="561"/>
      <c r="AC91" s="561"/>
      <c r="AD91" s="561"/>
      <c r="AE91" s="561"/>
      <c r="AF91" s="561"/>
      <c r="AG91" s="561"/>
      <c r="AH91" s="561"/>
      <c r="AI91" s="561"/>
      <c r="AJ91" s="561"/>
      <c r="AK91" s="561"/>
      <c r="AL91" s="561"/>
      <c r="AM91" s="561"/>
      <c r="AN91" s="561"/>
      <c r="AO91" s="561"/>
      <c r="AP91" s="561"/>
      <c r="AQ91" s="561"/>
      <c r="AR91" s="561"/>
    </row>
    <row r="92" spans="4:44" s="559" customFormat="1">
      <c r="D92" s="560"/>
      <c r="M92" s="278"/>
      <c r="S92" s="561"/>
      <c r="T92" s="561"/>
      <c r="U92" s="561"/>
      <c r="V92" s="561"/>
      <c r="W92" s="561"/>
      <c r="X92" s="561"/>
      <c r="Y92" s="561"/>
      <c r="Z92" s="561"/>
      <c r="AA92" s="561"/>
      <c r="AB92" s="561"/>
      <c r="AC92" s="561"/>
      <c r="AD92" s="561"/>
      <c r="AE92" s="561"/>
      <c r="AF92" s="561"/>
      <c r="AG92" s="561"/>
      <c r="AH92" s="561"/>
      <c r="AI92" s="561"/>
      <c r="AJ92" s="561"/>
      <c r="AK92" s="561"/>
      <c r="AL92" s="561"/>
      <c r="AM92" s="561"/>
      <c r="AN92" s="561"/>
      <c r="AO92" s="561"/>
      <c r="AP92" s="561"/>
      <c r="AQ92" s="561"/>
      <c r="AR92" s="561"/>
    </row>
    <row r="93" spans="4:44" s="559" customFormat="1">
      <c r="D93" s="560"/>
      <c r="M93" s="278"/>
      <c r="S93" s="561"/>
      <c r="T93" s="561"/>
      <c r="U93" s="561"/>
      <c r="V93" s="561"/>
      <c r="W93" s="561"/>
      <c r="X93" s="561"/>
      <c r="Y93" s="561"/>
      <c r="Z93" s="561"/>
      <c r="AA93" s="561"/>
      <c r="AB93" s="561"/>
      <c r="AC93" s="561"/>
      <c r="AD93" s="561"/>
      <c r="AE93" s="561"/>
      <c r="AF93" s="561"/>
      <c r="AG93" s="561"/>
      <c r="AH93" s="561"/>
      <c r="AI93" s="561"/>
      <c r="AJ93" s="561"/>
      <c r="AK93" s="561"/>
      <c r="AL93" s="561"/>
      <c r="AM93" s="561"/>
      <c r="AN93" s="561"/>
      <c r="AO93" s="561"/>
      <c r="AP93" s="561"/>
      <c r="AQ93" s="561"/>
      <c r="AR93" s="561"/>
    </row>
    <row r="94" spans="4:44" s="559" customFormat="1">
      <c r="D94" s="560"/>
      <c r="M94" s="278"/>
      <c r="S94" s="561"/>
      <c r="T94" s="561"/>
      <c r="U94" s="561"/>
      <c r="V94" s="561"/>
      <c r="W94" s="561"/>
      <c r="X94" s="561"/>
      <c r="Y94" s="561"/>
      <c r="Z94" s="561"/>
      <c r="AA94" s="561"/>
      <c r="AB94" s="561"/>
      <c r="AC94" s="561"/>
      <c r="AD94" s="561"/>
      <c r="AE94" s="561"/>
      <c r="AF94" s="561"/>
      <c r="AG94" s="561"/>
      <c r="AH94" s="561"/>
      <c r="AI94" s="561"/>
      <c r="AJ94" s="561"/>
      <c r="AK94" s="561"/>
      <c r="AL94" s="561"/>
      <c r="AM94" s="561"/>
      <c r="AN94" s="561"/>
      <c r="AO94" s="561"/>
      <c r="AP94" s="561"/>
      <c r="AQ94" s="561"/>
      <c r="AR94" s="561"/>
    </row>
    <row r="95" spans="4:44" s="559" customFormat="1">
      <c r="D95" s="560"/>
      <c r="M95" s="278"/>
      <c r="S95" s="561"/>
      <c r="T95" s="561"/>
      <c r="U95" s="561"/>
      <c r="V95" s="561"/>
      <c r="W95" s="561"/>
      <c r="X95" s="561"/>
      <c r="Y95" s="561"/>
      <c r="Z95" s="561"/>
      <c r="AA95" s="561"/>
      <c r="AB95" s="561"/>
      <c r="AC95" s="561"/>
      <c r="AD95" s="561"/>
      <c r="AE95" s="561"/>
      <c r="AF95" s="561"/>
      <c r="AG95" s="561"/>
      <c r="AH95" s="561"/>
      <c r="AI95" s="561"/>
      <c r="AJ95" s="561"/>
      <c r="AK95" s="561"/>
      <c r="AL95" s="561"/>
      <c r="AM95" s="561"/>
      <c r="AN95" s="561"/>
      <c r="AO95" s="561"/>
      <c r="AP95" s="561"/>
      <c r="AQ95" s="561"/>
      <c r="AR95" s="561"/>
    </row>
    <row r="96" spans="4:44" s="559" customFormat="1">
      <c r="D96" s="560"/>
      <c r="M96" s="278"/>
      <c r="S96" s="561"/>
      <c r="T96" s="561"/>
      <c r="U96" s="561"/>
      <c r="V96" s="561"/>
      <c r="W96" s="561"/>
      <c r="X96" s="561"/>
      <c r="Y96" s="561"/>
      <c r="Z96" s="561"/>
      <c r="AA96" s="561"/>
      <c r="AB96" s="561"/>
      <c r="AC96" s="561"/>
      <c r="AD96" s="561"/>
      <c r="AE96" s="561"/>
      <c r="AF96" s="561"/>
      <c r="AG96" s="561"/>
      <c r="AH96" s="561"/>
      <c r="AI96" s="561"/>
      <c r="AJ96" s="561"/>
      <c r="AK96" s="561"/>
      <c r="AL96" s="561"/>
      <c r="AM96" s="561"/>
      <c r="AN96" s="561"/>
      <c r="AO96" s="561"/>
      <c r="AP96" s="561"/>
      <c r="AQ96" s="561"/>
      <c r="AR96" s="561"/>
    </row>
    <row r="97" spans="4:44" s="559" customFormat="1">
      <c r="D97" s="560"/>
      <c r="M97" s="278"/>
      <c r="S97" s="561"/>
      <c r="T97" s="561"/>
      <c r="U97" s="561"/>
      <c r="V97" s="561"/>
      <c r="W97" s="561"/>
      <c r="X97" s="561"/>
      <c r="Y97" s="561"/>
      <c r="Z97" s="561"/>
      <c r="AA97" s="561"/>
      <c r="AB97" s="561"/>
      <c r="AC97" s="561"/>
      <c r="AD97" s="561"/>
      <c r="AE97" s="561"/>
      <c r="AF97" s="561"/>
      <c r="AG97" s="561"/>
      <c r="AH97" s="561"/>
      <c r="AI97" s="561"/>
      <c r="AJ97" s="561"/>
      <c r="AK97" s="561"/>
      <c r="AL97" s="561"/>
      <c r="AM97" s="561"/>
      <c r="AN97" s="561"/>
      <c r="AO97" s="561"/>
      <c r="AP97" s="561"/>
      <c r="AQ97" s="561"/>
      <c r="AR97" s="561"/>
    </row>
    <row r="98" spans="4:44" s="559" customFormat="1">
      <c r="D98" s="560"/>
      <c r="M98" s="278"/>
      <c r="S98" s="561"/>
      <c r="T98" s="561"/>
      <c r="U98" s="561"/>
      <c r="V98" s="561"/>
      <c r="W98" s="561"/>
      <c r="X98" s="561"/>
      <c r="Y98" s="561"/>
      <c r="Z98" s="561"/>
      <c r="AA98" s="561"/>
      <c r="AB98" s="561"/>
      <c r="AC98" s="561"/>
      <c r="AD98" s="561"/>
      <c r="AE98" s="561"/>
      <c r="AF98" s="561"/>
      <c r="AG98" s="561"/>
      <c r="AH98" s="561"/>
      <c r="AI98" s="561"/>
      <c r="AJ98" s="561"/>
      <c r="AK98" s="561"/>
      <c r="AL98" s="561"/>
      <c r="AM98" s="561"/>
      <c r="AN98" s="561"/>
      <c r="AO98" s="561"/>
      <c r="AP98" s="561"/>
      <c r="AQ98" s="561"/>
      <c r="AR98" s="561"/>
    </row>
    <row r="99" spans="4:44" s="559" customFormat="1">
      <c r="D99" s="560"/>
      <c r="M99" s="278"/>
      <c r="S99" s="561"/>
      <c r="T99" s="561"/>
      <c r="U99" s="561"/>
      <c r="V99" s="561"/>
      <c r="W99" s="561"/>
      <c r="X99" s="561"/>
      <c r="Y99" s="561"/>
      <c r="Z99" s="561"/>
      <c r="AA99" s="561"/>
      <c r="AB99" s="561"/>
      <c r="AC99" s="561"/>
      <c r="AD99" s="561"/>
      <c r="AE99" s="561"/>
      <c r="AF99" s="561"/>
      <c r="AG99" s="561"/>
      <c r="AH99" s="561"/>
      <c r="AI99" s="561"/>
      <c r="AJ99" s="561"/>
      <c r="AK99" s="561"/>
      <c r="AL99" s="561"/>
      <c r="AM99" s="561"/>
      <c r="AN99" s="561"/>
      <c r="AO99" s="561"/>
      <c r="AP99" s="561"/>
      <c r="AQ99" s="561"/>
      <c r="AR99" s="561"/>
    </row>
    <row r="100" spans="4:44" s="559" customFormat="1">
      <c r="D100" s="560"/>
      <c r="M100" s="278"/>
      <c r="S100" s="561"/>
      <c r="T100" s="561"/>
      <c r="U100" s="561"/>
      <c r="V100" s="561"/>
      <c r="W100" s="561"/>
      <c r="X100" s="561"/>
      <c r="Y100" s="561"/>
      <c r="Z100" s="561"/>
      <c r="AA100" s="561"/>
      <c r="AB100" s="561"/>
      <c r="AC100" s="561"/>
      <c r="AD100" s="561"/>
      <c r="AE100" s="561"/>
      <c r="AF100" s="561"/>
      <c r="AG100" s="561"/>
      <c r="AH100" s="561"/>
      <c r="AI100" s="561"/>
      <c r="AJ100" s="561"/>
      <c r="AK100" s="561"/>
      <c r="AL100" s="561"/>
      <c r="AM100" s="561"/>
      <c r="AN100" s="561"/>
      <c r="AO100" s="561"/>
      <c r="AP100" s="561"/>
      <c r="AQ100" s="561"/>
      <c r="AR100" s="561"/>
    </row>
    <row r="101" spans="4:44" s="559" customFormat="1">
      <c r="D101" s="560"/>
      <c r="M101" s="278"/>
      <c r="S101" s="561"/>
      <c r="T101" s="561"/>
      <c r="U101" s="561"/>
      <c r="V101" s="561"/>
      <c r="W101" s="561"/>
      <c r="X101" s="561"/>
      <c r="Y101" s="561"/>
      <c r="Z101" s="561"/>
      <c r="AA101" s="561"/>
      <c r="AB101" s="561"/>
      <c r="AC101" s="561"/>
      <c r="AD101" s="561"/>
      <c r="AE101" s="561"/>
      <c r="AF101" s="561"/>
      <c r="AG101" s="561"/>
      <c r="AH101" s="561"/>
      <c r="AI101" s="561"/>
      <c r="AJ101" s="561"/>
      <c r="AK101" s="561"/>
      <c r="AL101" s="561"/>
      <c r="AM101" s="561"/>
      <c r="AN101" s="561"/>
      <c r="AO101" s="561"/>
      <c r="AP101" s="561"/>
      <c r="AQ101" s="561"/>
      <c r="AR101" s="561"/>
    </row>
    <row r="102" spans="4:44" s="559" customFormat="1">
      <c r="D102" s="560"/>
      <c r="M102" s="278"/>
      <c r="S102" s="561"/>
      <c r="T102" s="561"/>
      <c r="U102" s="561"/>
      <c r="V102" s="561"/>
      <c r="W102" s="561"/>
      <c r="X102" s="561"/>
      <c r="Y102" s="561"/>
      <c r="Z102" s="561"/>
      <c r="AA102" s="561"/>
      <c r="AB102" s="561"/>
      <c r="AC102" s="561"/>
      <c r="AD102" s="561"/>
      <c r="AE102" s="561"/>
      <c r="AF102" s="561"/>
      <c r="AG102" s="561"/>
      <c r="AH102" s="561"/>
      <c r="AI102" s="561"/>
      <c r="AJ102" s="561"/>
      <c r="AK102" s="561"/>
      <c r="AL102" s="561"/>
      <c r="AM102" s="561"/>
      <c r="AN102" s="561"/>
      <c r="AO102" s="561"/>
      <c r="AP102" s="561"/>
      <c r="AQ102" s="561"/>
      <c r="AR102" s="561"/>
    </row>
    <row r="103" spans="4:44" s="559" customFormat="1">
      <c r="D103" s="560"/>
      <c r="M103" s="278"/>
      <c r="S103" s="561"/>
      <c r="T103" s="561"/>
      <c r="U103" s="561"/>
      <c r="V103" s="561"/>
      <c r="W103" s="561"/>
      <c r="X103" s="561"/>
      <c r="Y103" s="561"/>
      <c r="Z103" s="561"/>
      <c r="AA103" s="561"/>
      <c r="AB103" s="561"/>
      <c r="AC103" s="561"/>
      <c r="AD103" s="561"/>
      <c r="AE103" s="561"/>
      <c r="AF103" s="561"/>
      <c r="AG103" s="561"/>
      <c r="AH103" s="561"/>
      <c r="AI103" s="561"/>
      <c r="AJ103" s="561"/>
      <c r="AK103" s="561"/>
      <c r="AL103" s="561"/>
      <c r="AM103" s="561"/>
      <c r="AN103" s="561"/>
      <c r="AO103" s="561"/>
      <c r="AP103" s="561"/>
      <c r="AQ103" s="561"/>
      <c r="AR103" s="561"/>
    </row>
    <row r="104" spans="4:44" s="559" customFormat="1">
      <c r="D104" s="560"/>
      <c r="M104" s="278"/>
      <c r="S104" s="561"/>
      <c r="T104" s="561"/>
      <c r="U104" s="561"/>
      <c r="V104" s="561"/>
      <c r="W104" s="561"/>
      <c r="X104" s="561"/>
      <c r="Y104" s="561"/>
      <c r="Z104" s="561"/>
      <c r="AA104" s="561"/>
      <c r="AB104" s="561"/>
      <c r="AC104" s="561"/>
      <c r="AD104" s="561"/>
      <c r="AE104" s="561"/>
      <c r="AF104" s="561"/>
      <c r="AG104" s="561"/>
      <c r="AH104" s="561"/>
      <c r="AI104" s="561"/>
      <c r="AJ104" s="561"/>
      <c r="AK104" s="561"/>
      <c r="AL104" s="561"/>
      <c r="AM104" s="561"/>
      <c r="AN104" s="561"/>
      <c r="AO104" s="561"/>
      <c r="AP104" s="561"/>
      <c r="AQ104" s="561"/>
      <c r="AR104" s="561"/>
    </row>
    <row r="105" spans="4:44" s="559" customFormat="1">
      <c r="D105" s="560"/>
      <c r="M105" s="278"/>
      <c r="S105" s="561"/>
      <c r="T105" s="561"/>
      <c r="U105" s="561"/>
      <c r="V105" s="561"/>
      <c r="W105" s="561"/>
      <c r="X105" s="561"/>
      <c r="Y105" s="561"/>
      <c r="Z105" s="561"/>
      <c r="AA105" s="561"/>
      <c r="AB105" s="561"/>
      <c r="AC105" s="561"/>
      <c r="AD105" s="561"/>
      <c r="AE105" s="561"/>
      <c r="AF105" s="561"/>
      <c r="AG105" s="561"/>
      <c r="AH105" s="561"/>
      <c r="AI105" s="561"/>
      <c r="AJ105" s="561"/>
      <c r="AK105" s="561"/>
      <c r="AL105" s="561"/>
      <c r="AM105" s="561"/>
      <c r="AN105" s="561"/>
      <c r="AO105" s="561"/>
      <c r="AP105" s="561"/>
      <c r="AQ105" s="561"/>
      <c r="AR105" s="561"/>
    </row>
    <row r="106" spans="4:44" s="559" customFormat="1">
      <c r="D106" s="560"/>
      <c r="M106" s="278"/>
      <c r="S106" s="561"/>
      <c r="T106" s="561"/>
      <c r="U106" s="561"/>
      <c r="V106" s="561"/>
      <c r="W106" s="561"/>
      <c r="X106" s="561"/>
      <c r="Y106" s="561"/>
      <c r="Z106" s="561"/>
      <c r="AA106" s="561"/>
      <c r="AB106" s="561"/>
      <c r="AC106" s="561"/>
      <c r="AD106" s="561"/>
      <c r="AE106" s="561"/>
      <c r="AF106" s="561"/>
      <c r="AG106" s="561"/>
      <c r="AH106" s="561"/>
      <c r="AI106" s="561"/>
      <c r="AJ106" s="561"/>
      <c r="AK106" s="561"/>
      <c r="AL106" s="561"/>
      <c r="AM106" s="561"/>
      <c r="AN106" s="561"/>
      <c r="AO106" s="561"/>
      <c r="AP106" s="561"/>
      <c r="AQ106" s="561"/>
      <c r="AR106" s="561"/>
    </row>
    <row r="107" spans="4:44" s="559" customFormat="1">
      <c r="D107" s="560"/>
      <c r="M107" s="278"/>
      <c r="S107" s="561"/>
      <c r="T107" s="561"/>
      <c r="U107" s="561"/>
      <c r="V107" s="561"/>
      <c r="W107" s="561"/>
      <c r="X107" s="561"/>
      <c r="Y107" s="561"/>
      <c r="Z107" s="561"/>
      <c r="AA107" s="561"/>
      <c r="AB107" s="561"/>
      <c r="AC107" s="561"/>
      <c r="AD107" s="561"/>
      <c r="AE107" s="561"/>
      <c r="AF107" s="561"/>
      <c r="AG107" s="561"/>
      <c r="AH107" s="561"/>
      <c r="AI107" s="561"/>
      <c r="AJ107" s="561"/>
      <c r="AK107" s="561"/>
      <c r="AL107" s="561"/>
      <c r="AM107" s="561"/>
      <c r="AN107" s="561"/>
      <c r="AO107" s="561"/>
      <c r="AP107" s="561"/>
      <c r="AQ107" s="561"/>
      <c r="AR107" s="561"/>
    </row>
    <row r="108" spans="4:44" s="559" customFormat="1">
      <c r="D108" s="560"/>
      <c r="M108" s="278"/>
      <c r="S108" s="561"/>
      <c r="T108" s="561"/>
      <c r="U108" s="561"/>
      <c r="V108" s="561"/>
      <c r="W108" s="561"/>
      <c r="X108" s="561"/>
      <c r="Y108" s="561"/>
      <c r="Z108" s="561"/>
      <c r="AA108" s="561"/>
      <c r="AB108" s="561"/>
      <c r="AC108" s="561"/>
      <c r="AD108" s="561"/>
      <c r="AE108" s="561"/>
      <c r="AF108" s="561"/>
      <c r="AG108" s="561"/>
      <c r="AH108" s="561"/>
      <c r="AI108" s="561"/>
      <c r="AJ108" s="561"/>
      <c r="AK108" s="561"/>
      <c r="AL108" s="561"/>
      <c r="AM108" s="561"/>
      <c r="AN108" s="561"/>
      <c r="AO108" s="561"/>
      <c r="AP108" s="561"/>
      <c r="AQ108" s="561"/>
      <c r="AR108" s="561"/>
    </row>
    <row r="109" spans="4:44" s="559" customFormat="1">
      <c r="D109" s="560"/>
      <c r="M109" s="278"/>
      <c r="S109" s="561"/>
      <c r="T109" s="561"/>
      <c r="U109" s="561"/>
      <c r="V109" s="561"/>
      <c r="W109" s="561"/>
      <c r="X109" s="561"/>
      <c r="Y109" s="561"/>
      <c r="Z109" s="561"/>
      <c r="AA109" s="561"/>
      <c r="AB109" s="561"/>
      <c r="AC109" s="561"/>
      <c r="AD109" s="561"/>
      <c r="AE109" s="561"/>
      <c r="AF109" s="561"/>
      <c r="AG109" s="561"/>
      <c r="AH109" s="561"/>
      <c r="AI109" s="561"/>
      <c r="AJ109" s="561"/>
      <c r="AK109" s="561"/>
      <c r="AL109" s="561"/>
      <c r="AM109" s="561"/>
      <c r="AN109" s="561"/>
      <c r="AO109" s="561"/>
      <c r="AP109" s="561"/>
      <c r="AQ109" s="561"/>
      <c r="AR109" s="561"/>
    </row>
    <row r="110" spans="4:44" s="559" customFormat="1">
      <c r="D110" s="560"/>
      <c r="M110" s="278"/>
      <c r="S110" s="561"/>
      <c r="T110" s="561"/>
      <c r="U110" s="561"/>
      <c r="V110" s="561"/>
      <c r="W110" s="561"/>
      <c r="X110" s="561"/>
      <c r="Y110" s="561"/>
      <c r="Z110" s="561"/>
      <c r="AA110" s="561"/>
      <c r="AB110" s="561"/>
      <c r="AC110" s="561"/>
      <c r="AD110" s="561"/>
      <c r="AE110" s="561"/>
      <c r="AF110" s="561"/>
      <c r="AG110" s="561"/>
      <c r="AH110" s="561"/>
      <c r="AI110" s="561"/>
      <c r="AJ110" s="561"/>
      <c r="AK110" s="561"/>
      <c r="AL110" s="561"/>
      <c r="AM110" s="561"/>
      <c r="AN110" s="561"/>
      <c r="AO110" s="561"/>
      <c r="AP110" s="561"/>
      <c r="AQ110" s="561"/>
      <c r="AR110" s="561"/>
    </row>
    <row r="111" spans="4:44" s="559" customFormat="1">
      <c r="D111" s="560"/>
      <c r="M111" s="278"/>
      <c r="S111" s="561"/>
      <c r="T111" s="561"/>
      <c r="U111" s="561"/>
      <c r="V111" s="561"/>
      <c r="W111" s="561"/>
      <c r="X111" s="561"/>
      <c r="Y111" s="561"/>
      <c r="Z111" s="561"/>
      <c r="AA111" s="561"/>
      <c r="AB111" s="561"/>
      <c r="AC111" s="561"/>
      <c r="AD111" s="561"/>
      <c r="AE111" s="561"/>
      <c r="AF111" s="561"/>
      <c r="AG111" s="561"/>
      <c r="AH111" s="561"/>
      <c r="AI111" s="561"/>
      <c r="AJ111" s="561"/>
      <c r="AK111" s="561"/>
      <c r="AL111" s="561"/>
      <c r="AM111" s="561"/>
      <c r="AN111" s="561"/>
      <c r="AO111" s="561"/>
      <c r="AP111" s="561"/>
      <c r="AQ111" s="561"/>
      <c r="AR111" s="561"/>
    </row>
    <row r="112" spans="4:44" s="559" customFormat="1">
      <c r="D112" s="560"/>
      <c r="M112" s="278"/>
      <c r="S112" s="561"/>
      <c r="T112" s="561"/>
      <c r="U112" s="561"/>
      <c r="V112" s="561"/>
      <c r="W112" s="561"/>
      <c r="X112" s="561"/>
      <c r="Y112" s="561"/>
      <c r="Z112" s="561"/>
      <c r="AA112" s="561"/>
      <c r="AB112" s="561"/>
      <c r="AC112" s="561"/>
      <c r="AD112" s="561"/>
      <c r="AE112" s="561"/>
      <c r="AF112" s="561"/>
      <c r="AG112" s="561"/>
      <c r="AH112" s="561"/>
      <c r="AI112" s="561"/>
      <c r="AJ112" s="561"/>
      <c r="AK112" s="561"/>
      <c r="AL112" s="561"/>
      <c r="AM112" s="561"/>
      <c r="AN112" s="561"/>
      <c r="AO112" s="561"/>
      <c r="AP112" s="561"/>
      <c r="AQ112" s="561"/>
      <c r="AR112" s="561"/>
    </row>
    <row r="113" spans="4:44" s="559" customFormat="1">
      <c r="D113" s="560"/>
      <c r="M113" s="278"/>
      <c r="S113" s="561"/>
      <c r="T113" s="561"/>
      <c r="U113" s="561"/>
      <c r="V113" s="561"/>
      <c r="W113" s="561"/>
      <c r="X113" s="561"/>
      <c r="Y113" s="561"/>
      <c r="Z113" s="561"/>
      <c r="AA113" s="561"/>
      <c r="AB113" s="561"/>
      <c r="AC113" s="561"/>
      <c r="AD113" s="561"/>
      <c r="AE113" s="561"/>
      <c r="AF113" s="561"/>
      <c r="AG113" s="561"/>
      <c r="AH113" s="561"/>
      <c r="AI113" s="561"/>
      <c r="AJ113" s="561"/>
      <c r="AK113" s="561"/>
      <c r="AL113" s="561"/>
      <c r="AM113" s="561"/>
      <c r="AN113" s="561"/>
      <c r="AO113" s="561"/>
      <c r="AP113" s="561"/>
      <c r="AQ113" s="561"/>
      <c r="AR113" s="561"/>
    </row>
    <row r="114" spans="4:44" s="559" customFormat="1">
      <c r="D114" s="560"/>
      <c r="M114" s="278"/>
      <c r="S114" s="561"/>
      <c r="T114" s="561"/>
      <c r="U114" s="561"/>
      <c r="V114" s="561"/>
      <c r="W114" s="561"/>
      <c r="X114" s="561"/>
      <c r="Y114" s="561"/>
      <c r="Z114" s="561"/>
      <c r="AA114" s="561"/>
      <c r="AB114" s="561"/>
      <c r="AC114" s="561"/>
      <c r="AD114" s="561"/>
      <c r="AE114" s="561"/>
      <c r="AF114" s="561"/>
      <c r="AG114" s="561"/>
      <c r="AH114" s="561"/>
      <c r="AI114" s="561"/>
      <c r="AJ114" s="561"/>
      <c r="AK114" s="561"/>
      <c r="AL114" s="561"/>
      <c r="AM114" s="561"/>
      <c r="AN114" s="561"/>
      <c r="AO114" s="561"/>
      <c r="AP114" s="561"/>
      <c r="AQ114" s="561"/>
      <c r="AR114" s="561"/>
    </row>
    <row r="115" spans="4:44" s="559" customFormat="1">
      <c r="D115" s="560"/>
      <c r="M115" s="278"/>
      <c r="S115" s="561"/>
      <c r="T115" s="561"/>
      <c r="U115" s="561"/>
      <c r="V115" s="561"/>
      <c r="W115" s="561"/>
      <c r="X115" s="561"/>
      <c r="Y115" s="561"/>
      <c r="Z115" s="561"/>
      <c r="AA115" s="561"/>
      <c r="AB115" s="561"/>
      <c r="AC115" s="561"/>
      <c r="AD115" s="561"/>
      <c r="AE115" s="561"/>
      <c r="AF115" s="561"/>
      <c r="AG115" s="561"/>
      <c r="AH115" s="561"/>
      <c r="AI115" s="561"/>
      <c r="AJ115" s="561"/>
      <c r="AK115" s="561"/>
      <c r="AL115" s="561"/>
      <c r="AM115" s="561"/>
      <c r="AN115" s="561"/>
      <c r="AO115" s="561"/>
      <c r="AP115" s="561"/>
      <c r="AQ115" s="561"/>
      <c r="AR115" s="561"/>
    </row>
    <row r="116" spans="4:44" s="559" customFormat="1">
      <c r="D116" s="560"/>
      <c r="M116" s="278"/>
      <c r="S116" s="561"/>
      <c r="T116" s="561"/>
      <c r="U116" s="561"/>
      <c r="V116" s="561"/>
      <c r="W116" s="561"/>
      <c r="X116" s="561"/>
      <c r="Y116" s="561"/>
      <c r="Z116" s="561"/>
      <c r="AA116" s="561"/>
      <c r="AB116" s="561"/>
      <c r="AC116" s="561"/>
      <c r="AD116" s="561"/>
      <c r="AE116" s="561"/>
      <c r="AF116" s="561"/>
      <c r="AG116" s="561"/>
      <c r="AH116" s="561"/>
      <c r="AI116" s="561"/>
      <c r="AJ116" s="561"/>
      <c r="AK116" s="561"/>
      <c r="AL116" s="561"/>
      <c r="AM116" s="561"/>
      <c r="AN116" s="561"/>
      <c r="AO116" s="561"/>
      <c r="AP116" s="561"/>
      <c r="AQ116" s="561"/>
      <c r="AR116" s="561"/>
    </row>
    <row r="117" spans="4:44" s="559" customFormat="1">
      <c r="D117" s="560"/>
      <c r="M117" s="278"/>
      <c r="S117" s="561"/>
      <c r="T117" s="561"/>
      <c r="U117" s="561"/>
      <c r="V117" s="561"/>
      <c r="W117" s="561"/>
      <c r="X117" s="561"/>
      <c r="Y117" s="561"/>
      <c r="Z117" s="561"/>
      <c r="AA117" s="561"/>
      <c r="AB117" s="561"/>
      <c r="AC117" s="561"/>
      <c r="AD117" s="561"/>
      <c r="AE117" s="561"/>
      <c r="AF117" s="561"/>
      <c r="AG117" s="561"/>
      <c r="AH117" s="561"/>
      <c r="AI117" s="561"/>
      <c r="AJ117" s="561"/>
      <c r="AK117" s="561"/>
      <c r="AL117" s="561"/>
      <c r="AM117" s="561"/>
      <c r="AN117" s="561"/>
      <c r="AO117" s="561"/>
      <c r="AP117" s="561"/>
      <c r="AQ117" s="561"/>
      <c r="AR117" s="561"/>
    </row>
    <row r="118" spans="4:44" s="559" customFormat="1">
      <c r="D118" s="560"/>
      <c r="M118" s="278"/>
      <c r="S118" s="561"/>
      <c r="T118" s="561"/>
      <c r="U118" s="561"/>
      <c r="V118" s="561"/>
      <c r="W118" s="561"/>
      <c r="X118" s="561"/>
      <c r="Y118" s="561"/>
      <c r="Z118" s="561"/>
      <c r="AA118" s="561"/>
      <c r="AB118" s="561"/>
      <c r="AC118" s="561"/>
      <c r="AD118" s="561"/>
      <c r="AE118" s="561"/>
      <c r="AF118" s="561"/>
      <c r="AG118" s="561"/>
      <c r="AH118" s="561"/>
      <c r="AI118" s="561"/>
      <c r="AJ118" s="561"/>
      <c r="AK118" s="561"/>
      <c r="AL118" s="561"/>
      <c r="AM118" s="561"/>
      <c r="AN118" s="561"/>
      <c r="AO118" s="561"/>
      <c r="AP118" s="561"/>
      <c r="AQ118" s="561"/>
      <c r="AR118" s="561"/>
    </row>
    <row r="119" spans="4:44" s="559" customFormat="1">
      <c r="D119" s="560"/>
      <c r="M119" s="278"/>
      <c r="S119" s="561"/>
      <c r="T119" s="561"/>
      <c r="U119" s="561"/>
      <c r="V119" s="561"/>
      <c r="W119" s="561"/>
      <c r="X119" s="561"/>
      <c r="Y119" s="561"/>
      <c r="Z119" s="561"/>
      <c r="AA119" s="561"/>
      <c r="AB119" s="561"/>
      <c r="AC119" s="561"/>
      <c r="AD119" s="561"/>
      <c r="AE119" s="561"/>
      <c r="AF119" s="561"/>
      <c r="AG119" s="561"/>
      <c r="AH119" s="561"/>
      <c r="AI119" s="561"/>
      <c r="AJ119" s="561"/>
      <c r="AK119" s="561"/>
      <c r="AL119" s="561"/>
      <c r="AM119" s="561"/>
      <c r="AN119" s="561"/>
      <c r="AO119" s="561"/>
      <c r="AP119" s="561"/>
      <c r="AQ119" s="561"/>
      <c r="AR119" s="561"/>
    </row>
    <row r="120" spans="4:44" s="559" customFormat="1">
      <c r="D120" s="560"/>
      <c r="M120" s="278"/>
      <c r="S120" s="561"/>
      <c r="T120" s="561"/>
      <c r="U120" s="561"/>
      <c r="V120" s="561"/>
      <c r="W120" s="561"/>
      <c r="X120" s="561"/>
      <c r="Y120" s="561"/>
      <c r="Z120" s="561"/>
      <c r="AA120" s="561"/>
      <c r="AB120" s="561"/>
      <c r="AC120" s="561"/>
      <c r="AD120" s="561"/>
      <c r="AE120" s="561"/>
      <c r="AF120" s="561"/>
      <c r="AG120" s="561"/>
      <c r="AH120" s="561"/>
      <c r="AI120" s="561"/>
      <c r="AJ120" s="561"/>
      <c r="AK120" s="561"/>
      <c r="AL120" s="561"/>
      <c r="AM120" s="561"/>
      <c r="AN120" s="561"/>
      <c r="AO120" s="561"/>
      <c r="AP120" s="561"/>
      <c r="AQ120" s="561"/>
      <c r="AR120" s="561"/>
    </row>
    <row r="121" spans="4:44" s="559" customFormat="1">
      <c r="D121" s="560"/>
      <c r="M121" s="278"/>
      <c r="S121" s="561"/>
      <c r="T121" s="561"/>
      <c r="U121" s="561"/>
      <c r="V121" s="561"/>
      <c r="W121" s="561"/>
      <c r="X121" s="561"/>
      <c r="Y121" s="561"/>
      <c r="Z121" s="561"/>
      <c r="AA121" s="561"/>
      <c r="AB121" s="561"/>
      <c r="AC121" s="561"/>
      <c r="AD121" s="561"/>
      <c r="AE121" s="561"/>
      <c r="AF121" s="561"/>
      <c r="AG121" s="561"/>
      <c r="AH121" s="561"/>
      <c r="AI121" s="561"/>
      <c r="AJ121" s="561"/>
      <c r="AK121" s="561"/>
      <c r="AL121" s="561"/>
      <c r="AM121" s="561"/>
      <c r="AN121" s="561"/>
      <c r="AO121" s="561"/>
      <c r="AP121" s="561"/>
      <c r="AQ121" s="561"/>
      <c r="AR121" s="561"/>
    </row>
    <row r="122" spans="4:44" s="559" customFormat="1">
      <c r="D122" s="560"/>
      <c r="M122" s="278"/>
      <c r="S122" s="561"/>
      <c r="T122" s="561"/>
      <c r="U122" s="561"/>
      <c r="V122" s="561"/>
      <c r="W122" s="561"/>
      <c r="X122" s="561"/>
      <c r="Y122" s="561"/>
      <c r="Z122" s="561"/>
      <c r="AA122" s="561"/>
      <c r="AB122" s="561"/>
      <c r="AC122" s="561"/>
      <c r="AD122" s="561"/>
      <c r="AE122" s="561"/>
      <c r="AF122" s="561"/>
      <c r="AG122" s="561"/>
      <c r="AH122" s="561"/>
      <c r="AI122" s="561"/>
      <c r="AJ122" s="561"/>
      <c r="AK122" s="561"/>
      <c r="AL122" s="561"/>
      <c r="AM122" s="561"/>
      <c r="AN122" s="561"/>
      <c r="AO122" s="561"/>
      <c r="AP122" s="561"/>
      <c r="AQ122" s="561"/>
      <c r="AR122" s="561"/>
    </row>
    <row r="123" spans="4:44" s="559" customFormat="1">
      <c r="D123" s="560"/>
      <c r="M123" s="278"/>
      <c r="S123" s="561"/>
      <c r="T123" s="561"/>
      <c r="U123" s="561"/>
      <c r="V123" s="561"/>
      <c r="W123" s="561"/>
      <c r="X123" s="561"/>
      <c r="Y123" s="561"/>
      <c r="Z123" s="561"/>
      <c r="AA123" s="561"/>
      <c r="AB123" s="561"/>
      <c r="AC123" s="561"/>
      <c r="AD123" s="561"/>
      <c r="AE123" s="561"/>
      <c r="AF123" s="561"/>
      <c r="AG123" s="561"/>
      <c r="AH123" s="561"/>
      <c r="AI123" s="561"/>
      <c r="AJ123" s="561"/>
      <c r="AK123" s="561"/>
      <c r="AL123" s="561"/>
      <c r="AM123" s="561"/>
      <c r="AN123" s="561"/>
      <c r="AO123" s="561"/>
      <c r="AP123" s="561"/>
      <c r="AQ123" s="561"/>
      <c r="AR123" s="561"/>
    </row>
    <row r="124" spans="4:44" s="559" customFormat="1">
      <c r="D124" s="560"/>
      <c r="M124" s="278"/>
      <c r="S124" s="561"/>
      <c r="T124" s="561"/>
      <c r="U124" s="561"/>
      <c r="V124" s="561"/>
      <c r="W124" s="561"/>
      <c r="X124" s="561"/>
      <c r="Y124" s="561"/>
      <c r="Z124" s="561"/>
      <c r="AA124" s="561"/>
      <c r="AB124" s="561"/>
      <c r="AC124" s="561"/>
      <c r="AD124" s="561"/>
      <c r="AE124" s="561"/>
      <c r="AF124" s="561"/>
      <c r="AG124" s="561"/>
      <c r="AH124" s="561"/>
      <c r="AI124" s="561"/>
      <c r="AJ124" s="561"/>
      <c r="AK124" s="561"/>
      <c r="AL124" s="561"/>
      <c r="AM124" s="561"/>
      <c r="AN124" s="561"/>
      <c r="AO124" s="561"/>
      <c r="AP124" s="561"/>
      <c r="AQ124" s="561"/>
      <c r="AR124" s="561"/>
    </row>
    <row r="125" spans="4:44" s="559" customFormat="1">
      <c r="D125" s="560"/>
      <c r="M125" s="278"/>
      <c r="S125" s="561"/>
      <c r="T125" s="561"/>
      <c r="U125" s="561"/>
      <c r="V125" s="561"/>
      <c r="W125" s="561"/>
      <c r="X125" s="561"/>
      <c r="Y125" s="561"/>
      <c r="Z125" s="561"/>
      <c r="AA125" s="561"/>
      <c r="AB125" s="561"/>
      <c r="AC125" s="561"/>
      <c r="AD125" s="561"/>
      <c r="AE125" s="561"/>
      <c r="AF125" s="561"/>
      <c r="AG125" s="561"/>
      <c r="AH125" s="561"/>
      <c r="AI125" s="561"/>
      <c r="AJ125" s="561"/>
      <c r="AK125" s="561"/>
      <c r="AL125" s="561"/>
      <c r="AM125" s="561"/>
      <c r="AN125" s="561"/>
      <c r="AO125" s="561"/>
      <c r="AP125" s="561"/>
      <c r="AQ125" s="561"/>
      <c r="AR125" s="561"/>
    </row>
    <row r="126" spans="4:44" s="559" customFormat="1">
      <c r="D126" s="560"/>
      <c r="M126" s="278"/>
      <c r="S126" s="561"/>
      <c r="T126" s="561"/>
      <c r="U126" s="561"/>
      <c r="V126" s="561"/>
      <c r="W126" s="561"/>
      <c r="X126" s="561"/>
      <c r="Y126" s="561"/>
      <c r="Z126" s="561"/>
      <c r="AA126" s="561"/>
      <c r="AB126" s="561"/>
      <c r="AC126" s="561"/>
      <c r="AD126" s="561"/>
      <c r="AE126" s="561"/>
      <c r="AF126" s="561"/>
      <c r="AG126" s="561"/>
      <c r="AH126" s="561"/>
      <c r="AI126" s="561"/>
      <c r="AJ126" s="561"/>
      <c r="AK126" s="561"/>
      <c r="AL126" s="561"/>
      <c r="AM126" s="561"/>
      <c r="AN126" s="561"/>
      <c r="AO126" s="561"/>
      <c r="AP126" s="561"/>
      <c r="AQ126" s="561"/>
      <c r="AR126" s="561"/>
    </row>
    <row r="127" spans="4:44" s="559" customFormat="1">
      <c r="D127" s="560"/>
      <c r="M127" s="278"/>
      <c r="S127" s="561"/>
      <c r="T127" s="561"/>
      <c r="U127" s="561"/>
      <c r="V127" s="561"/>
      <c r="W127" s="561"/>
      <c r="X127" s="561"/>
      <c r="Y127" s="561"/>
      <c r="Z127" s="561"/>
      <c r="AA127" s="561"/>
      <c r="AB127" s="561"/>
      <c r="AC127" s="561"/>
      <c r="AD127" s="561"/>
      <c r="AE127" s="561"/>
      <c r="AF127" s="561"/>
      <c r="AG127" s="561"/>
      <c r="AH127" s="561"/>
      <c r="AI127" s="561"/>
      <c r="AJ127" s="561"/>
      <c r="AK127" s="561"/>
      <c r="AL127" s="561"/>
      <c r="AM127" s="561"/>
      <c r="AN127" s="561"/>
      <c r="AO127" s="561"/>
      <c r="AP127" s="561"/>
      <c r="AQ127" s="561"/>
      <c r="AR127" s="561"/>
    </row>
    <row r="128" spans="4:44" s="559" customFormat="1">
      <c r="D128" s="560"/>
      <c r="M128" s="278"/>
      <c r="S128" s="561"/>
      <c r="T128" s="561"/>
      <c r="U128" s="561"/>
      <c r="V128" s="561"/>
      <c r="W128" s="561"/>
      <c r="X128" s="561"/>
      <c r="Y128" s="561"/>
      <c r="Z128" s="561"/>
      <c r="AA128" s="561"/>
      <c r="AB128" s="561"/>
      <c r="AC128" s="561"/>
      <c r="AD128" s="561"/>
      <c r="AE128" s="561"/>
      <c r="AF128" s="561"/>
      <c r="AG128" s="561"/>
      <c r="AH128" s="561"/>
      <c r="AI128" s="561"/>
      <c r="AJ128" s="561"/>
      <c r="AK128" s="561"/>
      <c r="AL128" s="561"/>
      <c r="AM128" s="561"/>
      <c r="AN128" s="561"/>
      <c r="AO128" s="561"/>
      <c r="AP128" s="561"/>
      <c r="AQ128" s="561"/>
      <c r="AR128" s="561"/>
    </row>
    <row r="129" spans="4:44" s="559" customFormat="1">
      <c r="D129" s="560"/>
      <c r="M129" s="278"/>
      <c r="S129" s="561"/>
      <c r="T129" s="561"/>
      <c r="U129" s="561"/>
      <c r="V129" s="561"/>
      <c r="W129" s="561"/>
      <c r="X129" s="561"/>
      <c r="Y129" s="561"/>
      <c r="Z129" s="561"/>
      <c r="AA129" s="561"/>
      <c r="AB129" s="561"/>
      <c r="AC129" s="561"/>
      <c r="AD129" s="561"/>
      <c r="AE129" s="561"/>
      <c r="AF129" s="561"/>
      <c r="AG129" s="561"/>
      <c r="AH129" s="561"/>
      <c r="AI129" s="561"/>
      <c r="AJ129" s="561"/>
      <c r="AK129" s="561"/>
      <c r="AL129" s="561"/>
      <c r="AM129" s="561"/>
      <c r="AN129" s="561"/>
      <c r="AO129" s="561"/>
      <c r="AP129" s="561"/>
      <c r="AQ129" s="561"/>
      <c r="AR129" s="561"/>
    </row>
    <row r="130" spans="4:44" s="559" customFormat="1">
      <c r="D130" s="560"/>
      <c r="M130" s="278"/>
      <c r="S130" s="561"/>
      <c r="T130" s="561"/>
      <c r="U130" s="561"/>
      <c r="V130" s="561"/>
      <c r="W130" s="561"/>
      <c r="X130" s="561"/>
      <c r="Y130" s="561"/>
      <c r="Z130" s="561"/>
      <c r="AA130" s="561"/>
      <c r="AB130" s="561"/>
      <c r="AC130" s="561"/>
      <c r="AD130" s="561"/>
      <c r="AE130" s="561"/>
      <c r="AF130" s="561"/>
      <c r="AG130" s="561"/>
      <c r="AH130" s="561"/>
      <c r="AI130" s="561"/>
      <c r="AJ130" s="561"/>
      <c r="AK130" s="561"/>
      <c r="AL130" s="561"/>
      <c r="AM130" s="561"/>
      <c r="AN130" s="561"/>
      <c r="AO130" s="561"/>
      <c r="AP130" s="561"/>
      <c r="AQ130" s="561"/>
      <c r="AR130" s="561"/>
    </row>
    <row r="131" spans="4:44" s="559" customFormat="1">
      <c r="D131" s="560"/>
      <c r="M131" s="278"/>
      <c r="S131" s="561"/>
      <c r="T131" s="561"/>
      <c r="U131" s="561"/>
      <c r="V131" s="561"/>
      <c r="W131" s="561"/>
      <c r="X131" s="561"/>
      <c r="Y131" s="561"/>
      <c r="Z131" s="561"/>
      <c r="AA131" s="561"/>
      <c r="AB131" s="561"/>
      <c r="AC131" s="561"/>
      <c r="AD131" s="561"/>
      <c r="AE131" s="561"/>
      <c r="AF131" s="561"/>
      <c r="AG131" s="561"/>
      <c r="AH131" s="561"/>
      <c r="AI131" s="561"/>
      <c r="AJ131" s="561"/>
      <c r="AK131" s="561"/>
      <c r="AL131" s="561"/>
      <c r="AM131" s="561"/>
      <c r="AN131" s="561"/>
      <c r="AO131" s="561"/>
      <c r="AP131" s="561"/>
      <c r="AQ131" s="561"/>
      <c r="AR131" s="561"/>
    </row>
    <row r="132" spans="4:44" s="559" customFormat="1">
      <c r="D132" s="560"/>
      <c r="M132" s="278"/>
      <c r="S132" s="561"/>
      <c r="T132" s="561"/>
      <c r="U132" s="561"/>
      <c r="V132" s="561"/>
      <c r="W132" s="561"/>
      <c r="X132" s="561"/>
      <c r="Y132" s="561"/>
      <c r="Z132" s="561"/>
      <c r="AA132" s="561"/>
      <c r="AB132" s="561"/>
      <c r="AC132" s="561"/>
      <c r="AD132" s="561"/>
      <c r="AE132" s="561"/>
      <c r="AF132" s="561"/>
      <c r="AG132" s="561"/>
      <c r="AH132" s="561"/>
      <c r="AI132" s="561"/>
      <c r="AJ132" s="561"/>
      <c r="AK132" s="561"/>
      <c r="AL132" s="561"/>
      <c r="AM132" s="561"/>
      <c r="AN132" s="561"/>
      <c r="AO132" s="561"/>
      <c r="AP132" s="561"/>
      <c r="AQ132" s="561"/>
      <c r="AR132" s="561"/>
    </row>
    <row r="133" spans="4:44" s="559" customFormat="1">
      <c r="D133" s="560"/>
      <c r="M133" s="278"/>
      <c r="S133" s="561"/>
      <c r="T133" s="561"/>
      <c r="U133" s="561"/>
      <c r="V133" s="561"/>
      <c r="W133" s="561"/>
      <c r="X133" s="561"/>
      <c r="Y133" s="561"/>
      <c r="Z133" s="561"/>
      <c r="AA133" s="561"/>
      <c r="AB133" s="561"/>
      <c r="AC133" s="561"/>
      <c r="AD133" s="561"/>
      <c r="AE133" s="561"/>
      <c r="AF133" s="561"/>
      <c r="AG133" s="561"/>
      <c r="AH133" s="561"/>
      <c r="AI133" s="561"/>
      <c r="AJ133" s="561"/>
      <c r="AK133" s="561"/>
      <c r="AL133" s="561"/>
      <c r="AM133" s="561"/>
      <c r="AN133" s="561"/>
      <c r="AO133" s="561"/>
      <c r="AP133" s="561"/>
      <c r="AQ133" s="561"/>
      <c r="AR133" s="561"/>
    </row>
    <row r="134" spans="4:44" s="559" customFormat="1">
      <c r="D134" s="560"/>
      <c r="M134" s="278"/>
      <c r="S134" s="561"/>
      <c r="T134" s="561"/>
      <c r="U134" s="561"/>
      <c r="V134" s="561"/>
      <c r="W134" s="561"/>
      <c r="X134" s="561"/>
      <c r="Y134" s="561"/>
      <c r="Z134" s="561"/>
      <c r="AA134" s="561"/>
      <c r="AB134" s="561"/>
      <c r="AC134" s="561"/>
      <c r="AD134" s="561"/>
      <c r="AE134" s="561"/>
      <c r="AF134" s="561"/>
      <c r="AG134" s="561"/>
      <c r="AH134" s="561"/>
      <c r="AI134" s="561"/>
      <c r="AJ134" s="561"/>
      <c r="AK134" s="561"/>
      <c r="AL134" s="561"/>
      <c r="AM134" s="561"/>
      <c r="AN134" s="561"/>
      <c r="AO134" s="561"/>
      <c r="AP134" s="561"/>
      <c r="AQ134" s="561"/>
      <c r="AR134" s="561"/>
    </row>
    <row r="135" spans="4:44" s="559" customFormat="1">
      <c r="D135" s="560"/>
      <c r="M135" s="278"/>
      <c r="S135" s="561"/>
      <c r="T135" s="561"/>
      <c r="U135" s="561"/>
      <c r="V135" s="561"/>
      <c r="W135" s="561"/>
      <c r="X135" s="561"/>
      <c r="Y135" s="561"/>
      <c r="Z135" s="561"/>
      <c r="AA135" s="561"/>
      <c r="AB135" s="561"/>
      <c r="AC135" s="561"/>
      <c r="AD135" s="561"/>
      <c r="AE135" s="561"/>
      <c r="AF135" s="561"/>
      <c r="AG135" s="561"/>
      <c r="AH135" s="561"/>
      <c r="AI135" s="561"/>
      <c r="AJ135" s="561"/>
      <c r="AK135" s="561"/>
      <c r="AL135" s="561"/>
      <c r="AM135" s="561"/>
      <c r="AN135" s="561"/>
      <c r="AO135" s="561"/>
      <c r="AP135" s="561"/>
      <c r="AQ135" s="561"/>
      <c r="AR135" s="561"/>
    </row>
    <row r="136" spans="4:44" s="559" customFormat="1">
      <c r="D136" s="560"/>
      <c r="M136" s="278"/>
      <c r="S136" s="561"/>
      <c r="T136" s="561"/>
      <c r="U136" s="561"/>
      <c r="V136" s="561"/>
      <c r="W136" s="561"/>
      <c r="X136" s="561"/>
      <c r="Y136" s="561"/>
      <c r="Z136" s="561"/>
      <c r="AA136" s="561"/>
      <c r="AB136" s="561"/>
      <c r="AC136" s="561"/>
      <c r="AD136" s="561"/>
      <c r="AE136" s="561"/>
      <c r="AF136" s="561"/>
      <c r="AG136" s="561"/>
      <c r="AH136" s="561"/>
      <c r="AI136" s="561"/>
      <c r="AJ136" s="561"/>
      <c r="AK136" s="561"/>
      <c r="AL136" s="561"/>
      <c r="AM136" s="561"/>
      <c r="AN136" s="561"/>
      <c r="AO136" s="561"/>
      <c r="AP136" s="561"/>
      <c r="AQ136" s="561"/>
      <c r="AR136" s="561"/>
    </row>
    <row r="137" spans="4:44" s="559" customFormat="1">
      <c r="D137" s="560"/>
      <c r="M137" s="278"/>
      <c r="S137" s="561"/>
      <c r="T137" s="561"/>
      <c r="U137" s="561"/>
      <c r="V137" s="561"/>
      <c r="W137" s="561"/>
      <c r="X137" s="561"/>
      <c r="Y137" s="561"/>
      <c r="Z137" s="561"/>
      <c r="AA137" s="561"/>
      <c r="AB137" s="561"/>
      <c r="AC137" s="561"/>
      <c r="AD137" s="561"/>
      <c r="AE137" s="561"/>
      <c r="AF137" s="561"/>
      <c r="AG137" s="561"/>
      <c r="AH137" s="561"/>
      <c r="AI137" s="561"/>
      <c r="AJ137" s="561"/>
      <c r="AK137" s="561"/>
      <c r="AL137" s="561"/>
      <c r="AM137" s="561"/>
      <c r="AN137" s="561"/>
      <c r="AO137" s="561"/>
      <c r="AP137" s="561"/>
      <c r="AQ137" s="561"/>
      <c r="AR137" s="561"/>
    </row>
    <row r="138" spans="4:44" s="559" customFormat="1">
      <c r="D138" s="560"/>
      <c r="M138" s="278"/>
      <c r="S138" s="561"/>
      <c r="T138" s="561"/>
      <c r="U138" s="561"/>
      <c r="V138" s="561"/>
      <c r="W138" s="561"/>
      <c r="X138" s="561"/>
      <c r="Y138" s="561"/>
      <c r="Z138" s="561"/>
      <c r="AA138" s="561"/>
      <c r="AB138" s="561"/>
      <c r="AC138" s="561"/>
      <c r="AD138" s="561"/>
      <c r="AE138" s="561"/>
      <c r="AF138" s="561"/>
      <c r="AG138" s="561"/>
      <c r="AH138" s="561"/>
      <c r="AI138" s="561"/>
      <c r="AJ138" s="561"/>
      <c r="AK138" s="561"/>
      <c r="AL138" s="561"/>
      <c r="AM138" s="561"/>
      <c r="AN138" s="561"/>
      <c r="AO138" s="561"/>
      <c r="AP138" s="561"/>
      <c r="AQ138" s="561"/>
      <c r="AR138" s="561"/>
    </row>
    <row r="139" spans="4:44" s="559" customFormat="1">
      <c r="D139" s="560"/>
      <c r="M139" s="278"/>
      <c r="S139" s="561"/>
      <c r="T139" s="561"/>
      <c r="U139" s="561"/>
      <c r="V139" s="561"/>
      <c r="W139" s="561"/>
      <c r="X139" s="561"/>
      <c r="Y139" s="561"/>
      <c r="Z139" s="561"/>
      <c r="AA139" s="561"/>
      <c r="AB139" s="561"/>
      <c r="AC139" s="561"/>
      <c r="AD139" s="561"/>
      <c r="AE139" s="561"/>
      <c r="AF139" s="561"/>
      <c r="AG139" s="561"/>
      <c r="AH139" s="561"/>
      <c r="AI139" s="561"/>
      <c r="AJ139" s="561"/>
      <c r="AK139" s="561"/>
      <c r="AL139" s="561"/>
      <c r="AM139" s="561"/>
      <c r="AN139" s="561"/>
      <c r="AO139" s="561"/>
      <c r="AP139" s="561"/>
      <c r="AQ139" s="561"/>
      <c r="AR139" s="561"/>
    </row>
    <row r="140" spans="4:44" s="559" customFormat="1">
      <c r="D140" s="560"/>
      <c r="M140" s="278"/>
      <c r="S140" s="561"/>
      <c r="T140" s="561"/>
      <c r="U140" s="561"/>
      <c r="V140" s="561"/>
      <c r="W140" s="561"/>
      <c r="X140" s="561"/>
      <c r="Y140" s="561"/>
      <c r="Z140" s="561"/>
      <c r="AA140" s="561"/>
      <c r="AB140" s="561"/>
      <c r="AC140" s="561"/>
      <c r="AD140" s="561"/>
      <c r="AE140" s="561"/>
      <c r="AF140" s="561"/>
      <c r="AG140" s="561"/>
      <c r="AH140" s="561"/>
      <c r="AI140" s="561"/>
      <c r="AJ140" s="561"/>
      <c r="AK140" s="561"/>
      <c r="AL140" s="561"/>
      <c r="AM140" s="561"/>
      <c r="AN140" s="561"/>
      <c r="AO140" s="561"/>
      <c r="AP140" s="561"/>
      <c r="AQ140" s="561"/>
      <c r="AR140" s="561"/>
    </row>
    <row r="141" spans="4:44" s="559" customFormat="1">
      <c r="D141" s="560"/>
      <c r="M141" s="278"/>
      <c r="S141" s="561"/>
      <c r="T141" s="561"/>
      <c r="U141" s="561"/>
      <c r="V141" s="561"/>
      <c r="W141" s="561"/>
      <c r="X141" s="561"/>
      <c r="Y141" s="561"/>
      <c r="Z141" s="561"/>
      <c r="AA141" s="561"/>
      <c r="AB141" s="561"/>
      <c r="AC141" s="561"/>
      <c r="AD141" s="561"/>
      <c r="AE141" s="561"/>
      <c r="AF141" s="561"/>
      <c r="AG141" s="561"/>
      <c r="AH141" s="561"/>
      <c r="AI141" s="561"/>
      <c r="AJ141" s="561"/>
      <c r="AK141" s="561"/>
      <c r="AL141" s="561"/>
      <c r="AM141" s="561"/>
      <c r="AN141" s="561"/>
      <c r="AO141" s="561"/>
      <c r="AP141" s="561"/>
      <c r="AQ141" s="561"/>
      <c r="AR141" s="561"/>
    </row>
    <row r="142" spans="4:44" s="559" customFormat="1">
      <c r="D142" s="560"/>
      <c r="M142" s="278"/>
      <c r="S142" s="561"/>
      <c r="T142" s="561"/>
      <c r="U142" s="561"/>
      <c r="V142" s="561"/>
      <c r="W142" s="561"/>
      <c r="X142" s="561"/>
      <c r="Y142" s="561"/>
      <c r="Z142" s="561"/>
      <c r="AA142" s="561"/>
      <c r="AB142" s="561"/>
      <c r="AC142" s="561"/>
      <c r="AD142" s="561"/>
      <c r="AE142" s="561"/>
      <c r="AF142" s="561"/>
      <c r="AG142" s="561"/>
      <c r="AH142" s="561"/>
      <c r="AI142" s="561"/>
      <c r="AJ142" s="561"/>
      <c r="AK142" s="561"/>
      <c r="AL142" s="561"/>
      <c r="AM142" s="561"/>
      <c r="AN142" s="561"/>
      <c r="AO142" s="561"/>
      <c r="AP142" s="561"/>
      <c r="AQ142" s="561"/>
      <c r="AR142" s="561"/>
    </row>
    <row r="143" spans="4:44" s="559" customFormat="1">
      <c r="D143" s="560"/>
      <c r="M143" s="278"/>
      <c r="S143" s="561"/>
      <c r="T143" s="561"/>
      <c r="U143" s="561"/>
      <c r="V143" s="561"/>
      <c r="W143" s="561"/>
      <c r="X143" s="561"/>
      <c r="Y143" s="561"/>
      <c r="Z143" s="561"/>
      <c r="AA143" s="561"/>
      <c r="AB143" s="561"/>
      <c r="AC143" s="561"/>
      <c r="AD143" s="561"/>
      <c r="AE143" s="561"/>
      <c r="AF143" s="561"/>
      <c r="AG143" s="561"/>
      <c r="AH143" s="561"/>
      <c r="AI143" s="561"/>
      <c r="AJ143" s="561"/>
      <c r="AK143" s="561"/>
      <c r="AL143" s="561"/>
      <c r="AM143" s="561"/>
      <c r="AN143" s="561"/>
      <c r="AO143" s="561"/>
      <c r="AP143" s="561"/>
      <c r="AQ143" s="561"/>
      <c r="AR143" s="561"/>
    </row>
    <row r="144" spans="4:44" s="559" customFormat="1">
      <c r="D144" s="560"/>
      <c r="M144" s="278"/>
      <c r="S144" s="561"/>
      <c r="T144" s="561"/>
      <c r="U144" s="561"/>
      <c r="V144" s="561"/>
      <c r="W144" s="561"/>
      <c r="X144" s="561"/>
      <c r="Y144" s="561"/>
      <c r="Z144" s="561"/>
      <c r="AA144" s="561"/>
      <c r="AB144" s="561"/>
      <c r="AC144" s="561"/>
      <c r="AD144" s="561"/>
      <c r="AE144" s="561"/>
      <c r="AF144" s="561"/>
      <c r="AG144" s="561"/>
      <c r="AH144" s="561"/>
      <c r="AI144" s="561"/>
      <c r="AJ144" s="561"/>
      <c r="AK144" s="561"/>
      <c r="AL144" s="561"/>
      <c r="AM144" s="561"/>
      <c r="AN144" s="561"/>
      <c r="AO144" s="561"/>
      <c r="AP144" s="561"/>
      <c r="AQ144" s="561"/>
      <c r="AR144" s="561"/>
    </row>
    <row r="145" spans="4:44" s="559" customFormat="1">
      <c r="D145" s="560"/>
      <c r="M145" s="278"/>
      <c r="S145" s="561"/>
      <c r="T145" s="561"/>
      <c r="U145" s="561"/>
      <c r="V145" s="561"/>
      <c r="W145" s="561"/>
      <c r="X145" s="561"/>
      <c r="Y145" s="561"/>
      <c r="Z145" s="561"/>
      <c r="AA145" s="561"/>
      <c r="AB145" s="561"/>
      <c r="AC145" s="561"/>
      <c r="AD145" s="561"/>
      <c r="AE145" s="561"/>
      <c r="AF145" s="561"/>
      <c r="AG145" s="561"/>
      <c r="AH145" s="561"/>
      <c r="AI145" s="561"/>
      <c r="AJ145" s="561"/>
      <c r="AK145" s="561"/>
      <c r="AL145" s="561"/>
      <c r="AM145" s="561"/>
      <c r="AN145" s="561"/>
      <c r="AO145" s="561"/>
      <c r="AP145" s="561"/>
      <c r="AQ145" s="561"/>
      <c r="AR145" s="561"/>
    </row>
    <row r="146" spans="4:44" s="559" customFormat="1">
      <c r="D146" s="560"/>
      <c r="M146" s="278"/>
      <c r="S146" s="561"/>
      <c r="T146" s="561"/>
      <c r="U146" s="561"/>
      <c r="V146" s="561"/>
      <c r="W146" s="561"/>
      <c r="X146" s="561"/>
      <c r="Y146" s="561"/>
      <c r="Z146" s="561"/>
      <c r="AA146" s="561"/>
      <c r="AB146" s="561"/>
      <c r="AC146" s="561"/>
      <c r="AD146" s="561"/>
      <c r="AE146" s="561"/>
      <c r="AF146" s="561"/>
      <c r="AG146" s="561"/>
      <c r="AH146" s="561"/>
      <c r="AI146" s="561"/>
      <c r="AJ146" s="561"/>
      <c r="AK146" s="561"/>
      <c r="AL146" s="561"/>
      <c r="AM146" s="561"/>
      <c r="AN146" s="561"/>
      <c r="AO146" s="561"/>
      <c r="AP146" s="561"/>
      <c r="AQ146" s="561"/>
      <c r="AR146" s="561"/>
    </row>
    <row r="147" spans="4:44" s="559" customFormat="1">
      <c r="D147" s="560"/>
      <c r="K147"/>
      <c r="L147"/>
      <c r="M147" s="104"/>
      <c r="N147"/>
      <c r="O147"/>
      <c r="P147"/>
      <c r="Q147"/>
      <c r="R147"/>
      <c r="S147" s="561"/>
      <c r="T147" s="561"/>
      <c r="U147" s="561"/>
      <c r="V147" s="561"/>
      <c r="W147" s="561"/>
      <c r="X147" s="561"/>
      <c r="Y147" s="561"/>
      <c r="Z147" s="561"/>
      <c r="AA147" s="561"/>
      <c r="AB147" s="561"/>
      <c r="AC147" s="561"/>
      <c r="AD147" s="561"/>
      <c r="AE147" s="561"/>
      <c r="AF147" s="561"/>
      <c r="AG147" s="561"/>
      <c r="AH147" s="561"/>
      <c r="AI147" s="561"/>
      <c r="AJ147" s="561"/>
      <c r="AK147" s="561"/>
      <c r="AL147" s="561"/>
      <c r="AM147" s="561"/>
      <c r="AN147" s="561"/>
      <c r="AO147" s="561"/>
      <c r="AP147" s="561"/>
      <c r="AQ147" s="561"/>
      <c r="AR147" s="561"/>
    </row>
    <row r="148" spans="4:44" s="559" customFormat="1">
      <c r="D148" s="560"/>
      <c r="K148"/>
      <c r="L148"/>
      <c r="M148" s="104"/>
      <c r="N148"/>
      <c r="O148"/>
      <c r="P148"/>
      <c r="Q148"/>
      <c r="R148"/>
      <c r="S148" s="561"/>
      <c r="T148" s="561"/>
      <c r="U148" s="561"/>
      <c r="V148" s="561"/>
      <c r="W148" s="561"/>
      <c r="X148" s="561"/>
      <c r="Y148" s="561"/>
      <c r="Z148" s="561"/>
      <c r="AA148" s="561"/>
      <c r="AB148" s="561"/>
      <c r="AC148" s="561"/>
      <c r="AD148" s="561"/>
      <c r="AE148" s="561"/>
      <c r="AF148" s="561"/>
      <c r="AG148" s="561"/>
      <c r="AH148" s="561"/>
      <c r="AI148" s="561"/>
      <c r="AJ148" s="561"/>
      <c r="AK148" s="561"/>
      <c r="AL148" s="561"/>
      <c r="AM148" s="561"/>
      <c r="AN148" s="561"/>
      <c r="AO148" s="561"/>
      <c r="AP148" s="561"/>
      <c r="AQ148" s="561"/>
      <c r="AR148" s="561"/>
    </row>
  </sheetData>
  <sheetProtection password="CC2E" sheet="1" formatCells="0" formatColumns="0" formatRows="0"/>
  <mergeCells count="191">
    <mergeCell ref="E7:G7"/>
    <mergeCell ref="K27:L27"/>
    <mergeCell ref="N27:O27"/>
    <mergeCell ref="Q1:R1"/>
    <mergeCell ref="Q2:R2"/>
    <mergeCell ref="E8:I8"/>
    <mergeCell ref="N8:R8"/>
    <mergeCell ref="E9:I9"/>
    <mergeCell ref="N9:R9"/>
    <mergeCell ref="E10:I10"/>
    <mergeCell ref="N10:R10"/>
    <mergeCell ref="B3:I4"/>
    <mergeCell ref="K3:R4"/>
    <mergeCell ref="E6:I6"/>
    <mergeCell ref="N6:R6"/>
    <mergeCell ref="N7:R7"/>
    <mergeCell ref="P24:R24"/>
    <mergeCell ref="P25:R25"/>
    <mergeCell ref="E11:F11"/>
    <mergeCell ref="G11:I11"/>
    <mergeCell ref="N11:O11"/>
    <mergeCell ref="P11:R11"/>
    <mergeCell ref="E12:F12"/>
    <mergeCell ref="G12:I12"/>
    <mergeCell ref="P12:R12"/>
    <mergeCell ref="E13:F13"/>
    <mergeCell ref="G13:I13"/>
    <mergeCell ref="N13:O13"/>
    <mergeCell ref="P13:R13"/>
    <mergeCell ref="F15:I15"/>
    <mergeCell ref="K15:L16"/>
    <mergeCell ref="M15:M16"/>
    <mergeCell ref="N15:O16"/>
    <mergeCell ref="K20:L20"/>
    <mergeCell ref="N20:O20"/>
    <mergeCell ref="F16:I16"/>
    <mergeCell ref="K17:L17"/>
    <mergeCell ref="N17:O17"/>
    <mergeCell ref="F17:I17"/>
    <mergeCell ref="K18:L18"/>
    <mergeCell ref="N18:O18"/>
    <mergeCell ref="N12:O12"/>
    <mergeCell ref="F28:I28"/>
    <mergeCell ref="N32:O32"/>
    <mergeCell ref="K33:L33"/>
    <mergeCell ref="N33:O33"/>
    <mergeCell ref="K19:L19"/>
    <mergeCell ref="N19:O19"/>
    <mergeCell ref="F26:I26"/>
    <mergeCell ref="K26:L26"/>
    <mergeCell ref="N26:O26"/>
    <mergeCell ref="F22:I22"/>
    <mergeCell ref="K23:L23"/>
    <mergeCell ref="N23:O23"/>
    <mergeCell ref="F24:I24"/>
    <mergeCell ref="F20:I20"/>
    <mergeCell ref="K21:L21"/>
    <mergeCell ref="N21:O21"/>
    <mergeCell ref="K24:L24"/>
    <mergeCell ref="N24:O24"/>
    <mergeCell ref="K25:L25"/>
    <mergeCell ref="N25:O25"/>
    <mergeCell ref="K22:L22"/>
    <mergeCell ref="N22:O22"/>
    <mergeCell ref="F25:I25"/>
    <mergeCell ref="F19:I19"/>
    <mergeCell ref="K28:L28"/>
    <mergeCell ref="N28:O28"/>
    <mergeCell ref="K29:L29"/>
    <mergeCell ref="N29:O29"/>
    <mergeCell ref="K30:L30"/>
    <mergeCell ref="K31:L31"/>
    <mergeCell ref="N31:O31"/>
    <mergeCell ref="N34:O34"/>
    <mergeCell ref="N30:O30"/>
    <mergeCell ref="K34:L34"/>
    <mergeCell ref="K32:L32"/>
    <mergeCell ref="D34:G34"/>
    <mergeCell ref="H34:I34"/>
    <mergeCell ref="B34:C34"/>
    <mergeCell ref="L61:M61"/>
    <mergeCell ref="Q61:R61"/>
    <mergeCell ref="K35:L35"/>
    <mergeCell ref="N35:O35"/>
    <mergeCell ref="K42:L42"/>
    <mergeCell ref="N42:O42"/>
    <mergeCell ref="N41:O41"/>
    <mergeCell ref="K37:L37"/>
    <mergeCell ref="N37:O37"/>
    <mergeCell ref="K38:L38"/>
    <mergeCell ref="N38:O38"/>
    <mergeCell ref="K39:L39"/>
    <mergeCell ref="N39:O39"/>
    <mergeCell ref="K36:L36"/>
    <mergeCell ref="N36:O36"/>
    <mergeCell ref="B60:D60"/>
    <mergeCell ref="K60:M60"/>
    <mergeCell ref="P60:R60"/>
    <mergeCell ref="K46:L46"/>
    <mergeCell ref="K43:L43"/>
    <mergeCell ref="N43:O43"/>
    <mergeCell ref="K40:L40"/>
    <mergeCell ref="N40:O40"/>
    <mergeCell ref="K41:L41"/>
    <mergeCell ref="G61:I61"/>
    <mergeCell ref="B39:C40"/>
    <mergeCell ref="D39:G40"/>
    <mergeCell ref="H39:I40"/>
    <mergeCell ref="G60:I60"/>
    <mergeCell ref="B45:C46"/>
    <mergeCell ref="D45:G46"/>
    <mergeCell ref="H45:I46"/>
    <mergeCell ref="D51:G51"/>
    <mergeCell ref="K47:L47"/>
    <mergeCell ref="N47:O47"/>
    <mergeCell ref="K48:L48"/>
    <mergeCell ref="N48:O48"/>
    <mergeCell ref="N45:O45"/>
    <mergeCell ref="K51:L51"/>
    <mergeCell ref="N51:O51"/>
    <mergeCell ref="K55:L55"/>
    <mergeCell ref="B61:D61"/>
    <mergeCell ref="N55:O55"/>
    <mergeCell ref="K56:L56"/>
    <mergeCell ref="N56:O56"/>
    <mergeCell ref="B35:C36"/>
    <mergeCell ref="D35:G36"/>
    <mergeCell ref="H35:I36"/>
    <mergeCell ref="B37:C38"/>
    <mergeCell ref="D37:G38"/>
    <mergeCell ref="H37:I38"/>
    <mergeCell ref="B41:C42"/>
    <mergeCell ref="H41:I42"/>
    <mergeCell ref="H43:I44"/>
    <mergeCell ref="D43:G44"/>
    <mergeCell ref="B43:C44"/>
    <mergeCell ref="D41:G42"/>
    <mergeCell ref="P44:R44"/>
    <mergeCell ref="P45:R45"/>
    <mergeCell ref="P46:R46"/>
    <mergeCell ref="P47:R47"/>
    <mergeCell ref="P48:R48"/>
    <mergeCell ref="K49:L49"/>
    <mergeCell ref="N49:O49"/>
    <mergeCell ref="K50:L50"/>
    <mergeCell ref="N50:O50"/>
    <mergeCell ref="P49:R49"/>
    <mergeCell ref="P50:R50"/>
    <mergeCell ref="N46:O46"/>
    <mergeCell ref="K44:L44"/>
    <mergeCell ref="K45:L45"/>
    <mergeCell ref="N44:O44"/>
    <mergeCell ref="P55:R55"/>
    <mergeCell ref="P56:R56"/>
    <mergeCell ref="P51:R51"/>
    <mergeCell ref="K52:L52"/>
    <mergeCell ref="N52:O52"/>
    <mergeCell ref="K53:L53"/>
    <mergeCell ref="N53:O53"/>
    <mergeCell ref="K54:L54"/>
    <mergeCell ref="N54:O54"/>
    <mergeCell ref="P52:R52"/>
    <mergeCell ref="P53:R53"/>
    <mergeCell ref="P54:R54"/>
    <mergeCell ref="X19:Y19"/>
    <mergeCell ref="P15:R16"/>
    <mergeCell ref="P17:R17"/>
    <mergeCell ref="P18:R18"/>
    <mergeCell ref="P19:R19"/>
    <mergeCell ref="P20:R20"/>
    <mergeCell ref="P21:R21"/>
    <mergeCell ref="P22:R22"/>
    <mergeCell ref="P23:R23"/>
    <mergeCell ref="P26:R26"/>
    <mergeCell ref="P27:R27"/>
    <mergeCell ref="P28:R28"/>
    <mergeCell ref="P29:R29"/>
    <mergeCell ref="P30:R30"/>
    <mergeCell ref="P31:R31"/>
    <mergeCell ref="P32:R32"/>
    <mergeCell ref="P33:R33"/>
    <mergeCell ref="P34:R34"/>
    <mergeCell ref="P35:R35"/>
    <mergeCell ref="P36:R36"/>
    <mergeCell ref="P37:R37"/>
    <mergeCell ref="P38:R38"/>
    <mergeCell ref="P39:R39"/>
    <mergeCell ref="P40:R40"/>
    <mergeCell ref="P41:R41"/>
    <mergeCell ref="P42:R42"/>
    <mergeCell ref="P43:R43"/>
  </mergeCells>
  <pageMargins left="0.59055118110236227" right="0.70866141732283472" top="0.82677165354330717" bottom="0.74803149606299213" header="0.31496062992125984" footer="0.31496062992125984"/>
  <pageSetup paperSize="14" scale="78" orientation="portrait" r:id="rId1"/>
  <headerFooter>
    <oddHeader xml:space="preserve">&amp;R&amp;"Century Gothic,Bold"&amp;14ANNEX A: 
SAMPLE PACKAGE COMPUTATION
</oddHead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1"/>
  <dimension ref="A1:U123"/>
  <sheetViews>
    <sheetView showGridLines="0" showZeros="0" view="pageLayout" topLeftCell="A97" zoomScaleNormal="100" zoomScaleSheetLayoutView="85" workbookViewId="0">
      <selection activeCell="F115" sqref="F115"/>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71">
        <f>DEFERRED!F15</f>
        <v>3195170.8635638431</v>
      </c>
      <c r="J27" s="1772"/>
      <c r="K27" s="1772"/>
      <c r="L27" s="1772"/>
      <c r="M27" s="1772"/>
      <c r="N27" s="1772"/>
      <c r="O27" s="1772"/>
      <c r="P27" s="1772"/>
      <c r="Q27" s="1772"/>
      <c r="R27" s="1772"/>
      <c r="S27" s="1772"/>
      <c r="T27" s="1772"/>
      <c r="U27" s="1773"/>
    </row>
    <row r="28" spans="1:21" ht="14.1">
      <c r="A28" s="39" t="s">
        <v>990</v>
      </c>
      <c r="B28" s="40"/>
      <c r="C28" s="42"/>
      <c r="D28" s="42"/>
      <c r="E28" s="42"/>
      <c r="F28" s="42"/>
      <c r="G28" s="42"/>
      <c r="H28" s="43"/>
      <c r="I28" s="1771">
        <f>DEFERRED!F16</f>
        <v>0</v>
      </c>
      <c r="J28" s="1772"/>
      <c r="K28" s="1772"/>
      <c r="L28" s="1772"/>
      <c r="M28" s="1772"/>
      <c r="N28" s="1772"/>
      <c r="O28" s="1772"/>
      <c r="P28" s="1772"/>
      <c r="Q28" s="1772"/>
      <c r="R28" s="1772"/>
      <c r="S28" s="1772"/>
      <c r="T28" s="1772"/>
      <c r="U28" s="1773"/>
    </row>
    <row r="29" spans="1:21" ht="14.1">
      <c r="A29" s="49" t="s">
        <v>791</v>
      </c>
      <c r="B29" s="50"/>
      <c r="C29" s="51"/>
      <c r="D29" s="51"/>
      <c r="E29" s="51"/>
      <c r="F29" s="51"/>
      <c r="G29" s="51"/>
      <c r="H29" s="48"/>
      <c r="I29" s="1771">
        <f>DEFERRED!F17</f>
        <v>3195170.8635638431</v>
      </c>
      <c r="J29" s="1772"/>
      <c r="K29" s="1772"/>
      <c r="L29" s="1772"/>
      <c r="M29" s="1772"/>
      <c r="N29" s="1772"/>
      <c r="O29" s="1772"/>
      <c r="P29" s="1772"/>
      <c r="Q29" s="1772"/>
      <c r="R29" s="1772"/>
      <c r="S29" s="1772"/>
      <c r="T29" s="1772"/>
      <c r="U29" s="1773"/>
    </row>
    <row r="30" spans="1:21" ht="14.1">
      <c r="A30" s="39" t="s">
        <v>991</v>
      </c>
      <c r="B30" s="40"/>
      <c r="C30" s="42"/>
      <c r="D30" s="42"/>
      <c r="E30" s="42"/>
      <c r="F30" s="42"/>
      <c r="G30" s="42"/>
      <c r="H30" s="43"/>
      <c r="I30" s="1771">
        <f>DEFERRED!F20</f>
        <v>327505.01351529389</v>
      </c>
      <c r="J30" s="1772"/>
      <c r="K30" s="1772"/>
      <c r="L30" s="1772"/>
      <c r="M30" s="1772"/>
      <c r="N30" s="1772"/>
      <c r="O30" s="1772"/>
      <c r="P30" s="1772"/>
      <c r="Q30" s="1772"/>
      <c r="R30" s="1772"/>
      <c r="S30" s="1772"/>
      <c r="T30" s="1772"/>
      <c r="U30" s="1773"/>
    </row>
    <row r="31" spans="1:21" ht="14.1">
      <c r="A31" s="39" t="s">
        <v>992</v>
      </c>
      <c r="B31" s="40"/>
      <c r="C31" s="42"/>
      <c r="D31" s="42"/>
      <c r="E31" s="42"/>
      <c r="F31" s="42"/>
      <c r="G31" s="42"/>
      <c r="H31" s="43"/>
      <c r="I31" s="1771">
        <f>DEFERRED!F19</f>
        <v>0</v>
      </c>
      <c r="J31" s="1772"/>
      <c r="K31" s="1772"/>
      <c r="L31" s="1772"/>
      <c r="M31" s="1772"/>
      <c r="N31" s="1772"/>
      <c r="O31" s="1772"/>
      <c r="P31" s="1772"/>
      <c r="Q31" s="1772"/>
      <c r="R31" s="1772"/>
      <c r="S31" s="1772"/>
      <c r="T31" s="1772"/>
      <c r="U31" s="1773"/>
    </row>
    <row r="32" spans="1:21" ht="14.1">
      <c r="A32" s="39" t="s">
        <v>178</v>
      </c>
      <c r="B32" s="40"/>
      <c r="C32" s="42"/>
      <c r="D32" s="42"/>
      <c r="E32" s="42"/>
      <c r="F32" s="42"/>
      <c r="G32" s="42"/>
      <c r="H32" s="43"/>
      <c r="I32" s="1771">
        <f>DEFERRED!F22</f>
        <v>3522675.8770791371</v>
      </c>
      <c r="J32" s="1772"/>
      <c r="K32" s="1772"/>
      <c r="L32" s="1772"/>
      <c r="M32" s="1772"/>
      <c r="N32" s="1772"/>
      <c r="O32" s="1772"/>
      <c r="P32" s="1772"/>
      <c r="Q32" s="1772"/>
      <c r="R32" s="1772"/>
      <c r="S32" s="1772"/>
      <c r="T32" s="1772"/>
      <c r="U32" s="177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2" spans="1:21">
      <c r="G112" s="22"/>
      <c r="H112" s="1643" t="str">
        <f>D3</f>
        <v>cnc</v>
      </c>
      <c r="I112" s="1643"/>
      <c r="J112" s="1643"/>
      <c r="K112" s="1643"/>
      <c r="L112" s="1643"/>
      <c r="M112" s="1643"/>
      <c r="N112" s="1643"/>
      <c r="O112" s="1643"/>
      <c r="P112" s="1643"/>
      <c r="Q112" s="1643"/>
    </row>
    <row r="113" spans="1:21" ht="25.5" customHeight="1">
      <c r="A113" s="1644" t="s">
        <v>1016</v>
      </c>
      <c r="B113" s="1644"/>
      <c r="C113" s="1644"/>
      <c r="D113" s="1644"/>
      <c r="E113" s="1644"/>
      <c r="F113" s="1644"/>
      <c r="G113" s="1644"/>
      <c r="H113" s="1644"/>
      <c r="I113" s="1644"/>
      <c r="J113" s="1644"/>
      <c r="K113" s="1644"/>
      <c r="L113" s="1644"/>
      <c r="M113" s="1644"/>
      <c r="N113" s="1644"/>
      <c r="O113" s="1644"/>
      <c r="P113" s="1644"/>
      <c r="Q113" s="1644"/>
      <c r="R113" s="1644"/>
      <c r="S113" s="1644"/>
      <c r="T113" s="1644"/>
      <c r="U113" s="1644"/>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645" t="s">
        <v>1017</v>
      </c>
      <c r="B116" s="1645"/>
      <c r="C116" s="1645"/>
      <c r="D116" s="1645"/>
      <c r="E116" s="1645"/>
      <c r="F116" s="1645"/>
      <c r="G116" s="1645"/>
      <c r="H116" s="1645"/>
      <c r="I116" s="1645"/>
      <c r="J116" s="1645"/>
      <c r="K116" s="1645"/>
      <c r="L116" s="1645"/>
      <c r="M116" s="1645"/>
      <c r="N116" s="1645"/>
      <c r="O116" s="1645"/>
      <c r="P116" s="1645"/>
      <c r="Q116" s="1645"/>
      <c r="R116" s="1645"/>
      <c r="S116" s="1645"/>
      <c r="T116" s="1645"/>
      <c r="U116" s="1645"/>
    </row>
    <row r="117" spans="1:21" ht="21.75" customHeight="1">
      <c r="A117" s="1646" t="str">
        <f>H8</f>
        <v>Iloilo Southprime Developers Inc.</v>
      </c>
      <c r="B117" s="1646"/>
      <c r="C117" s="1646"/>
      <c r="D117" s="1646"/>
      <c r="E117" s="1646"/>
      <c r="F117" s="1646"/>
      <c r="G117" s="1646"/>
      <c r="H117" s="1646"/>
      <c r="I117" s="1646"/>
      <c r="J117" s="1646"/>
      <c r="K117" s="1646"/>
      <c r="L117" s="1646"/>
      <c r="M117" s="1646"/>
      <c r="N117" s="1646"/>
      <c r="O117" s="1646"/>
      <c r="P117" s="1646"/>
      <c r="Q117" s="1646"/>
      <c r="R117" s="1646"/>
      <c r="S117" s="1646"/>
      <c r="T117" s="1646"/>
      <c r="U117" s="1646"/>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fAJITzseqHZsMeH+74VjLmr0Nmb4nmGCZdI2G8Stnu6hOVeIzksartRH/bbnz1muCnXI7smWrTtDwW7l+VQWpA==" saltValue="UvRpXuMRDbe53CZzojuNVQ=="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8322916666666666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372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3730"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373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373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373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373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373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373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373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3738"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373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374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374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374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374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374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374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374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374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9"/>
  <dimension ref="A1:BM114"/>
  <sheetViews>
    <sheetView showGridLines="0" showZeros="0" showRuler="0" view="pageLayout" topLeftCell="A16" zoomScale="85" zoomScaleNormal="90" zoomScaleSheetLayoutView="80" zoomScalePageLayoutView="85" workbookViewId="0">
      <selection activeCell="F26" sqref="F26:I26"/>
    </sheetView>
  </sheetViews>
  <sheetFormatPr defaultColWidth="9.140625" defaultRowHeight="13.5"/>
  <cols>
    <col min="1" max="1" width="1.140625" style="14" customWidth="1"/>
    <col min="2" max="2" width="12" style="14" customWidth="1"/>
    <col min="3" max="3" width="28.140625" style="14" customWidth="1"/>
    <col min="4" max="4" width="21" style="19" customWidth="1"/>
    <col min="5" max="5" width="19.85546875" style="14" customWidth="1"/>
    <col min="6" max="6" width="17.140625" style="14" customWidth="1"/>
    <col min="7" max="7" width="18.85546875" style="14" customWidth="1"/>
    <col min="8" max="8" width="11.140625" style="14" customWidth="1"/>
    <col min="9" max="9" width="7" style="14" customWidth="1"/>
    <col min="10" max="10" width="0.85546875" style="14" customWidth="1"/>
    <col min="11" max="11" width="9.140625" style="14"/>
    <col min="12" max="12" width="26" style="14" customWidth="1"/>
    <col min="13" max="13" width="22.140625" style="202" customWidth="1"/>
    <col min="14" max="14" width="12.140625" style="14" customWidth="1"/>
    <col min="15" max="15" width="16.5703125" style="14" customWidth="1"/>
    <col min="16" max="16" width="21.140625" style="14" customWidth="1"/>
    <col min="17" max="17" width="27.140625" style="14" customWidth="1"/>
    <col min="18" max="18" width="0.140625" style="14" customWidth="1"/>
    <col min="19" max="19" width="0.85546875" style="14" customWidth="1"/>
    <col min="20" max="20" width="7.85546875" style="14" customWidth="1"/>
    <col min="21" max="21" width="24" style="14" customWidth="1"/>
    <col min="22" max="22" width="4.5703125" style="14" customWidth="1"/>
    <col min="23" max="23" width="18.42578125" style="14" customWidth="1"/>
    <col min="24" max="24" width="8.140625" style="14" customWidth="1"/>
    <col min="25" max="25" width="9.85546875" style="14" customWidth="1"/>
    <col min="26" max="26" width="14.42578125" style="14" customWidth="1"/>
    <col min="27" max="27" width="7.5703125" style="14" customWidth="1"/>
    <col min="28" max="28" width="17.85546875" style="14" customWidth="1"/>
    <col min="29" max="29" width="18.42578125" style="14" customWidth="1"/>
    <col min="30" max="30" width="3" style="14" customWidth="1"/>
    <col min="31" max="31" width="4.42578125" style="14" customWidth="1"/>
    <col min="32" max="34" width="9.140625" style="14"/>
    <col min="35" max="35" width="9.140625" style="14" customWidth="1"/>
    <col min="36" max="37" width="9.140625" style="14" hidden="1" customWidth="1"/>
    <col min="38" max="16384" width="9.140625" style="14"/>
  </cols>
  <sheetData>
    <row r="1" spans="1:65" s="17" customFormat="1" ht="12.6">
      <c r="B1" s="160" t="s">
        <v>847</v>
      </c>
      <c r="C1" s="1191" t="str">
        <f>FORM!I20</f>
        <v>September 1,2025</v>
      </c>
      <c r="D1" s="1192"/>
      <c r="E1" s="86"/>
      <c r="F1" s="132" t="s">
        <v>942</v>
      </c>
      <c r="G1" s="1528" t="s">
        <v>1058</v>
      </c>
      <c r="H1" s="1528"/>
      <c r="I1" s="1528"/>
      <c r="J1" s="15"/>
      <c r="K1" s="604" t="s">
        <v>847</v>
      </c>
      <c r="L1" s="1326" t="str">
        <f>C1</f>
        <v>September 1,2025</v>
      </c>
      <c r="M1" s="1327"/>
      <c r="O1" s="605"/>
      <c r="P1" s="606" t="s">
        <v>943</v>
      </c>
      <c r="Q1" s="1328" t="s">
        <v>1059</v>
      </c>
      <c r="S1" s="1912" t="s">
        <v>847</v>
      </c>
      <c r="T1" s="1912"/>
      <c r="U1" s="1913" t="str">
        <f>L1</f>
        <v>September 1,2025</v>
      </c>
      <c r="V1" s="1913"/>
      <c r="W1" s="1329"/>
      <c r="Y1" s="605"/>
      <c r="Z1" s="1914" t="s">
        <v>943</v>
      </c>
      <c r="AA1" s="1914"/>
      <c r="AB1" s="1913" t="s">
        <v>1060</v>
      </c>
      <c r="AC1" s="1913"/>
      <c r="AD1" s="1913"/>
    </row>
    <row r="2" spans="1:65" s="17" customFormat="1" ht="7.5" customHeight="1">
      <c r="B2" s="86"/>
      <c r="C2" s="87"/>
      <c r="D2" s="87"/>
      <c r="E2" s="86"/>
      <c r="F2" s="86"/>
      <c r="G2" s="86"/>
      <c r="H2" s="86"/>
      <c r="I2" s="86"/>
      <c r="K2" s="190"/>
      <c r="L2" s="190"/>
      <c r="M2" s="190"/>
      <c r="N2" s="190"/>
      <c r="O2" s="190"/>
      <c r="P2" s="190"/>
      <c r="Q2" s="190"/>
    </row>
    <row r="3" spans="1:65" s="17" customFormat="1" ht="14.25" customHeight="1">
      <c r="B3" s="1638" t="s">
        <v>1061</v>
      </c>
      <c r="C3" s="1638"/>
      <c r="D3" s="1638"/>
      <c r="E3" s="1638"/>
      <c r="F3" s="1638"/>
      <c r="G3" s="1638"/>
      <c r="H3" s="1638"/>
      <c r="I3" s="1638"/>
      <c r="J3" s="191"/>
      <c r="K3" s="1911" t="s">
        <v>853</v>
      </c>
      <c r="L3" s="1911"/>
      <c r="M3" s="1911"/>
      <c r="N3" s="1911"/>
      <c r="O3" s="1911"/>
      <c r="P3" s="1911"/>
      <c r="Q3" s="1911"/>
      <c r="S3" s="1911" t="s">
        <v>1062</v>
      </c>
      <c r="T3" s="1911"/>
      <c r="U3" s="1911"/>
      <c r="V3" s="1911"/>
      <c r="W3" s="1911"/>
      <c r="X3" s="1911"/>
      <c r="Y3" s="1911"/>
      <c r="Z3" s="1911"/>
      <c r="AA3" s="1911"/>
      <c r="AB3" s="1911"/>
      <c r="AC3" s="1911"/>
      <c r="AD3" s="1911"/>
    </row>
    <row r="4" spans="1:65" s="17" customFormat="1" ht="12.75" customHeight="1">
      <c r="B4" s="1638"/>
      <c r="C4" s="1638"/>
      <c r="D4" s="1638"/>
      <c r="E4" s="1638"/>
      <c r="F4" s="1638"/>
      <c r="G4" s="1638"/>
      <c r="H4" s="1638"/>
      <c r="I4" s="1638"/>
      <c r="J4" s="191"/>
      <c r="K4" s="1911"/>
      <c r="L4" s="1911"/>
      <c r="M4" s="1911"/>
      <c r="N4" s="1911"/>
      <c r="O4" s="1911"/>
      <c r="P4" s="1911"/>
      <c r="Q4" s="1911"/>
      <c r="S4" s="1911"/>
      <c r="T4" s="1911"/>
      <c r="U4" s="1911"/>
      <c r="V4" s="1911"/>
      <c r="W4" s="1911"/>
      <c r="X4" s="1911"/>
      <c r="Y4" s="1911"/>
      <c r="Z4" s="1911"/>
      <c r="AA4" s="1911"/>
      <c r="AB4" s="1911"/>
      <c r="AC4" s="1911"/>
      <c r="AD4" s="1911"/>
    </row>
    <row r="5" spans="1:65" s="17" customFormat="1" ht="12.75" customHeight="1">
      <c r="B5" s="174"/>
      <c r="C5" s="174"/>
      <c r="D5" s="207"/>
      <c r="E5" s="97"/>
      <c r="F5" s="97"/>
      <c r="G5" s="97"/>
      <c r="H5" s="97"/>
      <c r="I5" s="97"/>
      <c r="J5" s="192"/>
      <c r="K5" s="193"/>
      <c r="L5" s="194"/>
      <c r="M5" s="195"/>
      <c r="N5" s="194"/>
      <c r="O5" s="194"/>
      <c r="P5" s="194"/>
      <c r="Q5" s="195"/>
    </row>
    <row r="6" spans="1:65" s="16" customFormat="1" ht="12.6">
      <c r="A6" s="1330"/>
      <c r="B6" s="225" t="s">
        <v>854</v>
      </c>
      <c r="C6" s="226"/>
      <c r="D6" s="705" t="s">
        <v>802</v>
      </c>
      <c r="E6" s="1529" t="str">
        <f>FORM!I26</f>
        <v>cnc</v>
      </c>
      <c r="F6" s="1530"/>
      <c r="G6" s="1530"/>
      <c r="H6" s="1530"/>
      <c r="I6" s="1531"/>
      <c r="J6" s="4"/>
      <c r="K6" s="196" t="s">
        <v>854</v>
      </c>
      <c r="L6" s="197"/>
      <c r="M6" s="1228" t="s">
        <v>802</v>
      </c>
      <c r="N6" s="1891" t="str">
        <f>E6</f>
        <v>cnc</v>
      </c>
      <c r="O6" s="1891"/>
      <c r="P6" s="1891"/>
      <c r="Q6" s="1891"/>
      <c r="R6" s="1331"/>
      <c r="S6" s="196" t="s">
        <v>854</v>
      </c>
      <c r="T6" s="196"/>
      <c r="U6" s="196"/>
      <c r="V6" s="196"/>
      <c r="W6" s="1332" t="s">
        <v>802</v>
      </c>
      <c r="X6" s="1915" t="str">
        <f t="shared" ref="X6:X13" si="0">N6</f>
        <v>cnc</v>
      </c>
      <c r="Y6" s="1916"/>
      <c r="Z6" s="1916"/>
      <c r="AA6" s="1916"/>
      <c r="AB6" s="1916"/>
      <c r="AC6" s="1916"/>
      <c r="AD6" s="1917"/>
      <c r="AE6" s="1331"/>
      <c r="AF6" s="1331"/>
      <c r="AG6" s="1331"/>
      <c r="AH6" s="1331"/>
      <c r="AI6" s="1331"/>
      <c r="AJ6" s="1331"/>
      <c r="AK6" s="1331"/>
      <c r="AL6" s="1331"/>
      <c r="AM6" s="1331"/>
      <c r="AN6" s="1331"/>
      <c r="AO6" s="1331"/>
      <c r="AP6" s="1331"/>
      <c r="AQ6" s="1331"/>
      <c r="AR6" s="1331"/>
      <c r="AS6" s="1331"/>
      <c r="AT6" s="1331"/>
      <c r="AU6" s="1331"/>
      <c r="AV6" s="1331"/>
      <c r="AW6" s="1331"/>
      <c r="AX6" s="1331"/>
      <c r="AY6" s="1335"/>
      <c r="AZ6" s="1331"/>
      <c r="BA6" s="1331"/>
      <c r="BB6" s="1331"/>
      <c r="BC6" s="1331"/>
      <c r="BD6" s="1331"/>
      <c r="BE6" s="1331"/>
      <c r="BF6" s="1331"/>
      <c r="BG6" s="1331"/>
      <c r="BH6" s="1331"/>
      <c r="BI6" s="1331"/>
      <c r="BJ6" s="1331"/>
      <c r="BK6" s="1331"/>
      <c r="BL6" s="1336"/>
      <c r="BM6" s="1337"/>
    </row>
    <row r="7" spans="1:65" s="16" customFormat="1" ht="12.6">
      <c r="A7" s="1330"/>
      <c r="B7" s="144" t="s">
        <v>801</v>
      </c>
      <c r="C7" s="227"/>
      <c r="D7" s="705" t="s">
        <v>802</v>
      </c>
      <c r="E7" s="1543" t="str">
        <f>FORM!I11</f>
        <v>The Southprime Flats</v>
      </c>
      <c r="F7" s="1544"/>
      <c r="G7" s="1200" t="str">
        <f>FORM!I14</f>
        <v>B1</v>
      </c>
      <c r="H7" s="1200"/>
      <c r="I7" s="1201"/>
      <c r="J7" s="4"/>
      <c r="K7" s="198" t="s">
        <v>801</v>
      </c>
      <c r="L7" s="199"/>
      <c r="M7" s="1228" t="s">
        <v>802</v>
      </c>
      <c r="N7" s="1891" t="str">
        <f>E7</f>
        <v>The Southprime Flats</v>
      </c>
      <c r="O7" s="1891"/>
      <c r="P7" s="1891"/>
      <c r="Q7" s="1891"/>
      <c r="R7" s="1331"/>
      <c r="S7" s="196" t="s">
        <v>801</v>
      </c>
      <c r="T7" s="196"/>
      <c r="U7" s="196"/>
      <c r="V7" s="196"/>
      <c r="W7" s="1332" t="s">
        <v>802</v>
      </c>
      <c r="X7" s="1915" t="str">
        <f t="shared" si="0"/>
        <v>The Southprime Flats</v>
      </c>
      <c r="Y7" s="1916"/>
      <c r="Z7" s="1916"/>
      <c r="AA7" s="1916"/>
      <c r="AB7" s="1916"/>
      <c r="AC7" s="1916"/>
      <c r="AD7" s="1917"/>
      <c r="AE7" s="1331"/>
      <c r="AF7" s="1331"/>
      <c r="AG7" s="1331"/>
      <c r="AH7" s="1331"/>
      <c r="AI7" s="1331"/>
      <c r="AJ7" s="1331"/>
      <c r="AK7" s="1331"/>
      <c r="AL7" s="1331"/>
      <c r="AM7" s="1331"/>
      <c r="AN7" s="1331"/>
      <c r="AO7" s="1331"/>
      <c r="AP7" s="1331"/>
      <c r="AQ7" s="1331"/>
      <c r="AR7" s="1331"/>
      <c r="AS7" s="1331"/>
      <c r="AT7" s="1331"/>
      <c r="AU7" s="1331"/>
      <c r="AV7" s="1331"/>
      <c r="AW7" s="1331"/>
      <c r="AX7" s="1331"/>
      <c r="AY7" s="1335"/>
      <c r="AZ7" s="1331"/>
      <c r="BA7" s="1331"/>
      <c r="BB7" s="1331"/>
      <c r="BC7" s="1331"/>
      <c r="BD7" s="1331"/>
      <c r="BE7" s="1331"/>
      <c r="BF7" s="1331"/>
      <c r="BG7" s="1331"/>
      <c r="BH7" s="1331"/>
      <c r="BI7" s="1331"/>
      <c r="BJ7" s="1331"/>
      <c r="BK7" s="1331"/>
      <c r="BL7" s="1336"/>
      <c r="BM7" s="1337"/>
    </row>
    <row r="8" spans="1:65" s="16" customFormat="1" ht="12.6">
      <c r="A8" s="1330"/>
      <c r="B8" s="144" t="s">
        <v>855</v>
      </c>
      <c r="C8" s="227"/>
      <c r="D8" s="705" t="s">
        <v>802</v>
      </c>
      <c r="E8" s="1529" t="str">
        <f>'STANDARD_NON RFO UNITS'!E8</f>
        <v>2F</v>
      </c>
      <c r="F8" s="1530"/>
      <c r="G8" s="1530"/>
      <c r="H8" s="1530"/>
      <c r="I8" s="1531"/>
      <c r="J8" s="4"/>
      <c r="K8" s="198" t="s">
        <v>855</v>
      </c>
      <c r="L8" s="199"/>
      <c r="M8" s="1228" t="s">
        <v>802</v>
      </c>
      <c r="N8" s="1891" t="str">
        <f>E8</f>
        <v>2F</v>
      </c>
      <c r="O8" s="1891"/>
      <c r="P8" s="1891"/>
      <c r="Q8" s="1891"/>
      <c r="R8" s="1331"/>
      <c r="S8" s="196" t="s">
        <v>855</v>
      </c>
      <c r="T8" s="196"/>
      <c r="U8" s="196"/>
      <c r="V8" s="196"/>
      <c r="W8" s="1332" t="s">
        <v>802</v>
      </c>
      <c r="X8" s="1915" t="str">
        <f t="shared" si="0"/>
        <v>2F</v>
      </c>
      <c r="Y8" s="1916"/>
      <c r="Z8" s="1916"/>
      <c r="AA8" s="1916"/>
      <c r="AB8" s="1916"/>
      <c r="AC8" s="1916"/>
      <c r="AD8" s="1917"/>
      <c r="AE8" s="1331"/>
      <c r="AF8" s="1331"/>
      <c r="AG8" s="1331"/>
      <c r="AH8" s="1331"/>
      <c r="AI8" s="1331"/>
      <c r="AJ8" s="1331"/>
      <c r="AK8" s="1331"/>
      <c r="AL8" s="1331"/>
      <c r="AM8" s="1331"/>
      <c r="AN8" s="1331"/>
      <c r="AO8" s="1331"/>
      <c r="AP8" s="1331"/>
      <c r="AQ8" s="1331"/>
      <c r="AR8" s="1331"/>
      <c r="AS8" s="1331"/>
      <c r="AT8" s="1331"/>
      <c r="AU8" s="1331"/>
      <c r="AV8" s="1331"/>
      <c r="AW8" s="1331"/>
      <c r="AX8" s="1331"/>
      <c r="AY8" s="1335"/>
      <c r="AZ8" s="1331"/>
      <c r="BA8" s="1331"/>
      <c r="BB8" s="1331"/>
      <c r="BC8" s="1331"/>
      <c r="BD8" s="1331"/>
      <c r="BE8" s="1331"/>
      <c r="BF8" s="1331"/>
      <c r="BG8" s="1331"/>
      <c r="BH8" s="1331"/>
      <c r="BI8" s="1331"/>
      <c r="BJ8" s="1331"/>
      <c r="BK8" s="1331"/>
      <c r="BL8" s="1336"/>
      <c r="BM8" s="1337"/>
    </row>
    <row r="9" spans="1:65" s="16" customFormat="1" ht="12.6" hidden="1">
      <c r="A9" s="1330"/>
      <c r="B9" s="144" t="s">
        <v>856</v>
      </c>
      <c r="C9" s="227"/>
      <c r="D9" s="705" t="s">
        <v>802</v>
      </c>
      <c r="E9" s="1529" t="e">
        <f>FORM!#REF!</f>
        <v>#REF!</v>
      </c>
      <c r="F9" s="1530"/>
      <c r="G9" s="1530"/>
      <c r="H9" s="1530"/>
      <c r="I9" s="1531"/>
      <c r="J9" s="4"/>
      <c r="K9" s="198" t="s">
        <v>856</v>
      </c>
      <c r="L9" s="199"/>
      <c r="M9" s="1228" t="s">
        <v>802</v>
      </c>
      <c r="N9" s="1891" t="e">
        <f>FORM!#REF!</f>
        <v>#REF!</v>
      </c>
      <c r="O9" s="1891"/>
      <c r="P9" s="1891"/>
      <c r="Q9" s="1891"/>
      <c r="R9" s="1331"/>
      <c r="S9" s="196" t="s">
        <v>856</v>
      </c>
      <c r="T9" s="196"/>
      <c r="U9" s="196"/>
      <c r="V9" s="196"/>
      <c r="W9" s="1332" t="s">
        <v>802</v>
      </c>
      <c r="X9" s="1915" t="e">
        <f t="shared" si="0"/>
        <v>#REF!</v>
      </c>
      <c r="Y9" s="1916"/>
      <c r="Z9" s="1916"/>
      <c r="AA9" s="1916"/>
      <c r="AB9" s="1916"/>
      <c r="AC9" s="1916"/>
      <c r="AD9" s="1917"/>
      <c r="AE9" s="1331"/>
      <c r="AF9" s="1331"/>
      <c r="AG9" s="1331"/>
      <c r="AH9" s="1331"/>
      <c r="AI9" s="1331"/>
      <c r="AJ9" s="1331"/>
      <c r="AK9" s="1331"/>
      <c r="AL9" s="1331"/>
      <c r="AM9" s="1331"/>
      <c r="AN9" s="1331"/>
      <c r="AO9" s="1331"/>
      <c r="AP9" s="1331"/>
      <c r="AQ9" s="1331"/>
      <c r="AR9" s="1331"/>
      <c r="AS9" s="1331"/>
      <c r="AT9" s="1331"/>
      <c r="AU9" s="1331"/>
      <c r="AV9" s="1331"/>
      <c r="AW9" s="1331"/>
      <c r="AX9" s="1331"/>
      <c r="AY9" s="1335"/>
      <c r="AZ9" s="1331"/>
      <c r="BA9" s="1331"/>
      <c r="BB9" s="1331"/>
      <c r="BC9" s="1331"/>
      <c r="BD9" s="1331"/>
      <c r="BE9" s="1331"/>
      <c r="BF9" s="1331"/>
      <c r="BG9" s="1331"/>
      <c r="BH9" s="1331"/>
      <c r="BI9" s="1331"/>
      <c r="BJ9" s="1331"/>
      <c r="BK9" s="1331"/>
      <c r="BL9" s="1336"/>
      <c r="BM9" s="1337"/>
    </row>
    <row r="10" spans="1:65" s="16" customFormat="1" ht="12.6">
      <c r="A10" s="1330"/>
      <c r="B10" s="144" t="s">
        <v>857</v>
      </c>
      <c r="C10" s="227"/>
      <c r="D10" s="705" t="s">
        <v>802</v>
      </c>
      <c r="E10" s="1529" t="str">
        <f>'STANDARD_NON RFO UNITS'!E10</f>
        <v>Studio Unit</v>
      </c>
      <c r="F10" s="1530"/>
      <c r="G10" s="1530"/>
      <c r="H10" s="1530"/>
      <c r="I10" s="1531"/>
      <c r="J10" s="4"/>
      <c r="K10" s="198" t="s">
        <v>857</v>
      </c>
      <c r="L10" s="199"/>
      <c r="M10" s="1228" t="s">
        <v>802</v>
      </c>
      <c r="N10" s="1891" t="str">
        <f>E10</f>
        <v>Studio Unit</v>
      </c>
      <c r="O10" s="1891"/>
      <c r="P10" s="1891"/>
      <c r="Q10" s="1891"/>
      <c r="R10" s="1331"/>
      <c r="S10" s="196" t="s">
        <v>857</v>
      </c>
      <c r="T10" s="196"/>
      <c r="U10" s="196"/>
      <c r="V10" s="196"/>
      <c r="W10" s="1332" t="s">
        <v>802</v>
      </c>
      <c r="X10" s="1915" t="str">
        <f t="shared" si="0"/>
        <v>Studio Unit</v>
      </c>
      <c r="Y10" s="1916"/>
      <c r="Z10" s="1916"/>
      <c r="AA10" s="1916"/>
      <c r="AB10" s="1916"/>
      <c r="AC10" s="1916"/>
      <c r="AD10" s="1917"/>
      <c r="AE10" s="1331"/>
      <c r="AF10" s="1331"/>
      <c r="AG10" s="1331"/>
      <c r="AH10" s="1331"/>
      <c r="AI10" s="1331"/>
      <c r="AJ10" s="1331"/>
      <c r="AK10" s="1331"/>
      <c r="AL10" s="1331"/>
      <c r="AM10" s="1331"/>
      <c r="AN10" s="1331"/>
      <c r="AO10" s="1331"/>
      <c r="AP10" s="1331"/>
      <c r="AQ10" s="1331"/>
      <c r="AR10" s="1331"/>
      <c r="AS10" s="1331"/>
      <c r="AT10" s="1331"/>
      <c r="AU10" s="1331"/>
      <c r="AV10" s="1331"/>
      <c r="AW10" s="1331"/>
      <c r="AX10" s="1331"/>
      <c r="AY10" s="1335"/>
      <c r="AZ10" s="1331"/>
      <c r="BA10" s="1331"/>
      <c r="BB10" s="1331"/>
      <c r="BC10" s="1331"/>
      <c r="BD10" s="1331"/>
      <c r="BE10" s="1331"/>
      <c r="BF10" s="1331"/>
      <c r="BG10" s="1331"/>
      <c r="BH10" s="1331"/>
      <c r="BI10" s="1331"/>
      <c r="BJ10" s="1331"/>
      <c r="BK10" s="1331"/>
      <c r="BL10" s="1336"/>
      <c r="BM10" s="1337"/>
    </row>
    <row r="11" spans="1:65" s="16" customFormat="1" ht="12.6">
      <c r="A11" s="1330"/>
      <c r="B11" s="144" t="s">
        <v>858</v>
      </c>
      <c r="C11" s="227"/>
      <c r="D11" s="705" t="s">
        <v>802</v>
      </c>
      <c r="E11" s="1539">
        <f>'STANDARD_NON RFO UNITS'!E11:F11</f>
        <v>22</v>
      </c>
      <c r="F11" s="1540"/>
      <c r="G11" s="1541" t="s">
        <v>859</v>
      </c>
      <c r="H11" s="1541"/>
      <c r="I11" s="1542"/>
      <c r="J11" s="4"/>
      <c r="K11" s="198" t="s">
        <v>858</v>
      </c>
      <c r="L11" s="199"/>
      <c r="M11" s="1228" t="s">
        <v>802</v>
      </c>
      <c r="N11" s="1903">
        <f>E11</f>
        <v>22</v>
      </c>
      <c r="O11" s="1904"/>
      <c r="P11" s="1882" t="s">
        <v>859</v>
      </c>
      <c r="Q11" s="1883"/>
      <c r="R11" s="1331"/>
      <c r="S11" s="196" t="s">
        <v>858</v>
      </c>
      <c r="T11" s="196"/>
      <c r="U11" s="196"/>
      <c r="V11" s="196"/>
      <c r="W11" s="1332" t="s">
        <v>802</v>
      </c>
      <c r="X11" s="1903">
        <f t="shared" si="0"/>
        <v>22</v>
      </c>
      <c r="Y11" s="1905"/>
      <c r="Z11" s="1338" t="s">
        <v>859</v>
      </c>
      <c r="AA11" s="1338"/>
      <c r="AB11" s="1339"/>
      <c r="AC11" s="1339"/>
      <c r="AD11" s="1340"/>
      <c r="AE11" s="1331"/>
      <c r="AF11" s="1331"/>
      <c r="AG11" s="1331"/>
      <c r="AH11" s="1331"/>
      <c r="AI11" s="1331"/>
      <c r="AJ11" s="1331"/>
      <c r="AK11" s="1331"/>
      <c r="AL11" s="1331"/>
      <c r="AM11" s="1331"/>
      <c r="AN11" s="1331"/>
      <c r="AO11" s="1331"/>
      <c r="AP11" s="1331"/>
      <c r="AQ11" s="1331"/>
      <c r="AR11" s="1331"/>
      <c r="AS11" s="1331"/>
      <c r="AT11" s="1331"/>
      <c r="AU11" s="1331"/>
      <c r="AV11" s="1331"/>
      <c r="AW11" s="1331"/>
      <c r="AX11" s="1331"/>
      <c r="AY11" s="1335"/>
      <c r="AZ11" s="1331"/>
      <c r="BA11" s="1331"/>
      <c r="BB11" s="1331"/>
      <c r="BC11" s="1331"/>
      <c r="BD11" s="1331"/>
      <c r="BE11" s="1331"/>
      <c r="BF11" s="1331"/>
      <c r="BG11" s="1331"/>
      <c r="BH11" s="1331"/>
      <c r="BI11" s="1331"/>
      <c r="BJ11" s="1331"/>
      <c r="BK11" s="1331"/>
      <c r="BL11" s="1336"/>
      <c r="BM11" s="1337"/>
    </row>
    <row r="12" spans="1:65" s="16" customFormat="1" ht="12.6">
      <c r="A12" s="1330"/>
      <c r="B12" s="148" t="s">
        <v>860</v>
      </c>
      <c r="C12" s="227"/>
      <c r="D12" s="705" t="s">
        <v>802</v>
      </c>
      <c r="E12" s="1545">
        <f>'STANDARD_NON RFO UNITS'!E12:F12</f>
        <v>0</v>
      </c>
      <c r="F12" s="1546"/>
      <c r="G12" s="1541" t="s">
        <v>859</v>
      </c>
      <c r="H12" s="1541"/>
      <c r="I12" s="1542"/>
      <c r="J12" s="4"/>
      <c r="K12" s="199" t="s">
        <v>860</v>
      </c>
      <c r="L12" s="199"/>
      <c r="M12" s="1228" t="s">
        <v>802</v>
      </c>
      <c r="N12" s="1906">
        <f>E12</f>
        <v>0</v>
      </c>
      <c r="O12" s="1907"/>
      <c r="P12" s="1882" t="s">
        <v>859</v>
      </c>
      <c r="Q12" s="1883"/>
      <c r="R12" s="1331"/>
      <c r="S12" s="196" t="s">
        <v>860</v>
      </c>
      <c r="T12" s="196"/>
      <c r="U12" s="196"/>
      <c r="V12" s="196"/>
      <c r="W12" s="1332" t="s">
        <v>802</v>
      </c>
      <c r="X12" s="1903">
        <f t="shared" si="0"/>
        <v>0</v>
      </c>
      <c r="Y12" s="1905"/>
      <c r="Z12" s="1338" t="s">
        <v>859</v>
      </c>
      <c r="AA12" s="1338"/>
      <c r="AB12" s="1339"/>
      <c r="AC12" s="1339"/>
      <c r="AD12" s="1340"/>
      <c r="AE12" s="1331"/>
      <c r="AF12" s="1331"/>
      <c r="AG12" s="1331"/>
      <c r="AH12" s="1331"/>
      <c r="AI12" s="1331"/>
      <c r="AJ12" s="1331"/>
      <c r="AK12" s="1331"/>
      <c r="AL12" s="1331"/>
      <c r="AM12" s="1331"/>
      <c r="AN12" s="1331"/>
      <c r="AO12" s="1331"/>
      <c r="AP12" s="1331"/>
      <c r="AQ12" s="1331"/>
      <c r="AR12" s="1331"/>
      <c r="AS12" s="1331"/>
      <c r="AT12" s="1331"/>
      <c r="AU12" s="1331"/>
      <c r="AV12" s="1331"/>
      <c r="AW12" s="1331"/>
      <c r="AX12" s="1331"/>
      <c r="AY12" s="1335"/>
      <c r="AZ12" s="1331"/>
      <c r="BA12" s="1331"/>
      <c r="BB12" s="1331"/>
      <c r="BC12" s="1331"/>
      <c r="BD12" s="1331"/>
      <c r="BE12" s="1331"/>
      <c r="BF12" s="1331"/>
      <c r="BG12" s="1331"/>
      <c r="BH12" s="1331"/>
      <c r="BI12" s="1331"/>
      <c r="BJ12" s="1331"/>
      <c r="BK12" s="1331"/>
      <c r="BL12" s="1336"/>
      <c r="BM12" s="1337"/>
    </row>
    <row r="13" spans="1:65" s="16" customFormat="1" ht="12.6">
      <c r="A13" s="1330"/>
      <c r="B13" s="238" t="s">
        <v>861</v>
      </c>
      <c r="C13" s="101"/>
      <c r="D13" s="705" t="s">
        <v>802</v>
      </c>
      <c r="E13" s="1545">
        <f>'STANDARD_NON RFO UNITS'!E13:F13</f>
        <v>22</v>
      </c>
      <c r="F13" s="1546"/>
      <c r="G13" s="1541" t="s">
        <v>859</v>
      </c>
      <c r="H13" s="1541"/>
      <c r="I13" s="1542"/>
      <c r="J13" s="4"/>
      <c r="K13" s="200" t="s">
        <v>861</v>
      </c>
      <c r="L13" s="201"/>
      <c r="M13" s="1228" t="s">
        <v>802</v>
      </c>
      <c r="N13" s="1906">
        <f>E13</f>
        <v>22</v>
      </c>
      <c r="O13" s="1907"/>
      <c r="P13" s="1882" t="s">
        <v>859</v>
      </c>
      <c r="Q13" s="1883"/>
      <c r="R13" s="1331"/>
      <c r="S13" s="196" t="s">
        <v>861</v>
      </c>
      <c r="T13" s="196"/>
      <c r="U13" s="196"/>
      <c r="V13" s="196"/>
      <c r="W13" s="1332" t="s">
        <v>802</v>
      </c>
      <c r="X13" s="1903">
        <f t="shared" si="0"/>
        <v>22</v>
      </c>
      <c r="Y13" s="1905"/>
      <c r="Z13" s="1338" t="s">
        <v>859</v>
      </c>
      <c r="AA13" s="1338"/>
      <c r="AB13" s="1339"/>
      <c r="AC13" s="1339"/>
      <c r="AD13" s="1340"/>
      <c r="AE13" s="1331"/>
      <c r="AF13" s="1331"/>
      <c r="AG13" s="1331"/>
      <c r="AH13" s="1331"/>
      <c r="AI13" s="1331"/>
      <c r="AJ13" s="1331"/>
      <c r="AK13" s="1331"/>
      <c r="AL13" s="1331"/>
      <c r="AM13" s="1331"/>
      <c r="AN13" s="1331"/>
      <c r="AO13" s="1331"/>
      <c r="AP13" s="1331"/>
      <c r="AQ13" s="1331"/>
      <c r="AR13" s="1331"/>
      <c r="AS13" s="1331"/>
      <c r="AT13" s="1331"/>
      <c r="AU13" s="1331"/>
      <c r="AV13" s="1331"/>
      <c r="AW13" s="1331"/>
      <c r="AX13" s="1331"/>
      <c r="AY13" s="1335"/>
      <c r="AZ13" s="1331"/>
      <c r="BA13" s="1331"/>
      <c r="BB13" s="1331"/>
      <c r="BC13" s="1331"/>
      <c r="BD13" s="1331"/>
      <c r="BE13" s="1331"/>
      <c r="BF13" s="1331"/>
      <c r="BG13" s="1331"/>
      <c r="BH13" s="1331"/>
      <c r="BI13" s="1331"/>
      <c r="BJ13" s="1331"/>
      <c r="BK13" s="1331"/>
      <c r="BL13" s="1336"/>
      <c r="BM13" s="1337"/>
    </row>
    <row r="14" spans="1:65" s="16" customFormat="1" ht="12.6">
      <c r="A14" s="1331"/>
      <c r="B14" s="1330"/>
      <c r="C14" s="1330"/>
      <c r="D14" s="1228"/>
      <c r="E14" s="1330"/>
      <c r="F14" s="1330"/>
      <c r="G14" s="1330"/>
      <c r="H14" s="1330"/>
      <c r="I14" s="1330"/>
      <c r="J14" s="1331"/>
      <c r="K14" s="1331"/>
      <c r="L14" s="1331"/>
      <c r="M14" s="1341"/>
      <c r="N14" s="1331"/>
      <c r="O14" s="1331"/>
      <c r="P14" s="1331"/>
      <c r="Q14" s="1331"/>
      <c r="R14" s="1331"/>
      <c r="S14" s="1331"/>
      <c r="T14" s="1331"/>
      <c r="U14" s="1331"/>
      <c r="V14" s="1331"/>
      <c r="W14" s="1331"/>
      <c r="X14" s="1331"/>
      <c r="Y14" s="1331"/>
      <c r="Z14" s="1331"/>
      <c r="AA14" s="1331"/>
      <c r="AB14" s="1331"/>
      <c r="AC14" s="1331"/>
      <c r="AD14" s="1331"/>
      <c r="AE14" s="1331"/>
      <c r="AF14" s="1331"/>
      <c r="AG14" s="1331"/>
      <c r="AH14" s="1331"/>
      <c r="AI14" s="1331"/>
      <c r="AJ14" s="1331"/>
      <c r="AK14" s="1331"/>
      <c r="AL14" s="1331"/>
      <c r="AM14" s="1331"/>
      <c r="AN14" s="1331"/>
      <c r="AO14" s="1331"/>
      <c r="AP14" s="1331"/>
      <c r="AQ14" s="1331"/>
      <c r="AR14" s="1331"/>
      <c r="AS14" s="1331"/>
      <c r="AT14" s="1331"/>
      <c r="AU14" s="1331"/>
      <c r="AV14" s="1331"/>
      <c r="AW14" s="1331"/>
      <c r="AX14" s="1331"/>
      <c r="AY14" s="1331"/>
      <c r="AZ14" s="1331"/>
      <c r="BA14" s="1331"/>
      <c r="BB14" s="1331"/>
      <c r="BC14" s="1331"/>
      <c r="BD14" s="1331"/>
      <c r="BE14" s="1331"/>
      <c r="BF14" s="1331"/>
      <c r="BG14" s="1331"/>
      <c r="BH14" s="1331"/>
      <c r="BI14" s="1331"/>
      <c r="BJ14" s="1331"/>
      <c r="BK14" s="1331"/>
      <c r="BL14" s="1331"/>
      <c r="BM14" s="1331"/>
    </row>
    <row r="15" spans="1:65" s="16" customFormat="1" ht="12.6">
      <c r="A15" s="1331"/>
      <c r="B15" s="564" t="s">
        <v>862</v>
      </c>
      <c r="C15" s="565"/>
      <c r="D15" s="4" t="s">
        <v>802</v>
      </c>
      <c r="E15" s="566"/>
      <c r="F15" s="1884">
        <f>'STANDARD_NON RFO UNITS'!F15</f>
        <v>3195170.8635638431</v>
      </c>
      <c r="G15" s="1884"/>
      <c r="H15" s="1884"/>
      <c r="I15" s="1885"/>
      <c r="J15" s="203"/>
      <c r="K15" s="1914" t="s">
        <v>863</v>
      </c>
      <c r="L15" s="1914"/>
      <c r="M15" s="1908" t="s">
        <v>773</v>
      </c>
      <c r="N15" s="1914" t="s">
        <v>776</v>
      </c>
      <c r="O15" s="1914"/>
      <c r="P15" s="1921" t="s">
        <v>214</v>
      </c>
      <c r="Q15" s="1922"/>
      <c r="R15" s="1331"/>
      <c r="S15" s="1918" t="s">
        <v>1063</v>
      </c>
      <c r="T15" s="1919"/>
      <c r="U15" s="1919"/>
      <c r="V15" s="1919"/>
      <c r="W15" s="1919"/>
      <c r="X15" s="1919"/>
      <c r="Y15" s="1919"/>
      <c r="Z15" s="1919"/>
      <c r="AA15" s="1919"/>
      <c r="AB15" s="1919"/>
      <c r="AC15" s="1919"/>
      <c r="AD15" s="1920"/>
      <c r="AE15" s="1331"/>
      <c r="AF15" s="1331"/>
      <c r="AG15" s="1331"/>
      <c r="AH15" s="1331"/>
      <c r="AI15" s="1331"/>
      <c r="AJ15" s="1331"/>
      <c r="AK15" s="1331"/>
      <c r="AL15" s="1331"/>
      <c r="AM15" s="1331"/>
      <c r="AN15" s="1331"/>
      <c r="AO15" s="1331"/>
      <c r="AP15" s="1331"/>
      <c r="AQ15" s="1331"/>
      <c r="AR15" s="1331"/>
      <c r="AS15" s="1331"/>
      <c r="AT15" s="1331"/>
      <c r="AU15" s="1331"/>
      <c r="AV15" s="1331"/>
      <c r="AW15" s="1331"/>
      <c r="AX15" s="1331"/>
      <c r="AY15" s="1331"/>
      <c r="AZ15" s="1331"/>
      <c r="BA15" s="1331"/>
      <c r="BB15" s="1331"/>
      <c r="BC15" s="1331"/>
      <c r="BD15" s="1331"/>
      <c r="BE15" s="1331"/>
      <c r="BF15" s="1331"/>
      <c r="BG15" s="1331"/>
      <c r="BH15" s="1331"/>
      <c r="BI15" s="1331"/>
      <c r="BJ15" s="1331"/>
      <c r="BK15" s="1331"/>
      <c r="BL15" s="1331"/>
      <c r="BM15" s="1331"/>
    </row>
    <row r="16" spans="1:65" s="203" customFormat="1" ht="12.6">
      <c r="B16" s="1699" t="s">
        <v>1035</v>
      </c>
      <c r="C16" s="1699"/>
      <c r="D16" s="1228" t="s">
        <v>802</v>
      </c>
      <c r="E16" s="567"/>
      <c r="F16" s="1886">
        <f>(F15-F17)*E25*E16</f>
        <v>0</v>
      </c>
      <c r="G16" s="1886"/>
      <c r="H16" s="1886"/>
      <c r="I16" s="1887"/>
      <c r="J16" s="1331"/>
      <c r="K16" s="1914"/>
      <c r="L16" s="1914"/>
      <c r="M16" s="1908"/>
      <c r="N16" s="1914"/>
      <c r="O16" s="1914"/>
      <c r="P16" s="1923"/>
      <c r="Q16" s="1924"/>
      <c r="S16" s="204" t="s">
        <v>1064</v>
      </c>
      <c r="T16" s="205"/>
      <c r="U16" s="568"/>
      <c r="V16" s="568"/>
      <c r="W16" s="568"/>
      <c r="X16" s="205" t="s">
        <v>1065</v>
      </c>
      <c r="Y16" s="568"/>
      <c r="Z16" s="568"/>
      <c r="AA16" s="568"/>
      <c r="AB16" s="568"/>
      <c r="AC16" s="568"/>
      <c r="AD16" s="569"/>
    </row>
    <row r="17" spans="1:43" s="16" customFormat="1" ht="12.6">
      <c r="A17" s="1331"/>
      <c r="B17" s="144" t="s">
        <v>864</v>
      </c>
      <c r="C17" s="148"/>
      <c r="D17" s="1228"/>
      <c r="E17" s="570"/>
      <c r="F17" s="571">
        <f>'STANDARD_NON RFO UNITS'!F16:I16</f>
        <v>0</v>
      </c>
      <c r="G17" s="571"/>
      <c r="H17" s="571"/>
      <c r="I17" s="572"/>
      <c r="J17" s="203"/>
      <c r="K17" s="1891" t="s">
        <v>820</v>
      </c>
      <c r="L17" s="1891"/>
      <c r="M17" s="1342" t="str">
        <f>C1</f>
        <v>September 1,2025</v>
      </c>
      <c r="N17" s="1614">
        <f>F26</f>
        <v>30000</v>
      </c>
      <c r="O17" s="1614"/>
      <c r="P17" s="1333"/>
      <c r="Q17" s="1334"/>
      <c r="R17" s="1331"/>
      <c r="S17" s="1343"/>
      <c r="T17" s="1344"/>
      <c r="U17" s="1344"/>
      <c r="V17" s="1344"/>
      <c r="W17" s="1344"/>
      <c r="X17" s="1344"/>
      <c r="Y17" s="1344"/>
      <c r="Z17" s="1344"/>
      <c r="AA17" s="1344"/>
      <c r="AB17" s="1344"/>
      <c r="AC17" s="1344"/>
      <c r="AD17" s="1345"/>
      <c r="AE17" s="1331"/>
      <c r="AF17" s="1331"/>
      <c r="AG17" s="1331"/>
      <c r="AH17" s="1331"/>
      <c r="AI17" s="1331"/>
      <c r="AJ17" s="1331"/>
      <c r="AK17" s="1331"/>
      <c r="AL17" s="1331"/>
      <c r="AM17" s="1331"/>
      <c r="AN17" s="1331"/>
      <c r="AO17" s="1331"/>
      <c r="AP17" s="1331"/>
      <c r="AQ17" s="1331"/>
    </row>
    <row r="18" spans="1:43" s="203" customFormat="1" ht="12.6">
      <c r="B18" s="573" t="s">
        <v>865</v>
      </c>
      <c r="C18" s="574"/>
      <c r="D18" s="4" t="s">
        <v>802</v>
      </c>
      <c r="E18" s="570"/>
      <c r="F18" s="1899">
        <f>F15-F16-F17</f>
        <v>3195170.8635638431</v>
      </c>
      <c r="G18" s="1884"/>
      <c r="H18" s="1884"/>
      <c r="I18" s="1885"/>
      <c r="J18" s="1331"/>
      <c r="K18" s="1891" t="s">
        <v>945</v>
      </c>
      <c r="L18" s="1891"/>
      <c r="M18" s="1342" t="e">
        <f>'STANDARD_NON RFO UNITS'!M18</f>
        <v>#VALUE!</v>
      </c>
      <c r="N18" s="1614"/>
      <c r="O18" s="1614"/>
      <c r="P18" s="1333"/>
      <c r="Q18" s="1334"/>
      <c r="S18" s="1346"/>
      <c r="T18" s="1331"/>
      <c r="U18" s="1331"/>
      <c r="V18" s="1331"/>
      <c r="W18" s="1347" t="s">
        <v>1066</v>
      </c>
      <c r="X18" s="1348"/>
      <c r="Y18" s="1348"/>
      <c r="Z18" s="1348"/>
      <c r="AA18" s="1348"/>
      <c r="AB18" s="1348"/>
      <c r="AC18" s="1348"/>
      <c r="AD18" s="1349"/>
      <c r="AJ18" s="575"/>
      <c r="AK18" s="575"/>
    </row>
    <row r="19" spans="1:43" s="16" customFormat="1" ht="12.95">
      <c r="A19" s="1331"/>
      <c r="B19" s="576"/>
      <c r="C19" s="1330"/>
      <c r="D19" s="1228"/>
      <c r="E19" s="1350"/>
      <c r="F19" s="1351"/>
      <c r="G19" s="1351"/>
      <c r="H19" s="1351"/>
      <c r="I19" s="1352"/>
      <c r="J19" s="1331"/>
      <c r="K19" s="1891" t="s">
        <v>869</v>
      </c>
      <c r="L19" s="1891"/>
      <c r="M19" s="1342" t="str">
        <f>'STANDARD_NON RFO UNITS'!M19</f>
        <v/>
      </c>
      <c r="N19" s="1614"/>
      <c r="O19" s="1614"/>
      <c r="P19" s="1333"/>
      <c r="Q19" s="1334"/>
      <c r="R19" s="1331"/>
      <c r="S19" s="1346"/>
      <c r="T19" s="1331"/>
      <c r="U19" s="1331"/>
      <c r="V19" s="1331"/>
      <c r="W19" s="1347"/>
      <c r="X19" s="577"/>
      <c r="Y19" s="577"/>
      <c r="Z19" s="577"/>
      <c r="AA19" s="577"/>
      <c r="AB19" s="1348"/>
      <c r="AC19" s="577"/>
      <c r="AD19" s="1349"/>
      <c r="AE19" s="1331"/>
      <c r="AF19" s="1331"/>
      <c r="AG19" s="1331"/>
      <c r="AH19" s="1331"/>
      <c r="AI19" s="1331"/>
      <c r="AJ19" s="1898" t="s">
        <v>866</v>
      </c>
      <c r="AK19" s="1898"/>
      <c r="AL19" s="1331"/>
      <c r="AM19" s="1331"/>
      <c r="AN19" s="1331"/>
      <c r="AO19" s="1331"/>
      <c r="AP19" s="1891"/>
      <c r="AQ19" s="1891"/>
    </row>
    <row r="20" spans="1:43" s="16" customFormat="1" ht="12.95">
      <c r="A20" s="1331"/>
      <c r="B20" s="199" t="s">
        <v>868</v>
      </c>
      <c r="C20" s="199"/>
      <c r="D20" s="1228" t="s">
        <v>802</v>
      </c>
      <c r="E20" s="1353">
        <v>0.12</v>
      </c>
      <c r="F20" s="1901">
        <f>IF(OR(ISBLANK('STANDARD_NON RFO UNITS'!F19), 'STANDARD_NON RFO UNITS'!F19 = 0), 0, 0.12 * F18)</f>
        <v>0</v>
      </c>
      <c r="G20" s="1886"/>
      <c r="H20" s="1886"/>
      <c r="I20" s="1887"/>
      <c r="J20" s="1331"/>
      <c r="K20" s="1891" t="s">
        <v>871</v>
      </c>
      <c r="L20" s="1891"/>
      <c r="M20" s="1342" t="str">
        <f>'STANDARD_NON RFO UNITS'!M20</f>
        <v/>
      </c>
      <c r="N20" s="1614"/>
      <c r="O20" s="1614"/>
      <c r="P20" s="1333"/>
      <c r="Q20" s="1334"/>
      <c r="R20" s="1331"/>
      <c r="S20" s="1346"/>
      <c r="T20" s="1902"/>
      <c r="U20" s="1902"/>
      <c r="V20" s="1331"/>
      <c r="W20" s="1331" t="s">
        <v>1067</v>
      </c>
      <c r="X20" s="1348"/>
      <c r="Y20" s="1348"/>
      <c r="Z20" s="1348"/>
      <c r="AA20" s="1348"/>
      <c r="AB20" s="1348"/>
      <c r="AC20" s="1348"/>
      <c r="AD20" s="1349"/>
      <c r="AE20" s="1331"/>
      <c r="AF20" s="1331"/>
      <c r="AG20" s="1331"/>
      <c r="AH20" s="1331"/>
      <c r="AI20" s="1331"/>
      <c r="AJ20" s="1898" t="s">
        <v>869</v>
      </c>
      <c r="AK20" s="1898"/>
      <c r="AL20" s="1331" t="s">
        <v>819</v>
      </c>
      <c r="AM20" s="1331"/>
      <c r="AN20" s="1331"/>
      <c r="AO20" s="1331"/>
      <c r="AP20" s="1891"/>
      <c r="AQ20" s="1891"/>
    </row>
    <row r="21" spans="1:43" s="16" customFormat="1" ht="12.95">
      <c r="A21" s="1331"/>
      <c r="B21" s="200" t="s">
        <v>870</v>
      </c>
      <c r="C21" s="201"/>
      <c r="D21" s="1228" t="s">
        <v>802</v>
      </c>
      <c r="E21" s="777">
        <v>0.1275</v>
      </c>
      <c r="F21" s="1892">
        <f>F15*E21</f>
        <v>407384.28510439</v>
      </c>
      <c r="G21" s="1892"/>
      <c r="H21" s="1892"/>
      <c r="I21" s="1893"/>
      <c r="J21" s="1331"/>
      <c r="K21" s="1891" t="s">
        <v>873</v>
      </c>
      <c r="L21" s="1891"/>
      <c r="M21" s="1342" t="str">
        <f>'STANDARD_NON RFO UNITS'!M21</f>
        <v/>
      </c>
      <c r="N21" s="1614"/>
      <c r="O21" s="1614"/>
      <c r="P21" s="1333"/>
      <c r="Q21" s="1334"/>
      <c r="R21" s="1331"/>
      <c r="S21" s="578"/>
      <c r="T21" s="1895" t="s">
        <v>1068</v>
      </c>
      <c r="U21" s="1895"/>
      <c r="V21" s="579"/>
      <c r="W21" s="203"/>
      <c r="X21" s="1354" t="s">
        <v>819</v>
      </c>
      <c r="Y21" s="1354"/>
      <c r="Z21" s="1354"/>
      <c r="AA21" s="1354"/>
      <c r="AB21" s="1331"/>
      <c r="AC21" s="1331"/>
      <c r="AD21" s="580"/>
      <c r="AE21" s="1331"/>
      <c r="AF21" s="1331"/>
      <c r="AG21" s="1331"/>
      <c r="AH21" s="1331"/>
      <c r="AI21" s="1331"/>
      <c r="AJ21" s="1898" t="s">
        <v>871</v>
      </c>
      <c r="AK21" s="1898"/>
      <c r="AL21" s="1331"/>
      <c r="AM21" s="1331"/>
      <c r="AN21" s="1331"/>
      <c r="AO21" s="1331"/>
      <c r="AP21" s="1891"/>
      <c r="AQ21" s="1891"/>
    </row>
    <row r="22" spans="1:43" s="16" customFormat="1" ht="12.95">
      <c r="A22" s="1331"/>
      <c r="B22" s="576"/>
      <c r="C22" s="1330"/>
      <c r="D22" s="1228"/>
      <c r="E22" s="1355"/>
      <c r="F22" s="1356"/>
      <c r="G22" s="1357"/>
      <c r="H22" s="1357"/>
      <c r="I22" s="1358"/>
      <c r="J22" s="1331"/>
      <c r="K22" s="1891" t="s">
        <v>875</v>
      </c>
      <c r="L22" s="1891"/>
      <c r="M22" s="1342" t="str">
        <f>'STANDARD_NON RFO UNITS'!M22</f>
        <v/>
      </c>
      <c r="N22" s="1614"/>
      <c r="O22" s="1614"/>
      <c r="P22" s="1333"/>
      <c r="Q22" s="1334"/>
      <c r="R22" s="1331"/>
      <c r="S22" s="581" t="s">
        <v>1069</v>
      </c>
      <c r="T22" s="582"/>
      <c r="U22" s="583"/>
      <c r="V22" s="583"/>
      <c r="W22" s="568"/>
      <c r="X22" s="205" t="s">
        <v>1065</v>
      </c>
      <c r="Y22" s="568"/>
      <c r="Z22" s="568"/>
      <c r="AA22" s="568"/>
      <c r="AB22" s="568"/>
      <c r="AC22" s="568"/>
      <c r="AD22" s="569"/>
      <c r="AE22" s="1331"/>
      <c r="AF22" s="1331"/>
      <c r="AG22" s="1331"/>
      <c r="AH22" s="1331"/>
      <c r="AI22" s="1331"/>
      <c r="AJ22" s="1898" t="s">
        <v>873</v>
      </c>
      <c r="AK22" s="1898"/>
      <c r="AL22" s="1331"/>
      <c r="AM22" s="1331"/>
      <c r="AN22" s="1331"/>
      <c r="AO22" s="1331"/>
      <c r="AP22" s="1891"/>
      <c r="AQ22" s="1891"/>
    </row>
    <row r="23" spans="1:43" s="16" customFormat="1" ht="12.95">
      <c r="A23" s="203"/>
      <c r="B23" s="573" t="s">
        <v>874</v>
      </c>
      <c r="C23" s="574"/>
      <c r="D23" s="4" t="s">
        <v>802</v>
      </c>
      <c r="E23" s="584"/>
      <c r="F23" s="1896">
        <f>SUM(F20:I21,F18)</f>
        <v>3602555.1486682333</v>
      </c>
      <c r="G23" s="1896"/>
      <c r="H23" s="1896"/>
      <c r="I23" s="1897"/>
      <c r="J23" s="203"/>
      <c r="K23" s="1891" t="s">
        <v>876</v>
      </c>
      <c r="L23" s="1891"/>
      <c r="M23" s="1342" t="str">
        <f>'STANDARD_NON RFO UNITS'!M23</f>
        <v/>
      </c>
      <c r="N23" s="1614"/>
      <c r="O23" s="1614"/>
      <c r="P23" s="1333"/>
      <c r="Q23" s="1334"/>
      <c r="R23" s="1331"/>
      <c r="S23" s="1346"/>
      <c r="T23" s="1331"/>
      <c r="U23" s="1331"/>
      <c r="V23" s="1331"/>
      <c r="W23" s="1331"/>
      <c r="X23" s="1359"/>
      <c r="Y23" s="1359"/>
      <c r="Z23" s="1359"/>
      <c r="AA23" s="1359"/>
      <c r="AB23" s="1359"/>
      <c r="AC23" s="1359"/>
      <c r="AD23" s="1349"/>
      <c r="AE23" s="1331"/>
      <c r="AF23" s="1331"/>
      <c r="AG23" s="1331"/>
      <c r="AH23" s="1331"/>
      <c r="AI23" s="1331"/>
      <c r="AJ23" s="1898" t="s">
        <v>875</v>
      </c>
      <c r="AK23" s="1898"/>
      <c r="AL23" s="1331"/>
      <c r="AM23" s="1331"/>
      <c r="AN23" s="1331"/>
      <c r="AO23" s="1331"/>
      <c r="AP23" s="1891"/>
      <c r="AQ23" s="1891"/>
    </row>
    <row r="24" spans="1:43" s="203" customFormat="1" ht="12.95">
      <c r="A24" s="1331"/>
      <c r="B24" s="576"/>
      <c r="C24" s="1330"/>
      <c r="D24" s="1228"/>
      <c r="E24" s="1228"/>
      <c r="F24" s="1360"/>
      <c r="G24" s="1360"/>
      <c r="H24" s="1360"/>
      <c r="I24" s="1330"/>
      <c r="J24" s="1331"/>
      <c r="K24" s="1891" t="s">
        <v>878</v>
      </c>
      <c r="L24" s="1891"/>
      <c r="M24" s="1342" t="str">
        <f>'STANDARD_NON RFO UNITS'!M24</f>
        <v/>
      </c>
      <c r="N24" s="1614"/>
      <c r="O24" s="1614"/>
      <c r="P24" s="1333"/>
      <c r="Q24" s="1334"/>
      <c r="S24" s="1346"/>
      <c r="T24" s="1331"/>
      <c r="U24" s="1331"/>
      <c r="V24" s="1331"/>
      <c r="W24" s="1347" t="s">
        <v>1066</v>
      </c>
      <c r="X24" s="1348"/>
      <c r="Y24" s="1348"/>
      <c r="Z24" s="1348"/>
      <c r="AA24" s="1348"/>
      <c r="AB24" s="1348"/>
      <c r="AC24" s="1348"/>
      <c r="AD24" s="1349"/>
      <c r="AJ24" s="1898" t="s">
        <v>876</v>
      </c>
      <c r="AK24" s="1898"/>
      <c r="AP24" s="1891"/>
      <c r="AQ24" s="1891"/>
    </row>
    <row r="25" spans="1:43" s="16" customFormat="1" ht="12.95">
      <c r="A25" s="1331"/>
      <c r="B25" s="573" t="s">
        <v>877</v>
      </c>
      <c r="C25" s="565"/>
      <c r="D25" s="4" t="s">
        <v>802</v>
      </c>
      <c r="E25" s="585">
        <f>'2.5% Lumpsum'!E24</f>
        <v>0.125</v>
      </c>
      <c r="F25" s="1899">
        <f>F23*E25</f>
        <v>450319.39358352916</v>
      </c>
      <c r="G25" s="1884"/>
      <c r="H25" s="1884"/>
      <c r="I25" s="1885"/>
      <c r="J25" s="1331"/>
      <c r="K25" s="1891" t="s">
        <v>880</v>
      </c>
      <c r="L25" s="1891"/>
      <c r="M25" s="1342" t="str">
        <f>'STANDARD_NON RFO UNITS'!M25</f>
        <v/>
      </c>
      <c r="N25" s="1614"/>
      <c r="O25" s="1614"/>
      <c r="P25" s="1333"/>
      <c r="Q25" s="1334"/>
      <c r="R25" s="1331"/>
      <c r="S25" s="578"/>
      <c r="T25" s="203"/>
      <c r="U25" s="203"/>
      <c r="V25" s="203"/>
      <c r="W25" s="1347"/>
      <c r="X25" s="1348"/>
      <c r="Y25" s="1348"/>
      <c r="Z25" s="1348"/>
      <c r="AA25" s="1348"/>
      <c r="AB25" s="1348"/>
      <c r="AC25" s="1348"/>
      <c r="AD25" s="580"/>
      <c r="AE25" s="1331"/>
      <c r="AF25" s="1331"/>
      <c r="AG25" s="1331"/>
      <c r="AH25" s="1331"/>
      <c r="AI25" s="1331"/>
      <c r="AJ25" s="1898" t="s">
        <v>878</v>
      </c>
      <c r="AK25" s="1898"/>
      <c r="AL25" s="1331"/>
      <c r="AM25" s="1331"/>
      <c r="AN25" s="1331"/>
      <c r="AO25" s="1331"/>
      <c r="AP25" s="1891"/>
      <c r="AQ25" s="1891"/>
    </row>
    <row r="26" spans="1:43" s="16" customFormat="1" ht="12.95">
      <c r="A26" s="203"/>
      <c r="B26" s="198" t="s">
        <v>879</v>
      </c>
      <c r="C26" s="199"/>
      <c r="D26" s="1228" t="s">
        <v>802</v>
      </c>
      <c r="E26" s="1361"/>
      <c r="F26" s="1901">
        <f>'STANDARD_NON RFO UNITS'!F25</f>
        <v>30000</v>
      </c>
      <c r="G26" s="1886"/>
      <c r="H26" s="1886"/>
      <c r="I26" s="1887"/>
      <c r="J26" s="203"/>
      <c r="K26" s="1891" t="s">
        <v>882</v>
      </c>
      <c r="L26" s="1891"/>
      <c r="M26" s="1342" t="str">
        <f>'STANDARD_NON RFO UNITS'!M26</f>
        <v/>
      </c>
      <c r="N26" s="1614"/>
      <c r="O26" s="1614"/>
      <c r="P26" s="1333"/>
      <c r="Q26" s="1334"/>
      <c r="R26" s="1331"/>
      <c r="S26" s="1346"/>
      <c r="T26" s="1902"/>
      <c r="U26" s="1902"/>
      <c r="V26" s="1331"/>
      <c r="W26" s="1331" t="s">
        <v>1067</v>
      </c>
      <c r="X26" s="1348"/>
      <c r="Y26" s="1348"/>
      <c r="Z26" s="1348"/>
      <c r="AA26" s="1348"/>
      <c r="AB26" s="1348"/>
      <c r="AC26" s="1348"/>
      <c r="AD26" s="1349"/>
      <c r="AE26" s="1331"/>
      <c r="AF26" s="1331"/>
      <c r="AG26" s="1331"/>
      <c r="AH26" s="1331"/>
      <c r="AI26" s="1331"/>
      <c r="AJ26" s="1898" t="s">
        <v>880</v>
      </c>
      <c r="AK26" s="1898"/>
      <c r="AL26" s="1331"/>
      <c r="AM26" s="1331"/>
      <c r="AN26" s="1331"/>
      <c r="AO26" s="1331"/>
      <c r="AP26" s="1891"/>
      <c r="AQ26" s="1891"/>
    </row>
    <row r="27" spans="1:43" s="203" customFormat="1" ht="12.95">
      <c r="B27" s="198" t="s">
        <v>1025</v>
      </c>
      <c r="C27" s="476"/>
      <c r="D27" s="1228"/>
      <c r="E27" s="1362">
        <v>2.5000000000000001E-2</v>
      </c>
      <c r="F27" s="586">
        <f>F23*E27</f>
        <v>90063.878716705833</v>
      </c>
      <c r="G27" s="571"/>
      <c r="H27" s="571"/>
      <c r="I27" s="572"/>
      <c r="J27" s="578"/>
      <c r="K27" s="1891" t="s">
        <v>883</v>
      </c>
      <c r="L27" s="1891"/>
      <c r="M27" s="1342" t="str">
        <f>'STANDARD_NON RFO UNITS'!M27</f>
        <v/>
      </c>
      <c r="N27" s="1614"/>
      <c r="O27" s="1614"/>
      <c r="P27" s="1333"/>
      <c r="Q27" s="1334"/>
      <c r="R27" s="203" t="s">
        <v>819</v>
      </c>
      <c r="S27" s="587"/>
      <c r="T27" s="1895" t="s">
        <v>1070</v>
      </c>
      <c r="U27" s="1895"/>
      <c r="V27" s="588"/>
      <c r="W27" s="1354"/>
      <c r="X27" s="1363"/>
      <c r="Y27" s="1363"/>
      <c r="Z27" s="1363"/>
      <c r="AA27" s="1363"/>
      <c r="AB27" s="1354"/>
      <c r="AC27" s="1354"/>
      <c r="AD27" s="1364"/>
      <c r="AJ27" s="1898" t="s">
        <v>882</v>
      </c>
      <c r="AK27" s="1898"/>
      <c r="AP27" s="1891"/>
      <c r="AQ27" s="1891"/>
    </row>
    <row r="28" spans="1:43" s="203" customFormat="1" ht="12.95">
      <c r="B28" s="129" t="s">
        <v>946</v>
      </c>
      <c r="C28" s="101"/>
      <c r="D28" s="4" t="s">
        <v>802</v>
      </c>
      <c r="E28" s="589"/>
      <c r="F28" s="1899">
        <f>F25-F26-F27</f>
        <v>330255.51486682333</v>
      </c>
      <c r="G28" s="1884"/>
      <c r="H28" s="1884"/>
      <c r="I28" s="1885"/>
      <c r="K28" s="1891" t="s">
        <v>885</v>
      </c>
      <c r="L28" s="1891"/>
      <c r="M28" s="1342" t="str">
        <f>'STANDARD_NON RFO UNITS'!M28</f>
        <v/>
      </c>
      <c r="N28" s="1614"/>
      <c r="O28" s="1614"/>
      <c r="P28" s="1333"/>
      <c r="Q28" s="1334"/>
      <c r="S28" s="581" t="s">
        <v>1069</v>
      </c>
      <c r="T28" s="582"/>
      <c r="U28" s="583"/>
      <c r="V28" s="583"/>
      <c r="W28" s="568"/>
      <c r="X28" s="205" t="s">
        <v>1065</v>
      </c>
      <c r="Y28" s="568"/>
      <c r="Z28" s="568"/>
      <c r="AA28" s="568"/>
      <c r="AB28" s="568"/>
      <c r="AC28" s="568"/>
      <c r="AD28" s="569"/>
      <c r="AJ28" s="1898" t="s">
        <v>883</v>
      </c>
      <c r="AK28" s="1898"/>
      <c r="AP28" s="1891"/>
      <c r="AQ28" s="1891"/>
    </row>
    <row r="29" spans="1:43" s="203" customFormat="1" ht="12.95">
      <c r="A29" s="1331"/>
      <c r="B29" s="576"/>
      <c r="C29" s="1330"/>
      <c r="D29" s="1228"/>
      <c r="E29" s="1228"/>
      <c r="F29" s="1360"/>
      <c r="G29" s="1360"/>
      <c r="H29" s="1360"/>
      <c r="I29" s="590"/>
      <c r="J29" s="1331"/>
      <c r="K29" s="1891" t="s">
        <v>886</v>
      </c>
      <c r="L29" s="1891"/>
      <c r="M29" s="1342" t="str">
        <f>'STANDARD_NON RFO UNITS'!M29</f>
        <v/>
      </c>
      <c r="N29" s="1614"/>
      <c r="O29" s="1614"/>
      <c r="P29" s="1333"/>
      <c r="Q29" s="1334"/>
      <c r="S29" s="1346"/>
      <c r="T29" s="1331"/>
      <c r="U29" s="1331"/>
      <c r="V29" s="1331"/>
      <c r="W29" s="1331"/>
      <c r="X29" s="1359"/>
      <c r="Y29" s="1359"/>
      <c r="Z29" s="1359"/>
      <c r="AA29" s="1359"/>
      <c r="AB29" s="1359"/>
      <c r="AC29" s="1359"/>
      <c r="AD29" s="1349"/>
      <c r="AJ29" s="1898" t="s">
        <v>885</v>
      </c>
      <c r="AK29" s="1898"/>
      <c r="AP29" s="1891"/>
      <c r="AQ29" s="1891"/>
    </row>
    <row r="30" spans="1:43" s="16" customFormat="1" ht="12.95">
      <c r="A30" s="203"/>
      <c r="B30" s="1625" t="s">
        <v>947</v>
      </c>
      <c r="C30" s="1625"/>
      <c r="D30" s="4"/>
      <c r="E30" s="591" t="s">
        <v>835</v>
      </c>
      <c r="F30" s="592" t="s">
        <v>834</v>
      </c>
      <c r="G30" s="1900" t="s">
        <v>948</v>
      </c>
      <c r="H30" s="1900"/>
      <c r="I30" s="1900"/>
      <c r="J30" s="203"/>
      <c r="K30" s="1891" t="s">
        <v>888</v>
      </c>
      <c r="L30" s="1891"/>
      <c r="M30" s="1342" t="str">
        <f>'STANDARD_NON RFO UNITS'!M30</f>
        <v/>
      </c>
      <c r="N30" s="1614"/>
      <c r="O30" s="1614"/>
      <c r="P30" s="1333"/>
      <c r="Q30" s="1334"/>
      <c r="R30" s="203"/>
      <c r="S30" s="1346"/>
      <c r="T30" s="1331"/>
      <c r="U30" s="1331"/>
      <c r="V30" s="1331"/>
      <c r="W30" s="1347" t="s">
        <v>1066</v>
      </c>
      <c r="X30" s="1348"/>
      <c r="Y30" s="1348"/>
      <c r="Z30" s="1348"/>
      <c r="AA30" s="1348"/>
      <c r="AB30" s="1348"/>
      <c r="AC30" s="1348"/>
      <c r="AD30" s="1349"/>
      <c r="AE30" s="203"/>
      <c r="AF30" s="1331"/>
      <c r="AG30" s="1331"/>
      <c r="AH30" s="1331"/>
      <c r="AI30" s="1331"/>
      <c r="AJ30" s="1898" t="s">
        <v>886</v>
      </c>
      <c r="AK30" s="1898"/>
      <c r="AL30" s="1331"/>
      <c r="AM30" s="1331"/>
      <c r="AN30" s="1331"/>
      <c r="AO30" s="1331"/>
      <c r="AP30" s="1891"/>
      <c r="AQ30" s="1891"/>
    </row>
    <row r="31" spans="1:43" s="203" customFormat="1" ht="12.95">
      <c r="A31" s="1331"/>
      <c r="B31" s="1625"/>
      <c r="C31" s="1625"/>
      <c r="D31" s="4" t="s">
        <v>802</v>
      </c>
      <c r="E31" s="1365">
        <v>0.25</v>
      </c>
      <c r="F31" s="593"/>
      <c r="G31" s="1894" t="e">
        <f>F28*E31/F31</f>
        <v>#DIV/0!</v>
      </c>
      <c r="H31" s="1894"/>
      <c r="I31" s="1894"/>
      <c r="J31" s="1331"/>
      <c r="K31" s="1891" t="s">
        <v>889</v>
      </c>
      <c r="L31" s="1891"/>
      <c r="M31" s="1342" t="str">
        <f>'STANDARD_NON RFO UNITS'!M31</f>
        <v/>
      </c>
      <c r="N31" s="1614"/>
      <c r="O31" s="1614"/>
      <c r="P31" s="1333"/>
      <c r="Q31" s="1334"/>
      <c r="S31" s="578"/>
      <c r="W31" s="1347"/>
      <c r="X31" s="1348"/>
      <c r="Y31" s="1348"/>
      <c r="Z31" s="1348"/>
      <c r="AA31" s="1348"/>
      <c r="AB31" s="1348"/>
      <c r="AC31" s="1348"/>
      <c r="AD31" s="580"/>
      <c r="AJ31" s="1898" t="s">
        <v>888</v>
      </c>
      <c r="AK31" s="1898"/>
      <c r="AP31" s="1891"/>
      <c r="AQ31" s="1891"/>
    </row>
    <row r="32" spans="1:43" s="16" customFormat="1" ht="12.95">
      <c r="A32" s="203"/>
      <c r="B32" s="1625"/>
      <c r="C32" s="1625"/>
      <c r="D32" s="4" t="s">
        <v>802</v>
      </c>
      <c r="E32" s="1365">
        <v>0.35</v>
      </c>
      <c r="F32" s="593"/>
      <c r="G32" s="1894" t="e">
        <f>F28*E32/F32</f>
        <v>#DIV/0!</v>
      </c>
      <c r="H32" s="1894"/>
      <c r="I32" s="1894"/>
      <c r="J32" s="203"/>
      <c r="K32" s="1891" t="s">
        <v>891</v>
      </c>
      <c r="L32" s="1891"/>
      <c r="M32" s="1342" t="str">
        <f>'STANDARD_NON RFO UNITS'!M32</f>
        <v/>
      </c>
      <c r="N32" s="1614"/>
      <c r="O32" s="1614"/>
      <c r="P32" s="1333"/>
      <c r="Q32" s="1334"/>
      <c r="R32" s="203"/>
      <c r="S32" s="1346"/>
      <c r="T32" s="1902"/>
      <c r="U32" s="1902"/>
      <c r="V32" s="1331"/>
      <c r="W32" s="1331" t="s">
        <v>1067</v>
      </c>
      <c r="X32" s="1348"/>
      <c r="Y32" s="1348"/>
      <c r="Z32" s="1348"/>
      <c r="AA32" s="1348"/>
      <c r="AB32" s="1348"/>
      <c r="AC32" s="1348"/>
      <c r="AD32" s="1349"/>
      <c r="AE32" s="203"/>
      <c r="AF32" s="1331"/>
      <c r="AG32" s="1331"/>
      <c r="AH32" s="1331"/>
      <c r="AI32" s="1331"/>
      <c r="AJ32" s="1898" t="s">
        <v>889</v>
      </c>
      <c r="AK32" s="1898"/>
      <c r="AL32" s="1331"/>
      <c r="AM32" s="1331"/>
      <c r="AN32" s="1331"/>
      <c r="AO32" s="1331"/>
      <c r="AP32" s="1891"/>
      <c r="AQ32" s="1891"/>
    </row>
    <row r="33" spans="1:43" s="203" customFormat="1" ht="12.95">
      <c r="A33" s="1331"/>
      <c r="B33" s="1625"/>
      <c r="C33" s="1625"/>
      <c r="D33" s="4" t="s">
        <v>802</v>
      </c>
      <c r="E33" s="1365">
        <v>0.4</v>
      </c>
      <c r="F33" s="593"/>
      <c r="G33" s="1894" t="e">
        <f>F28*E33/F33</f>
        <v>#DIV/0!</v>
      </c>
      <c r="H33" s="1894"/>
      <c r="I33" s="1894"/>
      <c r="J33" s="1331"/>
      <c r="K33" s="1891" t="s">
        <v>892</v>
      </c>
      <c r="L33" s="1891"/>
      <c r="M33" s="1342" t="str">
        <f>'STANDARD_NON RFO UNITS'!M33</f>
        <v/>
      </c>
      <c r="N33" s="1614"/>
      <c r="O33" s="1614"/>
      <c r="P33" s="1333"/>
      <c r="Q33" s="1334"/>
      <c r="S33" s="587"/>
      <c r="T33" s="1895" t="s">
        <v>1071</v>
      </c>
      <c r="U33" s="1895"/>
      <c r="V33" s="588"/>
      <c r="W33" s="1354"/>
      <c r="X33" s="1363"/>
      <c r="Y33" s="1363"/>
      <c r="Z33" s="1363"/>
      <c r="AA33" s="1363"/>
      <c r="AB33" s="1354"/>
      <c r="AC33" s="1354"/>
      <c r="AD33" s="1364"/>
      <c r="AJ33" s="1898" t="s">
        <v>891</v>
      </c>
      <c r="AK33" s="1898"/>
      <c r="AP33" s="1891"/>
      <c r="AQ33" s="1891"/>
    </row>
    <row r="34" spans="1:43" s="16" customFormat="1" ht="12.95">
      <c r="A34" s="1331"/>
      <c r="B34" s="175"/>
      <c r="C34" s="175"/>
      <c r="D34" s="1228"/>
      <c r="E34" s="1228"/>
      <c r="F34" s="1366"/>
      <c r="G34" s="1366"/>
      <c r="H34" s="1366"/>
      <c r="I34" s="1330"/>
      <c r="J34" s="1331"/>
      <c r="K34" s="1891" t="s">
        <v>895</v>
      </c>
      <c r="L34" s="1891"/>
      <c r="M34" s="1342" t="str">
        <f>'STANDARD_NON RFO UNITS'!M34</f>
        <v/>
      </c>
      <c r="N34" s="1614"/>
      <c r="O34" s="1614"/>
      <c r="P34" s="1333"/>
      <c r="Q34" s="1334"/>
      <c r="R34" s="1331"/>
      <c r="S34" s="1331"/>
      <c r="T34" s="1331"/>
      <c r="U34" s="1331"/>
      <c r="V34" s="1331"/>
      <c r="W34" s="1331"/>
      <c r="X34" s="1331"/>
      <c r="Y34" s="1331"/>
      <c r="Z34" s="1331"/>
      <c r="AA34" s="1331"/>
      <c r="AB34" s="1331"/>
      <c r="AC34" s="1331"/>
      <c r="AD34" s="1331"/>
      <c r="AE34" s="1331"/>
      <c r="AF34" s="1331"/>
      <c r="AG34" s="1331"/>
      <c r="AH34" s="1331"/>
      <c r="AI34" s="1331"/>
      <c r="AJ34" s="1898" t="s">
        <v>892</v>
      </c>
      <c r="AK34" s="1898"/>
      <c r="AL34" s="1331"/>
      <c r="AM34" s="1331"/>
      <c r="AN34" s="1331"/>
      <c r="AO34" s="1331"/>
      <c r="AP34" s="1891"/>
      <c r="AQ34" s="1891"/>
    </row>
    <row r="35" spans="1:43" s="16" customFormat="1" ht="12.95">
      <c r="A35" s="203"/>
      <c r="B35" s="573" t="s">
        <v>887</v>
      </c>
      <c r="C35" s="574"/>
      <c r="D35" s="4" t="s">
        <v>802</v>
      </c>
      <c r="E35" s="585">
        <f>100%-E25</f>
        <v>0.875</v>
      </c>
      <c r="F35" s="1899">
        <f>F23*E35</f>
        <v>3152235.7550847041</v>
      </c>
      <c r="G35" s="1884"/>
      <c r="H35" s="1884"/>
      <c r="I35" s="1885"/>
      <c r="J35" s="203"/>
      <c r="K35" s="1891" t="s">
        <v>896</v>
      </c>
      <c r="L35" s="1891"/>
      <c r="M35" s="1342" t="str">
        <f>'STANDARD_NON RFO UNITS'!M35</f>
        <v/>
      </c>
      <c r="N35" s="1614"/>
      <c r="O35" s="1614"/>
      <c r="P35" s="1333"/>
      <c r="Q35" s="1334"/>
      <c r="R35" s="1331"/>
      <c r="S35" s="1331"/>
      <c r="T35" s="1331"/>
      <c r="U35" s="1331"/>
      <c r="V35" s="1331"/>
      <c r="W35" s="1331"/>
      <c r="X35" s="1331"/>
      <c r="Y35" s="1331"/>
      <c r="Z35" s="1331"/>
      <c r="AA35" s="1331"/>
      <c r="AB35" s="1331"/>
      <c r="AC35" s="1331"/>
      <c r="AD35" s="1331"/>
      <c r="AE35" s="1331"/>
      <c r="AF35" s="1331"/>
      <c r="AG35" s="1331"/>
      <c r="AH35" s="1331"/>
      <c r="AI35" s="1331"/>
      <c r="AJ35" s="1898" t="s">
        <v>895</v>
      </c>
      <c r="AK35" s="1898"/>
      <c r="AL35" s="1331"/>
      <c r="AM35" s="1331"/>
      <c r="AN35" s="1331"/>
      <c r="AO35" s="1331"/>
      <c r="AP35" s="1891"/>
      <c r="AQ35" s="1891"/>
    </row>
    <row r="36" spans="1:43" s="203" customFormat="1" ht="12.95">
      <c r="A36" s="1331"/>
      <c r="B36" s="576"/>
      <c r="C36" s="1330"/>
      <c r="D36" s="1228"/>
      <c r="E36" s="1330"/>
      <c r="F36" s="1330"/>
      <c r="G36" s="1330"/>
      <c r="H36" s="1330"/>
      <c r="I36" s="1330"/>
      <c r="J36" s="1331"/>
      <c r="K36" s="1891" t="s">
        <v>897</v>
      </c>
      <c r="L36" s="1891"/>
      <c r="M36" s="1342" t="str">
        <f>'STANDARD_NON RFO UNITS'!M36</f>
        <v/>
      </c>
      <c r="N36" s="1614">
        <f>F27</f>
        <v>90063.878716705833</v>
      </c>
      <c r="O36" s="1614"/>
      <c r="P36" s="1333"/>
      <c r="Q36" s="1334"/>
      <c r="S36" s="1331"/>
      <c r="T36" s="1331"/>
      <c r="U36" s="1331"/>
      <c r="V36" s="1331"/>
      <c r="W36" s="1331"/>
      <c r="X36" s="1331"/>
      <c r="Y36" s="1331"/>
      <c r="Z36" s="1331"/>
      <c r="AA36" s="1331"/>
      <c r="AB36" s="1331"/>
      <c r="AC36" s="1331"/>
      <c r="AD36" s="1331"/>
      <c r="AJ36" s="1898" t="s">
        <v>896</v>
      </c>
      <c r="AK36" s="1898"/>
      <c r="AP36" s="1891"/>
      <c r="AQ36" s="1891"/>
    </row>
    <row r="37" spans="1:43" s="16" customFormat="1" ht="12.95">
      <c r="A37" s="1331"/>
      <c r="B37" s="574" t="s">
        <v>890</v>
      </c>
      <c r="C37" s="574"/>
      <c r="D37" s="594"/>
      <c r="E37" s="594"/>
      <c r="F37" s="594"/>
      <c r="G37" s="594"/>
      <c r="H37" s="594"/>
      <c r="I37" s="594"/>
      <c r="J37" s="1331"/>
      <c r="K37" s="1891" t="s">
        <v>898</v>
      </c>
      <c r="L37" s="1891"/>
      <c r="M37" s="1342" t="str">
        <f>'STANDARD_NON RFO UNITS'!M37</f>
        <v/>
      </c>
      <c r="N37" s="1614"/>
      <c r="O37" s="1614"/>
      <c r="P37" s="1333"/>
      <c r="Q37" s="1334"/>
      <c r="R37" s="1331"/>
      <c r="S37" s="1331"/>
      <c r="T37" s="1331"/>
      <c r="U37" s="1331"/>
      <c r="V37" s="1331"/>
      <c r="W37" s="1331"/>
      <c r="X37" s="1331"/>
      <c r="Y37" s="1331"/>
      <c r="Z37" s="1331"/>
      <c r="AA37" s="1331"/>
      <c r="AB37" s="1331"/>
      <c r="AC37" s="1331"/>
      <c r="AD37" s="1331"/>
      <c r="AE37" s="1331"/>
      <c r="AF37" s="1331"/>
      <c r="AG37" s="1331"/>
      <c r="AH37" s="1331"/>
      <c r="AI37" s="1331"/>
      <c r="AJ37" s="1898" t="s">
        <v>897</v>
      </c>
      <c r="AK37" s="1898"/>
      <c r="AL37" s="1331"/>
      <c r="AM37" s="1331"/>
      <c r="AN37" s="1331"/>
      <c r="AO37" s="1331"/>
      <c r="AP37" s="1891"/>
      <c r="AQ37" s="1891"/>
    </row>
    <row r="38" spans="1:43" s="16" customFormat="1" ht="12.95">
      <c r="A38" s="1331"/>
      <c r="B38" s="594"/>
      <c r="C38" s="594"/>
      <c r="D38" s="594"/>
      <c r="E38" s="594"/>
      <c r="F38" s="594"/>
      <c r="G38" s="594"/>
      <c r="H38" s="594"/>
      <c r="I38" s="594"/>
      <c r="J38" s="1331"/>
      <c r="K38" s="1891" t="s">
        <v>899</v>
      </c>
      <c r="L38" s="1891"/>
      <c r="M38" s="1342" t="str">
        <f>'STANDARD_NON RFO UNITS'!M38</f>
        <v/>
      </c>
      <c r="N38" s="1614">
        <f>F27</f>
        <v>90063.878716705833</v>
      </c>
      <c r="O38" s="1614"/>
      <c r="P38" s="1333"/>
      <c r="Q38" s="1334"/>
      <c r="R38" s="1331"/>
      <c r="S38" s="1331"/>
      <c r="T38" s="1331"/>
      <c r="U38" s="1331"/>
      <c r="V38" s="1331"/>
      <c r="W38" s="1331"/>
      <c r="X38" s="1331"/>
      <c r="Y38" s="1331"/>
      <c r="Z38" s="1331"/>
      <c r="AA38" s="1331"/>
      <c r="AB38" s="1331"/>
      <c r="AC38" s="1331"/>
      <c r="AD38" s="1331"/>
      <c r="AE38" s="1331"/>
      <c r="AF38" s="1331"/>
      <c r="AG38" s="1331"/>
      <c r="AH38" s="1331"/>
      <c r="AI38" s="1331"/>
      <c r="AJ38" s="1898" t="s">
        <v>898</v>
      </c>
      <c r="AK38" s="1898"/>
      <c r="AL38" s="1331"/>
      <c r="AM38" s="1331"/>
      <c r="AN38" s="1331"/>
      <c r="AO38" s="1331"/>
      <c r="AP38" s="1891"/>
      <c r="AQ38" s="1891"/>
    </row>
    <row r="39" spans="1:43" s="16" customFormat="1" ht="12.95">
      <c r="A39" s="1331"/>
      <c r="B39" s="607" t="s">
        <v>56</v>
      </c>
      <c r="C39" s="607" t="s">
        <v>57</v>
      </c>
      <c r="D39" s="1914" t="s">
        <v>58</v>
      </c>
      <c r="E39" s="1914"/>
      <c r="F39" s="607" t="s">
        <v>893</v>
      </c>
      <c r="G39" s="1914" t="s">
        <v>949</v>
      </c>
      <c r="H39" s="1914"/>
      <c r="I39" s="1914"/>
      <c r="J39" s="1331"/>
      <c r="K39" s="1891" t="s">
        <v>901</v>
      </c>
      <c r="L39" s="1891"/>
      <c r="M39" s="1342" t="str">
        <f>'STANDARD_NON RFO UNITS'!M39</f>
        <v/>
      </c>
      <c r="N39" s="1614"/>
      <c r="O39" s="1614"/>
      <c r="P39" s="1333"/>
      <c r="Q39" s="1334"/>
      <c r="R39" s="1331"/>
      <c r="S39" s="1331"/>
      <c r="T39" s="1331"/>
      <c r="U39" s="1331"/>
      <c r="V39" s="1331"/>
      <c r="W39" s="1331"/>
      <c r="X39" s="1331"/>
      <c r="Y39" s="1331"/>
      <c r="Z39" s="1331"/>
      <c r="AA39" s="1331"/>
      <c r="AB39" s="1331"/>
      <c r="AC39" s="1331"/>
      <c r="AD39" s="1331"/>
      <c r="AE39" s="1331"/>
      <c r="AF39" s="1331"/>
      <c r="AG39" s="1331"/>
      <c r="AH39" s="1331"/>
      <c r="AI39" s="1331"/>
      <c r="AJ39" s="1898" t="s">
        <v>899</v>
      </c>
      <c r="AK39" s="1898"/>
      <c r="AL39" s="1331"/>
      <c r="AM39" s="1331"/>
      <c r="AN39" s="1331"/>
      <c r="AO39" s="1331"/>
      <c r="AP39" s="1891"/>
      <c r="AQ39" s="1891"/>
    </row>
    <row r="40" spans="1:43" s="16" customFormat="1" ht="12.95">
      <c r="A40" s="1331"/>
      <c r="B40" s="610">
        <v>5</v>
      </c>
      <c r="C40" s="611">
        <f>'STANDARD_NON RFO UNITS'!C35</f>
        <v>7.0000000000000007E-2</v>
      </c>
      <c r="D40" s="1925">
        <f>PMT(C40/12,B40*12,-1)</f>
        <v>1.9801198540349535E-2</v>
      </c>
      <c r="E40" s="1925"/>
      <c r="F40" s="1367">
        <f>D40*F35</f>
        <v>62418.046032420854</v>
      </c>
      <c r="G40" s="1928">
        <f>F40/0.3</f>
        <v>208060.15344140286</v>
      </c>
      <c r="H40" s="1929"/>
      <c r="I40" s="1930"/>
      <c r="J40" s="1331"/>
      <c r="K40" s="1891" t="s">
        <v>903</v>
      </c>
      <c r="L40" s="1891"/>
      <c r="M40" s="1342" t="str">
        <f>'STANDARD_NON RFO UNITS'!M40</f>
        <v/>
      </c>
      <c r="N40" s="1614"/>
      <c r="O40" s="1614"/>
      <c r="P40" s="1333"/>
      <c r="Q40" s="1334"/>
      <c r="R40" s="1331"/>
      <c r="S40" s="1331"/>
      <c r="T40" s="1331"/>
      <c r="U40" s="1331"/>
      <c r="V40" s="1331"/>
      <c r="W40" s="1331"/>
      <c r="X40" s="1331"/>
      <c r="Y40" s="1331"/>
      <c r="Z40" s="1331"/>
      <c r="AA40" s="1331"/>
      <c r="AB40" s="1331"/>
      <c r="AC40" s="1331"/>
      <c r="AD40" s="1331"/>
      <c r="AE40" s="1331"/>
      <c r="AF40" s="1331"/>
      <c r="AG40" s="1331"/>
      <c r="AH40" s="1331"/>
      <c r="AI40" s="1331"/>
      <c r="AJ40" s="1898" t="s">
        <v>901</v>
      </c>
      <c r="AK40" s="1898"/>
      <c r="AL40" s="1331"/>
      <c r="AM40" s="1331"/>
      <c r="AN40" s="1331"/>
      <c r="AO40" s="1331"/>
      <c r="AP40" s="1891"/>
      <c r="AQ40" s="1891"/>
    </row>
    <row r="41" spans="1:43" s="16" customFormat="1" ht="12.95">
      <c r="A41" s="1331"/>
      <c r="B41" s="595">
        <v>10</v>
      </c>
      <c r="C41" s="611">
        <f>'STANDARD_NON RFO UNITS'!C36</f>
        <v>7.0000000000000007E-2</v>
      </c>
      <c r="D41" s="1927">
        <f>PMT(C41/12,B41*12,-1)</f>
        <v>1.1610847921862406E-2</v>
      </c>
      <c r="E41" s="1927"/>
      <c r="F41" s="1368">
        <f>D41*F35</f>
        <v>36600.129966145607</v>
      </c>
      <c r="G41" s="1888">
        <f t="shared" ref="G41" si="1">F41/0.3</f>
        <v>122000.43322048536</v>
      </c>
      <c r="H41" s="1889"/>
      <c r="I41" s="1890"/>
      <c r="J41" s="1331"/>
      <c r="K41" s="1891" t="s">
        <v>905</v>
      </c>
      <c r="L41" s="1891"/>
      <c r="M41" s="1342" t="str">
        <f>'STANDARD_NON RFO UNITS'!M41</f>
        <v/>
      </c>
      <c r="N41" s="1605"/>
      <c r="O41" s="1605"/>
      <c r="P41" s="1333"/>
      <c r="Q41" s="1334"/>
      <c r="R41" s="1331"/>
      <c r="S41" s="1331"/>
      <c r="T41" s="1331"/>
      <c r="U41" s="1331"/>
      <c r="V41" s="1331"/>
      <c r="W41" s="1331"/>
      <c r="X41" s="1331"/>
      <c r="Y41" s="1331"/>
      <c r="Z41" s="1331"/>
      <c r="AA41" s="1331"/>
      <c r="AB41" s="1331"/>
      <c r="AC41" s="1331"/>
      <c r="AD41" s="1331"/>
      <c r="AE41" s="1331"/>
      <c r="AF41" s="1331"/>
      <c r="AG41" s="1331"/>
      <c r="AH41" s="1331"/>
      <c r="AI41" s="1331"/>
      <c r="AJ41" s="1898" t="s">
        <v>903</v>
      </c>
      <c r="AK41" s="1898"/>
      <c r="AL41" s="1331"/>
      <c r="AM41" s="1331"/>
      <c r="AN41" s="1331"/>
      <c r="AO41" s="1331"/>
      <c r="AP41" s="1891"/>
      <c r="AQ41" s="1891"/>
    </row>
    <row r="42" spans="1:43" s="16" customFormat="1" ht="12.95">
      <c r="A42" s="1331"/>
      <c r="B42" s="595">
        <v>15</v>
      </c>
      <c r="C42" s="611">
        <f>'STANDARD_NON RFO UNITS'!C37</f>
        <v>7.0000000000000007E-2</v>
      </c>
      <c r="D42" s="1927">
        <f>PMT(C42/12,B42*12,-1)</f>
        <v>8.988282708524269E-3</v>
      </c>
      <c r="E42" s="1927"/>
      <c r="F42" s="1368">
        <f>D42*F35</f>
        <v>28333.18613061979</v>
      </c>
      <c r="G42" s="1888">
        <f>F42/0.3</f>
        <v>94443.953768732637</v>
      </c>
      <c r="H42" s="1889"/>
      <c r="I42" s="1890"/>
      <c r="J42" s="1331"/>
      <c r="K42" s="1891" t="s">
        <v>907</v>
      </c>
      <c r="L42" s="1891"/>
      <c r="M42" s="1342" t="str">
        <f>'STANDARD_NON RFO UNITS'!M42</f>
        <v/>
      </c>
      <c r="N42" s="1605"/>
      <c r="O42" s="1605"/>
      <c r="P42" s="1333"/>
      <c r="Q42" s="1334"/>
      <c r="R42" s="1331"/>
      <c r="S42" s="1331"/>
      <c r="T42" s="1331"/>
      <c r="U42" s="1331"/>
      <c r="V42" s="1331"/>
      <c r="W42" s="1331"/>
      <c r="X42" s="1331"/>
      <c r="Y42" s="1331"/>
      <c r="Z42" s="1331"/>
      <c r="AA42" s="1331"/>
      <c r="AB42" s="1331"/>
      <c r="AC42" s="1331"/>
      <c r="AD42" s="1331"/>
      <c r="AE42" s="1331"/>
      <c r="AF42" s="1331"/>
      <c r="AG42" s="1331"/>
      <c r="AH42" s="1331"/>
      <c r="AI42" s="1331"/>
      <c r="AJ42" s="1898" t="s">
        <v>905</v>
      </c>
      <c r="AK42" s="1898"/>
      <c r="AL42" s="1331"/>
      <c r="AM42" s="1331"/>
      <c r="AN42" s="1331"/>
      <c r="AO42" s="1331"/>
      <c r="AP42" s="1891"/>
      <c r="AQ42" s="1891"/>
    </row>
    <row r="43" spans="1:43" s="16" customFormat="1" ht="12.95">
      <c r="A43" s="1331"/>
      <c r="B43" s="595">
        <v>20</v>
      </c>
      <c r="C43" s="611">
        <f>'STANDARD_NON RFO UNITS'!C38</f>
        <v>7.0000000000000007E-2</v>
      </c>
      <c r="D43" s="1926">
        <f>PMT(C43/12,B43*12,-1)</f>
        <v>7.7529893561887461E-3</v>
      </c>
      <c r="E43" s="1926"/>
      <c r="F43" s="1368">
        <f>D43*F35</f>
        <v>24439.250257369305</v>
      </c>
      <c r="G43" s="1888">
        <f>F43/0.3</f>
        <v>81464.167524564356</v>
      </c>
      <c r="H43" s="1889"/>
      <c r="I43" s="1890"/>
      <c r="J43" s="1331"/>
      <c r="K43" s="1891" t="s">
        <v>908</v>
      </c>
      <c r="L43" s="1891"/>
      <c r="M43" s="1342" t="str">
        <f>'STANDARD_NON RFO UNITS'!M43</f>
        <v/>
      </c>
      <c r="N43" s="1605"/>
      <c r="O43" s="1605"/>
      <c r="P43" s="1333"/>
      <c r="Q43" s="1334"/>
      <c r="R43" s="1331"/>
      <c r="S43" s="1331"/>
      <c r="T43" s="1331"/>
      <c r="U43" s="1331"/>
      <c r="V43" s="1331"/>
      <c r="W43" s="1331"/>
      <c r="X43" s="1331"/>
      <c r="Y43" s="1331"/>
      <c r="Z43" s="1331"/>
      <c r="AA43" s="1331"/>
      <c r="AB43" s="1331"/>
      <c r="AC43" s="1331"/>
      <c r="AD43" s="1331"/>
      <c r="AE43" s="1331"/>
      <c r="AF43" s="1331"/>
      <c r="AG43" s="1331"/>
      <c r="AH43" s="1331"/>
      <c r="AI43" s="1331"/>
      <c r="AJ43" s="1898" t="s">
        <v>907</v>
      </c>
      <c r="AK43" s="1898"/>
      <c r="AL43" s="1331"/>
      <c r="AM43" s="1331"/>
      <c r="AN43" s="1331"/>
      <c r="AO43" s="1331"/>
      <c r="AP43" s="1891"/>
      <c r="AQ43" s="1891"/>
    </row>
    <row r="44" spans="1:43" s="16" customFormat="1" ht="12.95">
      <c r="A44" s="1331"/>
      <c r="B44" s="596" t="str">
        <f>'STANDARD_NON RFO UNITS'!B39</f>
        <v>Fixed for three (3) years</v>
      </c>
      <c r="C44" s="1331"/>
      <c r="D44" s="1331"/>
      <c r="E44" s="1331"/>
      <c r="F44" s="1331"/>
      <c r="G44" s="1369"/>
      <c r="H44" s="1331"/>
      <c r="I44" s="1331"/>
      <c r="J44" s="1331"/>
      <c r="K44" s="1891"/>
      <c r="L44" s="1891"/>
      <c r="M44" s="1342"/>
      <c r="N44" s="1605"/>
      <c r="O44" s="1605"/>
      <c r="P44" s="1333"/>
      <c r="Q44" s="1334"/>
      <c r="R44" s="1331"/>
      <c r="S44" s="1331"/>
      <c r="T44" s="1331"/>
      <c r="U44" s="1331"/>
      <c r="V44" s="1331"/>
      <c r="W44" s="1331"/>
      <c r="X44" s="1331"/>
      <c r="Y44" s="1331"/>
      <c r="Z44" s="1331"/>
      <c r="AA44" s="1331"/>
      <c r="AB44" s="1331"/>
      <c r="AC44" s="1331"/>
      <c r="AD44" s="1331"/>
      <c r="AE44" s="1331"/>
      <c r="AF44" s="1331"/>
      <c r="AG44" s="1331"/>
      <c r="AH44" s="1331"/>
      <c r="AI44" s="1331"/>
      <c r="AJ44" s="1898" t="s">
        <v>908</v>
      </c>
      <c r="AK44" s="1898"/>
      <c r="AL44" s="1331"/>
      <c r="AM44" s="1331"/>
      <c r="AN44" s="1331"/>
      <c r="AO44" s="1331"/>
      <c r="AP44" s="1891"/>
      <c r="AQ44" s="1891"/>
    </row>
    <row r="45" spans="1:43" s="16" customFormat="1" ht="12.95">
      <c r="A45" s="1331"/>
      <c r="B45" s="596" t="str">
        <f>'STANDARD_NON RFO UNITS'!B40</f>
        <v>Sample Computation for Interest rate is at 7% fixed for three (3) years only</v>
      </c>
      <c r="C45" s="597"/>
      <c r="D45" s="1332"/>
      <c r="E45" s="1331"/>
      <c r="F45" s="1331"/>
      <c r="G45" s="1331"/>
      <c r="H45" s="1331"/>
      <c r="I45" s="1331"/>
      <c r="J45" s="1331"/>
      <c r="K45" s="1891"/>
      <c r="L45" s="1891"/>
      <c r="M45" s="1342"/>
      <c r="N45" s="1605"/>
      <c r="O45" s="1605"/>
      <c r="P45" s="1333"/>
      <c r="Q45" s="1334"/>
      <c r="R45" s="1331"/>
      <c r="S45" s="1331"/>
      <c r="T45" s="1331"/>
      <c r="U45" s="1331"/>
      <c r="V45" s="1331"/>
      <c r="W45" s="1331"/>
      <c r="X45" s="1331"/>
      <c r="Y45" s="1331"/>
      <c r="Z45" s="1331"/>
      <c r="AA45" s="1331"/>
      <c r="AB45" s="1331"/>
      <c r="AC45" s="1331"/>
      <c r="AD45" s="1331"/>
      <c r="AE45" s="1331"/>
      <c r="AF45" s="1331"/>
      <c r="AG45" s="1331"/>
      <c r="AH45" s="1331"/>
      <c r="AI45" s="1331"/>
      <c r="AJ45" s="1898" t="s">
        <v>910</v>
      </c>
      <c r="AK45" s="1898"/>
      <c r="AL45" s="1331"/>
      <c r="AM45" s="1331"/>
      <c r="AN45" s="1331"/>
      <c r="AO45" s="1331"/>
      <c r="AP45" s="1891"/>
      <c r="AQ45" s="1891"/>
    </row>
    <row r="46" spans="1:43" s="16" customFormat="1" ht="12.95">
      <c r="A46" s="1331"/>
      <c r="B46" s="598" t="s">
        <v>904</v>
      </c>
      <c r="C46" s="1331"/>
      <c r="D46" s="1332"/>
      <c r="E46" s="1331"/>
      <c r="F46" s="1331"/>
      <c r="G46" s="1331"/>
      <c r="H46" s="1331"/>
      <c r="I46" s="1331"/>
      <c r="J46" s="1331"/>
      <c r="K46" s="1891"/>
      <c r="L46" s="1891"/>
      <c r="M46" s="1342"/>
      <c r="N46" s="1605"/>
      <c r="O46" s="1605"/>
      <c r="P46" s="1333"/>
      <c r="Q46" s="1334"/>
      <c r="R46" s="1331"/>
      <c r="S46" s="1331"/>
      <c r="T46" s="1331"/>
      <c r="U46" s="1331"/>
      <c r="V46" s="1331"/>
      <c r="W46" s="1331"/>
      <c r="X46" s="1331"/>
      <c r="Y46" s="1331"/>
      <c r="Z46" s="1331"/>
      <c r="AA46" s="1331"/>
      <c r="AB46" s="1331"/>
      <c r="AC46" s="1331"/>
      <c r="AD46" s="1331"/>
      <c r="AE46" s="1331"/>
      <c r="AF46" s="1331"/>
      <c r="AG46" s="1331"/>
      <c r="AH46" s="1331"/>
      <c r="AI46" s="1331"/>
      <c r="AJ46" s="1898" t="s">
        <v>911</v>
      </c>
      <c r="AK46" s="1898"/>
      <c r="AL46" s="1331"/>
      <c r="AM46" s="1331"/>
      <c r="AN46" s="1331"/>
      <c r="AO46" s="1331"/>
      <c r="AP46" s="1891"/>
      <c r="AQ46" s="1891"/>
    </row>
    <row r="47" spans="1:43" s="16" customFormat="1" ht="12.95">
      <c r="A47" s="1331"/>
      <c r="B47" s="598" t="s">
        <v>906</v>
      </c>
      <c r="C47" s="597"/>
      <c r="D47" s="1332"/>
      <c r="E47" s="1331"/>
      <c r="F47" s="1331"/>
      <c r="G47" s="1331"/>
      <c r="H47" s="1331"/>
      <c r="I47" s="1331"/>
      <c r="J47" s="1331"/>
      <c r="K47" s="1891"/>
      <c r="L47" s="1891"/>
      <c r="M47" s="1342"/>
      <c r="N47" s="1605"/>
      <c r="O47" s="1605"/>
      <c r="P47" s="1333"/>
      <c r="Q47" s="1334"/>
      <c r="R47" s="1331"/>
      <c r="S47" s="1331"/>
      <c r="T47" s="1331"/>
      <c r="U47" s="1331"/>
      <c r="V47" s="1331"/>
      <c r="W47" s="1331"/>
      <c r="X47" s="1331"/>
      <c r="Y47" s="1331"/>
      <c r="Z47" s="1331"/>
      <c r="AA47" s="1331"/>
      <c r="AB47" s="1331"/>
      <c r="AC47" s="1331"/>
      <c r="AD47" s="1331"/>
      <c r="AE47" s="1331"/>
      <c r="AF47" s="1331"/>
      <c r="AG47" s="1331"/>
      <c r="AH47" s="1331"/>
      <c r="AI47" s="1331"/>
      <c r="AJ47" s="1898" t="s">
        <v>913</v>
      </c>
      <c r="AK47" s="1898"/>
      <c r="AL47" s="1331"/>
      <c r="AM47" s="1331"/>
      <c r="AN47" s="1331"/>
      <c r="AO47" s="1331"/>
      <c r="AP47" s="1891"/>
      <c r="AQ47" s="1891"/>
    </row>
    <row r="48" spans="1:43" s="16" customFormat="1" ht="12.95">
      <c r="A48" s="1331"/>
      <c r="B48" s="1331"/>
      <c r="C48" s="1331"/>
      <c r="D48" s="1332"/>
      <c r="E48" s="1331"/>
      <c r="F48" s="1331"/>
      <c r="G48" s="1331"/>
      <c r="H48" s="1331"/>
      <c r="I48" s="1331"/>
      <c r="J48" s="1331"/>
      <c r="K48" s="1891"/>
      <c r="L48" s="1891"/>
      <c r="M48" s="1342"/>
      <c r="N48" s="1605"/>
      <c r="O48" s="1605"/>
      <c r="P48" s="1333"/>
      <c r="Q48" s="1334"/>
      <c r="R48" s="1331"/>
      <c r="S48" s="1331"/>
      <c r="T48" s="1331"/>
      <c r="U48" s="1331"/>
      <c r="V48" s="1331"/>
      <c r="W48" s="1331"/>
      <c r="X48" s="1331"/>
      <c r="Y48" s="1331"/>
      <c r="Z48" s="1331"/>
      <c r="AA48" s="1331"/>
      <c r="AB48" s="1331"/>
      <c r="AC48" s="1331"/>
      <c r="AD48" s="1331"/>
      <c r="AE48" s="1331"/>
      <c r="AF48" s="1331"/>
      <c r="AG48" s="1331"/>
      <c r="AH48" s="1331"/>
      <c r="AI48" s="1331"/>
      <c r="AJ48" s="1898" t="s">
        <v>914</v>
      </c>
      <c r="AK48" s="1898"/>
      <c r="AL48" s="1331"/>
      <c r="AM48" s="1331"/>
      <c r="AN48" s="1331"/>
      <c r="AO48" s="1331"/>
      <c r="AP48" s="1891"/>
      <c r="AQ48" s="1891"/>
    </row>
    <row r="49" spans="2:37" s="16" customFormat="1" ht="12.95">
      <c r="B49" s="574" t="s">
        <v>924</v>
      </c>
      <c r="C49" s="599"/>
      <c r="D49" s="203"/>
      <c r="E49" s="203"/>
      <c r="F49" s="203"/>
      <c r="G49" s="203"/>
      <c r="H49" s="203"/>
      <c r="I49" s="203"/>
      <c r="J49" s="1331"/>
      <c r="K49" s="1891"/>
      <c r="L49" s="1891"/>
      <c r="M49" s="1342"/>
      <c r="N49" s="1605"/>
      <c r="O49" s="1605"/>
      <c r="P49" s="1333"/>
      <c r="Q49" s="1334"/>
      <c r="R49" s="1331"/>
      <c r="S49" s="1331"/>
      <c r="T49" s="1331"/>
      <c r="U49" s="1331"/>
      <c r="V49" s="1331"/>
      <c r="W49" s="1331"/>
      <c r="X49" s="1331"/>
      <c r="Y49" s="1331"/>
      <c r="Z49" s="1331"/>
      <c r="AA49" s="1331"/>
      <c r="AB49" s="1331"/>
      <c r="AC49" s="1331"/>
      <c r="AD49" s="1331"/>
      <c r="AE49" s="1331"/>
      <c r="AF49" s="1331"/>
      <c r="AG49" s="1331"/>
      <c r="AH49" s="1331"/>
      <c r="AI49" s="1331"/>
      <c r="AJ49" s="1910" t="s">
        <v>915</v>
      </c>
      <c r="AK49" s="1910"/>
    </row>
    <row r="50" spans="2:37" s="16" customFormat="1" ht="12.6">
      <c r="B50" s="203"/>
      <c r="C50" s="203"/>
      <c r="D50" s="203"/>
      <c r="E50" s="203"/>
      <c r="F50" s="203"/>
      <c r="G50" s="203"/>
      <c r="H50" s="203"/>
      <c r="I50" s="203"/>
      <c r="J50" s="1331"/>
      <c r="K50" s="1891"/>
      <c r="L50" s="1891"/>
      <c r="M50" s="1342"/>
      <c r="N50" s="1605"/>
      <c r="O50" s="1605"/>
      <c r="P50" s="1333"/>
      <c r="Q50" s="1334"/>
      <c r="R50" s="1331"/>
      <c r="S50" s="1331"/>
      <c r="T50" s="1331"/>
      <c r="U50" s="1331"/>
      <c r="V50" s="1331"/>
      <c r="W50" s="1331"/>
      <c r="X50" s="1331"/>
      <c r="Y50" s="1331"/>
      <c r="Z50" s="1331"/>
      <c r="AA50" s="1331"/>
      <c r="AB50" s="1331"/>
      <c r="AC50" s="1331"/>
      <c r="AD50" s="1331"/>
      <c r="AE50" s="1331"/>
      <c r="AF50" s="1331"/>
      <c r="AG50" s="1331"/>
      <c r="AH50" s="1331"/>
      <c r="AI50" s="1331"/>
      <c r="AJ50" s="1331"/>
      <c r="AK50" s="1331"/>
    </row>
    <row r="51" spans="2:37" s="16" customFormat="1" ht="12.6">
      <c r="B51" s="1914" t="s">
        <v>814</v>
      </c>
      <c r="C51" s="1914"/>
      <c r="D51" s="1914" t="s">
        <v>815</v>
      </c>
      <c r="E51" s="1914"/>
      <c r="F51" s="1914"/>
      <c r="G51" s="1914" t="s">
        <v>928</v>
      </c>
      <c r="H51" s="1914"/>
      <c r="I51" s="1914"/>
      <c r="J51" s="1331"/>
      <c r="K51" s="1891"/>
      <c r="L51" s="1891"/>
      <c r="M51" s="1342"/>
      <c r="N51" s="1605"/>
      <c r="O51" s="1605"/>
      <c r="P51" s="1333"/>
      <c r="Q51" s="1334"/>
      <c r="R51" s="1331"/>
      <c r="S51" s="1331"/>
      <c r="T51" s="1331"/>
      <c r="U51" s="1331"/>
      <c r="V51" s="1331"/>
      <c r="W51" s="1331"/>
      <c r="X51" s="1331"/>
      <c r="Y51" s="1331"/>
      <c r="Z51" s="1331"/>
      <c r="AA51" s="1331"/>
      <c r="AB51" s="1331"/>
      <c r="AC51" s="1331"/>
      <c r="AD51" s="1331"/>
      <c r="AE51" s="1331"/>
      <c r="AF51" s="1331"/>
      <c r="AG51" s="1331"/>
      <c r="AH51" s="1331"/>
      <c r="AI51" s="1331"/>
      <c r="AJ51" s="1331"/>
      <c r="AK51" s="1331"/>
    </row>
    <row r="52" spans="2:37" s="16" customFormat="1" ht="12.6">
      <c r="B52" s="1870">
        <f>FORM!O19</f>
        <v>0</v>
      </c>
      <c r="C52" s="1871"/>
      <c r="D52" s="1870">
        <f>FORM!S19</f>
        <v>0</v>
      </c>
      <c r="E52" s="1874"/>
      <c r="F52" s="1871"/>
      <c r="G52" s="1876">
        <f>FORM!V19</f>
        <v>0</v>
      </c>
      <c r="H52" s="1877"/>
      <c r="I52" s="1878"/>
      <c r="J52" s="1331"/>
      <c r="K52" s="1891"/>
      <c r="L52" s="1891"/>
      <c r="M52" s="1342"/>
      <c r="N52" s="1605"/>
      <c r="O52" s="1605"/>
      <c r="P52" s="1333"/>
      <c r="Q52" s="1334"/>
      <c r="R52" s="1331"/>
      <c r="S52" s="1331"/>
      <c r="T52" s="1331"/>
      <c r="U52" s="1331"/>
      <c r="V52" s="1331"/>
      <c r="W52" s="1331"/>
      <c r="X52" s="1331"/>
      <c r="Y52" s="1331"/>
      <c r="Z52" s="1331"/>
      <c r="AA52" s="1331"/>
      <c r="AB52" s="1331"/>
      <c r="AC52" s="1331"/>
      <c r="AD52" s="1331"/>
      <c r="AE52" s="1331"/>
      <c r="AF52" s="1331"/>
      <c r="AG52" s="1331"/>
      <c r="AH52" s="1331"/>
      <c r="AI52" s="1331"/>
      <c r="AJ52" s="1331"/>
      <c r="AK52" s="1331"/>
    </row>
    <row r="53" spans="2:37" s="16" customFormat="1" ht="12.6">
      <c r="B53" s="1872"/>
      <c r="C53" s="1873"/>
      <c r="D53" s="1872"/>
      <c r="E53" s="1875"/>
      <c r="F53" s="1873"/>
      <c r="G53" s="1879"/>
      <c r="H53" s="1880"/>
      <c r="I53" s="1881"/>
      <c r="J53" s="1331"/>
      <c r="K53" s="1891"/>
      <c r="L53" s="1891"/>
      <c r="M53" s="276"/>
      <c r="N53" s="1605"/>
      <c r="O53" s="1605"/>
      <c r="P53" s="1333"/>
      <c r="Q53" s="1334"/>
      <c r="R53" s="1331"/>
      <c r="S53" s="1331"/>
      <c r="T53" s="1331"/>
      <c r="U53" s="1331"/>
      <c r="V53" s="1331"/>
      <c r="W53" s="1331"/>
      <c r="X53" s="1331"/>
      <c r="Y53" s="1331"/>
      <c r="Z53" s="1331"/>
      <c r="AA53" s="1331"/>
      <c r="AB53" s="1331"/>
      <c r="AC53" s="1331"/>
      <c r="AD53" s="1331"/>
      <c r="AE53" s="1331"/>
      <c r="AF53" s="1331"/>
      <c r="AG53" s="1331"/>
      <c r="AH53" s="1331"/>
      <c r="AI53" s="1331"/>
      <c r="AJ53" s="1331"/>
      <c r="AK53" s="1331"/>
    </row>
    <row r="54" spans="2:37" s="16" customFormat="1" ht="12.6">
      <c r="B54" s="1870">
        <f>FORM!O21</f>
        <v>0</v>
      </c>
      <c r="C54" s="1871"/>
      <c r="D54" s="1870">
        <f>FORM!S21</f>
        <v>0</v>
      </c>
      <c r="E54" s="1874"/>
      <c r="F54" s="1871"/>
      <c r="G54" s="1876">
        <f>FORM!V21</f>
        <v>0</v>
      </c>
      <c r="H54" s="1877"/>
      <c r="I54" s="1878"/>
      <c r="J54" s="1331"/>
      <c r="K54" s="1891"/>
      <c r="L54" s="1891"/>
      <c r="M54" s="276"/>
      <c r="N54" s="1605"/>
      <c r="O54" s="1605"/>
      <c r="P54" s="1333"/>
      <c r="Q54" s="1334"/>
      <c r="R54" s="1331"/>
      <c r="S54" s="1331"/>
      <c r="T54" s="1331"/>
      <c r="U54" s="1331"/>
      <c r="V54" s="1331"/>
      <c r="W54" s="1331"/>
      <c r="X54" s="1331"/>
      <c r="Y54" s="1331"/>
      <c r="Z54" s="1331"/>
      <c r="AA54" s="1331"/>
      <c r="AB54" s="1331"/>
      <c r="AC54" s="1331"/>
      <c r="AD54" s="1331"/>
      <c r="AE54" s="1331"/>
      <c r="AF54" s="1331"/>
      <c r="AG54" s="1331"/>
      <c r="AH54" s="1331"/>
      <c r="AI54" s="1331"/>
      <c r="AJ54" s="1331"/>
      <c r="AK54" s="1331"/>
    </row>
    <row r="55" spans="2:37" s="16" customFormat="1" ht="12.6">
      <c r="B55" s="1872"/>
      <c r="C55" s="1873"/>
      <c r="D55" s="1872"/>
      <c r="E55" s="1875"/>
      <c r="F55" s="1873"/>
      <c r="G55" s="1879"/>
      <c r="H55" s="1880"/>
      <c r="I55" s="1881"/>
      <c r="J55" s="1331"/>
      <c r="K55" s="1891"/>
      <c r="L55" s="1891"/>
      <c r="M55" s="276"/>
      <c r="N55" s="1605"/>
      <c r="O55" s="1605"/>
      <c r="P55" s="1333"/>
      <c r="Q55" s="1334"/>
      <c r="R55" s="1331"/>
      <c r="S55" s="1331"/>
      <c r="T55" s="1331"/>
      <c r="U55" s="1331"/>
      <c r="V55" s="1331"/>
      <c r="W55" s="1331"/>
      <c r="X55" s="1331"/>
      <c r="Y55" s="1331"/>
      <c r="Z55" s="1331"/>
      <c r="AA55" s="1331"/>
      <c r="AB55" s="1331"/>
      <c r="AC55" s="1331"/>
      <c r="AD55" s="1331"/>
      <c r="AE55" s="1331"/>
      <c r="AF55" s="1331"/>
      <c r="AG55" s="1331"/>
      <c r="AH55" s="1331"/>
      <c r="AI55" s="1331"/>
      <c r="AJ55" s="1331"/>
      <c r="AK55" s="1331"/>
    </row>
    <row r="56" spans="2:37" s="16" customFormat="1" ht="12.6">
      <c r="B56" s="1870">
        <f>FORM!O25</f>
        <v>0</v>
      </c>
      <c r="C56" s="1871"/>
      <c r="D56" s="1870">
        <f>FORM!S25</f>
        <v>0</v>
      </c>
      <c r="E56" s="1874"/>
      <c r="F56" s="1871"/>
      <c r="G56" s="1876">
        <f>FORM!V25</f>
        <v>0</v>
      </c>
      <c r="H56" s="1877"/>
      <c r="I56" s="1878"/>
      <c r="J56" s="1331"/>
      <c r="K56" s="1891" t="s">
        <v>1032</v>
      </c>
      <c r="L56" s="1891"/>
      <c r="M56" s="276" t="e">
        <f>M57</f>
        <v>#VALUE!</v>
      </c>
      <c r="N56" s="1605">
        <f>F27</f>
        <v>90063.878716705833</v>
      </c>
      <c r="O56" s="1605"/>
      <c r="P56" s="1333"/>
      <c r="Q56" s="1334"/>
      <c r="R56" s="1331"/>
      <c r="S56" s="1331"/>
      <c r="T56" s="1331"/>
      <c r="U56" s="1331"/>
      <c r="V56" s="1331"/>
      <c r="W56" s="1331"/>
      <c r="X56" s="1331"/>
      <c r="Y56" s="1331"/>
      <c r="Z56" s="1331"/>
      <c r="AA56" s="1331"/>
      <c r="AB56" s="1331"/>
      <c r="AC56" s="1331"/>
      <c r="AD56" s="1331"/>
      <c r="AE56" s="1331"/>
      <c r="AF56" s="1331"/>
      <c r="AG56" s="1331"/>
      <c r="AH56" s="1331"/>
      <c r="AI56" s="1331"/>
      <c r="AJ56" s="1331"/>
      <c r="AK56" s="1331"/>
    </row>
    <row r="57" spans="2:37" s="16" customFormat="1" ht="12.6">
      <c r="B57" s="1872"/>
      <c r="C57" s="1873"/>
      <c r="D57" s="1872"/>
      <c r="E57" s="1875"/>
      <c r="F57" s="1873"/>
      <c r="G57" s="1879"/>
      <c r="H57" s="1880"/>
      <c r="I57" s="1881"/>
      <c r="J57" s="1331" t="s">
        <v>819</v>
      </c>
      <c r="K57" s="1891" t="s">
        <v>935</v>
      </c>
      <c r="L57" s="1891"/>
      <c r="M57" s="276" t="e">
        <f>'STANDARD_NON RFO UNITS'!M64</f>
        <v>#VALUE!</v>
      </c>
      <c r="N57" s="1909">
        <f>F35</f>
        <v>3152235.7550847041</v>
      </c>
      <c r="O57" s="1909"/>
      <c r="P57" s="1333"/>
      <c r="Q57" s="1334"/>
      <c r="R57" s="1331"/>
      <c r="S57" s="1331"/>
      <c r="T57" s="1331"/>
      <c r="U57" s="1331"/>
      <c r="V57" s="1331"/>
      <c r="W57" s="1331"/>
      <c r="X57" s="1331"/>
      <c r="Y57" s="1331"/>
      <c r="Z57" s="1331"/>
      <c r="AA57" s="1331"/>
      <c r="AB57" s="1331"/>
      <c r="AC57" s="1331"/>
      <c r="AD57" s="1331"/>
      <c r="AE57" s="1331"/>
      <c r="AF57" s="1331"/>
      <c r="AG57" s="1331"/>
      <c r="AH57" s="1331"/>
      <c r="AI57" s="1331"/>
      <c r="AJ57" s="1331"/>
      <c r="AK57" s="1331"/>
    </row>
    <row r="58" spans="2:37" s="16" customFormat="1" ht="12.6">
      <c r="B58" s="1870">
        <f>FORM!O27</f>
        <v>0</v>
      </c>
      <c r="C58" s="1871"/>
      <c r="D58" s="1870">
        <f>FORM!S27</f>
        <v>0</v>
      </c>
      <c r="E58" s="1874"/>
      <c r="F58" s="1871"/>
      <c r="G58" s="1876">
        <f>FORM!V27</f>
        <v>0</v>
      </c>
      <c r="H58" s="1877"/>
      <c r="I58" s="1878"/>
      <c r="J58" s="1331"/>
      <c r="K58" s="600"/>
      <c r="L58" s="1331"/>
      <c r="M58" s="1341"/>
      <c r="N58" s="1331"/>
      <c r="O58" s="1331"/>
      <c r="P58" s="1331"/>
      <c r="Q58" s="1331"/>
      <c r="R58" s="1331"/>
      <c r="S58" s="1331"/>
      <c r="T58" s="1331"/>
      <c r="U58" s="1331"/>
      <c r="V58" s="1331"/>
      <c r="W58" s="1331"/>
      <c r="X58" s="1331"/>
      <c r="Y58" s="1331"/>
      <c r="Z58" s="1331"/>
      <c r="AA58" s="1331"/>
      <c r="AB58" s="1331"/>
      <c r="AC58" s="1331"/>
      <c r="AD58" s="1331"/>
      <c r="AE58" s="1331"/>
      <c r="AF58" s="1331"/>
      <c r="AG58" s="1331"/>
      <c r="AH58" s="1331"/>
      <c r="AI58" s="1331"/>
      <c r="AJ58" s="1331"/>
      <c r="AK58" s="1331"/>
    </row>
    <row r="59" spans="2:37" s="16" customFormat="1" ht="12.6">
      <c r="B59" s="1872"/>
      <c r="C59" s="1873"/>
      <c r="D59" s="1872"/>
      <c r="E59" s="1875"/>
      <c r="F59" s="1873"/>
      <c r="G59" s="1879"/>
      <c r="H59" s="1880"/>
      <c r="I59" s="1881"/>
      <c r="J59" s="1331"/>
      <c r="K59" s="600"/>
      <c r="L59" s="1331"/>
      <c r="M59" s="1341"/>
      <c r="N59" s="1331"/>
      <c r="O59" s="1331"/>
      <c r="P59" s="1331"/>
      <c r="Q59" s="1331"/>
      <c r="R59" s="1331"/>
      <c r="S59" s="1331"/>
      <c r="T59" s="1331"/>
      <c r="U59" s="1331"/>
      <c r="V59" s="1331"/>
      <c r="W59" s="1331"/>
      <c r="X59" s="1331"/>
      <c r="Y59" s="1331"/>
      <c r="Z59" s="1331"/>
      <c r="AA59" s="1331"/>
      <c r="AB59" s="1331"/>
      <c r="AC59" s="1331"/>
      <c r="AD59" s="1331"/>
      <c r="AE59" s="1331"/>
      <c r="AF59" s="1331"/>
      <c r="AG59" s="1331"/>
      <c r="AH59" s="1331"/>
      <c r="AI59" s="1331"/>
      <c r="AJ59" s="1331"/>
      <c r="AK59" s="1331"/>
    </row>
    <row r="60" spans="2:37" s="16" customFormat="1" ht="12.6">
      <c r="B60" s="1870">
        <f>FORM!O31</f>
        <v>0</v>
      </c>
      <c r="C60" s="1871"/>
      <c r="D60" s="1870">
        <f>FORM!S31</f>
        <v>0</v>
      </c>
      <c r="E60" s="1874"/>
      <c r="F60" s="1871"/>
      <c r="G60" s="1876">
        <f>FORM!V31</f>
        <v>0</v>
      </c>
      <c r="H60" s="1877"/>
      <c r="I60" s="1878"/>
      <c r="J60" s="1331"/>
      <c r="K60" s="1331"/>
      <c r="L60" s="1331"/>
      <c r="M60" s="1341"/>
      <c r="N60" s="1331"/>
      <c r="O60" s="1331"/>
      <c r="P60" s="1331"/>
      <c r="Q60" s="1331"/>
      <c r="R60" s="1331"/>
      <c r="S60" s="1331"/>
      <c r="T60" s="1331"/>
      <c r="U60" s="1331"/>
      <c r="V60" s="1331"/>
      <c r="W60" s="1331"/>
      <c r="X60" s="1331"/>
      <c r="Y60" s="1331"/>
      <c r="Z60" s="1331"/>
      <c r="AA60" s="1331"/>
      <c r="AB60" s="1331"/>
      <c r="AC60" s="1331"/>
      <c r="AD60" s="1331"/>
      <c r="AE60" s="1331"/>
      <c r="AF60" s="1331"/>
      <c r="AG60" s="1331"/>
      <c r="AH60" s="1331"/>
      <c r="AI60" s="1331"/>
      <c r="AJ60" s="1331"/>
      <c r="AK60" s="1331"/>
    </row>
    <row r="61" spans="2:37" s="16" customFormat="1" ht="12.6">
      <c r="B61" s="1872"/>
      <c r="C61" s="1873"/>
      <c r="D61" s="1872"/>
      <c r="E61" s="1875"/>
      <c r="F61" s="1873"/>
      <c r="G61" s="1879"/>
      <c r="H61" s="1880"/>
      <c r="I61" s="1881"/>
      <c r="J61" s="1331"/>
      <c r="K61" s="203" t="s">
        <v>936</v>
      </c>
      <c r="L61" s="203"/>
      <c r="M61" s="203"/>
      <c r="N61" s="203"/>
      <c r="O61" s="1331"/>
      <c r="P61" s="203" t="s">
        <v>937</v>
      </c>
      <c r="Q61" s="203"/>
      <c r="R61" s="1331"/>
      <c r="S61" s="1331"/>
      <c r="T61" s="1331"/>
      <c r="U61" s="1331"/>
      <c r="V61" s="1331"/>
      <c r="W61" s="1331"/>
      <c r="X61" s="1331"/>
      <c r="Y61" s="1331"/>
      <c r="Z61" s="1331"/>
      <c r="AA61" s="1331"/>
      <c r="AB61" s="1331"/>
      <c r="AC61" s="1331"/>
      <c r="AD61" s="1331"/>
      <c r="AE61" s="1331"/>
      <c r="AF61" s="1331"/>
      <c r="AG61" s="1331"/>
      <c r="AH61" s="1331"/>
      <c r="AI61" s="1331"/>
      <c r="AJ61" s="1331"/>
      <c r="AK61" s="1331"/>
    </row>
    <row r="62" spans="2:37" s="16" customFormat="1" ht="12.6">
      <c r="B62" s="1870">
        <f>FORM!O33</f>
        <v>0</v>
      </c>
      <c r="C62" s="1871"/>
      <c r="D62" s="1870">
        <f>FORM!S33</f>
        <v>0</v>
      </c>
      <c r="E62" s="1874"/>
      <c r="F62" s="1871"/>
      <c r="G62" s="1876">
        <f>FORM!V33</f>
        <v>0</v>
      </c>
      <c r="H62" s="1877"/>
      <c r="I62" s="1878"/>
      <c r="J62" s="1331"/>
      <c r="K62" s="1331"/>
      <c r="L62" s="1331"/>
      <c r="M62" s="1332"/>
      <c r="N62" s="1331"/>
      <c r="O62" s="1331"/>
      <c r="P62" s="1331"/>
      <c r="Q62" s="1331"/>
      <c r="R62" s="1331"/>
      <c r="S62" s="1331"/>
      <c r="T62" s="1331"/>
      <c r="U62" s="1331"/>
      <c r="V62" s="1331"/>
      <c r="W62" s="1331"/>
      <c r="X62" s="1331"/>
      <c r="Y62" s="1331"/>
      <c r="Z62" s="1331"/>
      <c r="AA62" s="1331"/>
      <c r="AB62" s="1331"/>
      <c r="AC62" s="1331"/>
      <c r="AD62" s="1331"/>
      <c r="AE62" s="1331"/>
      <c r="AF62" s="1331"/>
      <c r="AG62" s="1331"/>
      <c r="AH62" s="1331"/>
      <c r="AI62" s="1331"/>
      <c r="AJ62" s="1331"/>
      <c r="AK62" s="1331"/>
    </row>
    <row r="63" spans="2:37" s="16" customFormat="1" ht="12.6">
      <c r="B63" s="1872"/>
      <c r="C63" s="1873"/>
      <c r="D63" s="1872"/>
      <c r="E63" s="1875"/>
      <c r="F63" s="1873"/>
      <c r="G63" s="1879"/>
      <c r="H63" s="1880"/>
      <c r="I63" s="1881"/>
      <c r="J63" s="1331"/>
      <c r="K63" s="1331"/>
      <c r="L63" s="1331"/>
      <c r="M63" s="1332"/>
      <c r="N63" s="1331"/>
      <c r="O63" s="1331"/>
      <c r="P63" s="1331"/>
      <c r="Q63" s="1331"/>
      <c r="R63" s="1331"/>
      <c r="S63" s="1331"/>
      <c r="T63" s="1331"/>
      <c r="U63" s="1331"/>
      <c r="V63" s="1331"/>
      <c r="W63" s="1331"/>
      <c r="X63" s="1331"/>
      <c r="Y63" s="1331"/>
      <c r="Z63" s="1331"/>
      <c r="AA63" s="1331"/>
      <c r="AB63" s="1331"/>
      <c r="AC63" s="1331"/>
      <c r="AD63" s="1331"/>
      <c r="AE63" s="1331"/>
      <c r="AF63" s="1331"/>
      <c r="AG63" s="1331"/>
      <c r="AH63" s="1331"/>
      <c r="AI63" s="1331"/>
      <c r="AJ63" s="1331"/>
      <c r="AK63" s="1331"/>
    </row>
    <row r="64" spans="2:37" s="16" customFormat="1" ht="12.6">
      <c r="B64" s="1331"/>
      <c r="C64" s="1331"/>
      <c r="D64" s="1332"/>
      <c r="E64" s="1331"/>
      <c r="F64" s="1331"/>
      <c r="G64" s="1331"/>
      <c r="H64" s="1331"/>
      <c r="I64" s="1331"/>
      <c r="J64" s="1331"/>
      <c r="K64" s="1931" t="str">
        <f>FORM!I28</f>
        <v xml:space="preserve">agent </v>
      </c>
      <c r="L64" s="1931"/>
      <c r="M64" s="1931"/>
      <c r="N64" s="1331"/>
      <c r="O64" s="1331"/>
      <c r="P64" s="1931" t="str">
        <f>FORM!I26</f>
        <v>cnc</v>
      </c>
      <c r="Q64" s="1931"/>
      <c r="R64" s="1331"/>
      <c r="S64" s="1331"/>
      <c r="T64" s="1331"/>
      <c r="U64" s="1331"/>
      <c r="V64" s="1331"/>
      <c r="W64" s="1331"/>
      <c r="X64" s="1331"/>
      <c r="Y64" s="1331"/>
      <c r="Z64" s="1331"/>
      <c r="AA64" s="1331"/>
      <c r="AB64" s="1331"/>
      <c r="AC64" s="1331"/>
      <c r="AD64" s="1331"/>
      <c r="AE64" s="1331"/>
      <c r="AF64" s="1331"/>
      <c r="AG64" s="1331"/>
      <c r="AH64" s="1331"/>
      <c r="AI64" s="1331"/>
      <c r="AJ64" s="1331"/>
      <c r="AK64" s="1331"/>
    </row>
    <row r="65" spans="2:17" s="16" customFormat="1" ht="12.6">
      <c r="B65" s="601"/>
      <c r="C65" s="602" t="s">
        <v>950</v>
      </c>
      <c r="D65" s="1573"/>
      <c r="E65" s="1573"/>
      <c r="F65" s="1573"/>
      <c r="G65" s="1331"/>
      <c r="H65" s="1331"/>
      <c r="I65" s="1331"/>
      <c r="J65" s="1331"/>
      <c r="K65" s="1370" t="s">
        <v>939</v>
      </c>
      <c r="L65" s="1370"/>
      <c r="M65" s="1371"/>
      <c r="N65" s="1331"/>
      <c r="O65" s="1331"/>
      <c r="P65" s="1370" t="s">
        <v>939</v>
      </c>
      <c r="Q65" s="1370"/>
    </row>
    <row r="66" spans="2:17" s="16" customFormat="1" ht="12.6">
      <c r="B66" s="603"/>
      <c r="C66" s="1330"/>
      <c r="D66" s="1330"/>
      <c r="E66" s="1330"/>
      <c r="F66" s="590"/>
      <c r="G66" s="1331"/>
      <c r="H66" s="1331"/>
      <c r="I66" s="1331"/>
      <c r="J66" s="1331"/>
      <c r="K66" s="1331"/>
      <c r="L66" s="1331"/>
      <c r="M66" s="1331"/>
      <c r="N66" s="1331"/>
      <c r="O66" s="1331"/>
      <c r="P66" s="1331"/>
      <c r="Q66" s="1331"/>
    </row>
    <row r="67" spans="2:17" s="16" customFormat="1" ht="12.6">
      <c r="B67" s="203" t="s">
        <v>936</v>
      </c>
      <c r="C67" s="203"/>
      <c r="D67" s="203"/>
      <c r="E67" s="203"/>
      <c r="F67" s="203" t="s">
        <v>937</v>
      </c>
      <c r="G67" s="203"/>
      <c r="H67" s="203"/>
      <c r="I67" s="1331"/>
      <c r="J67" s="1331"/>
      <c r="K67" s="1331"/>
      <c r="L67" s="1331"/>
      <c r="M67" s="1331"/>
      <c r="N67" s="1331"/>
      <c r="O67" s="1331"/>
      <c r="P67" s="1331"/>
      <c r="Q67" s="1331"/>
    </row>
    <row r="68" spans="2:17" s="16" customFormat="1" ht="12.6">
      <c r="B68" s="1331"/>
      <c r="C68" s="1331"/>
      <c r="D68" s="1332"/>
      <c r="E68" s="1331"/>
      <c r="F68" s="1331"/>
      <c r="G68" s="1331"/>
      <c r="H68" s="1331"/>
      <c r="I68" s="1331"/>
      <c r="J68" s="1331"/>
      <c r="K68" s="1331"/>
      <c r="L68" s="1331"/>
      <c r="M68" s="1341"/>
      <c r="N68" s="1331"/>
      <c r="O68" s="1331"/>
      <c r="P68" s="1331"/>
      <c r="Q68" s="1331"/>
    </row>
    <row r="69" spans="2:17" s="16" customFormat="1" ht="12.6">
      <c r="B69" s="1931" t="str">
        <f>FORM!I28</f>
        <v xml:space="preserve">agent </v>
      </c>
      <c r="C69" s="1931"/>
      <c r="D69" s="1372"/>
      <c r="E69" s="1331"/>
      <c r="F69" s="1931" t="str">
        <f>FORM!I26</f>
        <v>cnc</v>
      </c>
      <c r="G69" s="1931"/>
      <c r="H69" s="1331"/>
      <c r="I69" s="1331"/>
      <c r="J69" s="1331"/>
      <c r="K69" s="1331"/>
      <c r="L69" s="1331"/>
      <c r="M69" s="1341"/>
      <c r="N69" s="1331"/>
      <c r="O69" s="1331"/>
      <c r="P69" s="1331"/>
      <c r="Q69" s="1331"/>
    </row>
    <row r="70" spans="2:17" s="16" customFormat="1" ht="12.6">
      <c r="B70" s="1370" t="s">
        <v>939</v>
      </c>
      <c r="C70" s="1370"/>
      <c r="D70" s="1332"/>
      <c r="E70" s="1331"/>
      <c r="F70" s="1370" t="s">
        <v>939</v>
      </c>
      <c r="G70" s="1370"/>
      <c r="H70" s="1331"/>
      <c r="I70" s="1331"/>
      <c r="J70" s="1331"/>
      <c r="K70" s="1331"/>
      <c r="L70" s="1331"/>
      <c r="M70" s="1341"/>
      <c r="N70" s="1331"/>
      <c r="O70" s="1331"/>
      <c r="P70" s="1331"/>
      <c r="Q70" s="1331"/>
    </row>
    <row r="71" spans="2:17" s="16" customFormat="1" ht="12.6">
      <c r="B71" s="1331"/>
      <c r="C71" s="1331"/>
      <c r="D71" s="1332"/>
      <c r="E71" s="1331"/>
      <c r="F71" s="1331"/>
      <c r="G71" s="1331"/>
      <c r="H71" s="1331"/>
      <c r="I71" s="1331"/>
      <c r="J71" s="1331"/>
      <c r="K71" s="1331"/>
      <c r="L71" s="1331"/>
      <c r="M71" s="1341"/>
      <c r="N71" s="1331"/>
      <c r="O71" s="1331"/>
      <c r="P71" s="1331"/>
      <c r="Q71" s="1331"/>
    </row>
    <row r="72" spans="2:17" s="16" customFormat="1" ht="12.6">
      <c r="B72" s="1331"/>
      <c r="C72" s="1331"/>
      <c r="D72" s="1332"/>
      <c r="E72" s="1331"/>
      <c r="F72" s="1331"/>
      <c r="G72" s="1331"/>
      <c r="H72" s="1331"/>
      <c r="I72" s="1331"/>
      <c r="J72" s="1331"/>
      <c r="K72" s="1331"/>
      <c r="L72" s="1331"/>
      <c r="M72" s="1341"/>
      <c r="N72" s="1331"/>
      <c r="O72" s="1331"/>
      <c r="P72" s="1331"/>
      <c r="Q72" s="1331"/>
    </row>
    <row r="73" spans="2:17" s="16" customFormat="1" ht="12.6">
      <c r="B73" s="1331"/>
      <c r="C73" s="1331"/>
      <c r="D73" s="1332"/>
      <c r="E73" s="1331"/>
      <c r="F73" s="1331"/>
      <c r="G73" s="1331"/>
      <c r="H73" s="1331"/>
      <c r="I73" s="1331"/>
      <c r="J73" s="1331"/>
      <c r="K73" s="1331"/>
      <c r="L73" s="1331"/>
      <c r="M73" s="1341"/>
      <c r="N73" s="1331"/>
      <c r="O73" s="1331"/>
      <c r="P73" s="1331"/>
      <c r="Q73" s="1331"/>
    </row>
    <row r="74" spans="2:17" s="16" customFormat="1" ht="12.6">
      <c r="B74" s="1331"/>
      <c r="C74" s="1331"/>
      <c r="D74" s="1332"/>
      <c r="E74" s="1331"/>
      <c r="F74" s="1331"/>
      <c r="G74" s="1331"/>
      <c r="H74" s="1331"/>
      <c r="I74" s="1331"/>
      <c r="J74" s="1331"/>
      <c r="K74" s="1331"/>
      <c r="L74" s="1331"/>
      <c r="M74" s="1341"/>
      <c r="N74" s="1331"/>
      <c r="O74" s="1331"/>
      <c r="P74" s="1331"/>
      <c r="Q74" s="1331"/>
    </row>
    <row r="75" spans="2:17" s="16" customFormat="1" ht="12.6">
      <c r="B75" s="1331"/>
      <c r="C75" s="1331"/>
      <c r="D75" s="1332"/>
      <c r="E75" s="1331"/>
      <c r="F75" s="1331"/>
      <c r="G75" s="1331"/>
      <c r="H75" s="1331"/>
      <c r="I75" s="1331"/>
      <c r="J75" s="1331"/>
      <c r="K75" s="1331"/>
      <c r="L75" s="1331"/>
      <c r="M75" s="1341"/>
      <c r="N75" s="1331"/>
      <c r="O75" s="1331"/>
      <c r="P75" s="1331"/>
      <c r="Q75" s="1331"/>
    </row>
    <row r="76" spans="2:17" s="16" customFormat="1" ht="12.6">
      <c r="B76" s="1331"/>
      <c r="C76" s="1331"/>
      <c r="D76" s="1332"/>
      <c r="E76" s="1331"/>
      <c r="F76" s="1331"/>
      <c r="G76" s="1331"/>
      <c r="H76" s="1331"/>
      <c r="I76" s="1331"/>
      <c r="J76" s="1331"/>
      <c r="K76" s="1331"/>
      <c r="L76" s="1331"/>
      <c r="M76" s="1341"/>
      <c r="N76" s="1331"/>
      <c r="O76" s="1331"/>
      <c r="P76" s="1331"/>
      <c r="Q76" s="1331"/>
    </row>
    <row r="77" spans="2:17" s="16" customFormat="1" ht="12.6">
      <c r="B77" s="1331"/>
      <c r="C77" s="1331"/>
      <c r="D77" s="1332"/>
      <c r="E77" s="1331"/>
      <c r="F77" s="1331"/>
      <c r="G77" s="1331"/>
      <c r="H77" s="1331"/>
      <c r="I77" s="1331"/>
      <c r="J77" s="1331"/>
      <c r="K77" s="1331"/>
      <c r="L77" s="1331"/>
      <c r="M77" s="1341"/>
      <c r="N77" s="1331"/>
      <c r="O77" s="1331"/>
      <c r="P77" s="1331"/>
      <c r="Q77" s="1331"/>
    </row>
    <row r="78" spans="2:17" s="16" customFormat="1" ht="12.6">
      <c r="B78" s="1331"/>
      <c r="C78" s="1331"/>
      <c r="D78" s="1332"/>
      <c r="E78" s="1331"/>
      <c r="F78" s="1331"/>
      <c r="G78" s="1331"/>
      <c r="H78" s="1331"/>
      <c r="I78" s="1331"/>
      <c r="J78" s="1331"/>
      <c r="K78" s="1331"/>
      <c r="L78" s="1331"/>
      <c r="M78" s="1341"/>
      <c r="N78" s="1331"/>
      <c r="O78" s="1331"/>
      <c r="P78" s="1331"/>
      <c r="Q78" s="1331"/>
    </row>
    <row r="79" spans="2:17" s="16" customFormat="1" ht="12.6">
      <c r="B79" s="1331"/>
      <c r="C79" s="1331"/>
      <c r="D79" s="1332"/>
      <c r="E79" s="1331"/>
      <c r="F79" s="1331"/>
      <c r="G79" s="1331"/>
      <c r="H79" s="1331"/>
      <c r="I79" s="1331"/>
      <c r="J79" s="1331"/>
      <c r="K79" s="1331"/>
      <c r="L79" s="1331"/>
      <c r="M79" s="1341"/>
      <c r="N79" s="1331"/>
      <c r="O79" s="1331"/>
      <c r="P79" s="1331"/>
      <c r="Q79" s="1331"/>
    </row>
    <row r="80" spans="2:17" s="16" customFormat="1" ht="12.6">
      <c r="B80" s="1331"/>
      <c r="C80" s="1331"/>
      <c r="D80" s="1332"/>
      <c r="E80" s="1331"/>
      <c r="F80" s="1331"/>
      <c r="G80" s="1331"/>
      <c r="H80" s="1331"/>
      <c r="I80" s="1331"/>
      <c r="J80" s="1331"/>
      <c r="K80" s="1331"/>
      <c r="L80" s="1331"/>
      <c r="M80" s="1341"/>
      <c r="N80" s="1331"/>
      <c r="O80" s="1331"/>
      <c r="P80" s="1331"/>
      <c r="Q80" s="1331"/>
    </row>
    <row r="81" spans="4:13" s="16" customFormat="1" ht="12.6">
      <c r="D81" s="1332"/>
      <c r="E81" s="1331"/>
      <c r="F81" s="1331"/>
      <c r="G81" s="1331"/>
      <c r="H81" s="1331"/>
      <c r="I81" s="1331"/>
      <c r="J81" s="1331"/>
      <c r="K81" s="1331"/>
      <c r="L81" s="1331"/>
      <c r="M81" s="1341"/>
    </row>
    <row r="82" spans="4:13" s="16" customFormat="1" ht="12.6">
      <c r="D82" s="1332"/>
      <c r="E82" s="1331"/>
      <c r="F82" s="1331"/>
      <c r="G82" s="1331"/>
      <c r="H82" s="1331"/>
      <c r="I82" s="1331"/>
      <c r="J82" s="1331"/>
      <c r="K82" s="1331"/>
      <c r="L82" s="1331"/>
      <c r="M82" s="1341"/>
    </row>
    <row r="83" spans="4:13" s="16" customFormat="1" ht="12.6">
      <c r="D83" s="1332"/>
      <c r="E83" s="1331"/>
      <c r="F83" s="1331"/>
      <c r="G83" s="1331"/>
      <c r="H83" s="1331"/>
      <c r="I83" s="1331"/>
      <c r="J83" s="1331"/>
      <c r="K83" s="1331"/>
      <c r="L83" s="1331"/>
      <c r="M83" s="1341"/>
    </row>
    <row r="84" spans="4:13" s="16" customFormat="1" ht="12.6">
      <c r="D84" s="1332"/>
      <c r="E84" s="1331"/>
      <c r="F84" s="1331"/>
      <c r="G84" s="1331"/>
      <c r="H84" s="1331"/>
      <c r="I84" s="1331"/>
      <c r="J84" s="1331"/>
      <c r="K84" s="1331"/>
      <c r="L84" s="1331"/>
      <c r="M84" s="1341"/>
    </row>
    <row r="85" spans="4:13" s="16" customFormat="1" ht="12.6">
      <c r="D85" s="1332"/>
      <c r="E85" s="1331"/>
      <c r="F85" s="1331"/>
      <c r="G85" s="1331"/>
      <c r="H85" s="1331"/>
      <c r="I85" s="1331"/>
      <c r="J85" s="1331"/>
      <c r="K85" s="1331"/>
      <c r="L85" s="1331"/>
      <c r="M85" s="1341"/>
    </row>
    <row r="86" spans="4:13" s="16" customFormat="1" ht="12.6">
      <c r="D86" s="1332"/>
      <c r="E86" s="1331"/>
      <c r="F86" s="1331"/>
      <c r="G86" s="1331"/>
      <c r="H86" s="1331"/>
      <c r="I86" s="1331"/>
      <c r="J86" s="1331"/>
      <c r="K86" s="1331"/>
      <c r="L86" s="1331"/>
      <c r="M86" s="1341"/>
    </row>
    <row r="87" spans="4:13" s="16" customFormat="1" ht="12.6">
      <c r="D87" s="1332"/>
      <c r="E87" s="1331"/>
      <c r="F87" s="1331"/>
      <c r="G87" s="1331"/>
      <c r="H87" s="1331"/>
      <c r="I87" s="1331"/>
      <c r="J87" s="1331"/>
      <c r="K87" s="1331"/>
      <c r="L87" s="1331"/>
      <c r="M87" s="1341"/>
    </row>
    <row r="88" spans="4:13" s="16" customFormat="1" ht="12.6">
      <c r="D88" s="1332"/>
      <c r="E88" s="1331"/>
      <c r="F88" s="1331"/>
      <c r="G88" s="1331"/>
      <c r="H88" s="1331"/>
      <c r="I88" s="1331"/>
      <c r="J88" s="1331"/>
      <c r="K88" s="1331"/>
      <c r="L88" s="1331"/>
      <c r="M88" s="1341"/>
    </row>
    <row r="89" spans="4:13" s="16" customFormat="1" ht="12.6">
      <c r="D89" s="1332"/>
      <c r="E89" s="1331"/>
      <c r="F89" s="1331"/>
      <c r="G89" s="1331"/>
      <c r="H89" s="1331"/>
      <c r="I89" s="1331"/>
      <c r="J89" s="1331"/>
      <c r="K89" s="1331"/>
      <c r="L89" s="1331"/>
      <c r="M89" s="1341"/>
    </row>
    <row r="90" spans="4:13" s="16" customFormat="1" ht="12.6">
      <c r="D90" s="1332"/>
      <c r="E90" s="1331"/>
      <c r="F90" s="1331"/>
      <c r="G90" s="1331"/>
      <c r="H90" s="1331"/>
      <c r="I90" s="1331"/>
      <c r="J90" s="1331"/>
      <c r="K90" s="1331"/>
      <c r="L90" s="1331"/>
      <c r="M90" s="1341"/>
    </row>
    <row r="91" spans="4:13" s="16" customFormat="1" ht="12.6">
      <c r="D91" s="1332"/>
      <c r="E91" s="1331"/>
      <c r="F91" s="1331"/>
      <c r="G91" s="1331"/>
      <c r="H91" s="1331"/>
      <c r="I91" s="1331"/>
      <c r="J91" s="1331"/>
      <c r="K91" s="1331"/>
      <c r="L91" s="1331"/>
      <c r="M91" s="1341"/>
    </row>
    <row r="92" spans="4:13" s="16" customFormat="1" ht="12.6">
      <c r="D92" s="1332"/>
      <c r="E92" s="1331"/>
      <c r="F92" s="1331"/>
      <c r="G92" s="1331"/>
      <c r="H92" s="1331"/>
      <c r="I92" s="1331"/>
      <c r="J92" s="1331"/>
      <c r="K92" s="1331"/>
      <c r="L92" s="1331"/>
      <c r="M92" s="1341"/>
    </row>
    <row r="93" spans="4:13" s="16" customFormat="1" ht="12.6">
      <c r="D93" s="1332"/>
      <c r="E93" s="1331"/>
      <c r="F93" s="1331"/>
      <c r="G93" s="1331"/>
      <c r="H93" s="1331"/>
      <c r="I93" s="1331"/>
      <c r="J93" s="1331"/>
      <c r="K93" s="1331"/>
      <c r="L93" s="1331"/>
      <c r="M93" s="1341"/>
    </row>
    <row r="94" spans="4:13" s="16" customFormat="1" ht="12.6">
      <c r="D94" s="1332"/>
      <c r="E94" s="1331"/>
      <c r="F94" s="1331"/>
      <c r="G94" s="1331"/>
      <c r="H94" s="1331"/>
      <c r="I94" s="1331"/>
      <c r="J94" s="1331"/>
      <c r="K94" s="1331"/>
      <c r="L94" s="1331"/>
      <c r="M94" s="1341"/>
    </row>
    <row r="95" spans="4:13" s="16" customFormat="1" ht="12.6">
      <c r="D95" s="1332"/>
      <c r="E95" s="1331"/>
      <c r="F95" s="1331"/>
      <c r="G95" s="1331"/>
      <c r="H95" s="1331"/>
      <c r="I95" s="1331"/>
      <c r="J95" s="1331"/>
      <c r="K95" s="1331"/>
      <c r="L95" s="1331"/>
      <c r="M95" s="1341"/>
    </row>
    <row r="96" spans="4:13" s="16" customFormat="1" ht="12.6">
      <c r="D96" s="1332"/>
      <c r="E96" s="1331"/>
      <c r="F96" s="1331"/>
      <c r="G96" s="1331"/>
      <c r="H96" s="1331"/>
      <c r="I96" s="1331"/>
      <c r="J96" s="1331"/>
      <c r="K96" s="1331"/>
      <c r="L96" s="1331"/>
      <c r="M96" s="1341"/>
    </row>
    <row r="97" spans="2:13" s="16" customFormat="1" ht="12.6">
      <c r="B97" s="1331"/>
      <c r="C97" s="1331"/>
      <c r="D97" s="1332"/>
      <c r="E97" s="1331"/>
      <c r="F97" s="1331"/>
      <c r="G97" s="1331"/>
      <c r="H97" s="1331"/>
      <c r="I97" s="1331"/>
      <c r="J97" s="1331"/>
      <c r="K97" s="1331"/>
      <c r="L97" s="1331"/>
      <c r="M97" s="1341"/>
    </row>
    <row r="98" spans="2:13" s="16" customFormat="1" ht="12.6">
      <c r="B98" s="1331"/>
      <c r="C98" s="1331"/>
      <c r="D98" s="1332"/>
      <c r="E98" s="1331"/>
      <c r="F98" s="1331"/>
      <c r="G98" s="1331"/>
      <c r="H98" s="1331"/>
      <c r="I98" s="1331"/>
      <c r="J98" s="1331"/>
      <c r="K98" s="1331"/>
      <c r="L98" s="1331"/>
      <c r="M98" s="1341"/>
    </row>
    <row r="99" spans="2:13" s="16" customFormat="1" ht="12.6">
      <c r="B99" s="1331"/>
      <c r="C99" s="1331"/>
      <c r="D99" s="1332"/>
      <c r="E99" s="1331"/>
      <c r="F99" s="1331"/>
      <c r="G99" s="1331"/>
      <c r="H99" s="1331"/>
      <c r="I99" s="1331"/>
      <c r="J99" s="1331"/>
      <c r="K99" s="1331"/>
      <c r="L99" s="1331"/>
      <c r="M99" s="1341"/>
    </row>
    <row r="100" spans="2:13" s="16" customFormat="1" ht="12.6">
      <c r="B100" s="1331"/>
      <c r="C100" s="1331"/>
      <c r="D100" s="1332"/>
      <c r="E100" s="1331"/>
      <c r="F100" s="1331"/>
      <c r="G100" s="1331"/>
      <c r="H100" s="1331"/>
      <c r="I100" s="1331"/>
      <c r="J100" s="1331"/>
      <c r="K100" s="1331"/>
      <c r="L100" s="1331"/>
      <c r="M100" s="1341"/>
    </row>
    <row r="101" spans="2:13" s="16" customFormat="1" ht="12.6">
      <c r="B101" s="1331"/>
      <c r="C101" s="1331"/>
      <c r="D101" s="1332"/>
      <c r="E101" s="1331"/>
      <c r="F101" s="1331"/>
      <c r="G101" s="1331"/>
      <c r="H101" s="1331"/>
      <c r="I101" s="1331"/>
      <c r="J101" s="1331"/>
      <c r="K101" s="1331"/>
      <c r="L101" s="1331"/>
      <c r="M101" s="1341"/>
    </row>
    <row r="102" spans="2:13" s="16" customFormat="1" ht="12.6">
      <c r="B102" s="1331"/>
      <c r="C102" s="1331"/>
      <c r="D102" s="1332"/>
      <c r="E102" s="1331"/>
      <c r="F102" s="1331"/>
      <c r="G102" s="1331"/>
      <c r="H102" s="1331"/>
      <c r="I102" s="1331"/>
      <c r="J102" s="1331"/>
      <c r="K102" s="1331"/>
      <c r="L102" s="1331"/>
      <c r="M102" s="1341"/>
    </row>
    <row r="103" spans="2:13" s="16" customFormat="1" ht="12.6">
      <c r="B103" s="1331"/>
      <c r="C103" s="1331"/>
      <c r="D103" s="1332"/>
      <c r="E103" s="1331"/>
      <c r="F103" s="1331"/>
      <c r="G103" s="1331"/>
      <c r="H103" s="1331"/>
      <c r="I103" s="1331"/>
      <c r="J103" s="1331"/>
      <c r="K103" s="1331"/>
      <c r="L103" s="1331"/>
      <c r="M103" s="1341"/>
    </row>
    <row r="104" spans="2:13" s="16" customFormat="1" ht="12.6">
      <c r="B104" s="1331"/>
      <c r="C104" s="1331"/>
      <c r="D104" s="1332"/>
      <c r="E104" s="1331"/>
      <c r="F104" s="1331"/>
      <c r="G104" s="1331"/>
      <c r="H104" s="1331"/>
      <c r="I104" s="1331"/>
      <c r="J104" s="1331"/>
      <c r="K104" s="1331"/>
      <c r="L104" s="1331"/>
      <c r="M104" s="1341"/>
    </row>
    <row r="105" spans="2:13" s="16" customFormat="1" ht="12.6">
      <c r="B105" s="1331"/>
      <c r="C105" s="1331"/>
      <c r="D105" s="1332"/>
      <c r="E105" s="1331"/>
      <c r="F105" s="1331"/>
      <c r="G105" s="1331"/>
      <c r="H105" s="1331"/>
      <c r="I105" s="1331"/>
      <c r="J105" s="1331"/>
      <c r="K105" s="1331"/>
      <c r="L105" s="1331"/>
      <c r="M105" s="1341"/>
    </row>
    <row r="106" spans="2:13" s="16" customFormat="1" ht="12.6">
      <c r="B106" s="1331"/>
      <c r="C106" s="1331"/>
      <c r="D106" s="1332"/>
      <c r="E106" s="1331"/>
      <c r="F106" s="1331"/>
      <c r="G106" s="1331"/>
      <c r="H106" s="1331"/>
      <c r="I106" s="1331"/>
      <c r="J106" s="1331"/>
      <c r="K106" s="1331"/>
      <c r="L106" s="1331"/>
      <c r="M106" s="1341"/>
    </row>
    <row r="107" spans="2:13" s="16" customFormat="1" ht="12.6">
      <c r="B107" s="1331"/>
      <c r="C107" s="1331"/>
      <c r="D107" s="1332"/>
      <c r="E107" s="1331"/>
      <c r="F107" s="1331"/>
      <c r="G107" s="1331"/>
      <c r="H107" s="1331"/>
      <c r="I107" s="1331"/>
      <c r="J107" s="1331"/>
      <c r="K107" s="1331"/>
      <c r="L107" s="1331"/>
      <c r="M107" s="1341"/>
    </row>
    <row r="108" spans="2:13">
      <c r="B108" s="1331"/>
      <c r="C108" s="1331"/>
      <c r="D108" s="1332"/>
      <c r="E108" s="1331"/>
      <c r="F108" s="1331"/>
      <c r="G108" s="1331"/>
      <c r="H108" s="1331"/>
      <c r="I108" s="1331"/>
    </row>
    <row r="114" spans="1:1">
      <c r="A114" s="206">
        <f>F18*12%</f>
        <v>383420.50362766115</v>
      </c>
    </row>
  </sheetData>
  <sheetProtection selectLockedCells="1"/>
  <mergeCells count="247">
    <mergeCell ref="B69:C69"/>
    <mergeCell ref="D65:F65"/>
    <mergeCell ref="D39:E39"/>
    <mergeCell ref="B51:C51"/>
    <mergeCell ref="D51:F51"/>
    <mergeCell ref="F69:G69"/>
    <mergeCell ref="P64:Q64"/>
    <mergeCell ref="K64:M64"/>
    <mergeCell ref="B30:C30"/>
    <mergeCell ref="B31:C31"/>
    <mergeCell ref="B33:C33"/>
    <mergeCell ref="B32:C32"/>
    <mergeCell ref="N54:O54"/>
    <mergeCell ref="K55:L55"/>
    <mergeCell ref="N55:O55"/>
    <mergeCell ref="G51:I51"/>
    <mergeCell ref="F35:I35"/>
    <mergeCell ref="K37:L37"/>
    <mergeCell ref="N37:O37"/>
    <mergeCell ref="B52:C53"/>
    <mergeCell ref="D52:F53"/>
    <mergeCell ref="N52:O52"/>
    <mergeCell ref="D42:E42"/>
    <mergeCell ref="K34:L34"/>
    <mergeCell ref="K52:L52"/>
    <mergeCell ref="E9:I9"/>
    <mergeCell ref="N9:Q9"/>
    <mergeCell ref="N15:O16"/>
    <mergeCell ref="G12:I12"/>
    <mergeCell ref="N12:O12"/>
    <mergeCell ref="P12:Q12"/>
    <mergeCell ref="E10:I10"/>
    <mergeCell ref="P15:Q16"/>
    <mergeCell ref="K50:L50"/>
    <mergeCell ref="N50:O50"/>
    <mergeCell ref="K19:L19"/>
    <mergeCell ref="N19:O19"/>
    <mergeCell ref="N18:O18"/>
    <mergeCell ref="G39:I39"/>
    <mergeCell ref="K42:L42"/>
    <mergeCell ref="D40:E40"/>
    <mergeCell ref="D43:E43"/>
    <mergeCell ref="D41:E41"/>
    <mergeCell ref="K40:L40"/>
    <mergeCell ref="G40:I40"/>
    <mergeCell ref="K35:L35"/>
    <mergeCell ref="N35:O35"/>
    <mergeCell ref="K41:L41"/>
    <mergeCell ref="B3:I4"/>
    <mergeCell ref="K3:Q4"/>
    <mergeCell ref="E6:I6"/>
    <mergeCell ref="N6:Q6"/>
    <mergeCell ref="G1:I1"/>
    <mergeCell ref="N17:O17"/>
    <mergeCell ref="T21:U21"/>
    <mergeCell ref="E12:F12"/>
    <mergeCell ref="F28:I28"/>
    <mergeCell ref="E7:F7"/>
    <mergeCell ref="S15:AD15"/>
    <mergeCell ref="E13:F13"/>
    <mergeCell ref="K15:L16"/>
    <mergeCell ref="N10:Q10"/>
    <mergeCell ref="E11:F11"/>
    <mergeCell ref="N7:Q7"/>
    <mergeCell ref="E8:I8"/>
    <mergeCell ref="N8:Q8"/>
    <mergeCell ref="X13:Y13"/>
    <mergeCell ref="K27:L27"/>
    <mergeCell ref="X7:AD7"/>
    <mergeCell ref="X8:AD8"/>
    <mergeCell ref="X9:AD9"/>
    <mergeCell ref="X10:AD10"/>
    <mergeCell ref="S3:AD4"/>
    <mergeCell ref="S1:T1"/>
    <mergeCell ref="U1:V1"/>
    <mergeCell ref="Z1:AA1"/>
    <mergeCell ref="AB1:AD1"/>
    <mergeCell ref="X6:AD6"/>
    <mergeCell ref="AJ48:AK48"/>
    <mergeCell ref="AJ40:AK40"/>
    <mergeCell ref="AJ45:AK45"/>
    <mergeCell ref="AJ37:AK37"/>
    <mergeCell ref="AJ36:AK36"/>
    <mergeCell ref="AJ34:AK34"/>
    <mergeCell ref="AJ35:AK35"/>
    <mergeCell ref="AJ41:AK41"/>
    <mergeCell ref="K57:L57"/>
    <mergeCell ref="N57:O57"/>
    <mergeCell ref="AJ49:AK49"/>
    <mergeCell ref="K43:L43"/>
    <mergeCell ref="N43:O43"/>
    <mergeCell ref="K46:L46"/>
    <mergeCell ref="N46:O46"/>
    <mergeCell ref="AJ46:AK46"/>
    <mergeCell ref="K49:L49"/>
    <mergeCell ref="N49:O49"/>
    <mergeCell ref="AJ47:AK47"/>
    <mergeCell ref="K45:L45"/>
    <mergeCell ref="N47:O47"/>
    <mergeCell ref="K48:L48"/>
    <mergeCell ref="N48:O48"/>
    <mergeCell ref="K56:L56"/>
    <mergeCell ref="N56:O56"/>
    <mergeCell ref="K47:L47"/>
    <mergeCell ref="K51:L51"/>
    <mergeCell ref="N51:O51"/>
    <mergeCell ref="K53:L53"/>
    <mergeCell ref="N53:O53"/>
    <mergeCell ref="K54:L54"/>
    <mergeCell ref="N45:O45"/>
    <mergeCell ref="N38:O38"/>
    <mergeCell ref="AJ38:AK38"/>
    <mergeCell ref="K44:L44"/>
    <mergeCell ref="N44:O44"/>
    <mergeCell ref="AJ44:AK44"/>
    <mergeCell ref="K39:L39"/>
    <mergeCell ref="N39:O39"/>
    <mergeCell ref="AJ39:AK39"/>
    <mergeCell ref="N42:O42"/>
    <mergeCell ref="AJ42:AK42"/>
    <mergeCell ref="AJ43:AK43"/>
    <mergeCell ref="N40:O40"/>
    <mergeCell ref="G11:I11"/>
    <mergeCell ref="N11:O11"/>
    <mergeCell ref="P11:Q11"/>
    <mergeCell ref="F18:I18"/>
    <mergeCell ref="K18:L18"/>
    <mergeCell ref="F20:I20"/>
    <mergeCell ref="AJ28:AK28"/>
    <mergeCell ref="AJ26:AK26"/>
    <mergeCell ref="AJ27:AK27"/>
    <mergeCell ref="AJ19:AK19"/>
    <mergeCell ref="K17:L17"/>
    <mergeCell ref="K22:L22"/>
    <mergeCell ref="N22:O22"/>
    <mergeCell ref="K28:L28"/>
    <mergeCell ref="N28:O28"/>
    <mergeCell ref="AJ20:AK20"/>
    <mergeCell ref="T20:U20"/>
    <mergeCell ref="X11:Y11"/>
    <mergeCell ref="X12:Y12"/>
    <mergeCell ref="AJ21:AK21"/>
    <mergeCell ref="AJ22:AK22"/>
    <mergeCell ref="G13:I13"/>
    <mergeCell ref="N13:O13"/>
    <mergeCell ref="M15:M16"/>
    <mergeCell ref="AP23:AQ23"/>
    <mergeCell ref="N30:O30"/>
    <mergeCell ref="AJ31:AK31"/>
    <mergeCell ref="T32:U32"/>
    <mergeCell ref="N33:O33"/>
    <mergeCell ref="AJ33:AK33"/>
    <mergeCell ref="AJ32:AK32"/>
    <mergeCell ref="T33:U33"/>
    <mergeCell ref="AJ30:AK30"/>
    <mergeCell ref="T26:U26"/>
    <mergeCell ref="N27:O27"/>
    <mergeCell ref="N32:O32"/>
    <mergeCell ref="N31:O31"/>
    <mergeCell ref="AP37:AQ37"/>
    <mergeCell ref="T27:U27"/>
    <mergeCell ref="F23:I23"/>
    <mergeCell ref="K23:L23"/>
    <mergeCell ref="N23:O23"/>
    <mergeCell ref="AJ23:AK23"/>
    <mergeCell ref="K24:L24"/>
    <mergeCell ref="N24:O24"/>
    <mergeCell ref="AJ24:AK24"/>
    <mergeCell ref="K25:L25"/>
    <mergeCell ref="N25:O25"/>
    <mergeCell ref="AJ25:AK25"/>
    <mergeCell ref="AJ29:AK29"/>
    <mergeCell ref="F25:I25"/>
    <mergeCell ref="K26:L26"/>
    <mergeCell ref="N26:O26"/>
    <mergeCell ref="G30:I30"/>
    <mergeCell ref="N29:O29"/>
    <mergeCell ref="AP24:AQ24"/>
    <mergeCell ref="AP25:AQ25"/>
    <mergeCell ref="AP26:AQ26"/>
    <mergeCell ref="AP27:AQ27"/>
    <mergeCell ref="AP28:AQ28"/>
    <mergeCell ref="F26:I26"/>
    <mergeCell ref="B16:C16"/>
    <mergeCell ref="AP48:AQ48"/>
    <mergeCell ref="AP19:AQ19"/>
    <mergeCell ref="AP38:AQ38"/>
    <mergeCell ref="AP39:AQ39"/>
    <mergeCell ref="AP40:AQ40"/>
    <mergeCell ref="AP41:AQ41"/>
    <mergeCell ref="AP42:AQ42"/>
    <mergeCell ref="AP43:AQ43"/>
    <mergeCell ref="AP44:AQ44"/>
    <mergeCell ref="AP45:AQ45"/>
    <mergeCell ref="AP46:AQ46"/>
    <mergeCell ref="AP29:AQ29"/>
    <mergeCell ref="AP30:AQ30"/>
    <mergeCell ref="AP31:AQ31"/>
    <mergeCell ref="AP32:AQ32"/>
    <mergeCell ref="AP33:AQ33"/>
    <mergeCell ref="AP34:AQ34"/>
    <mergeCell ref="AP35:AQ35"/>
    <mergeCell ref="AP36:AQ36"/>
    <mergeCell ref="AP47:AQ47"/>
    <mergeCell ref="AP20:AQ20"/>
    <mergeCell ref="AP21:AQ21"/>
    <mergeCell ref="AP22:AQ22"/>
    <mergeCell ref="P13:Q13"/>
    <mergeCell ref="F15:I15"/>
    <mergeCell ref="F16:I16"/>
    <mergeCell ref="G41:I41"/>
    <mergeCell ref="G42:I42"/>
    <mergeCell ref="G43:I43"/>
    <mergeCell ref="K20:L20"/>
    <mergeCell ref="N20:O20"/>
    <mergeCell ref="F21:I21"/>
    <mergeCell ref="K21:L21"/>
    <mergeCell ref="N21:O21"/>
    <mergeCell ref="K33:L33"/>
    <mergeCell ref="K32:L32"/>
    <mergeCell ref="K31:L31"/>
    <mergeCell ref="K36:L36"/>
    <mergeCell ref="N36:O36"/>
    <mergeCell ref="G31:I31"/>
    <mergeCell ref="G32:I32"/>
    <mergeCell ref="G33:I33"/>
    <mergeCell ref="K29:L29"/>
    <mergeCell ref="K30:L30"/>
    <mergeCell ref="N34:O34"/>
    <mergeCell ref="N41:O41"/>
    <mergeCell ref="K38:L38"/>
    <mergeCell ref="B62:C63"/>
    <mergeCell ref="D62:F63"/>
    <mergeCell ref="G62:I63"/>
    <mergeCell ref="G52:I53"/>
    <mergeCell ref="G54:I55"/>
    <mergeCell ref="D54:F55"/>
    <mergeCell ref="B54:C55"/>
    <mergeCell ref="B56:C57"/>
    <mergeCell ref="D56:F57"/>
    <mergeCell ref="G56:I57"/>
    <mergeCell ref="B58:C59"/>
    <mergeCell ref="D58:F59"/>
    <mergeCell ref="G58:I59"/>
    <mergeCell ref="B60:C61"/>
    <mergeCell ref="D60:F61"/>
    <mergeCell ref="G60:I61"/>
  </mergeCells>
  <phoneticPr fontId="27" type="noConversion"/>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21</xdr:col>
                    <xdr:colOff>76200</xdr:colOff>
                    <xdr:row>17</xdr:row>
                    <xdr:rowOff>0</xdr:rowOff>
                  </from>
                  <to>
                    <xdr:col>21</xdr:col>
                    <xdr:colOff>298450</xdr:colOff>
                    <xdr:row>18</xdr:row>
                    <xdr:rowOff>50800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21</xdr:col>
                    <xdr:colOff>76200</xdr:colOff>
                    <xdr:row>18</xdr:row>
                    <xdr:rowOff>190500</xdr:rowOff>
                  </from>
                  <to>
                    <xdr:col>21</xdr:col>
                    <xdr:colOff>298450</xdr:colOff>
                    <xdr:row>20</xdr:row>
                    <xdr:rowOff>31750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76200</xdr:colOff>
                    <xdr:row>23</xdr:row>
                    <xdr:rowOff>0</xdr:rowOff>
                  </from>
                  <to>
                    <xdr:col>21</xdr:col>
                    <xdr:colOff>292100</xdr:colOff>
                    <xdr:row>24</xdr:row>
                    <xdr:rowOff>50800</xdr:rowOff>
                  </to>
                </anchor>
              </controlPr>
            </control>
          </mc:Choice>
        </mc:AlternateContent>
        <mc:AlternateContent xmlns:mc="http://schemas.openxmlformats.org/markup-compatibility/2006">
          <mc:Choice Requires="x14">
            <control shapeId="9222" r:id="rId7" name="Check Box 6">
              <controlPr defaultSize="0" autoFill="0" autoLine="0" autoPict="0">
                <anchor moveWithCells="1">
                  <from>
                    <xdr:col>21</xdr:col>
                    <xdr:colOff>69850</xdr:colOff>
                    <xdr:row>24</xdr:row>
                    <xdr:rowOff>190500</xdr:rowOff>
                  </from>
                  <to>
                    <xdr:col>21</xdr:col>
                    <xdr:colOff>292100</xdr:colOff>
                    <xdr:row>26</xdr:row>
                    <xdr:rowOff>31750</xdr:rowOff>
                  </to>
                </anchor>
              </controlPr>
            </control>
          </mc:Choice>
        </mc:AlternateContent>
        <mc:AlternateContent xmlns:mc="http://schemas.openxmlformats.org/markup-compatibility/2006">
          <mc:Choice Requires="x14">
            <control shapeId="9223" r:id="rId8" name="Check Box 7">
              <controlPr defaultSize="0" autoFill="0" autoLine="0" autoPict="0">
                <anchor moveWithCells="1">
                  <from>
                    <xdr:col>21</xdr:col>
                    <xdr:colOff>76200</xdr:colOff>
                    <xdr:row>29</xdr:row>
                    <xdr:rowOff>0</xdr:rowOff>
                  </from>
                  <to>
                    <xdr:col>21</xdr:col>
                    <xdr:colOff>292100</xdr:colOff>
                    <xdr:row>30</xdr:row>
                    <xdr:rowOff>50800</xdr:rowOff>
                  </to>
                </anchor>
              </controlPr>
            </control>
          </mc:Choice>
        </mc:AlternateContent>
        <mc:AlternateContent xmlns:mc="http://schemas.openxmlformats.org/markup-compatibility/2006">
          <mc:Choice Requires="x14">
            <control shapeId="9224" r:id="rId9" name="Check Box 8">
              <controlPr defaultSize="0" autoFill="0" autoLine="0" autoPict="0">
                <anchor moveWithCells="1">
                  <from>
                    <xdr:col>21</xdr:col>
                    <xdr:colOff>69850</xdr:colOff>
                    <xdr:row>30</xdr:row>
                    <xdr:rowOff>190500</xdr:rowOff>
                  </from>
                  <to>
                    <xdr:col>21</xdr:col>
                    <xdr:colOff>292100</xdr:colOff>
                    <xdr:row>32</xdr:row>
                    <xdr:rowOff>31750</xdr:rowOff>
                  </to>
                </anchor>
              </controlPr>
            </control>
          </mc:Choice>
        </mc:AlternateContent>
      </controls>
    </mc:Choice>
  </mc:AlternateConten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2"/>
  <dimension ref="A1:U124"/>
  <sheetViews>
    <sheetView showGridLines="0" showZeros="0" view="pageLayout" topLeftCell="A91" zoomScaleNormal="100" zoomScaleSheetLayoutView="85" workbookViewId="0">
      <selection activeCell="H91" sqref="H91"/>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951</v>
      </c>
      <c r="B3" s="22"/>
      <c r="C3" s="76"/>
      <c r="D3" s="1687" t="str">
        <f>FORM!I26</f>
        <v>cnc</v>
      </c>
      <c r="E3" s="1687"/>
      <c r="F3" s="1687"/>
      <c r="G3" s="1687"/>
      <c r="H3" s="1687"/>
      <c r="I3" s="1687"/>
      <c r="J3" s="1687"/>
      <c r="K3" s="1687"/>
      <c r="L3" s="1687"/>
      <c r="M3" s="1687"/>
      <c r="N3" s="1687"/>
      <c r="O3" s="1687"/>
      <c r="P3" s="1687"/>
      <c r="Q3" s="1687"/>
      <c r="R3" s="22"/>
      <c r="S3" s="22"/>
      <c r="T3" s="22"/>
      <c r="U3" s="24" t="s">
        <v>952</v>
      </c>
    </row>
    <row r="4" spans="1:21">
      <c r="A4" s="1681" t="str">
        <f>FORM!I30</f>
        <v>address</v>
      </c>
      <c r="B4" s="1681"/>
      <c r="C4" s="1681"/>
      <c r="D4" s="1681"/>
      <c r="E4" s="1681"/>
      <c r="F4" s="1681"/>
      <c r="G4" s="1681"/>
      <c r="H4" s="1681"/>
      <c r="I4" s="1681"/>
      <c r="J4" s="1681"/>
      <c r="K4" s="1681"/>
      <c r="L4" s="1681"/>
      <c r="M4" s="1681"/>
      <c r="N4" s="1681"/>
      <c r="O4" s="1681"/>
      <c r="P4" s="1681"/>
      <c r="Q4" s="1681"/>
      <c r="R4" s="22"/>
      <c r="S4" s="22"/>
      <c r="T4" s="22"/>
      <c r="U4" s="24" t="s">
        <v>953</v>
      </c>
    </row>
    <row r="5" spans="1:21" ht="16.5" customHeight="1">
      <c r="A5" s="1688" t="s">
        <v>954</v>
      </c>
      <c r="B5" s="1688"/>
      <c r="C5" s="1688"/>
      <c r="D5" s="1688"/>
      <c r="E5" s="1688"/>
      <c r="F5" s="1688"/>
      <c r="G5" s="1688"/>
      <c r="H5" s="1688"/>
      <c r="I5" s="1688"/>
      <c r="J5" s="1688"/>
      <c r="K5" s="1688"/>
      <c r="L5" s="1688"/>
      <c r="M5" s="1688"/>
      <c r="N5" s="1688"/>
      <c r="O5" s="1688"/>
      <c r="P5" s="1688"/>
      <c r="Q5" s="1688"/>
      <c r="R5" s="1688"/>
      <c r="S5" s="1688"/>
      <c r="T5" s="1688"/>
      <c r="U5" s="1688"/>
    </row>
    <row r="6" spans="1:21">
      <c r="A6" s="1688"/>
      <c r="B6" s="1688"/>
      <c r="C6" s="1688"/>
      <c r="D6" s="1688"/>
      <c r="E6" s="1688"/>
      <c r="F6" s="1688"/>
      <c r="G6" s="1688"/>
      <c r="H6" s="1688"/>
      <c r="I6" s="1688"/>
      <c r="J6" s="1688"/>
      <c r="K6" s="1688"/>
      <c r="L6" s="1688"/>
      <c r="M6" s="1688"/>
      <c r="N6" s="1688"/>
      <c r="O6" s="1688"/>
      <c r="P6" s="1688"/>
      <c r="Q6" s="1688"/>
      <c r="R6" s="1688"/>
      <c r="S6" s="1688"/>
      <c r="T6" s="1688"/>
      <c r="U6" s="1688"/>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955</v>
      </c>
      <c r="B8" s="22"/>
      <c r="C8" s="22"/>
      <c r="D8" s="22"/>
      <c r="E8" s="22"/>
      <c r="F8" s="22"/>
      <c r="G8" s="22"/>
      <c r="H8" s="1687" t="str">
        <f>FORM!AB11</f>
        <v>Iloilo Southprime Developers Inc.</v>
      </c>
      <c r="I8" s="1687"/>
      <c r="J8" s="1687"/>
      <c r="K8" s="1687"/>
      <c r="L8" s="1687"/>
      <c r="M8" s="1687"/>
      <c r="N8" s="1687"/>
      <c r="O8" s="1687"/>
      <c r="P8" s="22"/>
      <c r="Q8" s="22"/>
      <c r="R8" s="22"/>
      <c r="S8" s="22"/>
      <c r="T8" s="22"/>
      <c r="U8" s="24" t="s">
        <v>956</v>
      </c>
    </row>
    <row r="9" spans="1:21">
      <c r="A9" s="1689" t="s">
        <v>957</v>
      </c>
      <c r="B9" s="1689"/>
      <c r="C9" s="1689"/>
      <c r="D9" s="1689"/>
      <c r="E9" s="1689"/>
      <c r="F9" s="1689"/>
      <c r="G9" s="1689"/>
      <c r="H9" s="1689"/>
      <c r="I9" s="1689"/>
      <c r="J9" s="1689"/>
      <c r="K9" s="1689"/>
      <c r="L9" s="1689"/>
      <c r="M9" s="1689"/>
      <c r="N9" s="1689"/>
      <c r="O9" s="1689"/>
      <c r="P9" s="1689"/>
      <c r="Q9" s="1689"/>
      <c r="R9" s="1689"/>
      <c r="S9" s="1689"/>
      <c r="T9" s="1689"/>
      <c r="U9" s="1689"/>
    </row>
    <row r="10" spans="1:21">
      <c r="A10" s="1643" t="str">
        <f>FORM!AB12</f>
        <v>Avancena St Brgy. Avancena Molo Iloilo City</v>
      </c>
      <c r="B10" s="1643"/>
      <c r="C10" s="1643"/>
      <c r="D10" s="1643"/>
      <c r="E10" s="1643"/>
      <c r="F10" s="1643"/>
      <c r="G10" s="1643"/>
      <c r="H10" s="1643"/>
      <c r="I10" s="1643"/>
      <c r="J10" s="1643"/>
      <c r="K10" s="1643"/>
      <c r="L10" s="1643"/>
      <c r="M10" s="1643"/>
      <c r="N10" s="1643"/>
      <c r="O10" s="1643"/>
      <c r="P10" s="1643"/>
      <c r="Q10" s="22"/>
      <c r="R10" s="22"/>
      <c r="S10" s="22"/>
      <c r="T10" s="22"/>
      <c r="U10" s="24" t="s">
        <v>958</v>
      </c>
    </row>
    <row r="11" spans="1:21">
      <c r="A11" s="22" t="s">
        <v>959</v>
      </c>
      <c r="B11" s="22"/>
      <c r="C11" s="22"/>
      <c r="D11" s="22"/>
      <c r="E11" s="22"/>
      <c r="F11" s="22"/>
      <c r="G11" s="22"/>
      <c r="H11" s="22"/>
      <c r="I11" s="1681" t="str">
        <f>FORM!I11</f>
        <v>The Southprime Flats</v>
      </c>
      <c r="J11" s="1681"/>
      <c r="K11" s="1681"/>
      <c r="L11" s="1681"/>
      <c r="M11" s="1681"/>
      <c r="N11" s="1681"/>
      <c r="O11" s="1681"/>
      <c r="P11" s="1681"/>
      <c r="Q11" s="1681"/>
      <c r="R11" s="1681"/>
      <c r="S11" s="1681"/>
      <c r="T11" s="1681"/>
      <c r="U11" s="1681"/>
    </row>
    <row r="12" spans="1:21">
      <c r="A12" s="22" t="s">
        <v>960</v>
      </c>
      <c r="B12" s="22"/>
      <c r="C12" s="22"/>
      <c r="D12" s="22"/>
      <c r="E12" s="22"/>
      <c r="F12" s="22"/>
      <c r="G12" s="22"/>
      <c r="H12" s="22"/>
      <c r="I12" s="22"/>
      <c r="J12" s="22"/>
      <c r="K12" s="22"/>
      <c r="L12" s="22"/>
      <c r="M12" s="1682" t="str">
        <f>FORM!AB13</f>
        <v>Abeto Street, Brgy. Abeto-Mirasol, Mandurriao, Iloilo City</v>
      </c>
      <c r="N12" s="1682"/>
      <c r="O12" s="1682"/>
      <c r="P12" s="1682"/>
      <c r="Q12" s="1682"/>
      <c r="R12" s="1682"/>
      <c r="S12" s="1682"/>
      <c r="T12" s="1682"/>
      <c r="U12" s="1682"/>
    </row>
    <row r="13" spans="1:21">
      <c r="A13" s="22" t="s">
        <v>961</v>
      </c>
      <c r="B13" s="22"/>
      <c r="C13" s="22"/>
      <c r="D13" s="22"/>
      <c r="E13" s="22"/>
      <c r="F13" s="22"/>
      <c r="G13" s="22"/>
      <c r="H13" s="22"/>
      <c r="I13" s="22"/>
      <c r="J13" s="22"/>
      <c r="K13" s="1683" t="str">
        <f>'STANDARD_NON RFO UNITS'!E10</f>
        <v>Studio Unit</v>
      </c>
      <c r="L13" s="1681"/>
      <c r="M13" s="1681"/>
      <c r="N13" s="1681"/>
      <c r="O13" s="1681"/>
      <c r="P13" s="1681"/>
      <c r="Q13" s="1681"/>
      <c r="R13" s="1681"/>
      <c r="S13" s="1681"/>
      <c r="T13" s="1681"/>
      <c r="U13" s="1681"/>
    </row>
    <row r="14" spans="1:21" ht="13.5" customHeight="1">
      <c r="A14" s="22" t="s">
        <v>962</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963</v>
      </c>
      <c r="B16" s="27"/>
      <c r="C16" s="27"/>
      <c r="D16" s="25"/>
      <c r="E16" s="1682" t="str">
        <f>FORM!I11</f>
        <v>The Southprime Flats</v>
      </c>
      <c r="F16" s="1682"/>
      <c r="G16" s="1682"/>
      <c r="H16" s="1682"/>
      <c r="I16" s="1682"/>
      <c r="J16" s="1682"/>
      <c r="K16" s="1682"/>
      <c r="L16" s="1682"/>
      <c r="M16" s="1682"/>
      <c r="N16" s="1682"/>
      <c r="O16" s="1682"/>
      <c r="P16" s="1682"/>
      <c r="Q16" s="1682"/>
      <c r="R16" s="1682"/>
      <c r="S16" s="1682"/>
      <c r="T16" s="1682"/>
      <c r="U16" s="58"/>
    </row>
    <row r="17" spans="1:21" ht="14.1">
      <c r="A17" s="28" t="s">
        <v>964</v>
      </c>
      <c r="B17" s="29"/>
      <c r="C17" s="29"/>
      <c r="D17" s="30"/>
      <c r="E17" s="31" t="s">
        <v>965</v>
      </c>
      <c r="F17" s="30"/>
      <c r="G17" s="30"/>
      <c r="H17" s="30"/>
      <c r="I17" s="30"/>
      <c r="J17" s="30"/>
      <c r="K17" s="30"/>
      <c r="L17" s="56" t="s">
        <v>966</v>
      </c>
      <c r="M17" s="30"/>
      <c r="N17" s="30"/>
      <c r="O17" s="30"/>
      <c r="P17" s="30"/>
      <c r="Q17" s="30"/>
      <c r="R17" s="30"/>
      <c r="S17" s="30"/>
      <c r="T17" s="31" t="s">
        <v>967</v>
      </c>
      <c r="U17" s="55"/>
    </row>
    <row r="18" spans="1:21" ht="14.1">
      <c r="A18" s="32"/>
      <c r="B18" s="5"/>
      <c r="C18" s="5"/>
      <c r="D18" s="5"/>
      <c r="E18" s="33" t="s">
        <v>968</v>
      </c>
      <c r="F18" s="5"/>
      <c r="G18" s="5"/>
      <c r="H18" s="5"/>
      <c r="I18" s="5"/>
      <c r="J18" s="5"/>
      <c r="K18" s="5"/>
      <c r="L18" s="33" t="s">
        <v>969</v>
      </c>
      <c r="M18" s="5"/>
      <c r="N18" s="5"/>
      <c r="O18" s="5"/>
      <c r="P18" s="5"/>
      <c r="Q18" s="5"/>
      <c r="R18" s="5"/>
      <c r="S18" s="5"/>
      <c r="T18" s="33" t="s">
        <v>970</v>
      </c>
      <c r="U18" s="34"/>
    </row>
    <row r="19" spans="1:21">
      <c r="T19" s="2" t="s">
        <v>819</v>
      </c>
    </row>
    <row r="20" spans="1:21" ht="14.1">
      <c r="A20" s="1684" t="s">
        <v>971</v>
      </c>
      <c r="B20" s="1685"/>
      <c r="C20" s="1685"/>
      <c r="D20" s="1685"/>
      <c r="E20" s="1685"/>
      <c r="F20" s="1686"/>
      <c r="G20" s="1684" t="s">
        <v>972</v>
      </c>
      <c r="H20" s="1685"/>
      <c r="I20" s="1685"/>
      <c r="J20" s="1685"/>
      <c r="K20" s="1685"/>
      <c r="L20" s="1686"/>
      <c r="M20" s="1684" t="s">
        <v>973</v>
      </c>
      <c r="N20" s="1685"/>
      <c r="O20" s="1685"/>
      <c r="P20" s="1685"/>
      <c r="Q20" s="1686"/>
      <c r="R20" s="1684" t="s">
        <v>969</v>
      </c>
      <c r="S20" s="1685"/>
      <c r="T20" s="1685"/>
      <c r="U20" s="1686"/>
    </row>
    <row r="21" spans="1:21" ht="14.1">
      <c r="A21" s="39" t="s">
        <v>974</v>
      </c>
      <c r="B21" s="40"/>
      <c r="C21" s="40"/>
      <c r="D21" s="1659" t="str">
        <f>FORM!I14</f>
        <v>B1</v>
      </c>
      <c r="E21" s="1660"/>
      <c r="F21" s="1661"/>
      <c r="G21" s="39" t="s">
        <v>974</v>
      </c>
      <c r="H21" s="40"/>
      <c r="I21" s="41"/>
      <c r="J21" s="1662"/>
      <c r="K21" s="1663"/>
      <c r="L21" s="1664"/>
      <c r="M21" s="39" t="s">
        <v>975</v>
      </c>
      <c r="N21" s="40"/>
      <c r="O21" s="41"/>
      <c r="P21" s="1679"/>
      <c r="Q21" s="1680"/>
      <c r="R21" s="80" t="s">
        <v>974</v>
      </c>
      <c r="S21" s="81"/>
      <c r="T21" s="1665"/>
      <c r="U21" s="1666"/>
    </row>
    <row r="22" spans="1:21" ht="14.1">
      <c r="A22" s="37" t="s">
        <v>976</v>
      </c>
      <c r="B22" s="38"/>
      <c r="C22" s="38"/>
      <c r="D22" s="1659" t="str">
        <f>FORM!I16</f>
        <v>2nd Floor</v>
      </c>
      <c r="E22" s="1660"/>
      <c r="F22" s="1661"/>
      <c r="G22" s="39" t="s">
        <v>977</v>
      </c>
      <c r="H22" s="40"/>
      <c r="I22" s="41"/>
      <c r="J22" s="1662"/>
      <c r="K22" s="1663"/>
      <c r="L22" s="1664"/>
      <c r="M22" s="39" t="s">
        <v>978</v>
      </c>
      <c r="N22" s="40"/>
      <c r="O22" s="41"/>
      <c r="P22" s="1679"/>
      <c r="Q22" s="1680"/>
      <c r="R22" s="80" t="s">
        <v>979</v>
      </c>
      <c r="S22" s="81"/>
      <c r="T22" s="1665"/>
      <c r="U22" s="1666"/>
    </row>
    <row r="23" spans="1:21" ht="14.1">
      <c r="A23" s="39" t="s">
        <v>979</v>
      </c>
      <c r="B23" s="40"/>
      <c r="C23" s="41"/>
      <c r="D23" s="1659" t="str">
        <f>FORM!I18</f>
        <v>2F</v>
      </c>
      <c r="E23" s="1660"/>
      <c r="F23" s="1661"/>
      <c r="G23" s="39" t="s">
        <v>980</v>
      </c>
      <c r="H23" s="40"/>
      <c r="I23" s="41"/>
      <c r="J23" s="1662"/>
      <c r="K23" s="1663"/>
      <c r="L23" s="1664"/>
      <c r="M23" s="39" t="s">
        <v>981</v>
      </c>
      <c r="N23" s="40"/>
      <c r="O23" s="41"/>
      <c r="P23" s="1679"/>
      <c r="Q23" s="1680"/>
      <c r="R23" s="80" t="s">
        <v>982</v>
      </c>
      <c r="S23" s="81"/>
      <c r="T23" s="1665"/>
      <c r="U23" s="1666"/>
    </row>
    <row r="24" spans="1:21" ht="16.5" customHeight="1">
      <c r="A24" s="37" t="s">
        <v>983</v>
      </c>
      <c r="B24" s="38"/>
      <c r="C24" s="38"/>
      <c r="D24" s="1667">
        <f>'STANDARD_NON RFO UNITS'!E13</f>
        <v>22</v>
      </c>
      <c r="E24" s="1668"/>
      <c r="F24" s="1669"/>
      <c r="G24" s="39" t="s">
        <v>982</v>
      </c>
      <c r="H24" s="40"/>
      <c r="I24" s="41"/>
      <c r="J24" s="1662"/>
      <c r="K24" s="1663"/>
      <c r="L24" s="1664"/>
      <c r="M24" s="37" t="s">
        <v>984</v>
      </c>
      <c r="N24" s="38"/>
      <c r="O24" s="38"/>
      <c r="P24" s="1679"/>
      <c r="Q24" s="1680"/>
      <c r="R24" s="1670" t="s">
        <v>985</v>
      </c>
      <c r="S24" s="1671"/>
      <c r="T24" s="1674"/>
      <c r="U24" s="1675"/>
    </row>
    <row r="25" spans="1:21" ht="14.1">
      <c r="A25" s="39" t="s">
        <v>986</v>
      </c>
      <c r="B25" s="40"/>
      <c r="C25" s="41"/>
      <c r="D25" s="1678" t="str">
        <f>K13</f>
        <v>Studio Unit</v>
      </c>
      <c r="E25" s="1660"/>
      <c r="F25" s="1661"/>
      <c r="G25" s="39" t="s">
        <v>987</v>
      </c>
      <c r="H25" s="40"/>
      <c r="I25" s="41"/>
      <c r="J25" s="1662"/>
      <c r="K25" s="1663"/>
      <c r="L25" s="1664"/>
      <c r="M25" s="39" t="s">
        <v>988</v>
      </c>
      <c r="N25" s="40"/>
      <c r="O25" s="41"/>
      <c r="P25" s="1659"/>
      <c r="Q25" s="1661"/>
      <c r="R25" s="1672"/>
      <c r="S25" s="1673"/>
      <c r="T25" s="1676"/>
      <c r="U25" s="1677"/>
    </row>
    <row r="27" spans="1:21" ht="14.1">
      <c r="A27" s="39" t="s">
        <v>989</v>
      </c>
      <c r="B27" s="40"/>
      <c r="C27" s="40"/>
      <c r="D27" s="40"/>
      <c r="E27" s="40"/>
      <c r="F27" s="40"/>
      <c r="G27" s="40"/>
      <c r="H27" s="41"/>
      <c r="I27" s="1771">
        <f>'SPECIAL PACKAGE'!F15</f>
        <v>3195170.8635638431</v>
      </c>
      <c r="J27" s="1772"/>
      <c r="K27" s="1772"/>
      <c r="L27" s="1772"/>
      <c r="M27" s="1772"/>
      <c r="N27" s="1772"/>
      <c r="O27" s="1772"/>
      <c r="P27" s="1772"/>
      <c r="Q27" s="1772"/>
      <c r="R27" s="1772"/>
      <c r="S27" s="1772"/>
      <c r="T27" s="1772"/>
      <c r="U27" s="1773"/>
    </row>
    <row r="28" spans="1:21" ht="14.1">
      <c r="A28" s="39" t="s">
        <v>990</v>
      </c>
      <c r="B28" s="40"/>
      <c r="C28" s="42"/>
      <c r="D28" s="42"/>
      <c r="E28" s="42"/>
      <c r="F28" s="42"/>
      <c r="G28" s="42"/>
      <c r="H28" s="43"/>
      <c r="I28" s="1771">
        <f>'SPECIAL PACKAGE'!F16</f>
        <v>0</v>
      </c>
      <c r="J28" s="1772"/>
      <c r="K28" s="1772"/>
      <c r="L28" s="1772"/>
      <c r="M28" s="1772"/>
      <c r="N28" s="1772"/>
      <c r="O28" s="1772"/>
      <c r="P28" s="1772"/>
      <c r="Q28" s="1772"/>
      <c r="R28" s="1772"/>
      <c r="S28" s="1772"/>
      <c r="T28" s="1772"/>
      <c r="U28" s="1773"/>
    </row>
    <row r="29" spans="1:21" ht="14.1">
      <c r="A29" s="49" t="s">
        <v>791</v>
      </c>
      <c r="B29" s="50"/>
      <c r="C29" s="51"/>
      <c r="D29" s="51"/>
      <c r="E29" s="51"/>
      <c r="F29" s="51"/>
      <c r="G29" s="51"/>
      <c r="H29" s="48"/>
      <c r="I29" s="1771">
        <f>'SPECIAL PACKAGE'!F18</f>
        <v>3195170.8635638431</v>
      </c>
      <c r="J29" s="1772"/>
      <c r="K29" s="1772"/>
      <c r="L29" s="1772"/>
      <c r="M29" s="1772"/>
      <c r="N29" s="1772"/>
      <c r="O29" s="1772"/>
      <c r="P29" s="1772"/>
      <c r="Q29" s="1772"/>
      <c r="R29" s="1772"/>
      <c r="S29" s="1772"/>
      <c r="T29" s="1772"/>
      <c r="U29" s="1773"/>
    </row>
    <row r="30" spans="1:21" ht="14.1">
      <c r="A30" s="39" t="s">
        <v>991</v>
      </c>
      <c r="B30" s="40"/>
      <c r="C30" s="42"/>
      <c r="D30" s="42"/>
      <c r="E30" s="42"/>
      <c r="F30" s="42"/>
      <c r="G30" s="42"/>
      <c r="H30" s="43"/>
      <c r="I30" s="1771">
        <f>'SPECIAL PACKAGE'!F21</f>
        <v>407384.28510439</v>
      </c>
      <c r="J30" s="1772"/>
      <c r="K30" s="1772"/>
      <c r="L30" s="1772"/>
      <c r="M30" s="1772"/>
      <c r="N30" s="1772"/>
      <c r="O30" s="1772"/>
      <c r="P30" s="1772"/>
      <c r="Q30" s="1772"/>
      <c r="R30" s="1772"/>
      <c r="S30" s="1772"/>
      <c r="T30" s="1772"/>
      <c r="U30" s="1773"/>
    </row>
    <row r="31" spans="1:21" ht="14.1">
      <c r="A31" s="39" t="s">
        <v>992</v>
      </c>
      <c r="B31" s="40"/>
      <c r="C31" s="42"/>
      <c r="D31" s="42"/>
      <c r="E31" s="42"/>
      <c r="F31" s="42"/>
      <c r="G31" s="42"/>
      <c r="H31" s="43"/>
      <c r="I31" s="1771">
        <f>'SPECIAL PACKAGE'!F20</f>
        <v>0</v>
      </c>
      <c r="J31" s="1772"/>
      <c r="K31" s="1772"/>
      <c r="L31" s="1772"/>
      <c r="M31" s="1772"/>
      <c r="N31" s="1772"/>
      <c r="O31" s="1772"/>
      <c r="P31" s="1772"/>
      <c r="Q31" s="1772"/>
      <c r="R31" s="1772"/>
      <c r="S31" s="1772"/>
      <c r="T31" s="1772"/>
      <c r="U31" s="1773"/>
    </row>
    <row r="32" spans="1:21" ht="14.1">
      <c r="A32" s="39" t="s">
        <v>178</v>
      </c>
      <c r="B32" s="40"/>
      <c r="C32" s="42"/>
      <c r="D32" s="42"/>
      <c r="E32" s="42"/>
      <c r="F32" s="42"/>
      <c r="G32" s="42"/>
      <c r="H32" s="43"/>
      <c r="I32" s="1771">
        <f>'SPECIAL PACKAGE'!F23</f>
        <v>3602555.1486682333</v>
      </c>
      <c r="J32" s="1772"/>
      <c r="K32" s="1772"/>
      <c r="L32" s="1772"/>
      <c r="M32" s="1772"/>
      <c r="N32" s="1772"/>
      <c r="O32" s="1772"/>
      <c r="P32" s="1772"/>
      <c r="Q32" s="1772"/>
      <c r="R32" s="1772"/>
      <c r="S32" s="1772"/>
      <c r="T32" s="1772"/>
      <c r="U32" s="1773"/>
    </row>
    <row r="34" spans="1:21">
      <c r="A34" s="70" t="s">
        <v>993</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994</v>
      </c>
      <c r="E36" s="18"/>
      <c r="F36" s="18"/>
      <c r="G36" s="18"/>
      <c r="H36" s="18"/>
      <c r="I36" s="18"/>
      <c r="J36" s="18"/>
      <c r="K36" s="18"/>
      <c r="L36" s="18"/>
      <c r="M36" s="18" t="s">
        <v>995</v>
      </c>
      <c r="O36" s="18"/>
      <c r="P36" s="18"/>
      <c r="Q36" s="18"/>
      <c r="R36" s="18"/>
      <c r="S36" s="18" t="s">
        <v>996</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997</v>
      </c>
      <c r="T39"/>
    </row>
    <row r="40" spans="1:21" ht="13.5" customHeight="1">
      <c r="A40" s="75" t="s">
        <v>998</v>
      </c>
      <c r="C40" s="1652" t="s">
        <v>999</v>
      </c>
      <c r="D40" s="1652"/>
      <c r="E40" s="1652"/>
      <c r="F40" s="1652"/>
      <c r="G40" s="1652"/>
      <c r="H40" s="1652"/>
      <c r="I40" s="1652"/>
      <c r="J40" s="1652"/>
      <c r="K40" s="1652"/>
      <c r="L40" s="1652"/>
      <c r="M40" s="1652"/>
      <c r="N40" s="1652"/>
      <c r="O40" s="1653"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"&amp;PROPER(IF(LEN(LEFT(TRIM(MID(SUBSTITUTE([6]Sheet1!A2,".",REPT(" ",255)),255,200)),2))=1,CHOOSE(1*LEFT(TRIM(MID(SUBSTITUTE([6]Sheet1!A2,".",REPT(" ",255)),255,200)),2),"ten","twenty","thirty","forty","fifty","sixty","seventy","eighty","ninety")&amp;" cents","")&amp;CONCATENATE(CHOOSE(MID(TEXT(INT(LEFT(TRIM(MID(SUBSTITUTE([6]Sheet1!A2,".",REPT(" ",255)),255,200)),2)),REPT(0,12)),11,1)+1,"",CHOOSE(MID(TEXT(INT(LEFT(TRIM(MID(SUBSTITUTE([6]Sheet1!A2,".",REPT(" ",255)),255,200)),2)),REPT(0,12)),12,1)+1,"ten","eleven","twelve","thirteen","fourteen","fifteen","sixteen","seventeen","eighteen","nineteen")&amp;" cents","twenty","thirty","forty","fifty","sixty","seventy","eighty","ninety"),IF(VALUE(MID(TEXT(INT(LEFT(TRIM(MID(SUBSTITUTE([6]Sheet1!A2,".",REPT(" ",255)),255,200)),2)),REPT(0,12)),11,1))&gt;1,CHOOSE(MID(TEXT(INT(LEFT(TRIM(MID(SUBSTITUTE([6]Sheet1!A2,".",REPT(" ",255)),255,200)),2)),REPT(0,12)),12,1)+1,"","-one","-two","-three","-four","-five","-six","-seven","-eight","-nine")&amp;" cents",IF(LEFT(TRIM(MID(SUBSTITUTE([6]Sheet1!A2,".",REPT(" ",255)),255,200)),2)="01","one cent",IF(LEFT(TRIM(MID(SUBSTITUTE([6]Sheet1!A2,".",REPT(" ",255)),255,200)),1)="0",CHOOSE(MID(TEXT(INT(LEFT(TRIM(MID(SUBSTITUTE([6]Sheet1!A2,".",REPT(" ",255)),255,200)),2)),REPT(0,12)),12,1)+1,"","one","two","three","four","five","six","seven","eight","nine")&amp;" cents","")))))))</f>
        <v>Thirty Thousand  Pesos</v>
      </c>
      <c r="P40" s="1653"/>
      <c r="Q40" s="1653"/>
      <c r="R40" s="1653"/>
      <c r="S40" s="79" t="s">
        <v>1000</v>
      </c>
      <c r="T40" s="356">
        <f>FORM!I22</f>
        <v>30000</v>
      </c>
      <c r="U40" s="82" t="s">
        <v>1001</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819</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1002</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1003</v>
      </c>
      <c r="D89" s="59"/>
      <c r="E89" s="59"/>
      <c r="F89" s="59"/>
      <c r="G89" s="59"/>
      <c r="H89" s="59"/>
      <c r="I89" s="59"/>
      <c r="J89" s="59"/>
      <c r="K89" s="66" t="s">
        <v>1004</v>
      </c>
      <c r="L89" s="59"/>
      <c r="M89" s="59"/>
      <c r="N89" s="59"/>
      <c r="O89" s="59"/>
      <c r="P89" s="59"/>
      <c r="Q89" s="59"/>
      <c r="R89" s="66" t="s">
        <v>1005</v>
      </c>
      <c r="S89" s="66"/>
      <c r="T89" s="66"/>
      <c r="U89" s="65"/>
    </row>
    <row r="90" spans="1:21" ht="14.1">
      <c r="A90" s="187"/>
      <c r="B90" s="188"/>
      <c r="C90" s="59" t="s">
        <v>1006</v>
      </c>
      <c r="D90" s="189"/>
      <c r="E90" s="1654"/>
      <c r="F90" s="1654"/>
      <c r="G90" s="1654"/>
      <c r="H90" s="189"/>
      <c r="I90" s="189"/>
      <c r="J90" s="188"/>
      <c r="K90" s="59" t="s">
        <v>1007</v>
      </c>
      <c r="L90" s="189"/>
      <c r="M90" s="1654"/>
      <c r="N90" s="1654"/>
      <c r="O90" s="1654"/>
      <c r="P90" s="189"/>
      <c r="Q90" s="188"/>
      <c r="R90" s="59" t="s">
        <v>1008</v>
      </c>
      <c r="S90" s="1654"/>
      <c r="T90" s="1654"/>
      <c r="U90" s="65"/>
    </row>
    <row r="91" spans="1:21" ht="14.1">
      <c r="A91" s="187"/>
      <c r="B91" s="188"/>
      <c r="C91" s="59" t="s">
        <v>1009</v>
      </c>
      <c r="D91" s="189"/>
      <c r="E91" s="1654"/>
      <c r="F91" s="1654"/>
      <c r="G91" s="1654"/>
      <c r="H91" s="189"/>
      <c r="I91" s="189"/>
      <c r="J91" s="188"/>
      <c r="K91" s="59" t="s">
        <v>1010</v>
      </c>
      <c r="L91" s="189"/>
      <c r="M91" s="1654"/>
      <c r="N91" s="1654"/>
      <c r="O91" s="1654"/>
      <c r="P91" s="189"/>
      <c r="Q91" s="188"/>
      <c r="R91" s="59" t="s">
        <v>1011</v>
      </c>
      <c r="S91" s="1655"/>
      <c r="T91" s="1655"/>
      <c r="U91" s="65"/>
    </row>
    <row r="92" spans="1:21" ht="14.1">
      <c r="A92" s="187"/>
      <c r="B92" s="189"/>
      <c r="C92" s="189"/>
      <c r="D92" s="189"/>
      <c r="E92" s="189"/>
      <c r="F92" s="189"/>
      <c r="G92" s="189"/>
      <c r="H92" s="189"/>
      <c r="I92" s="189"/>
      <c r="J92" s="189"/>
      <c r="K92" s="189"/>
      <c r="L92" s="189"/>
      <c r="M92" s="189"/>
      <c r="N92" s="189"/>
      <c r="O92" s="189"/>
      <c r="P92" s="189"/>
      <c r="Q92" s="188"/>
      <c r="R92" s="59" t="s">
        <v>1012</v>
      </c>
      <c r="S92" s="1655"/>
      <c r="T92" s="1655"/>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656" t="s">
        <v>1013</v>
      </c>
      <c r="B95" s="1657"/>
      <c r="C95" s="1657"/>
      <c r="D95" s="1657"/>
      <c r="E95" s="1657"/>
      <c r="F95" s="1657"/>
      <c r="G95" s="1657"/>
      <c r="H95" s="1657"/>
      <c r="I95" s="1657"/>
      <c r="J95" s="1657"/>
      <c r="K95" s="1657"/>
      <c r="L95" s="1657"/>
      <c r="M95" s="1657"/>
      <c r="N95" s="1657"/>
      <c r="O95" s="1657"/>
      <c r="P95" s="1657"/>
      <c r="Q95" s="1657"/>
      <c r="R95" s="1657"/>
      <c r="S95" s="1657"/>
      <c r="T95" s="1657"/>
      <c r="U95" s="1658"/>
    </row>
    <row r="96" spans="1:21">
      <c r="A96" s="1647" t="s">
        <v>840</v>
      </c>
      <c r="B96" s="1647"/>
      <c r="C96" s="1647"/>
      <c r="D96" s="1647"/>
      <c r="E96" s="1647"/>
      <c r="F96" s="1647"/>
      <c r="G96" s="1647"/>
      <c r="H96" s="1647"/>
      <c r="I96" s="1647" t="s">
        <v>1014</v>
      </c>
      <c r="J96" s="1647"/>
      <c r="K96" s="1647"/>
      <c r="L96" s="1647"/>
      <c r="M96" s="1647"/>
      <c r="N96" s="1647"/>
      <c r="O96" s="1647"/>
      <c r="P96" s="1648" t="s">
        <v>842</v>
      </c>
      <c r="Q96" s="1648"/>
      <c r="R96" s="1648"/>
      <c r="S96" s="1648"/>
      <c r="T96" s="1648"/>
      <c r="U96" s="1648"/>
    </row>
    <row r="97" spans="1:21" ht="14.1">
      <c r="A97" s="1506" t="str">
        <f>FORM!I46</f>
        <v>Brokerage/Realty</v>
      </c>
      <c r="B97" s="1506"/>
      <c r="C97" s="1506"/>
      <c r="D97" s="1506"/>
      <c r="E97" s="1506"/>
      <c r="F97" s="1506"/>
      <c r="G97" s="1506"/>
      <c r="H97" s="1506"/>
      <c r="I97" s="1507">
        <f>FORM!M46</f>
        <v>0</v>
      </c>
      <c r="J97" s="1507"/>
      <c r="K97" s="1507"/>
      <c r="L97" s="1507"/>
      <c r="M97" s="1507"/>
      <c r="N97" s="1507"/>
      <c r="O97" s="1507"/>
      <c r="P97" s="1507">
        <f>FORM!T46</f>
        <v>0</v>
      </c>
      <c r="Q97" s="1507"/>
      <c r="R97" s="1507"/>
      <c r="S97" s="1507"/>
      <c r="T97" s="1507"/>
      <c r="U97" s="1507"/>
    </row>
    <row r="98" spans="1:21" ht="14.1">
      <c r="A98" s="1506" t="str">
        <f>FORM!I47</f>
        <v>Broker Head/AVP</v>
      </c>
      <c r="B98" s="1506"/>
      <c r="C98" s="1506"/>
      <c r="D98" s="1506"/>
      <c r="E98" s="1506"/>
      <c r="F98" s="1506"/>
      <c r="G98" s="1506"/>
      <c r="H98" s="1506"/>
      <c r="I98" s="1507">
        <f>FORM!M47</f>
        <v>0</v>
      </c>
      <c r="J98" s="1507"/>
      <c r="K98" s="1507"/>
      <c r="L98" s="1507"/>
      <c r="M98" s="1507"/>
      <c r="N98" s="1507"/>
      <c r="O98" s="1507"/>
      <c r="P98" s="1507">
        <f>FORM!T47</f>
        <v>0</v>
      </c>
      <c r="Q98" s="1507"/>
      <c r="R98" s="1507"/>
      <c r="S98" s="1507"/>
      <c r="T98" s="1507"/>
      <c r="U98" s="1507"/>
    </row>
    <row r="99" spans="1:21" ht="14.1">
      <c r="A99" s="1506" t="str">
        <f>FORM!I48</f>
        <v>Sales Manager</v>
      </c>
      <c r="B99" s="1506"/>
      <c r="C99" s="1506"/>
      <c r="D99" s="1506"/>
      <c r="E99" s="1506"/>
      <c r="F99" s="1506"/>
      <c r="G99" s="1506"/>
      <c r="H99" s="1506"/>
      <c r="I99" s="1507">
        <f>FORM!M48</f>
        <v>0</v>
      </c>
      <c r="J99" s="1507"/>
      <c r="K99" s="1507"/>
      <c r="L99" s="1507"/>
      <c r="M99" s="1507"/>
      <c r="N99" s="1507"/>
      <c r="O99" s="1507"/>
      <c r="P99" s="1507">
        <f>FORM!T48</f>
        <v>0</v>
      </c>
      <c r="Q99" s="1507"/>
      <c r="R99" s="1507"/>
      <c r="S99" s="1507"/>
      <c r="T99" s="1507"/>
      <c r="U99" s="1507"/>
    </row>
    <row r="100" spans="1:21" ht="14.1">
      <c r="A100" s="1506" t="str">
        <f>FORM!I49</f>
        <v xml:space="preserve">Sales Agent/Property Consultant </v>
      </c>
      <c r="B100" s="1506"/>
      <c r="C100" s="1506"/>
      <c r="D100" s="1506"/>
      <c r="E100" s="1506"/>
      <c r="F100" s="1506"/>
      <c r="G100" s="1506"/>
      <c r="H100" s="1506"/>
      <c r="I100" s="1507">
        <f>FORM!M49</f>
        <v>0</v>
      </c>
      <c r="J100" s="1507"/>
      <c r="K100" s="1507"/>
      <c r="L100" s="1507"/>
      <c r="M100" s="1507"/>
      <c r="N100" s="1507"/>
      <c r="O100" s="1507"/>
      <c r="P100" s="1507">
        <f>FORM!T49</f>
        <v>0</v>
      </c>
      <c r="Q100" s="1507"/>
      <c r="R100" s="1507"/>
      <c r="S100" s="1507"/>
      <c r="T100" s="1507"/>
      <c r="U100" s="1507"/>
    </row>
    <row r="102" spans="1:21" ht="14.1">
      <c r="A102" s="1641" t="s">
        <v>1015</v>
      </c>
      <c r="B102" s="1642"/>
      <c r="C102" s="1642"/>
      <c r="D102" s="1642"/>
      <c r="E102" s="1642"/>
      <c r="F102" s="1642"/>
      <c r="G102" s="1642"/>
      <c r="H102" s="1642"/>
      <c r="I102" s="1642"/>
      <c r="J102" s="1642"/>
      <c r="K102" s="1642"/>
      <c r="L102" s="1642"/>
      <c r="M102" s="1642"/>
      <c r="N102" s="1642"/>
      <c r="O102" s="1642"/>
      <c r="P102" s="1642"/>
      <c r="Q102" s="1642"/>
      <c r="R102" s="1642"/>
      <c r="S102" s="1642"/>
      <c r="T102" s="1642"/>
      <c r="U102" s="1642"/>
    </row>
    <row r="113" spans="1:21">
      <c r="G113" s="22"/>
      <c r="H113" s="1643" t="str">
        <f>D3</f>
        <v>cnc</v>
      </c>
      <c r="I113" s="1643"/>
      <c r="J113" s="1643"/>
      <c r="K113" s="1643"/>
      <c r="L113" s="1643"/>
      <c r="M113" s="1643"/>
      <c r="N113" s="1643"/>
      <c r="O113" s="1643"/>
      <c r="P113" s="1643"/>
      <c r="Q113" s="1643"/>
    </row>
    <row r="114" spans="1:21" ht="25.5" customHeight="1">
      <c r="A114" s="1644" t="s">
        <v>1016</v>
      </c>
      <c r="B114" s="1644"/>
      <c r="C114" s="1644"/>
      <c r="D114" s="1644"/>
      <c r="E114" s="1644"/>
      <c r="F114" s="1644"/>
      <c r="G114" s="1644"/>
      <c r="H114" s="1644"/>
      <c r="I114" s="1644"/>
      <c r="J114" s="1644"/>
      <c r="K114" s="1644"/>
      <c r="L114" s="1644"/>
      <c r="M114" s="1644"/>
      <c r="N114" s="1644"/>
      <c r="O114" s="1644"/>
      <c r="P114" s="1644"/>
      <c r="Q114" s="1644"/>
      <c r="R114" s="1644"/>
      <c r="S114" s="1644"/>
      <c r="T114" s="1644"/>
      <c r="U114" s="1644"/>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22"/>
      <c r="B116" s="22"/>
      <c r="C116" s="22"/>
      <c r="D116" s="22"/>
      <c r="E116" s="22"/>
      <c r="F116" s="22"/>
      <c r="G116" s="22"/>
      <c r="H116" s="22"/>
      <c r="I116" s="22"/>
      <c r="J116" s="22"/>
      <c r="K116" s="22"/>
      <c r="L116" s="22"/>
      <c r="M116" s="22"/>
      <c r="N116" s="22"/>
      <c r="O116" s="22"/>
      <c r="P116" s="22"/>
      <c r="Q116" s="22"/>
      <c r="R116" s="22"/>
      <c r="S116" s="22"/>
      <c r="T116" s="22"/>
      <c r="U116" s="22"/>
    </row>
    <row r="117" spans="1:21">
      <c r="A117" s="1645" t="s">
        <v>1017</v>
      </c>
      <c r="B117" s="1645"/>
      <c r="C117" s="1645"/>
      <c r="D117" s="1645"/>
      <c r="E117" s="1645"/>
      <c r="F117" s="1645"/>
      <c r="G117" s="1645"/>
      <c r="H117" s="1645"/>
      <c r="I117" s="1645"/>
      <c r="J117" s="1645"/>
      <c r="K117" s="1645"/>
      <c r="L117" s="1645"/>
      <c r="M117" s="1645"/>
      <c r="N117" s="1645"/>
      <c r="O117" s="1645"/>
      <c r="P117" s="1645"/>
      <c r="Q117" s="1645"/>
      <c r="R117" s="1645"/>
      <c r="S117" s="1645"/>
      <c r="T117" s="1645"/>
      <c r="U117" s="1645"/>
    </row>
    <row r="118" spans="1:21" ht="21.75" customHeight="1">
      <c r="A118" s="1646" t="str">
        <f>H8</f>
        <v>Iloilo Southprime Developers Inc.</v>
      </c>
      <c r="B118" s="1646"/>
      <c r="C118" s="1646"/>
      <c r="D118" s="1646"/>
      <c r="E118" s="1646"/>
      <c r="F118" s="1646"/>
      <c r="G118" s="1646"/>
      <c r="H118" s="1646"/>
      <c r="I118" s="1646"/>
      <c r="J118" s="1646"/>
      <c r="K118" s="1646"/>
      <c r="L118" s="1646"/>
      <c r="M118" s="1646"/>
      <c r="N118" s="1646"/>
      <c r="O118" s="1646"/>
      <c r="P118" s="1646"/>
      <c r="Q118" s="1646"/>
      <c r="R118" s="1646"/>
      <c r="S118" s="1646"/>
      <c r="T118" s="1646"/>
      <c r="U118" s="1646"/>
    </row>
    <row r="119" spans="1:21">
      <c r="A119" s="22"/>
      <c r="B119" s="22"/>
      <c r="C119" s="22"/>
      <c r="D119" s="22"/>
      <c r="E119" s="22"/>
      <c r="F119" s="22"/>
      <c r="G119" s="22"/>
      <c r="H119" s="22"/>
      <c r="I119" s="22"/>
      <c r="J119" s="22"/>
      <c r="K119" s="22"/>
      <c r="L119" s="22"/>
      <c r="M119" s="22"/>
      <c r="N119" s="22"/>
      <c r="O119" s="22"/>
      <c r="P119" s="22"/>
      <c r="Q119" s="22"/>
      <c r="R119" s="22"/>
      <c r="S119" s="22"/>
      <c r="T119" s="22"/>
      <c r="U119" s="22"/>
    </row>
    <row r="120" spans="1:21">
      <c r="A120" s="22"/>
      <c r="B120" s="22"/>
      <c r="C120" s="22"/>
      <c r="D120" s="22"/>
      <c r="E120" s="22"/>
      <c r="F120" s="22"/>
      <c r="G120" s="22"/>
      <c r="H120" s="23"/>
      <c r="I120" s="23"/>
      <c r="J120" s="23"/>
      <c r="K120" s="23"/>
      <c r="L120" s="23"/>
      <c r="M120" s="23"/>
      <c r="N120" s="23"/>
      <c r="O120" s="23"/>
      <c r="P120" s="23"/>
      <c r="Q120" s="23"/>
      <c r="R120" s="22"/>
      <c r="S120" s="22"/>
      <c r="T120" s="22"/>
      <c r="U120" s="22"/>
    </row>
    <row r="124" spans="1:21">
      <c r="I124" s="52"/>
    </row>
  </sheetData>
  <sheetProtection algorithmName="SHA-512" hashValue="uWRdwczncPgJj4BfA+hRI9fDV9Z1HqTrVj5un7yi0W71eGRZUIjv03JzQD8Q2pgpW7gMwQFEPCNhRYWRFKl4RQ==" saltValue="S7NUHX2CLv/Vj7qPdcIenw==" spinCount="100000"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3:Q113"/>
    <mergeCell ref="A114:U114"/>
    <mergeCell ref="A117:U117"/>
    <mergeCell ref="A118:U118"/>
  </mergeCells>
  <pageMargins left="0.51181102362204722" right="0.51181102362204722" top="0.79687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475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4754" r:id="rId5" name="Check Box 2">
              <controlPr defaultSize="0" autoFill="0" autoLine="0" autoPict="0">
                <anchor moveWithCells="1">
                  <from>
                    <xdr:col>11</xdr:col>
                    <xdr:colOff>69850</xdr:colOff>
                    <xdr:row>35</xdr:row>
                    <xdr:rowOff>0</xdr:rowOff>
                  </from>
                  <to>
                    <xdr:col>12</xdr:col>
                    <xdr:colOff>6350</xdr:colOff>
                    <xdr:row>36</xdr:row>
                    <xdr:rowOff>12700</xdr:rowOff>
                  </to>
                </anchor>
              </controlPr>
            </control>
          </mc:Choice>
        </mc:AlternateContent>
        <mc:AlternateContent xmlns:mc="http://schemas.openxmlformats.org/markup-compatibility/2006">
          <mc:Choice Requires="x14">
            <control shapeId="7475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475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475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475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475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476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476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4762" r:id="rId13" name="Check Box 10">
              <controlPr defaultSize="0" autoFill="0" autoLine="0" autoPict="0">
                <anchor moveWithCells="1">
                  <from>
                    <xdr:col>16</xdr:col>
                    <xdr:colOff>139700</xdr:colOff>
                    <xdr:row>88</xdr:row>
                    <xdr:rowOff>0</xdr:rowOff>
                  </from>
                  <to>
                    <xdr:col>17</xdr:col>
                    <xdr:colOff>6350</xdr:colOff>
                    <xdr:row>89</xdr:row>
                    <xdr:rowOff>25400</xdr:rowOff>
                  </to>
                </anchor>
              </controlPr>
            </control>
          </mc:Choice>
        </mc:AlternateContent>
        <mc:AlternateContent xmlns:mc="http://schemas.openxmlformats.org/markup-compatibility/2006">
          <mc:Choice Requires="x14">
            <control shapeId="7476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476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476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476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476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476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476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477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477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5966ea1-fe58-4218-b628-0018c859dab0">
      <Terms xmlns="http://schemas.microsoft.com/office/infopath/2007/PartnerControls"/>
    </lcf76f155ced4ddcb4097134ff3c332f>
    <TaxCatchAll xmlns="48c94ed0-3c20-4b8e-8119-053507d1e0d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F9A57D1AED29941ACBF21D8C4A8CB3E" ma:contentTypeVersion="12" ma:contentTypeDescription="Create a new document." ma:contentTypeScope="" ma:versionID="aeee2e3529a51bdf47f9e0ca66f3fd99">
  <xsd:schema xmlns:xsd="http://www.w3.org/2001/XMLSchema" xmlns:xs="http://www.w3.org/2001/XMLSchema" xmlns:p="http://schemas.microsoft.com/office/2006/metadata/properties" xmlns:ns2="55966ea1-fe58-4218-b628-0018c859dab0" xmlns:ns3="48c94ed0-3c20-4b8e-8119-053507d1e0d0" targetNamespace="http://schemas.microsoft.com/office/2006/metadata/properties" ma:root="true" ma:fieldsID="a03ef8fd52fb47337656b0f69de359df" ns2:_="" ns3:_="">
    <xsd:import namespace="55966ea1-fe58-4218-b628-0018c859dab0"/>
    <xsd:import namespace="48c94ed0-3c20-4b8e-8119-053507d1e0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966ea1-fe58-4218-b628-0018c859da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3ecd6dd-7a73-4453-9500-d28893ef669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c94ed0-3c20-4b8e-8119-053507d1e0d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3de1ab-db7a-47b7-8840-27a09ebaf4c1}" ma:internalName="TaxCatchAll" ma:showField="CatchAllData" ma:web="48c94ed0-3c20-4b8e-8119-053507d1e0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EDF8B7-11BC-4BAC-BCBD-D06F8D060286}"/>
</file>

<file path=customXml/itemProps2.xml><?xml version="1.0" encoding="utf-8"?>
<ds:datastoreItem xmlns:ds="http://schemas.openxmlformats.org/officeDocument/2006/customXml" ds:itemID="{A5CE45F1-13A5-4894-87D9-62E761C4811D}"/>
</file>

<file path=customXml/itemProps3.xml><?xml version="1.0" encoding="utf-8"?>
<ds:datastoreItem xmlns:ds="http://schemas.openxmlformats.org/officeDocument/2006/customXml" ds:itemID="{98140C3F-2CAC-42DE-A646-860A25C40F64}"/>
</file>

<file path=docProps/app.xml><?xml version="1.0" encoding="utf-8"?>
<Properties xmlns="http://schemas.openxmlformats.org/officeDocument/2006/extended-properties" xmlns:vt="http://schemas.openxmlformats.org/officeDocument/2006/docPropsVTypes">
  <Application>Microsoft Excel Online</Application>
  <Manager/>
  <Company>Excel-4-Business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Randy Austin</dc:creator>
  <cp:keywords/>
  <dc:description/>
  <cp:lastModifiedBy>Sheena Grace Dais</cp:lastModifiedBy>
  <cp:revision/>
  <dcterms:created xsi:type="dcterms:W3CDTF">2017-11-07T00:37:58Z</dcterms:created>
  <dcterms:modified xsi:type="dcterms:W3CDTF">2025-09-02T05:05:14Z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0x010100BF9A57D1AED29941ACBF21D8C4A8CB3E</vt:lpwstr>
  </property>
  <property fmtid="{D5CDD505-2E9C-101B-9397-08002B2CF9AE}" pid="3" name="MediaServiceImageTags">
    <vt:lpwstr/>
  </property>
</Properties>
</file>